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mahmoud.mamdouh\Desktop\"/>
    </mc:Choice>
  </mc:AlternateContent>
  <xr:revisionPtr revIDLastSave="0" documentId="13_ncr:1_{ACD938AB-F7B7-41CD-93E8-9455FACEABAD}" xr6:coauthVersionLast="47" xr6:coauthVersionMax="47" xr10:uidLastSave="{00000000-0000-0000-0000-000000000000}"/>
  <bookViews>
    <workbookView xWindow="90" yWindow="600" windowWidth="20400" windowHeight="109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730" i="1" l="1"/>
  <c r="I3730" i="1"/>
  <c r="H3730" i="1"/>
  <c r="G3730" i="1"/>
  <c r="F3730" i="1"/>
  <c r="E3730" i="1"/>
  <c r="D3730" i="1"/>
  <c r="C3730" i="1"/>
  <c r="B3730" i="1"/>
  <c r="A3730" i="1"/>
  <c r="K3729" i="1"/>
  <c r="I3729" i="1"/>
  <c r="H3729" i="1"/>
  <c r="G3729" i="1"/>
  <c r="F3729" i="1"/>
  <c r="E3729" i="1"/>
  <c r="D3729" i="1"/>
  <c r="C3729" i="1"/>
  <c r="B3729" i="1"/>
  <c r="A3729" i="1"/>
  <c r="K3728" i="1"/>
  <c r="I3728" i="1"/>
  <c r="H3728" i="1"/>
  <c r="G3728" i="1"/>
  <c r="F3728" i="1"/>
  <c r="E3728" i="1"/>
  <c r="D3728" i="1"/>
  <c r="C3728" i="1"/>
  <c r="B3728" i="1"/>
  <c r="A3728" i="1"/>
  <c r="K3727" i="1"/>
  <c r="I3727" i="1"/>
  <c r="H3727" i="1"/>
  <c r="G3727" i="1"/>
  <c r="F3727" i="1"/>
  <c r="E3727" i="1"/>
  <c r="D3727" i="1"/>
  <c r="C3727" i="1"/>
  <c r="B3727" i="1"/>
  <c r="A3727" i="1"/>
  <c r="K3726" i="1"/>
  <c r="I3726" i="1"/>
  <c r="H3726" i="1"/>
  <c r="G3726" i="1"/>
  <c r="F3726" i="1"/>
  <c r="E3726" i="1"/>
  <c r="D3726" i="1"/>
  <c r="C3726" i="1"/>
  <c r="B3726" i="1"/>
  <c r="A3726" i="1"/>
  <c r="K3725" i="1"/>
  <c r="I3725" i="1"/>
  <c r="H3725" i="1"/>
  <c r="G3725" i="1"/>
  <c r="F3725" i="1"/>
  <c r="E3725" i="1"/>
  <c r="D3725" i="1"/>
  <c r="C3725" i="1"/>
  <c r="B3725" i="1"/>
  <c r="A3725" i="1"/>
  <c r="K3724" i="1"/>
  <c r="I3724" i="1"/>
  <c r="H3724" i="1"/>
  <c r="G3724" i="1"/>
  <c r="F3724" i="1"/>
  <c r="E3724" i="1"/>
  <c r="D3724" i="1"/>
  <c r="C3724" i="1"/>
  <c r="B3724" i="1"/>
  <c r="A3724" i="1"/>
  <c r="K3723" i="1"/>
  <c r="I3723" i="1"/>
  <c r="H3723" i="1"/>
  <c r="G3723" i="1"/>
  <c r="F3723" i="1"/>
  <c r="E3723" i="1"/>
  <c r="D3723" i="1"/>
  <c r="C3723" i="1"/>
  <c r="B3723" i="1"/>
  <c r="A3723" i="1"/>
  <c r="K3722" i="1"/>
  <c r="I3722" i="1"/>
  <c r="H3722" i="1"/>
  <c r="G3722" i="1"/>
  <c r="F3722" i="1"/>
  <c r="E3722" i="1"/>
  <c r="D3722" i="1"/>
  <c r="C3722" i="1"/>
  <c r="B3722" i="1"/>
  <c r="A3722" i="1"/>
  <c r="K3721" i="1"/>
  <c r="I3721" i="1"/>
  <c r="H3721" i="1"/>
  <c r="G3721" i="1"/>
  <c r="F3721" i="1"/>
  <c r="E3721" i="1"/>
  <c r="D3721" i="1"/>
  <c r="C3721" i="1"/>
  <c r="B3721" i="1"/>
  <c r="A3721" i="1"/>
  <c r="K3720" i="1"/>
  <c r="I3720" i="1"/>
  <c r="H3720" i="1"/>
  <c r="G3720" i="1"/>
  <c r="F3720" i="1"/>
  <c r="E3720" i="1"/>
  <c r="D3720" i="1"/>
  <c r="C3720" i="1"/>
  <c r="B3720" i="1"/>
  <c r="A3720" i="1"/>
  <c r="K3719" i="1"/>
  <c r="H3719" i="1"/>
  <c r="G3719" i="1"/>
  <c r="F3719" i="1"/>
  <c r="E3719" i="1"/>
  <c r="D3719" i="1"/>
  <c r="C3719" i="1"/>
  <c r="B3719" i="1"/>
  <c r="A3719" i="1"/>
  <c r="K3718" i="1"/>
  <c r="I3718" i="1"/>
  <c r="H3718" i="1"/>
  <c r="G3718" i="1"/>
  <c r="F3718" i="1"/>
  <c r="E3718" i="1"/>
  <c r="D3718" i="1"/>
  <c r="C3718" i="1"/>
  <c r="B3718" i="1"/>
  <c r="A3718" i="1"/>
  <c r="K3717" i="1"/>
  <c r="I3717" i="1"/>
  <c r="H3717" i="1"/>
  <c r="G3717" i="1"/>
  <c r="F3717" i="1"/>
  <c r="E3717" i="1"/>
  <c r="D3717" i="1"/>
  <c r="C3717" i="1"/>
  <c r="B3717" i="1"/>
  <c r="A3717" i="1"/>
  <c r="K3716" i="1"/>
  <c r="I3716" i="1"/>
  <c r="H3716" i="1"/>
  <c r="G3716" i="1"/>
  <c r="F3716" i="1"/>
  <c r="E3716" i="1"/>
  <c r="D3716" i="1"/>
  <c r="C3716" i="1"/>
  <c r="B3716" i="1"/>
  <c r="A3716" i="1"/>
  <c r="K3715" i="1"/>
  <c r="I3715" i="1"/>
  <c r="H3715" i="1"/>
  <c r="G3715" i="1"/>
  <c r="F3715" i="1"/>
  <c r="E3715" i="1"/>
  <c r="D3715" i="1"/>
  <c r="C3715" i="1"/>
  <c r="B3715" i="1"/>
  <c r="A3715" i="1"/>
  <c r="K3714" i="1"/>
  <c r="I3714" i="1"/>
  <c r="H3714" i="1"/>
  <c r="G3714" i="1"/>
  <c r="F3714" i="1"/>
  <c r="E3714" i="1"/>
  <c r="D3714" i="1"/>
  <c r="C3714" i="1"/>
  <c r="B3714" i="1"/>
  <c r="A3714" i="1"/>
  <c r="K3713" i="1"/>
  <c r="I3713" i="1"/>
  <c r="H3713" i="1"/>
  <c r="G3713" i="1"/>
  <c r="F3713" i="1"/>
  <c r="E3713" i="1"/>
  <c r="D3713" i="1"/>
  <c r="C3713" i="1"/>
  <c r="B3713" i="1"/>
  <c r="A3713" i="1"/>
  <c r="K3712" i="1"/>
  <c r="I3712" i="1"/>
  <c r="H3712" i="1"/>
  <c r="G3712" i="1"/>
  <c r="F3712" i="1"/>
  <c r="E3712" i="1"/>
  <c r="D3712" i="1"/>
  <c r="C3712" i="1"/>
  <c r="B3712" i="1"/>
  <c r="A3712" i="1"/>
  <c r="K3711" i="1"/>
  <c r="I3711" i="1"/>
  <c r="H3711" i="1"/>
  <c r="G3711" i="1"/>
  <c r="F3711" i="1"/>
  <c r="E3711" i="1"/>
  <c r="D3711" i="1"/>
  <c r="C3711" i="1"/>
  <c r="B3711" i="1"/>
  <c r="A3711" i="1"/>
  <c r="K3710" i="1"/>
  <c r="I3710" i="1"/>
  <c r="H3710" i="1"/>
  <c r="G3710" i="1"/>
  <c r="F3710" i="1"/>
  <c r="E3710" i="1"/>
  <c r="D3710" i="1"/>
  <c r="C3710" i="1"/>
  <c r="B3710" i="1"/>
  <c r="A3710" i="1"/>
  <c r="K3709" i="1"/>
  <c r="I3709" i="1"/>
  <c r="H3709" i="1"/>
  <c r="G3709" i="1"/>
  <c r="F3709" i="1"/>
  <c r="E3709" i="1"/>
  <c r="D3709" i="1"/>
  <c r="C3709" i="1"/>
  <c r="B3709" i="1"/>
  <c r="A3709" i="1"/>
  <c r="K3708" i="1"/>
  <c r="I3708" i="1"/>
  <c r="H3708" i="1"/>
  <c r="G3708" i="1"/>
  <c r="F3708" i="1"/>
  <c r="E3708" i="1"/>
  <c r="D3708" i="1"/>
  <c r="C3708" i="1"/>
  <c r="B3708" i="1"/>
  <c r="A3708" i="1"/>
  <c r="K3707" i="1"/>
  <c r="I3707" i="1"/>
  <c r="H3707" i="1"/>
  <c r="G3707" i="1"/>
  <c r="F3707" i="1"/>
  <c r="E3707" i="1"/>
  <c r="D3707" i="1"/>
  <c r="C3707" i="1"/>
  <c r="B3707" i="1"/>
  <c r="A3707" i="1"/>
  <c r="K3706" i="1"/>
  <c r="I3706" i="1"/>
  <c r="H3706" i="1"/>
  <c r="G3706" i="1"/>
  <c r="F3706" i="1"/>
  <c r="E3706" i="1"/>
  <c r="D3706" i="1"/>
  <c r="C3706" i="1"/>
  <c r="B3706" i="1"/>
  <c r="A3706" i="1"/>
  <c r="K3705" i="1"/>
  <c r="I3705" i="1"/>
  <c r="H3705" i="1"/>
  <c r="G3705" i="1"/>
  <c r="F3705" i="1"/>
  <c r="E3705" i="1"/>
  <c r="D3705" i="1"/>
  <c r="C3705" i="1"/>
  <c r="B3705" i="1"/>
  <c r="A3705" i="1"/>
  <c r="K3704" i="1"/>
  <c r="I3704" i="1"/>
  <c r="H3704" i="1"/>
  <c r="G3704" i="1"/>
  <c r="F3704" i="1"/>
  <c r="E3704" i="1"/>
  <c r="D3704" i="1"/>
  <c r="C3704" i="1"/>
  <c r="B3704" i="1"/>
  <c r="A3704" i="1"/>
  <c r="K3703" i="1"/>
  <c r="I3703" i="1"/>
  <c r="H3703" i="1"/>
  <c r="G3703" i="1"/>
  <c r="F3703" i="1"/>
  <c r="E3703" i="1"/>
  <c r="D3703" i="1"/>
  <c r="C3703" i="1"/>
  <c r="B3703" i="1"/>
  <c r="A3703" i="1"/>
  <c r="K3702" i="1"/>
  <c r="I3702" i="1"/>
  <c r="H3702" i="1"/>
  <c r="G3702" i="1"/>
  <c r="F3702" i="1"/>
  <c r="E3702" i="1"/>
  <c r="D3702" i="1"/>
  <c r="C3702" i="1"/>
  <c r="B3702" i="1"/>
  <c r="A3702" i="1"/>
  <c r="K3701" i="1"/>
  <c r="I3701" i="1"/>
  <c r="H3701" i="1"/>
  <c r="G3701" i="1"/>
  <c r="F3701" i="1"/>
  <c r="E3701" i="1"/>
  <c r="D3701" i="1"/>
  <c r="C3701" i="1"/>
  <c r="B3701" i="1"/>
  <c r="A3701" i="1"/>
  <c r="K3700" i="1"/>
  <c r="I3700" i="1"/>
  <c r="H3700" i="1"/>
  <c r="G3700" i="1"/>
  <c r="F3700" i="1"/>
  <c r="E3700" i="1"/>
  <c r="D3700" i="1"/>
  <c r="C3700" i="1"/>
  <c r="B3700" i="1"/>
  <c r="A3700" i="1"/>
  <c r="K3699" i="1"/>
  <c r="I3699" i="1"/>
  <c r="H3699" i="1"/>
  <c r="G3699" i="1"/>
  <c r="F3699" i="1"/>
  <c r="E3699" i="1"/>
  <c r="D3699" i="1"/>
  <c r="C3699" i="1"/>
  <c r="B3699" i="1"/>
  <c r="A3699" i="1"/>
  <c r="K3698" i="1"/>
  <c r="I3698" i="1"/>
  <c r="H3698" i="1"/>
  <c r="G3698" i="1"/>
  <c r="F3698" i="1"/>
  <c r="E3698" i="1"/>
  <c r="D3698" i="1"/>
  <c r="C3698" i="1"/>
  <c r="B3698" i="1"/>
  <c r="A3698" i="1"/>
  <c r="K3697" i="1"/>
  <c r="H3697" i="1"/>
  <c r="G3697" i="1"/>
  <c r="F3697" i="1"/>
  <c r="E3697" i="1"/>
  <c r="D3697" i="1"/>
  <c r="C3697" i="1"/>
  <c r="B3697" i="1"/>
  <c r="A3697" i="1"/>
  <c r="K3696" i="1"/>
  <c r="H3696" i="1"/>
  <c r="G3696" i="1"/>
  <c r="F3696" i="1"/>
  <c r="E3696" i="1"/>
  <c r="D3696" i="1"/>
  <c r="C3696" i="1"/>
  <c r="B3696" i="1"/>
  <c r="A3696" i="1"/>
  <c r="K3695" i="1"/>
  <c r="I3695" i="1"/>
  <c r="H3695" i="1"/>
  <c r="G3695" i="1"/>
  <c r="F3695" i="1"/>
  <c r="E3695" i="1"/>
  <c r="D3695" i="1"/>
  <c r="C3695" i="1"/>
  <c r="B3695" i="1"/>
  <c r="A3695" i="1"/>
  <c r="K3694" i="1"/>
  <c r="I3694" i="1"/>
  <c r="H3694" i="1"/>
  <c r="G3694" i="1"/>
  <c r="F3694" i="1"/>
  <c r="E3694" i="1"/>
  <c r="D3694" i="1"/>
  <c r="C3694" i="1"/>
  <c r="B3694" i="1"/>
  <c r="A3694" i="1"/>
  <c r="K3693" i="1"/>
  <c r="J3693" i="1"/>
  <c r="H3693" i="1"/>
  <c r="G3693" i="1"/>
  <c r="F3693" i="1"/>
  <c r="E3693" i="1"/>
  <c r="D3693" i="1"/>
  <c r="C3693" i="1"/>
  <c r="B3693" i="1"/>
  <c r="A3693" i="1"/>
  <c r="K3692" i="1"/>
  <c r="J3692" i="1"/>
  <c r="I3692" i="1"/>
  <c r="H3692" i="1"/>
  <c r="G3692" i="1"/>
  <c r="F3692" i="1"/>
  <c r="E3692" i="1"/>
  <c r="D3692" i="1"/>
  <c r="C3692" i="1"/>
  <c r="B3692" i="1"/>
  <c r="A3692" i="1"/>
  <c r="K3691" i="1"/>
  <c r="J3691" i="1"/>
  <c r="I3691" i="1"/>
  <c r="H3691" i="1"/>
  <c r="G3691" i="1"/>
  <c r="F3691" i="1"/>
  <c r="E3691" i="1"/>
  <c r="D3691" i="1"/>
  <c r="C3691" i="1"/>
  <c r="B3691" i="1"/>
  <c r="A3691" i="1"/>
  <c r="K3690" i="1"/>
  <c r="J3690" i="1"/>
  <c r="I3690" i="1"/>
  <c r="H3690" i="1"/>
  <c r="G3690" i="1"/>
  <c r="F3690" i="1"/>
  <c r="E3690" i="1"/>
  <c r="D3690" i="1"/>
  <c r="C3690" i="1"/>
  <c r="B3690" i="1"/>
  <c r="A3690" i="1"/>
  <c r="K3689" i="1"/>
  <c r="J3689" i="1"/>
  <c r="I3689" i="1"/>
  <c r="H3689" i="1"/>
  <c r="G3689" i="1"/>
  <c r="F3689" i="1"/>
  <c r="E3689" i="1"/>
  <c r="D3689" i="1"/>
  <c r="C3689" i="1"/>
  <c r="B3689" i="1"/>
  <c r="A3689" i="1"/>
  <c r="K3688" i="1"/>
  <c r="J3688" i="1"/>
  <c r="H3688" i="1"/>
  <c r="G3688" i="1"/>
  <c r="F3688" i="1"/>
  <c r="E3688" i="1"/>
  <c r="D3688" i="1"/>
  <c r="C3688" i="1"/>
  <c r="B3688" i="1"/>
  <c r="A3688" i="1"/>
  <c r="K3687" i="1"/>
  <c r="J3687" i="1"/>
  <c r="H3687" i="1"/>
  <c r="G3687" i="1"/>
  <c r="F3687" i="1"/>
  <c r="E3687" i="1"/>
  <c r="D3687" i="1"/>
  <c r="C3687" i="1"/>
  <c r="B3687" i="1"/>
  <c r="A3687" i="1"/>
  <c r="K3686" i="1"/>
  <c r="H3686" i="1"/>
  <c r="G3686" i="1"/>
  <c r="F3686" i="1"/>
  <c r="E3686" i="1"/>
  <c r="D3686" i="1"/>
  <c r="C3686" i="1"/>
  <c r="B3686" i="1"/>
  <c r="A3686" i="1"/>
  <c r="K3685" i="1"/>
  <c r="I3685" i="1"/>
  <c r="H3685" i="1"/>
  <c r="G3685" i="1"/>
  <c r="F3685" i="1"/>
  <c r="E3685" i="1"/>
  <c r="D3685" i="1"/>
  <c r="C3685" i="1"/>
  <c r="B3685" i="1"/>
  <c r="A3685" i="1"/>
  <c r="K3684" i="1"/>
  <c r="I3684" i="1"/>
  <c r="H3684" i="1"/>
  <c r="G3684" i="1"/>
  <c r="F3684" i="1"/>
  <c r="E3684" i="1"/>
  <c r="D3684" i="1"/>
  <c r="C3684" i="1"/>
  <c r="B3684" i="1"/>
  <c r="A3684" i="1"/>
  <c r="K3683" i="1"/>
  <c r="I3683" i="1"/>
  <c r="H3683" i="1"/>
  <c r="G3683" i="1"/>
  <c r="F3683" i="1"/>
  <c r="E3683" i="1"/>
  <c r="D3683" i="1"/>
  <c r="C3683" i="1"/>
  <c r="B3683" i="1"/>
  <c r="A3683" i="1"/>
  <c r="K3682" i="1"/>
  <c r="I3682" i="1"/>
  <c r="H3682" i="1"/>
  <c r="G3682" i="1"/>
  <c r="F3682" i="1"/>
  <c r="E3682" i="1"/>
  <c r="D3682" i="1"/>
  <c r="C3682" i="1"/>
  <c r="B3682" i="1"/>
  <c r="A3682" i="1"/>
  <c r="K3681" i="1"/>
  <c r="I3681" i="1"/>
  <c r="H3681" i="1"/>
  <c r="G3681" i="1"/>
  <c r="F3681" i="1"/>
  <c r="E3681" i="1"/>
  <c r="D3681" i="1"/>
  <c r="C3681" i="1"/>
  <c r="B3681" i="1"/>
  <c r="A3681" i="1"/>
  <c r="K3680" i="1"/>
  <c r="I3680" i="1"/>
  <c r="H3680" i="1"/>
  <c r="G3680" i="1"/>
  <c r="F3680" i="1"/>
  <c r="E3680" i="1"/>
  <c r="D3680" i="1"/>
  <c r="C3680" i="1"/>
  <c r="B3680" i="1"/>
  <c r="A3680" i="1"/>
  <c r="K3679" i="1"/>
  <c r="I3679" i="1"/>
  <c r="H3679" i="1"/>
  <c r="G3679" i="1"/>
  <c r="F3679" i="1"/>
  <c r="E3679" i="1"/>
  <c r="D3679" i="1"/>
  <c r="C3679" i="1"/>
  <c r="B3679" i="1"/>
  <c r="A3679" i="1"/>
  <c r="K3678" i="1"/>
  <c r="I3678" i="1"/>
  <c r="H3678" i="1"/>
  <c r="G3678" i="1"/>
  <c r="F3678" i="1"/>
  <c r="E3678" i="1"/>
  <c r="D3678" i="1"/>
  <c r="C3678" i="1"/>
  <c r="B3678" i="1"/>
  <c r="A3678" i="1"/>
  <c r="K3677" i="1"/>
  <c r="I3677" i="1"/>
  <c r="H3677" i="1"/>
  <c r="G3677" i="1"/>
  <c r="F3677" i="1"/>
  <c r="E3677" i="1"/>
  <c r="D3677" i="1"/>
  <c r="C3677" i="1"/>
  <c r="B3677" i="1"/>
  <c r="A3677" i="1"/>
  <c r="K3676" i="1"/>
  <c r="I3676" i="1"/>
  <c r="H3676" i="1"/>
  <c r="G3676" i="1"/>
  <c r="F3676" i="1"/>
  <c r="E3676" i="1"/>
  <c r="D3676" i="1"/>
  <c r="C3676" i="1"/>
  <c r="B3676" i="1"/>
  <c r="A3676" i="1"/>
  <c r="K3675" i="1"/>
  <c r="I3675" i="1"/>
  <c r="H3675" i="1"/>
  <c r="G3675" i="1"/>
  <c r="F3675" i="1"/>
  <c r="E3675" i="1"/>
  <c r="D3675" i="1"/>
  <c r="C3675" i="1"/>
  <c r="B3675" i="1"/>
  <c r="A3675" i="1"/>
  <c r="K3674" i="1"/>
  <c r="I3674" i="1"/>
  <c r="H3674" i="1"/>
  <c r="G3674" i="1"/>
  <c r="F3674" i="1"/>
  <c r="E3674" i="1"/>
  <c r="D3674" i="1"/>
  <c r="C3674" i="1"/>
  <c r="B3674" i="1"/>
  <c r="A3674" i="1"/>
  <c r="K3673" i="1"/>
  <c r="I3673" i="1"/>
  <c r="H3673" i="1"/>
  <c r="G3673" i="1"/>
  <c r="F3673" i="1"/>
  <c r="E3673" i="1"/>
  <c r="D3673" i="1"/>
  <c r="C3673" i="1"/>
  <c r="B3673" i="1"/>
  <c r="A3673" i="1"/>
  <c r="K3672" i="1"/>
  <c r="J3672" i="1"/>
  <c r="I3672" i="1"/>
  <c r="H3672" i="1"/>
  <c r="G3672" i="1"/>
  <c r="F3672" i="1"/>
  <c r="E3672" i="1"/>
  <c r="D3672" i="1"/>
  <c r="C3672" i="1"/>
  <c r="B3672" i="1"/>
  <c r="A3672" i="1"/>
  <c r="K3671" i="1"/>
  <c r="I3671" i="1"/>
  <c r="H3671" i="1"/>
  <c r="G3671" i="1"/>
  <c r="F3671" i="1"/>
  <c r="E3671" i="1"/>
  <c r="D3671" i="1"/>
  <c r="C3671" i="1"/>
  <c r="B3671" i="1"/>
  <c r="A3671" i="1"/>
  <c r="K3670" i="1"/>
  <c r="I3670" i="1"/>
  <c r="H3670" i="1"/>
  <c r="G3670" i="1"/>
  <c r="F3670" i="1"/>
  <c r="E3670" i="1"/>
  <c r="D3670" i="1"/>
  <c r="C3670" i="1"/>
  <c r="B3670" i="1"/>
  <c r="A3670" i="1"/>
  <c r="K3669" i="1"/>
  <c r="I3669" i="1"/>
  <c r="H3669" i="1"/>
  <c r="G3669" i="1"/>
  <c r="F3669" i="1"/>
  <c r="E3669" i="1"/>
  <c r="D3669" i="1"/>
  <c r="C3669" i="1"/>
  <c r="B3669" i="1"/>
  <c r="A3669" i="1"/>
  <c r="K3668" i="1"/>
  <c r="I3668" i="1"/>
  <c r="H3668" i="1"/>
  <c r="G3668" i="1"/>
  <c r="F3668" i="1"/>
  <c r="E3668" i="1"/>
  <c r="D3668" i="1"/>
  <c r="C3668" i="1"/>
  <c r="B3668" i="1"/>
  <c r="A3668" i="1"/>
  <c r="K3667" i="1"/>
  <c r="J3667" i="1"/>
  <c r="H3667" i="1"/>
  <c r="G3667" i="1"/>
  <c r="F3667" i="1"/>
  <c r="E3667" i="1"/>
  <c r="D3667" i="1"/>
  <c r="C3667" i="1"/>
  <c r="B3667" i="1"/>
  <c r="A3667" i="1"/>
  <c r="K3666" i="1"/>
  <c r="I3666" i="1"/>
  <c r="H3666" i="1"/>
  <c r="G3666" i="1"/>
  <c r="F3666" i="1"/>
  <c r="E3666" i="1"/>
  <c r="D3666" i="1"/>
  <c r="C3666" i="1"/>
  <c r="B3666" i="1"/>
  <c r="A3666" i="1"/>
  <c r="K3665" i="1"/>
  <c r="I3665" i="1"/>
  <c r="H3665" i="1"/>
  <c r="G3665" i="1"/>
  <c r="F3665" i="1"/>
  <c r="E3665" i="1"/>
  <c r="D3665" i="1"/>
  <c r="C3665" i="1"/>
  <c r="B3665" i="1"/>
  <c r="A3665" i="1"/>
  <c r="K3664" i="1"/>
  <c r="I3664" i="1"/>
  <c r="H3664" i="1"/>
  <c r="G3664" i="1"/>
  <c r="F3664" i="1"/>
  <c r="E3664" i="1"/>
  <c r="D3664" i="1"/>
  <c r="C3664" i="1"/>
  <c r="B3664" i="1"/>
  <c r="A3664" i="1"/>
  <c r="K3663" i="1"/>
  <c r="I3663" i="1"/>
  <c r="H3663" i="1"/>
  <c r="G3663" i="1"/>
  <c r="F3663" i="1"/>
  <c r="E3663" i="1"/>
  <c r="D3663" i="1"/>
  <c r="C3663" i="1"/>
  <c r="B3663" i="1"/>
  <c r="A3663" i="1"/>
  <c r="K3662" i="1"/>
  <c r="I3662" i="1"/>
  <c r="H3662" i="1"/>
  <c r="G3662" i="1"/>
  <c r="F3662" i="1"/>
  <c r="E3662" i="1"/>
  <c r="D3662" i="1"/>
  <c r="C3662" i="1"/>
  <c r="B3662" i="1"/>
  <c r="A3662" i="1"/>
  <c r="K3661" i="1"/>
  <c r="I3661" i="1"/>
  <c r="H3661" i="1"/>
  <c r="G3661" i="1"/>
  <c r="F3661" i="1"/>
  <c r="E3661" i="1"/>
  <c r="D3661" i="1"/>
  <c r="C3661" i="1"/>
  <c r="B3661" i="1"/>
  <c r="A3661" i="1"/>
  <c r="K3660" i="1"/>
  <c r="I3660" i="1"/>
  <c r="H3660" i="1"/>
  <c r="G3660" i="1"/>
  <c r="F3660" i="1"/>
  <c r="E3660" i="1"/>
  <c r="D3660" i="1"/>
  <c r="C3660" i="1"/>
  <c r="B3660" i="1"/>
  <c r="A3660" i="1"/>
  <c r="K3659" i="1"/>
  <c r="I3659" i="1"/>
  <c r="H3659" i="1"/>
  <c r="G3659" i="1"/>
  <c r="F3659" i="1"/>
  <c r="E3659" i="1"/>
  <c r="D3659" i="1"/>
  <c r="C3659" i="1"/>
  <c r="B3659" i="1"/>
  <c r="A3659" i="1"/>
  <c r="K3658" i="1"/>
  <c r="I3658" i="1"/>
  <c r="H3658" i="1"/>
  <c r="G3658" i="1"/>
  <c r="F3658" i="1"/>
  <c r="E3658" i="1"/>
  <c r="D3658" i="1"/>
  <c r="C3658" i="1"/>
  <c r="B3658" i="1"/>
  <c r="A3658" i="1"/>
  <c r="K3657" i="1"/>
  <c r="I3657" i="1"/>
  <c r="H3657" i="1"/>
  <c r="G3657" i="1"/>
  <c r="F3657" i="1"/>
  <c r="E3657" i="1"/>
  <c r="D3657" i="1"/>
  <c r="C3657" i="1"/>
  <c r="B3657" i="1"/>
  <c r="A3657" i="1"/>
  <c r="K3656" i="1"/>
  <c r="I3656" i="1"/>
  <c r="H3656" i="1"/>
  <c r="G3656" i="1"/>
  <c r="F3656" i="1"/>
  <c r="E3656" i="1"/>
  <c r="D3656" i="1"/>
  <c r="C3656" i="1"/>
  <c r="B3656" i="1"/>
  <c r="A3656" i="1"/>
  <c r="K3655" i="1"/>
  <c r="I3655" i="1"/>
  <c r="H3655" i="1"/>
  <c r="G3655" i="1"/>
  <c r="F3655" i="1"/>
  <c r="E3655" i="1"/>
  <c r="D3655" i="1"/>
  <c r="C3655" i="1"/>
  <c r="B3655" i="1"/>
  <c r="A3655" i="1"/>
  <c r="K3654" i="1"/>
  <c r="I3654" i="1"/>
  <c r="H3654" i="1"/>
  <c r="G3654" i="1"/>
  <c r="F3654" i="1"/>
  <c r="E3654" i="1"/>
  <c r="D3654" i="1"/>
  <c r="C3654" i="1"/>
  <c r="B3654" i="1"/>
  <c r="A3654" i="1"/>
  <c r="K3653" i="1"/>
  <c r="J3653" i="1"/>
  <c r="H3653" i="1"/>
  <c r="G3653" i="1"/>
  <c r="F3653" i="1"/>
  <c r="E3653" i="1"/>
  <c r="D3653" i="1"/>
  <c r="C3653" i="1"/>
  <c r="B3653" i="1"/>
  <c r="A3653" i="1"/>
  <c r="K3652" i="1"/>
  <c r="J3652" i="1"/>
  <c r="H3652" i="1"/>
  <c r="G3652" i="1"/>
  <c r="F3652" i="1"/>
  <c r="E3652" i="1"/>
  <c r="D3652" i="1"/>
  <c r="C3652" i="1"/>
  <c r="B3652" i="1"/>
  <c r="A3652" i="1"/>
  <c r="K3651" i="1"/>
  <c r="J3651" i="1"/>
  <c r="H3651" i="1"/>
  <c r="G3651" i="1"/>
  <c r="F3651" i="1"/>
  <c r="E3651" i="1"/>
  <c r="D3651" i="1"/>
  <c r="C3651" i="1"/>
  <c r="B3651" i="1"/>
  <c r="A3651" i="1"/>
  <c r="K3650" i="1"/>
  <c r="I3650" i="1"/>
  <c r="H3650" i="1"/>
  <c r="G3650" i="1"/>
  <c r="F3650" i="1"/>
  <c r="E3650" i="1"/>
  <c r="D3650" i="1"/>
  <c r="C3650" i="1"/>
  <c r="B3650" i="1"/>
  <c r="A3650" i="1"/>
  <c r="K3649" i="1"/>
  <c r="I3649" i="1"/>
  <c r="H3649" i="1"/>
  <c r="G3649" i="1"/>
  <c r="F3649" i="1"/>
  <c r="E3649" i="1"/>
  <c r="D3649" i="1"/>
  <c r="C3649" i="1"/>
  <c r="B3649" i="1"/>
  <c r="A3649" i="1"/>
  <c r="K3648" i="1"/>
  <c r="I3648" i="1"/>
  <c r="H3648" i="1"/>
  <c r="G3648" i="1"/>
  <c r="F3648" i="1"/>
  <c r="E3648" i="1"/>
  <c r="D3648" i="1"/>
  <c r="C3648" i="1"/>
  <c r="B3648" i="1"/>
  <c r="A3648" i="1"/>
  <c r="K3647" i="1"/>
  <c r="I3647" i="1"/>
  <c r="H3647" i="1"/>
  <c r="G3647" i="1"/>
  <c r="F3647" i="1"/>
  <c r="E3647" i="1"/>
  <c r="D3647" i="1"/>
  <c r="C3647" i="1"/>
  <c r="B3647" i="1"/>
  <c r="A3647" i="1"/>
  <c r="K3646" i="1"/>
  <c r="I3646" i="1"/>
  <c r="H3646" i="1"/>
  <c r="G3646" i="1"/>
  <c r="F3646" i="1"/>
  <c r="E3646" i="1"/>
  <c r="D3646" i="1"/>
  <c r="C3646" i="1"/>
  <c r="B3646" i="1"/>
  <c r="A3646" i="1"/>
  <c r="K3645" i="1"/>
  <c r="I3645" i="1"/>
  <c r="H3645" i="1"/>
  <c r="G3645" i="1"/>
  <c r="F3645" i="1"/>
  <c r="E3645" i="1"/>
  <c r="D3645" i="1"/>
  <c r="C3645" i="1"/>
  <c r="B3645" i="1"/>
  <c r="A3645" i="1"/>
  <c r="K3644" i="1"/>
  <c r="I3644" i="1"/>
  <c r="H3644" i="1"/>
  <c r="G3644" i="1"/>
  <c r="F3644" i="1"/>
  <c r="E3644" i="1"/>
  <c r="D3644" i="1"/>
  <c r="C3644" i="1"/>
  <c r="B3644" i="1"/>
  <c r="A3644" i="1"/>
  <c r="K3643" i="1"/>
  <c r="J3643" i="1"/>
  <c r="H3643" i="1"/>
  <c r="G3643" i="1"/>
  <c r="F3643" i="1"/>
  <c r="E3643" i="1"/>
  <c r="D3643" i="1"/>
  <c r="C3643" i="1"/>
  <c r="B3643" i="1"/>
  <c r="A3643" i="1"/>
  <c r="K3642" i="1"/>
  <c r="J3642" i="1"/>
  <c r="H3642" i="1"/>
  <c r="G3642" i="1"/>
  <c r="F3642" i="1"/>
  <c r="E3642" i="1"/>
  <c r="D3642" i="1"/>
  <c r="C3642" i="1"/>
  <c r="B3642" i="1"/>
  <c r="A3642" i="1"/>
  <c r="K3641" i="1"/>
  <c r="J3641" i="1"/>
  <c r="H3641" i="1"/>
  <c r="G3641" i="1"/>
  <c r="F3641" i="1"/>
  <c r="E3641" i="1"/>
  <c r="D3641" i="1"/>
  <c r="C3641" i="1"/>
  <c r="B3641" i="1"/>
  <c r="A3641" i="1"/>
  <c r="K3640" i="1"/>
  <c r="J3640" i="1"/>
  <c r="H3640" i="1"/>
  <c r="G3640" i="1"/>
  <c r="F3640" i="1"/>
  <c r="E3640" i="1"/>
  <c r="D3640" i="1"/>
  <c r="C3640" i="1"/>
  <c r="B3640" i="1"/>
  <c r="A3640" i="1"/>
  <c r="K3639" i="1"/>
  <c r="J3639" i="1"/>
  <c r="H3639" i="1"/>
  <c r="G3639" i="1"/>
  <c r="F3639" i="1"/>
  <c r="E3639" i="1"/>
  <c r="D3639" i="1"/>
  <c r="C3639" i="1"/>
  <c r="B3639" i="1"/>
  <c r="A3639" i="1"/>
  <c r="K3638" i="1"/>
  <c r="J3638" i="1"/>
  <c r="H3638" i="1"/>
  <c r="G3638" i="1"/>
  <c r="F3638" i="1"/>
  <c r="E3638" i="1"/>
  <c r="D3638" i="1"/>
  <c r="C3638" i="1"/>
  <c r="B3638" i="1"/>
  <c r="A3638" i="1"/>
  <c r="K3637" i="1"/>
  <c r="J3637" i="1"/>
  <c r="H3637" i="1"/>
  <c r="G3637" i="1"/>
  <c r="F3637" i="1"/>
  <c r="E3637" i="1"/>
  <c r="D3637" i="1"/>
  <c r="C3637" i="1"/>
  <c r="B3637" i="1"/>
  <c r="A3637" i="1"/>
  <c r="K3636" i="1"/>
  <c r="J3636" i="1"/>
  <c r="H3636" i="1"/>
  <c r="G3636" i="1"/>
  <c r="F3636" i="1"/>
  <c r="E3636" i="1"/>
  <c r="D3636" i="1"/>
  <c r="C3636" i="1"/>
  <c r="B3636" i="1"/>
  <c r="A3636" i="1"/>
  <c r="K3635" i="1"/>
  <c r="J3635" i="1"/>
  <c r="H3635" i="1"/>
  <c r="G3635" i="1"/>
  <c r="F3635" i="1"/>
  <c r="E3635" i="1"/>
  <c r="D3635" i="1"/>
  <c r="C3635" i="1"/>
  <c r="B3635" i="1"/>
  <c r="A3635" i="1"/>
  <c r="K3634" i="1"/>
  <c r="J3634" i="1"/>
  <c r="H3634" i="1"/>
  <c r="G3634" i="1"/>
  <c r="F3634" i="1"/>
  <c r="E3634" i="1"/>
  <c r="D3634" i="1"/>
  <c r="C3634" i="1"/>
  <c r="B3634" i="1"/>
  <c r="A3634" i="1"/>
  <c r="K3633" i="1"/>
  <c r="J3633" i="1"/>
  <c r="H3633" i="1"/>
  <c r="G3633" i="1"/>
  <c r="F3633" i="1"/>
  <c r="E3633" i="1"/>
  <c r="D3633" i="1"/>
  <c r="C3633" i="1"/>
  <c r="B3633" i="1"/>
  <c r="A3633" i="1"/>
  <c r="K3632" i="1"/>
  <c r="J3632" i="1"/>
  <c r="H3632" i="1"/>
  <c r="G3632" i="1"/>
  <c r="F3632" i="1"/>
  <c r="E3632" i="1"/>
  <c r="D3632" i="1"/>
  <c r="C3632" i="1"/>
  <c r="B3632" i="1"/>
  <c r="A3632" i="1"/>
  <c r="K3631" i="1"/>
  <c r="J3631" i="1"/>
  <c r="H3631" i="1"/>
  <c r="G3631" i="1"/>
  <c r="F3631" i="1"/>
  <c r="E3631" i="1"/>
  <c r="D3631" i="1"/>
  <c r="C3631" i="1"/>
  <c r="B3631" i="1"/>
  <c r="A3631" i="1"/>
  <c r="K3630" i="1"/>
  <c r="J3630" i="1"/>
  <c r="H3630" i="1"/>
  <c r="G3630" i="1"/>
  <c r="F3630" i="1"/>
  <c r="E3630" i="1"/>
  <c r="D3630" i="1"/>
  <c r="C3630" i="1"/>
  <c r="B3630" i="1"/>
  <c r="A3630" i="1"/>
  <c r="K3629" i="1"/>
  <c r="J3629" i="1"/>
  <c r="H3629" i="1"/>
  <c r="G3629" i="1"/>
  <c r="F3629" i="1"/>
  <c r="E3629" i="1"/>
  <c r="D3629" i="1"/>
  <c r="C3629" i="1"/>
  <c r="B3629" i="1"/>
  <c r="A3629" i="1"/>
  <c r="K3628" i="1"/>
  <c r="J3628" i="1"/>
  <c r="H3628" i="1"/>
  <c r="G3628" i="1"/>
  <c r="F3628" i="1"/>
  <c r="E3628" i="1"/>
  <c r="D3628" i="1"/>
  <c r="C3628" i="1"/>
  <c r="B3628" i="1"/>
  <c r="A3628" i="1"/>
  <c r="K3627" i="1"/>
  <c r="J3627" i="1"/>
  <c r="H3627" i="1"/>
  <c r="G3627" i="1"/>
  <c r="F3627" i="1"/>
  <c r="E3627" i="1"/>
  <c r="D3627" i="1"/>
  <c r="C3627" i="1"/>
  <c r="B3627" i="1"/>
  <c r="A3627" i="1"/>
  <c r="K3626" i="1"/>
  <c r="J3626" i="1"/>
  <c r="H3626" i="1"/>
  <c r="G3626" i="1"/>
  <c r="F3626" i="1"/>
  <c r="E3626" i="1"/>
  <c r="D3626" i="1"/>
  <c r="C3626" i="1"/>
  <c r="B3626" i="1"/>
  <c r="A3626" i="1"/>
  <c r="K3625" i="1"/>
  <c r="J3625" i="1"/>
  <c r="H3625" i="1"/>
  <c r="G3625" i="1"/>
  <c r="F3625" i="1"/>
  <c r="E3625" i="1"/>
  <c r="D3625" i="1"/>
  <c r="C3625" i="1"/>
  <c r="B3625" i="1"/>
  <c r="A3625" i="1"/>
  <c r="K3624" i="1"/>
  <c r="J3624" i="1"/>
  <c r="H3624" i="1"/>
  <c r="G3624" i="1"/>
  <c r="F3624" i="1"/>
  <c r="E3624" i="1"/>
  <c r="D3624" i="1"/>
  <c r="C3624" i="1"/>
  <c r="B3624" i="1"/>
  <c r="A3624" i="1"/>
  <c r="K3623" i="1"/>
  <c r="J3623" i="1"/>
  <c r="H3623" i="1"/>
  <c r="G3623" i="1"/>
  <c r="F3623" i="1"/>
  <c r="E3623" i="1"/>
  <c r="D3623" i="1"/>
  <c r="C3623" i="1"/>
  <c r="B3623" i="1"/>
  <c r="A3623" i="1"/>
  <c r="K3622" i="1"/>
  <c r="J3622" i="1"/>
  <c r="H3622" i="1"/>
  <c r="G3622" i="1"/>
  <c r="F3622" i="1"/>
  <c r="E3622" i="1"/>
  <c r="D3622" i="1"/>
  <c r="C3622" i="1"/>
  <c r="B3622" i="1"/>
  <c r="A3622" i="1"/>
  <c r="K3621" i="1"/>
  <c r="J3621" i="1"/>
  <c r="H3621" i="1"/>
  <c r="G3621" i="1"/>
  <c r="F3621" i="1"/>
  <c r="E3621" i="1"/>
  <c r="D3621" i="1"/>
  <c r="C3621" i="1"/>
  <c r="B3621" i="1"/>
  <c r="A3621" i="1"/>
  <c r="K3620" i="1"/>
  <c r="J3620" i="1"/>
  <c r="H3620" i="1"/>
  <c r="G3620" i="1"/>
  <c r="F3620" i="1"/>
  <c r="E3620" i="1"/>
  <c r="D3620" i="1"/>
  <c r="C3620" i="1"/>
  <c r="B3620" i="1"/>
  <c r="A3620" i="1"/>
  <c r="K3619" i="1"/>
  <c r="J3619" i="1"/>
  <c r="H3619" i="1"/>
  <c r="G3619" i="1"/>
  <c r="F3619" i="1"/>
  <c r="E3619" i="1"/>
  <c r="D3619" i="1"/>
  <c r="C3619" i="1"/>
  <c r="B3619" i="1"/>
  <c r="A3619" i="1"/>
  <c r="K3618" i="1"/>
  <c r="J3618" i="1"/>
  <c r="H3618" i="1"/>
  <c r="G3618" i="1"/>
  <c r="F3618" i="1"/>
  <c r="E3618" i="1"/>
  <c r="D3618" i="1"/>
  <c r="C3618" i="1"/>
  <c r="B3618" i="1"/>
  <c r="A3618" i="1"/>
  <c r="K3617" i="1"/>
  <c r="J3617" i="1"/>
  <c r="H3617" i="1"/>
  <c r="G3617" i="1"/>
  <c r="F3617" i="1"/>
  <c r="E3617" i="1"/>
  <c r="D3617" i="1"/>
  <c r="C3617" i="1"/>
  <c r="B3617" i="1"/>
  <c r="A3617" i="1"/>
  <c r="K3616" i="1"/>
  <c r="I3616" i="1"/>
  <c r="H3616" i="1"/>
  <c r="G3616" i="1"/>
  <c r="F3616" i="1"/>
  <c r="E3616" i="1"/>
  <c r="D3616" i="1"/>
  <c r="C3616" i="1"/>
  <c r="B3616" i="1"/>
  <c r="A3616" i="1"/>
  <c r="K3615" i="1"/>
  <c r="I3615" i="1"/>
  <c r="H3615" i="1"/>
  <c r="G3615" i="1"/>
  <c r="F3615" i="1"/>
  <c r="E3615" i="1"/>
  <c r="D3615" i="1"/>
  <c r="C3615" i="1"/>
  <c r="B3615" i="1"/>
  <c r="A3615" i="1"/>
  <c r="K3614" i="1"/>
  <c r="I3614" i="1"/>
  <c r="H3614" i="1"/>
  <c r="G3614" i="1"/>
  <c r="F3614" i="1"/>
  <c r="E3614" i="1"/>
  <c r="D3614" i="1"/>
  <c r="C3614" i="1"/>
  <c r="B3614" i="1"/>
  <c r="A3614" i="1"/>
  <c r="K3613" i="1"/>
  <c r="I3613" i="1"/>
  <c r="H3613" i="1"/>
  <c r="G3613" i="1"/>
  <c r="F3613" i="1"/>
  <c r="E3613" i="1"/>
  <c r="D3613" i="1"/>
  <c r="C3613" i="1"/>
  <c r="B3613" i="1"/>
  <c r="A3613" i="1"/>
  <c r="K3612" i="1"/>
  <c r="I3612" i="1"/>
  <c r="H3612" i="1"/>
  <c r="G3612" i="1"/>
  <c r="F3612" i="1"/>
  <c r="E3612" i="1"/>
  <c r="D3612" i="1"/>
  <c r="C3612" i="1"/>
  <c r="B3612" i="1"/>
  <c r="A3612" i="1"/>
  <c r="K3611" i="1"/>
  <c r="I3611" i="1"/>
  <c r="H3611" i="1"/>
  <c r="G3611" i="1"/>
  <c r="F3611" i="1"/>
  <c r="E3611" i="1"/>
  <c r="D3611" i="1"/>
  <c r="C3611" i="1"/>
  <c r="B3611" i="1"/>
  <c r="A3611" i="1"/>
  <c r="K3610" i="1"/>
  <c r="I3610" i="1"/>
  <c r="H3610" i="1"/>
  <c r="G3610" i="1"/>
  <c r="F3610" i="1"/>
  <c r="E3610" i="1"/>
  <c r="D3610" i="1"/>
  <c r="C3610" i="1"/>
  <c r="B3610" i="1"/>
  <c r="A3610" i="1"/>
  <c r="K3609" i="1"/>
  <c r="I3609" i="1"/>
  <c r="H3609" i="1"/>
  <c r="G3609" i="1"/>
  <c r="F3609" i="1"/>
  <c r="E3609" i="1"/>
  <c r="D3609" i="1"/>
  <c r="C3609" i="1"/>
  <c r="B3609" i="1"/>
  <c r="A3609" i="1"/>
  <c r="K3608" i="1"/>
  <c r="J3608" i="1"/>
  <c r="H3608" i="1"/>
  <c r="G3608" i="1"/>
  <c r="F3608" i="1"/>
  <c r="E3608" i="1"/>
  <c r="D3608" i="1"/>
  <c r="C3608" i="1"/>
  <c r="B3608" i="1"/>
  <c r="A3608" i="1"/>
  <c r="K3607" i="1"/>
  <c r="J3607" i="1"/>
  <c r="H3607" i="1"/>
  <c r="G3607" i="1"/>
  <c r="F3607" i="1"/>
  <c r="E3607" i="1"/>
  <c r="D3607" i="1"/>
  <c r="C3607" i="1"/>
  <c r="B3607" i="1"/>
  <c r="A3607" i="1"/>
  <c r="K3606" i="1"/>
  <c r="I3606" i="1"/>
  <c r="H3606" i="1"/>
  <c r="G3606" i="1"/>
  <c r="F3606" i="1"/>
  <c r="E3606" i="1"/>
  <c r="D3606" i="1"/>
  <c r="C3606" i="1"/>
  <c r="B3606" i="1"/>
  <c r="A3606" i="1"/>
  <c r="K3605" i="1"/>
  <c r="I3605" i="1"/>
  <c r="H3605" i="1"/>
  <c r="G3605" i="1"/>
  <c r="F3605" i="1"/>
  <c r="E3605" i="1"/>
  <c r="D3605" i="1"/>
  <c r="C3605" i="1"/>
  <c r="B3605" i="1"/>
  <c r="A3605" i="1"/>
  <c r="K3604" i="1"/>
  <c r="I3604" i="1"/>
  <c r="H3604" i="1"/>
  <c r="G3604" i="1"/>
  <c r="F3604" i="1"/>
  <c r="E3604" i="1"/>
  <c r="D3604" i="1"/>
  <c r="C3604" i="1"/>
  <c r="B3604" i="1"/>
  <c r="A3604" i="1"/>
  <c r="K3603" i="1"/>
  <c r="I3603" i="1"/>
  <c r="H3603" i="1"/>
  <c r="G3603" i="1"/>
  <c r="F3603" i="1"/>
  <c r="E3603" i="1"/>
  <c r="D3603" i="1"/>
  <c r="C3603" i="1"/>
  <c r="B3603" i="1"/>
  <c r="A3603" i="1"/>
  <c r="K3602" i="1"/>
  <c r="I3602" i="1"/>
  <c r="H3602" i="1"/>
  <c r="G3602" i="1"/>
  <c r="F3602" i="1"/>
  <c r="E3602" i="1"/>
  <c r="D3602" i="1"/>
  <c r="C3602" i="1"/>
  <c r="B3602" i="1"/>
  <c r="A3602" i="1"/>
  <c r="K3601" i="1"/>
  <c r="I3601" i="1"/>
  <c r="H3601" i="1"/>
  <c r="G3601" i="1"/>
  <c r="F3601" i="1"/>
  <c r="E3601" i="1"/>
  <c r="D3601" i="1"/>
  <c r="C3601" i="1"/>
  <c r="B3601" i="1"/>
  <c r="A3601" i="1"/>
  <c r="K3600" i="1"/>
  <c r="I3600" i="1"/>
  <c r="H3600" i="1"/>
  <c r="G3600" i="1"/>
  <c r="F3600" i="1"/>
  <c r="E3600" i="1"/>
  <c r="D3600" i="1"/>
  <c r="C3600" i="1"/>
  <c r="B3600" i="1"/>
  <c r="A3600" i="1"/>
  <c r="K3599" i="1"/>
  <c r="J3599" i="1"/>
  <c r="H3599" i="1"/>
  <c r="G3599" i="1"/>
  <c r="F3599" i="1"/>
  <c r="E3599" i="1"/>
  <c r="D3599" i="1"/>
  <c r="C3599" i="1"/>
  <c r="B3599" i="1"/>
  <c r="A3599" i="1"/>
  <c r="K3598" i="1"/>
  <c r="I3598" i="1"/>
  <c r="H3598" i="1"/>
  <c r="G3598" i="1"/>
  <c r="F3598" i="1"/>
  <c r="E3598" i="1"/>
  <c r="D3598" i="1"/>
  <c r="C3598" i="1"/>
  <c r="B3598" i="1"/>
  <c r="A3598" i="1"/>
  <c r="K3597" i="1"/>
  <c r="I3597" i="1"/>
  <c r="H3597" i="1"/>
  <c r="G3597" i="1"/>
  <c r="F3597" i="1"/>
  <c r="E3597" i="1"/>
  <c r="D3597" i="1"/>
  <c r="C3597" i="1"/>
  <c r="B3597" i="1"/>
  <c r="A3597" i="1"/>
  <c r="K3596" i="1"/>
  <c r="I3596" i="1"/>
  <c r="H3596" i="1"/>
  <c r="G3596" i="1"/>
  <c r="F3596" i="1"/>
  <c r="E3596" i="1"/>
  <c r="D3596" i="1"/>
  <c r="C3596" i="1"/>
  <c r="B3596" i="1"/>
  <c r="A3596" i="1"/>
  <c r="K3595" i="1"/>
  <c r="I3595" i="1"/>
  <c r="H3595" i="1"/>
  <c r="G3595" i="1"/>
  <c r="F3595" i="1"/>
  <c r="E3595" i="1"/>
  <c r="D3595" i="1"/>
  <c r="C3595" i="1"/>
  <c r="B3595" i="1"/>
  <c r="A3595" i="1"/>
  <c r="K3594" i="1"/>
  <c r="I3594" i="1"/>
  <c r="H3594" i="1"/>
  <c r="G3594" i="1"/>
  <c r="F3594" i="1"/>
  <c r="E3594" i="1"/>
  <c r="D3594" i="1"/>
  <c r="C3594" i="1"/>
  <c r="B3594" i="1"/>
  <c r="A3594" i="1"/>
  <c r="K3593" i="1"/>
  <c r="I3593" i="1"/>
  <c r="H3593" i="1"/>
  <c r="G3593" i="1"/>
  <c r="F3593" i="1"/>
  <c r="E3593" i="1"/>
  <c r="D3593" i="1"/>
  <c r="C3593" i="1"/>
  <c r="B3593" i="1"/>
  <c r="A3593" i="1"/>
  <c r="K3592" i="1"/>
  <c r="I3592" i="1"/>
  <c r="H3592" i="1"/>
  <c r="G3592" i="1"/>
  <c r="F3592" i="1"/>
  <c r="E3592" i="1"/>
  <c r="D3592" i="1"/>
  <c r="C3592" i="1"/>
  <c r="B3592" i="1"/>
  <c r="A3592" i="1"/>
  <c r="K3591" i="1"/>
  <c r="I3591" i="1"/>
  <c r="H3591" i="1"/>
  <c r="G3591" i="1"/>
  <c r="F3591" i="1"/>
  <c r="E3591" i="1"/>
  <c r="D3591" i="1"/>
  <c r="C3591" i="1"/>
  <c r="B3591" i="1"/>
  <c r="A3591" i="1"/>
  <c r="K3590" i="1"/>
  <c r="I3590" i="1"/>
  <c r="H3590" i="1"/>
  <c r="G3590" i="1"/>
  <c r="F3590" i="1"/>
  <c r="E3590" i="1"/>
  <c r="D3590" i="1"/>
  <c r="C3590" i="1"/>
  <c r="B3590" i="1"/>
  <c r="A3590" i="1"/>
  <c r="K3589" i="1"/>
  <c r="I3589" i="1"/>
  <c r="H3589" i="1"/>
  <c r="G3589" i="1"/>
  <c r="F3589" i="1"/>
  <c r="E3589" i="1"/>
  <c r="D3589" i="1"/>
  <c r="C3589" i="1"/>
  <c r="B3589" i="1"/>
  <c r="A3589" i="1"/>
  <c r="K3588" i="1"/>
  <c r="I3588" i="1"/>
  <c r="H3588" i="1"/>
  <c r="G3588" i="1"/>
  <c r="F3588" i="1"/>
  <c r="E3588" i="1"/>
  <c r="D3588" i="1"/>
  <c r="C3588" i="1"/>
  <c r="B3588" i="1"/>
  <c r="A3588" i="1"/>
  <c r="K3587" i="1"/>
  <c r="I3587" i="1"/>
  <c r="H3587" i="1"/>
  <c r="G3587" i="1"/>
  <c r="F3587" i="1"/>
  <c r="E3587" i="1"/>
  <c r="D3587" i="1"/>
  <c r="C3587" i="1"/>
  <c r="B3587" i="1"/>
  <c r="A3587" i="1"/>
  <c r="K3586" i="1"/>
  <c r="H3586" i="1"/>
  <c r="G3586" i="1"/>
  <c r="F3586" i="1"/>
  <c r="E3586" i="1"/>
  <c r="D3586" i="1"/>
  <c r="C3586" i="1"/>
  <c r="B3586" i="1"/>
  <c r="A3586" i="1"/>
  <c r="K3585" i="1"/>
  <c r="I3585" i="1"/>
  <c r="H3585" i="1"/>
  <c r="G3585" i="1"/>
  <c r="F3585" i="1"/>
  <c r="E3585" i="1"/>
  <c r="D3585" i="1"/>
  <c r="C3585" i="1"/>
  <c r="B3585" i="1"/>
  <c r="A3585" i="1"/>
  <c r="K3584" i="1"/>
  <c r="I3584" i="1"/>
  <c r="H3584" i="1"/>
  <c r="G3584" i="1"/>
  <c r="F3584" i="1"/>
  <c r="E3584" i="1"/>
  <c r="D3584" i="1"/>
  <c r="C3584" i="1"/>
  <c r="B3584" i="1"/>
  <c r="A3584" i="1"/>
  <c r="K3583" i="1"/>
  <c r="I3583" i="1"/>
  <c r="H3583" i="1"/>
  <c r="G3583" i="1"/>
  <c r="F3583" i="1"/>
  <c r="E3583" i="1"/>
  <c r="D3583" i="1"/>
  <c r="C3583" i="1"/>
  <c r="B3583" i="1"/>
  <c r="A3583" i="1"/>
  <c r="K3582" i="1"/>
  <c r="I3582" i="1"/>
  <c r="H3582" i="1"/>
  <c r="G3582" i="1"/>
  <c r="F3582" i="1"/>
  <c r="E3582" i="1"/>
  <c r="D3582" i="1"/>
  <c r="C3582" i="1"/>
  <c r="B3582" i="1"/>
  <c r="A3582" i="1"/>
  <c r="K3581" i="1"/>
  <c r="I3581" i="1"/>
  <c r="H3581" i="1"/>
  <c r="G3581" i="1"/>
  <c r="F3581" i="1"/>
  <c r="E3581" i="1"/>
  <c r="D3581" i="1"/>
  <c r="C3581" i="1"/>
  <c r="B3581" i="1"/>
  <c r="A3581" i="1"/>
  <c r="K3580" i="1"/>
  <c r="I3580" i="1"/>
  <c r="H3580" i="1"/>
  <c r="G3580" i="1"/>
  <c r="F3580" i="1"/>
  <c r="E3580" i="1"/>
  <c r="D3580" i="1"/>
  <c r="C3580" i="1"/>
  <c r="B3580" i="1"/>
  <c r="A3580" i="1"/>
  <c r="K3579" i="1"/>
  <c r="I3579" i="1"/>
  <c r="H3579" i="1"/>
  <c r="G3579" i="1"/>
  <c r="F3579" i="1"/>
  <c r="E3579" i="1"/>
  <c r="D3579" i="1"/>
  <c r="C3579" i="1"/>
  <c r="B3579" i="1"/>
  <c r="A3579" i="1"/>
  <c r="K3578" i="1"/>
  <c r="I3578" i="1"/>
  <c r="H3578" i="1"/>
  <c r="G3578" i="1"/>
  <c r="F3578" i="1"/>
  <c r="E3578" i="1"/>
  <c r="D3578" i="1"/>
  <c r="C3578" i="1"/>
  <c r="B3578" i="1"/>
  <c r="A3578" i="1"/>
  <c r="K3577" i="1"/>
  <c r="I3577" i="1"/>
  <c r="H3577" i="1"/>
  <c r="G3577" i="1"/>
  <c r="F3577" i="1"/>
  <c r="E3577" i="1"/>
  <c r="D3577" i="1"/>
  <c r="C3577" i="1"/>
  <c r="B3577" i="1"/>
  <c r="A3577" i="1"/>
  <c r="K3576" i="1"/>
  <c r="I3576" i="1"/>
  <c r="H3576" i="1"/>
  <c r="G3576" i="1"/>
  <c r="F3576" i="1"/>
  <c r="E3576" i="1"/>
  <c r="D3576" i="1"/>
  <c r="C3576" i="1"/>
  <c r="B3576" i="1"/>
  <c r="A3576" i="1"/>
  <c r="K3575" i="1"/>
  <c r="I3575" i="1"/>
  <c r="H3575" i="1"/>
  <c r="G3575" i="1"/>
  <c r="F3575" i="1"/>
  <c r="E3575" i="1"/>
  <c r="D3575" i="1"/>
  <c r="C3575" i="1"/>
  <c r="B3575" i="1"/>
  <c r="A3575" i="1"/>
  <c r="K3574" i="1"/>
  <c r="I3574" i="1"/>
  <c r="H3574" i="1"/>
  <c r="G3574" i="1"/>
  <c r="F3574" i="1"/>
  <c r="E3574" i="1"/>
  <c r="D3574" i="1"/>
  <c r="C3574" i="1"/>
  <c r="B3574" i="1"/>
  <c r="A3574" i="1"/>
  <c r="K3573" i="1"/>
  <c r="I3573" i="1"/>
  <c r="H3573" i="1"/>
  <c r="G3573" i="1"/>
  <c r="F3573" i="1"/>
  <c r="E3573" i="1"/>
  <c r="D3573" i="1"/>
  <c r="C3573" i="1"/>
  <c r="B3573" i="1"/>
  <c r="A3573" i="1"/>
  <c r="K3572" i="1"/>
  <c r="I3572" i="1"/>
  <c r="H3572" i="1"/>
  <c r="G3572" i="1"/>
  <c r="F3572" i="1"/>
  <c r="E3572" i="1"/>
  <c r="D3572" i="1"/>
  <c r="C3572" i="1"/>
  <c r="B3572" i="1"/>
  <c r="A3572" i="1"/>
  <c r="K3571" i="1"/>
  <c r="I3571" i="1"/>
  <c r="H3571" i="1"/>
  <c r="G3571" i="1"/>
  <c r="F3571" i="1"/>
  <c r="E3571" i="1"/>
  <c r="D3571" i="1"/>
  <c r="C3571" i="1"/>
  <c r="B3571" i="1"/>
  <c r="A3571" i="1"/>
  <c r="K3570" i="1"/>
  <c r="I3570" i="1"/>
  <c r="H3570" i="1"/>
  <c r="G3570" i="1"/>
  <c r="F3570" i="1"/>
  <c r="E3570" i="1"/>
  <c r="D3570" i="1"/>
  <c r="C3570" i="1"/>
  <c r="B3570" i="1"/>
  <c r="A3570" i="1"/>
  <c r="K3569" i="1"/>
  <c r="I3569" i="1"/>
  <c r="H3569" i="1"/>
  <c r="G3569" i="1"/>
  <c r="F3569" i="1"/>
  <c r="E3569" i="1"/>
  <c r="D3569" i="1"/>
  <c r="C3569" i="1"/>
  <c r="B3569" i="1"/>
  <c r="A3569" i="1"/>
  <c r="K3568" i="1"/>
  <c r="I3568" i="1"/>
  <c r="H3568" i="1"/>
  <c r="G3568" i="1"/>
  <c r="F3568" i="1"/>
  <c r="E3568" i="1"/>
  <c r="D3568" i="1"/>
  <c r="C3568" i="1"/>
  <c r="B3568" i="1"/>
  <c r="A3568" i="1"/>
  <c r="K3567" i="1"/>
  <c r="I3567" i="1"/>
  <c r="H3567" i="1"/>
  <c r="G3567" i="1"/>
  <c r="F3567" i="1"/>
  <c r="E3567" i="1"/>
  <c r="D3567" i="1"/>
  <c r="C3567" i="1"/>
  <c r="B3567" i="1"/>
  <c r="A3567" i="1"/>
  <c r="K3566" i="1"/>
  <c r="I3566" i="1"/>
  <c r="H3566" i="1"/>
  <c r="G3566" i="1"/>
  <c r="F3566" i="1"/>
  <c r="E3566" i="1"/>
  <c r="D3566" i="1"/>
  <c r="C3566" i="1"/>
  <c r="B3566" i="1"/>
  <c r="A3566" i="1"/>
  <c r="K3565" i="1"/>
  <c r="I3565" i="1"/>
  <c r="H3565" i="1"/>
  <c r="G3565" i="1"/>
  <c r="F3565" i="1"/>
  <c r="E3565" i="1"/>
  <c r="D3565" i="1"/>
  <c r="C3565" i="1"/>
  <c r="B3565" i="1"/>
  <c r="A3565" i="1"/>
  <c r="K3564" i="1"/>
  <c r="I3564" i="1"/>
  <c r="H3564" i="1"/>
  <c r="G3564" i="1"/>
  <c r="F3564" i="1"/>
  <c r="E3564" i="1"/>
  <c r="D3564" i="1"/>
  <c r="C3564" i="1"/>
  <c r="B3564" i="1"/>
  <c r="A3564" i="1"/>
  <c r="K3563" i="1"/>
  <c r="I3563" i="1"/>
  <c r="H3563" i="1"/>
  <c r="G3563" i="1"/>
  <c r="F3563" i="1"/>
  <c r="E3563" i="1"/>
  <c r="D3563" i="1"/>
  <c r="C3563" i="1"/>
  <c r="B3563" i="1"/>
  <c r="A3563" i="1"/>
  <c r="K3562" i="1"/>
  <c r="I3562" i="1"/>
  <c r="H3562" i="1"/>
  <c r="G3562" i="1"/>
  <c r="F3562" i="1"/>
  <c r="E3562" i="1"/>
  <c r="D3562" i="1"/>
  <c r="C3562" i="1"/>
  <c r="B3562" i="1"/>
  <c r="A3562" i="1"/>
  <c r="K3561" i="1"/>
  <c r="I3561" i="1"/>
  <c r="H3561" i="1"/>
  <c r="G3561" i="1"/>
  <c r="F3561" i="1"/>
  <c r="E3561" i="1"/>
  <c r="D3561" i="1"/>
  <c r="C3561" i="1"/>
  <c r="B3561" i="1"/>
  <c r="A3561" i="1"/>
  <c r="K3560" i="1"/>
  <c r="I3560" i="1"/>
  <c r="H3560" i="1"/>
  <c r="G3560" i="1"/>
  <c r="F3560" i="1"/>
  <c r="E3560" i="1"/>
  <c r="D3560" i="1"/>
  <c r="C3560" i="1"/>
  <c r="B3560" i="1"/>
  <c r="A3560" i="1"/>
  <c r="K3559" i="1"/>
  <c r="I3559" i="1"/>
  <c r="H3559" i="1"/>
  <c r="G3559" i="1"/>
  <c r="F3559" i="1"/>
  <c r="E3559" i="1"/>
  <c r="D3559" i="1"/>
  <c r="C3559" i="1"/>
  <c r="B3559" i="1"/>
  <c r="A3559" i="1"/>
  <c r="K3558" i="1"/>
  <c r="I3558" i="1"/>
  <c r="H3558" i="1"/>
  <c r="G3558" i="1"/>
  <c r="F3558" i="1"/>
  <c r="E3558" i="1"/>
  <c r="D3558" i="1"/>
  <c r="C3558" i="1"/>
  <c r="B3558" i="1"/>
  <c r="A3558" i="1"/>
  <c r="K3557" i="1"/>
  <c r="I3557" i="1"/>
  <c r="H3557" i="1"/>
  <c r="G3557" i="1"/>
  <c r="F3557" i="1"/>
  <c r="E3557" i="1"/>
  <c r="D3557" i="1"/>
  <c r="C3557" i="1"/>
  <c r="B3557" i="1"/>
  <c r="A3557" i="1"/>
  <c r="K3556" i="1"/>
  <c r="I3556" i="1"/>
  <c r="H3556" i="1"/>
  <c r="G3556" i="1"/>
  <c r="F3556" i="1"/>
  <c r="E3556" i="1"/>
  <c r="D3556" i="1"/>
  <c r="C3556" i="1"/>
  <c r="B3556" i="1"/>
  <c r="A3556" i="1"/>
  <c r="K3555" i="1"/>
  <c r="J3555" i="1"/>
  <c r="I3555" i="1"/>
  <c r="H3555" i="1"/>
  <c r="G3555" i="1"/>
  <c r="F3555" i="1"/>
  <c r="E3555" i="1"/>
  <c r="D3555" i="1"/>
  <c r="C3555" i="1"/>
  <c r="B3555" i="1"/>
  <c r="A3555" i="1"/>
  <c r="K3554" i="1"/>
  <c r="J3554" i="1"/>
  <c r="I3554" i="1"/>
  <c r="H3554" i="1"/>
  <c r="G3554" i="1"/>
  <c r="F3554" i="1"/>
  <c r="E3554" i="1"/>
  <c r="D3554" i="1"/>
  <c r="C3554" i="1"/>
  <c r="B3554" i="1"/>
  <c r="A3554" i="1"/>
  <c r="K3553" i="1"/>
  <c r="J3553" i="1"/>
  <c r="I3553" i="1"/>
  <c r="H3553" i="1"/>
  <c r="G3553" i="1"/>
  <c r="F3553" i="1"/>
  <c r="E3553" i="1"/>
  <c r="D3553" i="1"/>
  <c r="C3553" i="1"/>
  <c r="B3553" i="1"/>
  <c r="A3553" i="1"/>
  <c r="K3552" i="1"/>
  <c r="J3552" i="1"/>
  <c r="I3552" i="1"/>
  <c r="H3552" i="1"/>
  <c r="G3552" i="1"/>
  <c r="F3552" i="1"/>
  <c r="E3552" i="1"/>
  <c r="D3552" i="1"/>
  <c r="C3552" i="1"/>
  <c r="B3552" i="1"/>
  <c r="A3552" i="1"/>
  <c r="K3551" i="1"/>
  <c r="J3551" i="1"/>
  <c r="I3551" i="1"/>
  <c r="H3551" i="1"/>
  <c r="G3551" i="1"/>
  <c r="F3551" i="1"/>
  <c r="E3551" i="1"/>
  <c r="D3551" i="1"/>
  <c r="C3551" i="1"/>
  <c r="B3551" i="1"/>
  <c r="A3551" i="1"/>
  <c r="K3550" i="1"/>
  <c r="J3550" i="1"/>
  <c r="I3550" i="1"/>
  <c r="H3550" i="1"/>
  <c r="G3550" i="1"/>
  <c r="F3550" i="1"/>
  <c r="E3550" i="1"/>
  <c r="D3550" i="1"/>
  <c r="C3550" i="1"/>
  <c r="B3550" i="1"/>
  <c r="A3550" i="1"/>
  <c r="K3549" i="1"/>
  <c r="J3549" i="1"/>
  <c r="I3549" i="1"/>
  <c r="H3549" i="1"/>
  <c r="G3549" i="1"/>
  <c r="F3549" i="1"/>
  <c r="E3549" i="1"/>
  <c r="D3549" i="1"/>
  <c r="C3549" i="1"/>
  <c r="B3549" i="1"/>
  <c r="A3549" i="1"/>
  <c r="K3548" i="1"/>
  <c r="J3548" i="1"/>
  <c r="I3548" i="1"/>
  <c r="H3548" i="1"/>
  <c r="G3548" i="1"/>
  <c r="F3548" i="1"/>
  <c r="E3548" i="1"/>
  <c r="D3548" i="1"/>
  <c r="C3548" i="1"/>
  <c r="B3548" i="1"/>
  <c r="A3548" i="1"/>
  <c r="K3547" i="1"/>
  <c r="J3547" i="1"/>
  <c r="I3547" i="1"/>
  <c r="H3547" i="1"/>
  <c r="G3547" i="1"/>
  <c r="F3547" i="1"/>
  <c r="E3547" i="1"/>
  <c r="D3547" i="1"/>
  <c r="C3547" i="1"/>
  <c r="B3547" i="1"/>
  <c r="A3547" i="1"/>
  <c r="K3546" i="1"/>
  <c r="J3546" i="1"/>
  <c r="I3546" i="1"/>
  <c r="H3546" i="1"/>
  <c r="G3546" i="1"/>
  <c r="F3546" i="1"/>
  <c r="E3546" i="1"/>
  <c r="D3546" i="1"/>
  <c r="C3546" i="1"/>
  <c r="B3546" i="1"/>
  <c r="A3546" i="1"/>
  <c r="K3545" i="1"/>
  <c r="J3545" i="1"/>
  <c r="I3545" i="1"/>
  <c r="H3545" i="1"/>
  <c r="G3545" i="1"/>
  <c r="F3545" i="1"/>
  <c r="E3545" i="1"/>
  <c r="D3545" i="1"/>
  <c r="C3545" i="1"/>
  <c r="B3545" i="1"/>
  <c r="A3545" i="1"/>
  <c r="K3544" i="1"/>
  <c r="J3544" i="1"/>
  <c r="I3544" i="1"/>
  <c r="H3544" i="1"/>
  <c r="G3544" i="1"/>
  <c r="F3544" i="1"/>
  <c r="E3544" i="1"/>
  <c r="D3544" i="1"/>
  <c r="C3544" i="1"/>
  <c r="B3544" i="1"/>
  <c r="A3544" i="1"/>
  <c r="K3543" i="1"/>
  <c r="J3543" i="1"/>
  <c r="I3543" i="1"/>
  <c r="H3543" i="1"/>
  <c r="G3543" i="1"/>
  <c r="F3543" i="1"/>
  <c r="E3543" i="1"/>
  <c r="D3543" i="1"/>
  <c r="C3543" i="1"/>
  <c r="B3543" i="1"/>
  <c r="A3543" i="1"/>
  <c r="K3542" i="1"/>
  <c r="J3542" i="1"/>
  <c r="I3542" i="1"/>
  <c r="H3542" i="1"/>
  <c r="G3542" i="1"/>
  <c r="F3542" i="1"/>
  <c r="E3542" i="1"/>
  <c r="D3542" i="1"/>
  <c r="C3542" i="1"/>
  <c r="B3542" i="1"/>
  <c r="A3542" i="1"/>
  <c r="K3541" i="1"/>
  <c r="J3541" i="1"/>
  <c r="I3541" i="1"/>
  <c r="H3541" i="1"/>
  <c r="G3541" i="1"/>
  <c r="F3541" i="1"/>
  <c r="E3541" i="1"/>
  <c r="D3541" i="1"/>
  <c r="C3541" i="1"/>
  <c r="B3541" i="1"/>
  <c r="A3541" i="1"/>
  <c r="K3540" i="1"/>
  <c r="J3540" i="1"/>
  <c r="I3540" i="1"/>
  <c r="H3540" i="1"/>
  <c r="G3540" i="1"/>
  <c r="F3540" i="1"/>
  <c r="E3540" i="1"/>
  <c r="D3540" i="1"/>
  <c r="C3540" i="1"/>
  <c r="B3540" i="1"/>
  <c r="A3540" i="1"/>
  <c r="K3539" i="1"/>
  <c r="J3539" i="1"/>
  <c r="I3539" i="1"/>
  <c r="H3539" i="1"/>
  <c r="G3539" i="1"/>
  <c r="F3539" i="1"/>
  <c r="E3539" i="1"/>
  <c r="D3539" i="1"/>
  <c r="C3539" i="1"/>
  <c r="B3539" i="1"/>
  <c r="A3539" i="1"/>
  <c r="K3538" i="1"/>
  <c r="J3538" i="1"/>
  <c r="I3538" i="1"/>
  <c r="H3538" i="1"/>
  <c r="G3538" i="1"/>
  <c r="F3538" i="1"/>
  <c r="E3538" i="1"/>
  <c r="D3538" i="1"/>
  <c r="C3538" i="1"/>
  <c r="B3538" i="1"/>
  <c r="A3538" i="1"/>
  <c r="K3537" i="1"/>
  <c r="J3537" i="1"/>
  <c r="I3537" i="1"/>
  <c r="H3537" i="1"/>
  <c r="G3537" i="1"/>
  <c r="F3537" i="1"/>
  <c r="E3537" i="1"/>
  <c r="D3537" i="1"/>
  <c r="C3537" i="1"/>
  <c r="B3537" i="1"/>
  <c r="A3537" i="1"/>
  <c r="K3536" i="1"/>
  <c r="J3536" i="1"/>
  <c r="I3536" i="1"/>
  <c r="H3536" i="1"/>
  <c r="G3536" i="1"/>
  <c r="F3536" i="1"/>
  <c r="E3536" i="1"/>
  <c r="D3536" i="1"/>
  <c r="C3536" i="1"/>
  <c r="B3536" i="1"/>
  <c r="A3536" i="1"/>
  <c r="K3535" i="1"/>
  <c r="J3535" i="1"/>
  <c r="I3535" i="1"/>
  <c r="H3535" i="1"/>
  <c r="G3535" i="1"/>
  <c r="F3535" i="1"/>
  <c r="E3535" i="1"/>
  <c r="D3535" i="1"/>
  <c r="C3535" i="1"/>
  <c r="B3535" i="1"/>
  <c r="A3535" i="1"/>
  <c r="K3534" i="1"/>
  <c r="J3534" i="1"/>
  <c r="I3534" i="1"/>
  <c r="H3534" i="1"/>
  <c r="G3534" i="1"/>
  <c r="F3534" i="1"/>
  <c r="E3534" i="1"/>
  <c r="D3534" i="1"/>
  <c r="C3534" i="1"/>
  <c r="B3534" i="1"/>
  <c r="A3534" i="1"/>
  <c r="K3533" i="1"/>
  <c r="J3533" i="1"/>
  <c r="I3533" i="1"/>
  <c r="H3533" i="1"/>
  <c r="G3533" i="1"/>
  <c r="F3533" i="1"/>
  <c r="E3533" i="1"/>
  <c r="D3533" i="1"/>
  <c r="C3533" i="1"/>
  <c r="B3533" i="1"/>
  <c r="A3533" i="1"/>
  <c r="K3532" i="1"/>
  <c r="J3532" i="1"/>
  <c r="I3532" i="1"/>
  <c r="H3532" i="1"/>
  <c r="G3532" i="1"/>
  <c r="F3532" i="1"/>
  <c r="E3532" i="1"/>
  <c r="D3532" i="1"/>
  <c r="C3532" i="1"/>
  <c r="B3532" i="1"/>
  <c r="A3532" i="1"/>
  <c r="K3531" i="1"/>
  <c r="J3531" i="1"/>
  <c r="I3531" i="1"/>
  <c r="H3531" i="1"/>
  <c r="G3531" i="1"/>
  <c r="F3531" i="1"/>
  <c r="E3531" i="1"/>
  <c r="D3531" i="1"/>
  <c r="C3531" i="1"/>
  <c r="B3531" i="1"/>
  <c r="A3531" i="1"/>
  <c r="K3530" i="1"/>
  <c r="J3530" i="1"/>
  <c r="I3530" i="1"/>
  <c r="H3530" i="1"/>
  <c r="G3530" i="1"/>
  <c r="F3530" i="1"/>
  <c r="E3530" i="1"/>
  <c r="D3530" i="1"/>
  <c r="C3530" i="1"/>
  <c r="B3530" i="1"/>
  <c r="A3530" i="1"/>
  <c r="K3529" i="1"/>
  <c r="J3529" i="1"/>
  <c r="I3529" i="1"/>
  <c r="H3529" i="1"/>
  <c r="G3529" i="1"/>
  <c r="F3529" i="1"/>
  <c r="E3529" i="1"/>
  <c r="D3529" i="1"/>
  <c r="C3529" i="1"/>
  <c r="B3529" i="1"/>
  <c r="A3529" i="1"/>
  <c r="K3528" i="1"/>
  <c r="J3528" i="1"/>
  <c r="I3528" i="1"/>
  <c r="H3528" i="1"/>
  <c r="G3528" i="1"/>
  <c r="F3528" i="1"/>
  <c r="E3528" i="1"/>
  <c r="D3528" i="1"/>
  <c r="C3528" i="1"/>
  <c r="B3528" i="1"/>
  <c r="A3528" i="1"/>
  <c r="K3527" i="1"/>
  <c r="J3527" i="1"/>
  <c r="I3527" i="1"/>
  <c r="H3527" i="1"/>
  <c r="G3527" i="1"/>
  <c r="F3527" i="1"/>
  <c r="E3527" i="1"/>
  <c r="D3527" i="1"/>
  <c r="C3527" i="1"/>
  <c r="B3527" i="1"/>
  <c r="A3527" i="1"/>
  <c r="K3526" i="1"/>
  <c r="J3526" i="1"/>
  <c r="I3526" i="1"/>
  <c r="H3526" i="1"/>
  <c r="G3526" i="1"/>
  <c r="F3526" i="1"/>
  <c r="E3526" i="1"/>
  <c r="D3526" i="1"/>
  <c r="C3526" i="1"/>
  <c r="B3526" i="1"/>
  <c r="A3526" i="1"/>
  <c r="K3525" i="1"/>
  <c r="J3525" i="1"/>
  <c r="I3525" i="1"/>
  <c r="H3525" i="1"/>
  <c r="G3525" i="1"/>
  <c r="F3525" i="1"/>
  <c r="E3525" i="1"/>
  <c r="D3525" i="1"/>
  <c r="C3525" i="1"/>
  <c r="B3525" i="1"/>
  <c r="A3525" i="1"/>
  <c r="K3524" i="1"/>
  <c r="J3524" i="1"/>
  <c r="I3524" i="1"/>
  <c r="H3524" i="1"/>
  <c r="G3524" i="1"/>
  <c r="F3524" i="1"/>
  <c r="E3524" i="1"/>
  <c r="D3524" i="1"/>
  <c r="C3524" i="1"/>
  <c r="B3524" i="1"/>
  <c r="A3524" i="1"/>
  <c r="K3523" i="1"/>
  <c r="J3523" i="1"/>
  <c r="I3523" i="1"/>
  <c r="H3523" i="1"/>
  <c r="G3523" i="1"/>
  <c r="F3523" i="1"/>
  <c r="E3523" i="1"/>
  <c r="D3523" i="1"/>
  <c r="C3523" i="1"/>
  <c r="B3523" i="1"/>
  <c r="A3523" i="1"/>
  <c r="K3522" i="1"/>
  <c r="J3522" i="1"/>
  <c r="I3522" i="1"/>
  <c r="H3522" i="1"/>
  <c r="G3522" i="1"/>
  <c r="F3522" i="1"/>
  <c r="E3522" i="1"/>
  <c r="D3522" i="1"/>
  <c r="C3522" i="1"/>
  <c r="B3522" i="1"/>
  <c r="A3522" i="1"/>
  <c r="K3521" i="1"/>
  <c r="J3521" i="1"/>
  <c r="I3521" i="1"/>
  <c r="H3521" i="1"/>
  <c r="G3521" i="1"/>
  <c r="F3521" i="1"/>
  <c r="E3521" i="1"/>
  <c r="D3521" i="1"/>
  <c r="C3521" i="1"/>
  <c r="B3521" i="1"/>
  <c r="A3521" i="1"/>
  <c r="K3520" i="1"/>
  <c r="J3520" i="1"/>
  <c r="I3520" i="1"/>
  <c r="H3520" i="1"/>
  <c r="G3520" i="1"/>
  <c r="F3520" i="1"/>
  <c r="E3520" i="1"/>
  <c r="D3520" i="1"/>
  <c r="C3520" i="1"/>
  <c r="B3520" i="1"/>
  <c r="A3520" i="1"/>
  <c r="K3519" i="1"/>
  <c r="J3519" i="1"/>
  <c r="I3519" i="1"/>
  <c r="H3519" i="1"/>
  <c r="G3519" i="1"/>
  <c r="F3519" i="1"/>
  <c r="E3519" i="1"/>
  <c r="D3519" i="1"/>
  <c r="C3519" i="1"/>
  <c r="B3519" i="1"/>
  <c r="A3519" i="1"/>
  <c r="K3518" i="1"/>
  <c r="J3518" i="1"/>
  <c r="I3518" i="1"/>
  <c r="H3518" i="1"/>
  <c r="G3518" i="1"/>
  <c r="F3518" i="1"/>
  <c r="E3518" i="1"/>
  <c r="D3518" i="1"/>
  <c r="C3518" i="1"/>
  <c r="B3518" i="1"/>
  <c r="A3518" i="1"/>
  <c r="K3517" i="1"/>
  <c r="J3517" i="1"/>
  <c r="I3517" i="1"/>
  <c r="H3517" i="1"/>
  <c r="G3517" i="1"/>
  <c r="F3517" i="1"/>
  <c r="E3517" i="1"/>
  <c r="D3517" i="1"/>
  <c r="C3517" i="1"/>
  <c r="B3517" i="1"/>
  <c r="A3517" i="1"/>
  <c r="K3516" i="1"/>
  <c r="J3516" i="1"/>
  <c r="I3516" i="1"/>
  <c r="H3516" i="1"/>
  <c r="G3516" i="1"/>
  <c r="F3516" i="1"/>
  <c r="E3516" i="1"/>
  <c r="D3516" i="1"/>
  <c r="C3516" i="1"/>
  <c r="B3516" i="1"/>
  <c r="A3516" i="1"/>
  <c r="K3515" i="1"/>
  <c r="J3515" i="1"/>
  <c r="I3515" i="1"/>
  <c r="H3515" i="1"/>
  <c r="G3515" i="1"/>
  <c r="F3515" i="1"/>
  <c r="E3515" i="1"/>
  <c r="D3515" i="1"/>
  <c r="C3515" i="1"/>
  <c r="B3515" i="1"/>
  <c r="A3515" i="1"/>
  <c r="K3514" i="1"/>
  <c r="J3514" i="1"/>
  <c r="I3514" i="1"/>
  <c r="H3514" i="1"/>
  <c r="G3514" i="1"/>
  <c r="F3514" i="1"/>
  <c r="E3514" i="1"/>
  <c r="D3514" i="1"/>
  <c r="C3514" i="1"/>
  <c r="B3514" i="1"/>
  <c r="A3514" i="1"/>
  <c r="K3513" i="1"/>
  <c r="J3513" i="1"/>
  <c r="I3513" i="1"/>
  <c r="H3513" i="1"/>
  <c r="G3513" i="1"/>
  <c r="F3513" i="1"/>
  <c r="E3513" i="1"/>
  <c r="D3513" i="1"/>
  <c r="C3513" i="1"/>
  <c r="B3513" i="1"/>
  <c r="A3513" i="1"/>
  <c r="K3512" i="1"/>
  <c r="J3512" i="1"/>
  <c r="I3512" i="1"/>
  <c r="H3512" i="1"/>
  <c r="G3512" i="1"/>
  <c r="F3512" i="1"/>
  <c r="E3512" i="1"/>
  <c r="D3512" i="1"/>
  <c r="C3512" i="1"/>
  <c r="B3512" i="1"/>
  <c r="A3512" i="1"/>
  <c r="K3511" i="1"/>
  <c r="J3511" i="1"/>
  <c r="I3511" i="1"/>
  <c r="H3511" i="1"/>
  <c r="G3511" i="1"/>
  <c r="F3511" i="1"/>
  <c r="E3511" i="1"/>
  <c r="D3511" i="1"/>
  <c r="C3511" i="1"/>
  <c r="B3511" i="1"/>
  <c r="A3511" i="1"/>
  <c r="K3510" i="1"/>
  <c r="J3510" i="1"/>
  <c r="I3510" i="1"/>
  <c r="H3510" i="1"/>
  <c r="G3510" i="1"/>
  <c r="F3510" i="1"/>
  <c r="E3510" i="1"/>
  <c r="D3510" i="1"/>
  <c r="C3510" i="1"/>
  <c r="B3510" i="1"/>
  <c r="A3510" i="1"/>
  <c r="K3509" i="1"/>
  <c r="J3509" i="1"/>
  <c r="I3509" i="1"/>
  <c r="H3509" i="1"/>
  <c r="G3509" i="1"/>
  <c r="F3509" i="1"/>
  <c r="E3509" i="1"/>
  <c r="D3509" i="1"/>
  <c r="C3509" i="1"/>
  <c r="B3509" i="1"/>
  <c r="A3509" i="1"/>
  <c r="K3508" i="1"/>
  <c r="J3508" i="1"/>
  <c r="I3508" i="1"/>
  <c r="H3508" i="1"/>
  <c r="G3508" i="1"/>
  <c r="F3508" i="1"/>
  <c r="E3508" i="1"/>
  <c r="D3508" i="1"/>
  <c r="C3508" i="1"/>
  <c r="B3508" i="1"/>
  <c r="A3508" i="1"/>
  <c r="K3507" i="1"/>
  <c r="J3507" i="1"/>
  <c r="I3507" i="1"/>
  <c r="H3507" i="1"/>
  <c r="G3507" i="1"/>
  <c r="F3507" i="1"/>
  <c r="E3507" i="1"/>
  <c r="D3507" i="1"/>
  <c r="C3507" i="1"/>
  <c r="B3507" i="1"/>
  <c r="A3507" i="1"/>
  <c r="K3506" i="1"/>
  <c r="J3506" i="1"/>
  <c r="I3506" i="1"/>
  <c r="H3506" i="1"/>
  <c r="G3506" i="1"/>
  <c r="F3506" i="1"/>
  <c r="E3506" i="1"/>
  <c r="D3506" i="1"/>
  <c r="C3506" i="1"/>
  <c r="B3506" i="1"/>
  <c r="A3506" i="1"/>
  <c r="K3505" i="1"/>
  <c r="J3505" i="1"/>
  <c r="I3505" i="1"/>
  <c r="H3505" i="1"/>
  <c r="G3505" i="1"/>
  <c r="F3505" i="1"/>
  <c r="E3505" i="1"/>
  <c r="D3505" i="1"/>
  <c r="C3505" i="1"/>
  <c r="B3505" i="1"/>
  <c r="A3505" i="1"/>
  <c r="K3504" i="1"/>
  <c r="J3504" i="1"/>
  <c r="I3504" i="1"/>
  <c r="H3504" i="1"/>
  <c r="G3504" i="1"/>
  <c r="F3504" i="1"/>
  <c r="E3504" i="1"/>
  <c r="D3504" i="1"/>
  <c r="C3504" i="1"/>
  <c r="B3504" i="1"/>
  <c r="A3504" i="1"/>
  <c r="K3503" i="1"/>
  <c r="J3503" i="1"/>
  <c r="I3503" i="1"/>
  <c r="H3503" i="1"/>
  <c r="G3503" i="1"/>
  <c r="F3503" i="1"/>
  <c r="E3503" i="1"/>
  <c r="D3503" i="1"/>
  <c r="C3503" i="1"/>
  <c r="B3503" i="1"/>
  <c r="A3503" i="1"/>
  <c r="K3502" i="1"/>
  <c r="J3502" i="1"/>
  <c r="I3502" i="1"/>
  <c r="H3502" i="1"/>
  <c r="G3502" i="1"/>
  <c r="F3502" i="1"/>
  <c r="E3502" i="1"/>
  <c r="D3502" i="1"/>
  <c r="C3502" i="1"/>
  <c r="B3502" i="1"/>
  <c r="A3502" i="1"/>
  <c r="K3501" i="1"/>
  <c r="J3501" i="1"/>
  <c r="I3501" i="1"/>
  <c r="H3501" i="1"/>
  <c r="G3501" i="1"/>
  <c r="F3501" i="1"/>
  <c r="E3501" i="1"/>
  <c r="D3501" i="1"/>
  <c r="C3501" i="1"/>
  <c r="B3501" i="1"/>
  <c r="A3501" i="1"/>
  <c r="K3500" i="1"/>
  <c r="J3500" i="1"/>
  <c r="I3500" i="1"/>
  <c r="H3500" i="1"/>
  <c r="G3500" i="1"/>
  <c r="F3500" i="1"/>
  <c r="E3500" i="1"/>
  <c r="D3500" i="1"/>
  <c r="C3500" i="1"/>
  <c r="B3500" i="1"/>
  <c r="A3500" i="1"/>
  <c r="K3499" i="1"/>
  <c r="J3499" i="1"/>
  <c r="I3499" i="1"/>
  <c r="H3499" i="1"/>
  <c r="G3499" i="1"/>
  <c r="F3499" i="1"/>
  <c r="E3499" i="1"/>
  <c r="D3499" i="1"/>
  <c r="C3499" i="1"/>
  <c r="B3499" i="1"/>
  <c r="A3499" i="1"/>
  <c r="K3498" i="1"/>
  <c r="J3498" i="1"/>
  <c r="I3498" i="1"/>
  <c r="H3498" i="1"/>
  <c r="G3498" i="1"/>
  <c r="F3498" i="1"/>
  <c r="E3498" i="1"/>
  <c r="D3498" i="1"/>
  <c r="C3498" i="1"/>
  <c r="B3498" i="1"/>
  <c r="A3498" i="1"/>
  <c r="K3497" i="1"/>
  <c r="J3497" i="1"/>
  <c r="I3497" i="1"/>
  <c r="H3497" i="1"/>
  <c r="G3497" i="1"/>
  <c r="F3497" i="1"/>
  <c r="E3497" i="1"/>
  <c r="D3497" i="1"/>
  <c r="C3497" i="1"/>
  <c r="B3497" i="1"/>
  <c r="A3497" i="1"/>
  <c r="K3496" i="1"/>
  <c r="J3496" i="1"/>
  <c r="I3496" i="1"/>
  <c r="H3496" i="1"/>
  <c r="G3496" i="1"/>
  <c r="F3496" i="1"/>
  <c r="E3496" i="1"/>
  <c r="D3496" i="1"/>
  <c r="C3496" i="1"/>
  <c r="B3496" i="1"/>
  <c r="A3496" i="1"/>
  <c r="K3495" i="1"/>
  <c r="J3495" i="1"/>
  <c r="I3495" i="1"/>
  <c r="H3495" i="1"/>
  <c r="G3495" i="1"/>
  <c r="F3495" i="1"/>
  <c r="E3495" i="1"/>
  <c r="D3495" i="1"/>
  <c r="C3495" i="1"/>
  <c r="B3495" i="1"/>
  <c r="A3495" i="1"/>
  <c r="K3494" i="1"/>
  <c r="J3494" i="1"/>
  <c r="I3494" i="1"/>
  <c r="H3494" i="1"/>
  <c r="G3494" i="1"/>
  <c r="F3494" i="1"/>
  <c r="E3494" i="1"/>
  <c r="D3494" i="1"/>
  <c r="C3494" i="1"/>
  <c r="B3494" i="1"/>
  <c r="A3494" i="1"/>
  <c r="K3493" i="1"/>
  <c r="J3493" i="1"/>
  <c r="I3493" i="1"/>
  <c r="H3493" i="1"/>
  <c r="G3493" i="1"/>
  <c r="F3493" i="1"/>
  <c r="E3493" i="1"/>
  <c r="D3493" i="1"/>
  <c r="C3493" i="1"/>
  <c r="B3493" i="1"/>
  <c r="A3493" i="1"/>
  <c r="K3492" i="1"/>
  <c r="J3492" i="1"/>
  <c r="I3492" i="1"/>
  <c r="H3492" i="1"/>
  <c r="G3492" i="1"/>
  <c r="F3492" i="1"/>
  <c r="E3492" i="1"/>
  <c r="D3492" i="1"/>
  <c r="C3492" i="1"/>
  <c r="B3492" i="1"/>
  <c r="A3492" i="1"/>
  <c r="K3491" i="1"/>
  <c r="J3491" i="1"/>
  <c r="I3491" i="1"/>
  <c r="H3491" i="1"/>
  <c r="G3491" i="1"/>
  <c r="F3491" i="1"/>
  <c r="E3491" i="1"/>
  <c r="D3491" i="1"/>
  <c r="C3491" i="1"/>
  <c r="B3491" i="1"/>
  <c r="A3491" i="1"/>
  <c r="K3490" i="1"/>
  <c r="J3490" i="1"/>
  <c r="I3490" i="1"/>
  <c r="H3490" i="1"/>
  <c r="G3490" i="1"/>
  <c r="F3490" i="1"/>
  <c r="E3490" i="1"/>
  <c r="D3490" i="1"/>
  <c r="C3490" i="1"/>
  <c r="B3490" i="1"/>
  <c r="A3490" i="1"/>
  <c r="K3489" i="1"/>
  <c r="J3489" i="1"/>
  <c r="I3489" i="1"/>
  <c r="H3489" i="1"/>
  <c r="G3489" i="1"/>
  <c r="F3489" i="1"/>
  <c r="E3489" i="1"/>
  <c r="D3489" i="1"/>
  <c r="C3489" i="1"/>
  <c r="B3489" i="1"/>
  <c r="A3489" i="1"/>
  <c r="K3488" i="1"/>
  <c r="J3488" i="1"/>
  <c r="I3488" i="1"/>
  <c r="H3488" i="1"/>
  <c r="G3488" i="1"/>
  <c r="F3488" i="1"/>
  <c r="E3488" i="1"/>
  <c r="D3488" i="1"/>
  <c r="C3488" i="1"/>
  <c r="B3488" i="1"/>
  <c r="A3488" i="1"/>
  <c r="K3487" i="1"/>
  <c r="J3487" i="1"/>
  <c r="I3487" i="1"/>
  <c r="H3487" i="1"/>
  <c r="G3487" i="1"/>
  <c r="F3487" i="1"/>
  <c r="E3487" i="1"/>
  <c r="D3487" i="1"/>
  <c r="C3487" i="1"/>
  <c r="B3487" i="1"/>
  <c r="A3487" i="1"/>
  <c r="K3486" i="1"/>
  <c r="J3486" i="1"/>
  <c r="I3486" i="1"/>
  <c r="H3486" i="1"/>
  <c r="G3486" i="1"/>
  <c r="F3486" i="1"/>
  <c r="E3486" i="1"/>
  <c r="D3486" i="1"/>
  <c r="C3486" i="1"/>
  <c r="B3486" i="1"/>
  <c r="A3486" i="1"/>
  <c r="K3485" i="1"/>
  <c r="J3485" i="1"/>
  <c r="I3485" i="1"/>
  <c r="H3485" i="1"/>
  <c r="G3485" i="1"/>
  <c r="F3485" i="1"/>
  <c r="E3485" i="1"/>
  <c r="D3485" i="1"/>
  <c r="C3485" i="1"/>
  <c r="B3485" i="1"/>
  <c r="A3485" i="1"/>
  <c r="K3484" i="1"/>
  <c r="J3484" i="1"/>
  <c r="I3484" i="1"/>
  <c r="H3484" i="1"/>
  <c r="G3484" i="1"/>
  <c r="F3484" i="1"/>
  <c r="E3484" i="1"/>
  <c r="D3484" i="1"/>
  <c r="C3484" i="1"/>
  <c r="B3484" i="1"/>
  <c r="A3484" i="1"/>
  <c r="K3483" i="1"/>
  <c r="J3483" i="1"/>
  <c r="I3483" i="1"/>
  <c r="H3483" i="1"/>
  <c r="G3483" i="1"/>
  <c r="F3483" i="1"/>
  <c r="E3483" i="1"/>
  <c r="D3483" i="1"/>
  <c r="C3483" i="1"/>
  <c r="B3483" i="1"/>
  <c r="A3483" i="1"/>
  <c r="K3482" i="1"/>
  <c r="J3482" i="1"/>
  <c r="I3482" i="1"/>
  <c r="H3482" i="1"/>
  <c r="G3482" i="1"/>
  <c r="F3482" i="1"/>
  <c r="E3482" i="1"/>
  <c r="D3482" i="1"/>
  <c r="C3482" i="1"/>
  <c r="B3482" i="1"/>
  <c r="A3482" i="1"/>
  <c r="K3481" i="1"/>
  <c r="J3481" i="1"/>
  <c r="I3481" i="1"/>
  <c r="H3481" i="1"/>
  <c r="G3481" i="1"/>
  <c r="F3481" i="1"/>
  <c r="E3481" i="1"/>
  <c r="D3481" i="1"/>
  <c r="C3481" i="1"/>
  <c r="B3481" i="1"/>
  <c r="A3481" i="1"/>
  <c r="K3480" i="1"/>
  <c r="J3480" i="1"/>
  <c r="I3480" i="1"/>
  <c r="H3480" i="1"/>
  <c r="G3480" i="1"/>
  <c r="F3480" i="1"/>
  <c r="E3480" i="1"/>
  <c r="D3480" i="1"/>
  <c r="C3480" i="1"/>
  <c r="B3480" i="1"/>
  <c r="A3480" i="1"/>
  <c r="K3479" i="1"/>
  <c r="J3479" i="1"/>
  <c r="I3479" i="1"/>
  <c r="H3479" i="1"/>
  <c r="G3479" i="1"/>
  <c r="F3479" i="1"/>
  <c r="E3479" i="1"/>
  <c r="D3479" i="1"/>
  <c r="C3479" i="1"/>
  <c r="B3479" i="1"/>
  <c r="A3479" i="1"/>
  <c r="K3478" i="1"/>
  <c r="J3478" i="1"/>
  <c r="I3478" i="1"/>
  <c r="H3478" i="1"/>
  <c r="G3478" i="1"/>
  <c r="F3478" i="1"/>
  <c r="E3478" i="1"/>
  <c r="D3478" i="1"/>
  <c r="C3478" i="1"/>
  <c r="B3478" i="1"/>
  <c r="A3478" i="1"/>
  <c r="K3477" i="1"/>
  <c r="J3477" i="1"/>
  <c r="I3477" i="1"/>
  <c r="H3477" i="1"/>
  <c r="G3477" i="1"/>
  <c r="F3477" i="1"/>
  <c r="E3477" i="1"/>
  <c r="D3477" i="1"/>
  <c r="C3477" i="1"/>
  <c r="B3477" i="1"/>
  <c r="A3477" i="1"/>
  <c r="K3476" i="1"/>
  <c r="J3476" i="1"/>
  <c r="I3476" i="1"/>
  <c r="H3476" i="1"/>
  <c r="G3476" i="1"/>
  <c r="F3476" i="1"/>
  <c r="E3476" i="1"/>
  <c r="D3476" i="1"/>
  <c r="C3476" i="1"/>
  <c r="B3476" i="1"/>
  <c r="A3476" i="1"/>
  <c r="K3475" i="1"/>
  <c r="J3475" i="1"/>
  <c r="I3475" i="1"/>
  <c r="H3475" i="1"/>
  <c r="G3475" i="1"/>
  <c r="F3475" i="1"/>
  <c r="E3475" i="1"/>
  <c r="D3475" i="1"/>
  <c r="C3475" i="1"/>
  <c r="B3475" i="1"/>
  <c r="A3475" i="1"/>
  <c r="K3474" i="1"/>
  <c r="J3474" i="1"/>
  <c r="I3474" i="1"/>
  <c r="H3474" i="1"/>
  <c r="G3474" i="1"/>
  <c r="F3474" i="1"/>
  <c r="E3474" i="1"/>
  <c r="D3474" i="1"/>
  <c r="C3474" i="1"/>
  <c r="B3474" i="1"/>
  <c r="A3474" i="1"/>
  <c r="K3473" i="1"/>
  <c r="J3473" i="1"/>
  <c r="I3473" i="1"/>
  <c r="H3473" i="1"/>
  <c r="G3473" i="1"/>
  <c r="F3473" i="1"/>
  <c r="E3473" i="1"/>
  <c r="D3473" i="1"/>
  <c r="C3473" i="1"/>
  <c r="B3473" i="1"/>
  <c r="A3473" i="1"/>
  <c r="K3472" i="1"/>
  <c r="J3472" i="1"/>
  <c r="I3472" i="1"/>
  <c r="H3472" i="1"/>
  <c r="G3472" i="1"/>
  <c r="F3472" i="1"/>
  <c r="E3472" i="1"/>
  <c r="D3472" i="1"/>
  <c r="C3472" i="1"/>
  <c r="B3472" i="1"/>
  <c r="A3472" i="1"/>
  <c r="K3471" i="1"/>
  <c r="J3471" i="1"/>
  <c r="I3471" i="1"/>
  <c r="H3471" i="1"/>
  <c r="G3471" i="1"/>
  <c r="F3471" i="1"/>
  <c r="E3471" i="1"/>
  <c r="D3471" i="1"/>
  <c r="C3471" i="1"/>
  <c r="B3471" i="1"/>
  <c r="A3471" i="1"/>
  <c r="K3470" i="1"/>
  <c r="J3470" i="1"/>
  <c r="I3470" i="1"/>
  <c r="H3470" i="1"/>
  <c r="G3470" i="1"/>
  <c r="F3470" i="1"/>
  <c r="E3470" i="1"/>
  <c r="D3470" i="1"/>
  <c r="C3470" i="1"/>
  <c r="B3470" i="1"/>
  <c r="A3470" i="1"/>
  <c r="K3469" i="1"/>
  <c r="J3469" i="1"/>
  <c r="I3469" i="1"/>
  <c r="H3469" i="1"/>
  <c r="G3469" i="1"/>
  <c r="F3469" i="1"/>
  <c r="E3469" i="1"/>
  <c r="D3469" i="1"/>
  <c r="C3469" i="1"/>
  <c r="B3469" i="1"/>
  <c r="A3469" i="1"/>
  <c r="K3468" i="1"/>
  <c r="J3468" i="1"/>
  <c r="I3468" i="1"/>
  <c r="H3468" i="1"/>
  <c r="G3468" i="1"/>
  <c r="F3468" i="1"/>
  <c r="E3468" i="1"/>
  <c r="D3468" i="1"/>
  <c r="C3468" i="1"/>
  <c r="B3468" i="1"/>
  <c r="A3468" i="1"/>
  <c r="K3467" i="1"/>
  <c r="J3467" i="1"/>
  <c r="I3467" i="1"/>
  <c r="H3467" i="1"/>
  <c r="G3467" i="1"/>
  <c r="F3467" i="1"/>
  <c r="E3467" i="1"/>
  <c r="D3467" i="1"/>
  <c r="C3467" i="1"/>
  <c r="B3467" i="1"/>
  <c r="A3467" i="1"/>
  <c r="K3466" i="1"/>
  <c r="J3466" i="1"/>
  <c r="I3466" i="1"/>
  <c r="H3466" i="1"/>
  <c r="G3466" i="1"/>
  <c r="F3466" i="1"/>
  <c r="E3466" i="1"/>
  <c r="D3466" i="1"/>
  <c r="C3466" i="1"/>
  <c r="B3466" i="1"/>
  <c r="A3466" i="1"/>
  <c r="K3465" i="1"/>
  <c r="J3465" i="1"/>
  <c r="I3465" i="1"/>
  <c r="H3465" i="1"/>
  <c r="G3465" i="1"/>
  <c r="F3465" i="1"/>
  <c r="E3465" i="1"/>
  <c r="D3465" i="1"/>
  <c r="C3465" i="1"/>
  <c r="B3465" i="1"/>
  <c r="A3465" i="1"/>
  <c r="K3464" i="1"/>
  <c r="J3464" i="1"/>
  <c r="I3464" i="1"/>
  <c r="H3464" i="1"/>
  <c r="G3464" i="1"/>
  <c r="F3464" i="1"/>
  <c r="E3464" i="1"/>
  <c r="D3464" i="1"/>
  <c r="C3464" i="1"/>
  <c r="B3464" i="1"/>
  <c r="A3464" i="1"/>
  <c r="K3463" i="1"/>
  <c r="J3463" i="1"/>
  <c r="I3463" i="1"/>
  <c r="H3463" i="1"/>
  <c r="G3463" i="1"/>
  <c r="F3463" i="1"/>
  <c r="E3463" i="1"/>
  <c r="D3463" i="1"/>
  <c r="C3463" i="1"/>
  <c r="B3463" i="1"/>
  <c r="A3463" i="1"/>
  <c r="K3462" i="1"/>
  <c r="J3462" i="1"/>
  <c r="I3462" i="1"/>
  <c r="H3462" i="1"/>
  <c r="G3462" i="1"/>
  <c r="F3462" i="1"/>
  <c r="E3462" i="1"/>
  <c r="D3462" i="1"/>
  <c r="C3462" i="1"/>
  <c r="B3462" i="1"/>
  <c r="A3462" i="1"/>
  <c r="K3461" i="1"/>
  <c r="J3461" i="1"/>
  <c r="I3461" i="1"/>
  <c r="H3461" i="1"/>
  <c r="G3461" i="1"/>
  <c r="F3461" i="1"/>
  <c r="E3461" i="1"/>
  <c r="D3461" i="1"/>
  <c r="C3461" i="1"/>
  <c r="B3461" i="1"/>
  <c r="A3461" i="1"/>
  <c r="K3460" i="1"/>
  <c r="J3460" i="1"/>
  <c r="I3460" i="1"/>
  <c r="H3460" i="1"/>
  <c r="G3460" i="1"/>
  <c r="F3460" i="1"/>
  <c r="E3460" i="1"/>
  <c r="D3460" i="1"/>
  <c r="C3460" i="1"/>
  <c r="B3460" i="1"/>
  <c r="A3460" i="1"/>
  <c r="K3459" i="1"/>
  <c r="J3459" i="1"/>
  <c r="I3459" i="1"/>
  <c r="H3459" i="1"/>
  <c r="G3459" i="1"/>
  <c r="F3459" i="1"/>
  <c r="E3459" i="1"/>
  <c r="D3459" i="1"/>
  <c r="C3459" i="1"/>
  <c r="B3459" i="1"/>
  <c r="A3459" i="1"/>
  <c r="K3458" i="1"/>
  <c r="J3458" i="1"/>
  <c r="I3458" i="1"/>
  <c r="H3458" i="1"/>
  <c r="G3458" i="1"/>
  <c r="F3458" i="1"/>
  <c r="E3458" i="1"/>
  <c r="D3458" i="1"/>
  <c r="C3458" i="1"/>
  <c r="B3458" i="1"/>
  <c r="A3458" i="1"/>
  <c r="K3457" i="1"/>
  <c r="J3457" i="1"/>
  <c r="I3457" i="1"/>
  <c r="H3457" i="1"/>
  <c r="G3457" i="1"/>
  <c r="F3457" i="1"/>
  <c r="E3457" i="1"/>
  <c r="D3457" i="1"/>
  <c r="C3457" i="1"/>
  <c r="B3457" i="1"/>
  <c r="A3457" i="1"/>
  <c r="K3456" i="1"/>
  <c r="J3456" i="1"/>
  <c r="I3456" i="1"/>
  <c r="H3456" i="1"/>
  <c r="G3456" i="1"/>
  <c r="F3456" i="1"/>
  <c r="E3456" i="1"/>
  <c r="D3456" i="1"/>
  <c r="C3456" i="1"/>
  <c r="B3456" i="1"/>
  <c r="A3456" i="1"/>
  <c r="K3455" i="1"/>
  <c r="J3455" i="1"/>
  <c r="I3455" i="1"/>
  <c r="H3455" i="1"/>
  <c r="G3455" i="1"/>
  <c r="F3455" i="1"/>
  <c r="E3455" i="1"/>
  <c r="D3455" i="1"/>
  <c r="C3455" i="1"/>
  <c r="B3455" i="1"/>
  <c r="A3455" i="1"/>
  <c r="K3454" i="1"/>
  <c r="J3454" i="1"/>
  <c r="I3454" i="1"/>
  <c r="H3454" i="1"/>
  <c r="G3454" i="1"/>
  <c r="F3454" i="1"/>
  <c r="E3454" i="1"/>
  <c r="D3454" i="1"/>
  <c r="C3454" i="1"/>
  <c r="B3454" i="1"/>
  <c r="A3454" i="1"/>
  <c r="K3453" i="1"/>
  <c r="J3453" i="1"/>
  <c r="I3453" i="1"/>
  <c r="H3453" i="1"/>
  <c r="G3453" i="1"/>
  <c r="F3453" i="1"/>
  <c r="E3453" i="1"/>
  <c r="D3453" i="1"/>
  <c r="C3453" i="1"/>
  <c r="B3453" i="1"/>
  <c r="A3453" i="1"/>
  <c r="K3452" i="1"/>
  <c r="J3452" i="1"/>
  <c r="I3452" i="1"/>
  <c r="H3452" i="1"/>
  <c r="G3452" i="1"/>
  <c r="F3452" i="1"/>
  <c r="E3452" i="1"/>
  <c r="D3452" i="1"/>
  <c r="C3452" i="1"/>
  <c r="B3452" i="1"/>
  <c r="A3452" i="1"/>
  <c r="K3451" i="1"/>
  <c r="J3451" i="1"/>
  <c r="I3451" i="1"/>
  <c r="H3451" i="1"/>
  <c r="G3451" i="1"/>
  <c r="F3451" i="1"/>
  <c r="E3451" i="1"/>
  <c r="D3451" i="1"/>
  <c r="C3451" i="1"/>
  <c r="B3451" i="1"/>
  <c r="A3451" i="1"/>
  <c r="K3450" i="1"/>
  <c r="J3450" i="1"/>
  <c r="I3450" i="1"/>
  <c r="H3450" i="1"/>
  <c r="G3450" i="1"/>
  <c r="F3450" i="1"/>
  <c r="E3450" i="1"/>
  <c r="D3450" i="1"/>
  <c r="C3450" i="1"/>
  <c r="B3450" i="1"/>
  <c r="A3450" i="1"/>
  <c r="K3449" i="1"/>
  <c r="J3449" i="1"/>
  <c r="I3449" i="1"/>
  <c r="H3449" i="1"/>
  <c r="G3449" i="1"/>
  <c r="F3449" i="1"/>
  <c r="E3449" i="1"/>
  <c r="D3449" i="1"/>
  <c r="C3449" i="1"/>
  <c r="B3449" i="1"/>
  <c r="A3449" i="1"/>
  <c r="K3448" i="1"/>
  <c r="J3448" i="1"/>
  <c r="I3448" i="1"/>
  <c r="H3448" i="1"/>
  <c r="G3448" i="1"/>
  <c r="F3448" i="1"/>
  <c r="E3448" i="1"/>
  <c r="D3448" i="1"/>
  <c r="C3448" i="1"/>
  <c r="B3448" i="1"/>
  <c r="A3448" i="1"/>
  <c r="K3447" i="1"/>
  <c r="J3447" i="1"/>
  <c r="I3447" i="1"/>
  <c r="H3447" i="1"/>
  <c r="G3447" i="1"/>
  <c r="F3447" i="1"/>
  <c r="E3447" i="1"/>
  <c r="D3447" i="1"/>
  <c r="C3447" i="1"/>
  <c r="B3447" i="1"/>
  <c r="A3447" i="1"/>
  <c r="K3446" i="1"/>
  <c r="J3446" i="1"/>
  <c r="I3446" i="1"/>
  <c r="H3446" i="1"/>
  <c r="G3446" i="1"/>
  <c r="F3446" i="1"/>
  <c r="E3446" i="1"/>
  <c r="D3446" i="1"/>
  <c r="C3446" i="1"/>
  <c r="B3446" i="1"/>
  <c r="A3446" i="1"/>
  <c r="K3445" i="1"/>
  <c r="J3445" i="1"/>
  <c r="I3445" i="1"/>
  <c r="H3445" i="1"/>
  <c r="G3445" i="1"/>
  <c r="F3445" i="1"/>
  <c r="E3445" i="1"/>
  <c r="D3445" i="1"/>
  <c r="C3445" i="1"/>
  <c r="B3445" i="1"/>
  <c r="A3445" i="1"/>
  <c r="K3444" i="1"/>
  <c r="J3444" i="1"/>
  <c r="I3444" i="1"/>
  <c r="H3444" i="1"/>
  <c r="G3444" i="1"/>
  <c r="F3444" i="1"/>
  <c r="E3444" i="1"/>
  <c r="D3444" i="1"/>
  <c r="C3444" i="1"/>
  <c r="B3444" i="1"/>
  <c r="A3444" i="1"/>
  <c r="K3443" i="1"/>
  <c r="J3443" i="1"/>
  <c r="I3443" i="1"/>
  <c r="H3443" i="1"/>
  <c r="G3443" i="1"/>
  <c r="F3443" i="1"/>
  <c r="E3443" i="1"/>
  <c r="D3443" i="1"/>
  <c r="C3443" i="1"/>
  <c r="B3443" i="1"/>
  <c r="A3443" i="1"/>
  <c r="K3442" i="1"/>
  <c r="J3442" i="1"/>
  <c r="I3442" i="1"/>
  <c r="H3442" i="1"/>
  <c r="G3442" i="1"/>
  <c r="F3442" i="1"/>
  <c r="E3442" i="1"/>
  <c r="D3442" i="1"/>
  <c r="C3442" i="1"/>
  <c r="B3442" i="1"/>
  <c r="A3442" i="1"/>
  <c r="K3441" i="1"/>
  <c r="J3441" i="1"/>
  <c r="I3441" i="1"/>
  <c r="H3441" i="1"/>
  <c r="G3441" i="1"/>
  <c r="F3441" i="1"/>
  <c r="E3441" i="1"/>
  <c r="D3441" i="1"/>
  <c r="C3441" i="1"/>
  <c r="B3441" i="1"/>
  <c r="A3441" i="1"/>
  <c r="K3440" i="1"/>
  <c r="J3440" i="1"/>
  <c r="I3440" i="1"/>
  <c r="H3440" i="1"/>
  <c r="G3440" i="1"/>
  <c r="F3440" i="1"/>
  <c r="E3440" i="1"/>
  <c r="D3440" i="1"/>
  <c r="C3440" i="1"/>
  <c r="B3440" i="1"/>
  <c r="A3440" i="1"/>
  <c r="K3439" i="1"/>
  <c r="J3439" i="1"/>
  <c r="I3439" i="1"/>
  <c r="H3439" i="1"/>
  <c r="G3439" i="1"/>
  <c r="F3439" i="1"/>
  <c r="E3439" i="1"/>
  <c r="D3439" i="1"/>
  <c r="C3439" i="1"/>
  <c r="B3439" i="1"/>
  <c r="A3439" i="1"/>
  <c r="K3438" i="1"/>
  <c r="J3438" i="1"/>
  <c r="I3438" i="1"/>
  <c r="H3438" i="1"/>
  <c r="G3438" i="1"/>
  <c r="F3438" i="1"/>
  <c r="E3438" i="1"/>
  <c r="D3438" i="1"/>
  <c r="C3438" i="1"/>
  <c r="B3438" i="1"/>
  <c r="A3438" i="1"/>
  <c r="K3437" i="1"/>
  <c r="J3437" i="1"/>
  <c r="I3437" i="1"/>
  <c r="H3437" i="1"/>
  <c r="G3437" i="1"/>
  <c r="F3437" i="1"/>
  <c r="E3437" i="1"/>
  <c r="D3437" i="1"/>
  <c r="C3437" i="1"/>
  <c r="B3437" i="1"/>
  <c r="A3437" i="1"/>
  <c r="K3436" i="1"/>
  <c r="J3436" i="1"/>
  <c r="I3436" i="1"/>
  <c r="H3436" i="1"/>
  <c r="G3436" i="1"/>
  <c r="F3436" i="1"/>
  <c r="E3436" i="1"/>
  <c r="D3436" i="1"/>
  <c r="C3436" i="1"/>
  <c r="B3436" i="1"/>
  <c r="A3436" i="1"/>
  <c r="K3435" i="1"/>
  <c r="J3435" i="1"/>
  <c r="I3435" i="1"/>
  <c r="H3435" i="1"/>
  <c r="G3435" i="1"/>
  <c r="F3435" i="1"/>
  <c r="E3435" i="1"/>
  <c r="D3435" i="1"/>
  <c r="C3435" i="1"/>
  <c r="B3435" i="1"/>
  <c r="A3435" i="1"/>
  <c r="K3434" i="1"/>
  <c r="J3434" i="1"/>
  <c r="I3434" i="1"/>
  <c r="H3434" i="1"/>
  <c r="G3434" i="1"/>
  <c r="F3434" i="1"/>
  <c r="E3434" i="1"/>
  <c r="D3434" i="1"/>
  <c r="C3434" i="1"/>
  <c r="B3434" i="1"/>
  <c r="A3434" i="1"/>
  <c r="K3433" i="1"/>
  <c r="J3433" i="1"/>
  <c r="I3433" i="1"/>
  <c r="H3433" i="1"/>
  <c r="G3433" i="1"/>
  <c r="F3433" i="1"/>
  <c r="E3433" i="1"/>
  <c r="D3433" i="1"/>
  <c r="C3433" i="1"/>
  <c r="B3433" i="1"/>
  <c r="A3433" i="1"/>
  <c r="K3432" i="1"/>
  <c r="J3432" i="1"/>
  <c r="I3432" i="1"/>
  <c r="H3432" i="1"/>
  <c r="G3432" i="1"/>
  <c r="F3432" i="1"/>
  <c r="E3432" i="1"/>
  <c r="D3432" i="1"/>
  <c r="C3432" i="1"/>
  <c r="B3432" i="1"/>
  <c r="A3432" i="1"/>
  <c r="K3431" i="1"/>
  <c r="J3431" i="1"/>
  <c r="I3431" i="1"/>
  <c r="H3431" i="1"/>
  <c r="G3431" i="1"/>
  <c r="F3431" i="1"/>
  <c r="E3431" i="1"/>
  <c r="D3431" i="1"/>
  <c r="C3431" i="1"/>
  <c r="B3431" i="1"/>
  <c r="A3431" i="1"/>
  <c r="K3430" i="1"/>
  <c r="J3430" i="1"/>
  <c r="I3430" i="1"/>
  <c r="H3430" i="1"/>
  <c r="G3430" i="1"/>
  <c r="F3430" i="1"/>
  <c r="E3430" i="1"/>
  <c r="D3430" i="1"/>
  <c r="C3430" i="1"/>
  <c r="B3430" i="1"/>
  <c r="A3430" i="1"/>
  <c r="K3429" i="1"/>
  <c r="J3429" i="1"/>
  <c r="I3429" i="1"/>
  <c r="H3429" i="1"/>
  <c r="G3429" i="1"/>
  <c r="F3429" i="1"/>
  <c r="E3429" i="1"/>
  <c r="D3429" i="1"/>
  <c r="C3429" i="1"/>
  <c r="B3429" i="1"/>
  <c r="A3429" i="1"/>
  <c r="K3428" i="1"/>
  <c r="J3428" i="1"/>
  <c r="I3428" i="1"/>
  <c r="H3428" i="1"/>
  <c r="G3428" i="1"/>
  <c r="F3428" i="1"/>
  <c r="E3428" i="1"/>
  <c r="D3428" i="1"/>
  <c r="C3428" i="1"/>
  <c r="B3428" i="1"/>
  <c r="A3428" i="1"/>
  <c r="K3427" i="1"/>
  <c r="J3427" i="1"/>
  <c r="I3427" i="1"/>
  <c r="H3427" i="1"/>
  <c r="G3427" i="1"/>
  <c r="F3427" i="1"/>
  <c r="E3427" i="1"/>
  <c r="D3427" i="1"/>
  <c r="C3427" i="1"/>
  <c r="B3427" i="1"/>
  <c r="A3427" i="1"/>
  <c r="K3426" i="1"/>
  <c r="J3426" i="1"/>
  <c r="I3426" i="1"/>
  <c r="H3426" i="1"/>
  <c r="G3426" i="1"/>
  <c r="F3426" i="1"/>
  <c r="E3426" i="1"/>
  <c r="D3426" i="1"/>
  <c r="C3426" i="1"/>
  <c r="B3426" i="1"/>
  <c r="A3426" i="1"/>
  <c r="K3425" i="1"/>
  <c r="J3425" i="1"/>
  <c r="I3425" i="1"/>
  <c r="H3425" i="1"/>
  <c r="G3425" i="1"/>
  <c r="F3425" i="1"/>
  <c r="E3425" i="1"/>
  <c r="D3425" i="1"/>
  <c r="C3425" i="1"/>
  <c r="B3425" i="1"/>
  <c r="A3425" i="1"/>
  <c r="K3424" i="1"/>
  <c r="J3424" i="1"/>
  <c r="I3424" i="1"/>
  <c r="H3424" i="1"/>
  <c r="G3424" i="1"/>
  <c r="F3424" i="1"/>
  <c r="E3424" i="1"/>
  <c r="D3424" i="1"/>
  <c r="C3424" i="1"/>
  <c r="B3424" i="1"/>
  <c r="A3424" i="1"/>
  <c r="K3423" i="1"/>
  <c r="J3423" i="1"/>
  <c r="I3423" i="1"/>
  <c r="H3423" i="1"/>
  <c r="G3423" i="1"/>
  <c r="F3423" i="1"/>
  <c r="E3423" i="1"/>
  <c r="D3423" i="1"/>
  <c r="C3423" i="1"/>
  <c r="B3423" i="1"/>
  <c r="A3423" i="1"/>
  <c r="K3422" i="1"/>
  <c r="J3422" i="1"/>
  <c r="I3422" i="1"/>
  <c r="H3422" i="1"/>
  <c r="G3422" i="1"/>
  <c r="F3422" i="1"/>
  <c r="E3422" i="1"/>
  <c r="D3422" i="1"/>
  <c r="C3422" i="1"/>
  <c r="B3422" i="1"/>
  <c r="A3422" i="1"/>
  <c r="K3421" i="1"/>
  <c r="J3421" i="1"/>
  <c r="I3421" i="1"/>
  <c r="H3421" i="1"/>
  <c r="G3421" i="1"/>
  <c r="F3421" i="1"/>
  <c r="E3421" i="1"/>
  <c r="D3421" i="1"/>
  <c r="C3421" i="1"/>
  <c r="B3421" i="1"/>
  <c r="A3421" i="1"/>
  <c r="K3420" i="1"/>
  <c r="J3420" i="1"/>
  <c r="I3420" i="1"/>
  <c r="H3420" i="1"/>
  <c r="G3420" i="1"/>
  <c r="F3420" i="1"/>
  <c r="E3420" i="1"/>
  <c r="D3420" i="1"/>
  <c r="C3420" i="1"/>
  <c r="B3420" i="1"/>
  <c r="A3420" i="1"/>
  <c r="K3419" i="1"/>
  <c r="J3419" i="1"/>
  <c r="I3419" i="1"/>
  <c r="H3419" i="1"/>
  <c r="G3419" i="1"/>
  <c r="F3419" i="1"/>
  <c r="E3419" i="1"/>
  <c r="D3419" i="1"/>
  <c r="C3419" i="1"/>
  <c r="B3419" i="1"/>
  <c r="A3419" i="1"/>
  <c r="K3418" i="1"/>
  <c r="J3418" i="1"/>
  <c r="I3418" i="1"/>
  <c r="H3418" i="1"/>
  <c r="G3418" i="1"/>
  <c r="F3418" i="1"/>
  <c r="E3418" i="1"/>
  <c r="D3418" i="1"/>
  <c r="C3418" i="1"/>
  <c r="B3418" i="1"/>
  <c r="A3418" i="1"/>
  <c r="K3417" i="1"/>
  <c r="J3417" i="1"/>
  <c r="I3417" i="1"/>
  <c r="H3417" i="1"/>
  <c r="G3417" i="1"/>
  <c r="F3417" i="1"/>
  <c r="E3417" i="1"/>
  <c r="D3417" i="1"/>
  <c r="C3417" i="1"/>
  <c r="B3417" i="1"/>
  <c r="A3417" i="1"/>
  <c r="K3416" i="1"/>
  <c r="J3416" i="1"/>
  <c r="I3416" i="1"/>
  <c r="H3416" i="1"/>
  <c r="G3416" i="1"/>
  <c r="F3416" i="1"/>
  <c r="E3416" i="1"/>
  <c r="D3416" i="1"/>
  <c r="C3416" i="1"/>
  <c r="B3416" i="1"/>
  <c r="A3416" i="1"/>
  <c r="K3415" i="1"/>
  <c r="J3415" i="1"/>
  <c r="I3415" i="1"/>
  <c r="H3415" i="1"/>
  <c r="G3415" i="1"/>
  <c r="F3415" i="1"/>
  <c r="E3415" i="1"/>
  <c r="D3415" i="1"/>
  <c r="C3415" i="1"/>
  <c r="B3415" i="1"/>
  <c r="A3415" i="1"/>
  <c r="K3414" i="1"/>
  <c r="J3414" i="1"/>
  <c r="I3414" i="1"/>
  <c r="H3414" i="1"/>
  <c r="G3414" i="1"/>
  <c r="F3414" i="1"/>
  <c r="E3414" i="1"/>
  <c r="D3414" i="1"/>
  <c r="C3414" i="1"/>
  <c r="B3414" i="1"/>
  <c r="A3414" i="1"/>
  <c r="K3413" i="1"/>
  <c r="J3413" i="1"/>
  <c r="I3413" i="1"/>
  <c r="H3413" i="1"/>
  <c r="G3413" i="1"/>
  <c r="F3413" i="1"/>
  <c r="E3413" i="1"/>
  <c r="D3413" i="1"/>
  <c r="C3413" i="1"/>
  <c r="B3413" i="1"/>
  <c r="A3413" i="1"/>
  <c r="K3412" i="1"/>
  <c r="J3412" i="1"/>
  <c r="I3412" i="1"/>
  <c r="H3412" i="1"/>
  <c r="G3412" i="1"/>
  <c r="F3412" i="1"/>
  <c r="E3412" i="1"/>
  <c r="D3412" i="1"/>
  <c r="C3412" i="1"/>
  <c r="B3412" i="1"/>
  <c r="A3412" i="1"/>
  <c r="K3411" i="1"/>
  <c r="J3411" i="1"/>
  <c r="I3411" i="1"/>
  <c r="H3411" i="1"/>
  <c r="G3411" i="1"/>
  <c r="F3411" i="1"/>
  <c r="E3411" i="1"/>
  <c r="D3411" i="1"/>
  <c r="C3411" i="1"/>
  <c r="B3411" i="1"/>
  <c r="A3411" i="1"/>
  <c r="K3410" i="1"/>
  <c r="J3410" i="1"/>
  <c r="I3410" i="1"/>
  <c r="H3410" i="1"/>
  <c r="G3410" i="1"/>
  <c r="F3410" i="1"/>
  <c r="E3410" i="1"/>
  <c r="D3410" i="1"/>
  <c r="C3410" i="1"/>
  <c r="B3410" i="1"/>
  <c r="A3410" i="1"/>
  <c r="K3409" i="1"/>
  <c r="J3409" i="1"/>
  <c r="I3409" i="1"/>
  <c r="H3409" i="1"/>
  <c r="G3409" i="1"/>
  <c r="F3409" i="1"/>
  <c r="E3409" i="1"/>
  <c r="D3409" i="1"/>
  <c r="C3409" i="1"/>
  <c r="B3409" i="1"/>
  <c r="A3409" i="1"/>
  <c r="K3408" i="1"/>
  <c r="J3408" i="1"/>
  <c r="I3408" i="1"/>
  <c r="H3408" i="1"/>
  <c r="G3408" i="1"/>
  <c r="F3408" i="1"/>
  <c r="E3408" i="1"/>
  <c r="D3408" i="1"/>
  <c r="C3408" i="1"/>
  <c r="B3408" i="1"/>
  <c r="A3408" i="1"/>
  <c r="K3407" i="1"/>
  <c r="J3407" i="1"/>
  <c r="I3407" i="1"/>
  <c r="H3407" i="1"/>
  <c r="G3407" i="1"/>
  <c r="F3407" i="1"/>
  <c r="E3407" i="1"/>
  <c r="D3407" i="1"/>
  <c r="C3407" i="1"/>
  <c r="B3407" i="1"/>
  <c r="A3407" i="1"/>
  <c r="K3406" i="1"/>
  <c r="J3406" i="1"/>
  <c r="I3406" i="1"/>
  <c r="H3406" i="1"/>
  <c r="G3406" i="1"/>
  <c r="F3406" i="1"/>
  <c r="E3406" i="1"/>
  <c r="D3406" i="1"/>
  <c r="C3406" i="1"/>
  <c r="B3406" i="1"/>
  <c r="A3406" i="1"/>
  <c r="K3405" i="1"/>
  <c r="J3405" i="1"/>
  <c r="I3405" i="1"/>
  <c r="H3405" i="1"/>
  <c r="G3405" i="1"/>
  <c r="F3405" i="1"/>
  <c r="E3405" i="1"/>
  <c r="D3405" i="1"/>
  <c r="C3405" i="1"/>
  <c r="B3405" i="1"/>
  <c r="A3405" i="1"/>
  <c r="K3404" i="1"/>
  <c r="J3404" i="1"/>
  <c r="I3404" i="1"/>
  <c r="H3404" i="1"/>
  <c r="G3404" i="1"/>
  <c r="F3404" i="1"/>
  <c r="E3404" i="1"/>
  <c r="D3404" i="1"/>
  <c r="C3404" i="1"/>
  <c r="B3404" i="1"/>
  <c r="A3404" i="1"/>
  <c r="K3403" i="1"/>
  <c r="J3403" i="1"/>
  <c r="I3403" i="1"/>
  <c r="H3403" i="1"/>
  <c r="G3403" i="1"/>
  <c r="F3403" i="1"/>
  <c r="E3403" i="1"/>
  <c r="D3403" i="1"/>
  <c r="C3403" i="1"/>
  <c r="B3403" i="1"/>
  <c r="A3403" i="1"/>
  <c r="K3402" i="1"/>
  <c r="J3402" i="1"/>
  <c r="I3402" i="1"/>
  <c r="H3402" i="1"/>
  <c r="G3402" i="1"/>
  <c r="F3402" i="1"/>
  <c r="E3402" i="1"/>
  <c r="D3402" i="1"/>
  <c r="C3402" i="1"/>
  <c r="B3402" i="1"/>
  <c r="A3402" i="1"/>
  <c r="K3401" i="1"/>
  <c r="J3401" i="1"/>
  <c r="I3401" i="1"/>
  <c r="H3401" i="1"/>
  <c r="G3401" i="1"/>
  <c r="F3401" i="1"/>
  <c r="E3401" i="1"/>
  <c r="D3401" i="1"/>
  <c r="C3401" i="1"/>
  <c r="B3401" i="1"/>
  <c r="A3401" i="1"/>
  <c r="K3400" i="1"/>
  <c r="J3400" i="1"/>
  <c r="I3400" i="1"/>
  <c r="H3400" i="1"/>
  <c r="G3400" i="1"/>
  <c r="F3400" i="1"/>
  <c r="E3400" i="1"/>
  <c r="D3400" i="1"/>
  <c r="C3400" i="1"/>
  <c r="B3400" i="1"/>
  <c r="A3400" i="1"/>
  <c r="K3399" i="1"/>
  <c r="J3399" i="1"/>
  <c r="I3399" i="1"/>
  <c r="H3399" i="1"/>
  <c r="G3399" i="1"/>
  <c r="F3399" i="1"/>
  <c r="E3399" i="1"/>
  <c r="D3399" i="1"/>
  <c r="C3399" i="1"/>
  <c r="B3399" i="1"/>
  <c r="A3399" i="1"/>
  <c r="K3398" i="1"/>
  <c r="J3398" i="1"/>
  <c r="I3398" i="1"/>
  <c r="H3398" i="1"/>
  <c r="G3398" i="1"/>
  <c r="F3398" i="1"/>
  <c r="E3398" i="1"/>
  <c r="D3398" i="1"/>
  <c r="C3398" i="1"/>
  <c r="B3398" i="1"/>
  <c r="A3398" i="1"/>
  <c r="K3397" i="1"/>
  <c r="J3397" i="1"/>
  <c r="I3397" i="1"/>
  <c r="H3397" i="1"/>
  <c r="G3397" i="1"/>
  <c r="F3397" i="1"/>
  <c r="E3397" i="1"/>
  <c r="D3397" i="1"/>
  <c r="C3397" i="1"/>
  <c r="B3397" i="1"/>
  <c r="A3397" i="1"/>
  <c r="K3396" i="1"/>
  <c r="J3396" i="1"/>
  <c r="I3396" i="1"/>
  <c r="H3396" i="1"/>
  <c r="G3396" i="1"/>
  <c r="F3396" i="1"/>
  <c r="E3396" i="1"/>
  <c r="D3396" i="1"/>
  <c r="C3396" i="1"/>
  <c r="B3396" i="1"/>
  <c r="A3396" i="1"/>
  <c r="K3395" i="1"/>
  <c r="J3395" i="1"/>
  <c r="I3395" i="1"/>
  <c r="H3395" i="1"/>
  <c r="G3395" i="1"/>
  <c r="F3395" i="1"/>
  <c r="E3395" i="1"/>
  <c r="D3395" i="1"/>
  <c r="C3395" i="1"/>
  <c r="B3395" i="1"/>
  <c r="A3395" i="1"/>
  <c r="K3394" i="1"/>
  <c r="J3394" i="1"/>
  <c r="I3394" i="1"/>
  <c r="H3394" i="1"/>
  <c r="G3394" i="1"/>
  <c r="F3394" i="1"/>
  <c r="E3394" i="1"/>
  <c r="D3394" i="1"/>
  <c r="C3394" i="1"/>
  <c r="B3394" i="1"/>
  <c r="A3394" i="1"/>
  <c r="K3393" i="1"/>
  <c r="J3393" i="1"/>
  <c r="I3393" i="1"/>
  <c r="H3393" i="1"/>
  <c r="G3393" i="1"/>
  <c r="F3393" i="1"/>
  <c r="E3393" i="1"/>
  <c r="D3393" i="1"/>
  <c r="C3393" i="1"/>
  <c r="B3393" i="1"/>
  <c r="A3393" i="1"/>
  <c r="K3392" i="1"/>
  <c r="J3392" i="1"/>
  <c r="I3392" i="1"/>
  <c r="H3392" i="1"/>
  <c r="G3392" i="1"/>
  <c r="F3392" i="1"/>
  <c r="E3392" i="1"/>
  <c r="D3392" i="1"/>
  <c r="C3392" i="1"/>
  <c r="B3392" i="1"/>
  <c r="A3392" i="1"/>
  <c r="K3391" i="1"/>
  <c r="J3391" i="1"/>
  <c r="I3391" i="1"/>
  <c r="H3391" i="1"/>
  <c r="G3391" i="1"/>
  <c r="F3391" i="1"/>
  <c r="E3391" i="1"/>
  <c r="D3391" i="1"/>
  <c r="C3391" i="1"/>
  <c r="B3391" i="1"/>
  <c r="A3391" i="1"/>
  <c r="K3390" i="1"/>
  <c r="J3390" i="1"/>
  <c r="I3390" i="1"/>
  <c r="H3390" i="1"/>
  <c r="G3390" i="1"/>
  <c r="F3390" i="1"/>
  <c r="E3390" i="1"/>
  <c r="D3390" i="1"/>
  <c r="C3390" i="1"/>
  <c r="B3390" i="1"/>
  <c r="A3390" i="1"/>
  <c r="K3389" i="1"/>
  <c r="J3389" i="1"/>
  <c r="I3389" i="1"/>
  <c r="H3389" i="1"/>
  <c r="G3389" i="1"/>
  <c r="F3389" i="1"/>
  <c r="E3389" i="1"/>
  <c r="D3389" i="1"/>
  <c r="C3389" i="1"/>
  <c r="B3389" i="1"/>
  <c r="A3389" i="1"/>
  <c r="K3388" i="1"/>
  <c r="J3388" i="1"/>
  <c r="I3388" i="1"/>
  <c r="H3388" i="1"/>
  <c r="G3388" i="1"/>
  <c r="F3388" i="1"/>
  <c r="E3388" i="1"/>
  <c r="D3388" i="1"/>
  <c r="C3388" i="1"/>
  <c r="B3388" i="1"/>
  <c r="A3388" i="1"/>
  <c r="K3387" i="1"/>
  <c r="J3387" i="1"/>
  <c r="I3387" i="1"/>
  <c r="H3387" i="1"/>
  <c r="G3387" i="1"/>
  <c r="F3387" i="1"/>
  <c r="E3387" i="1"/>
  <c r="D3387" i="1"/>
  <c r="C3387" i="1"/>
  <c r="B3387" i="1"/>
  <c r="A3387" i="1"/>
  <c r="K3386" i="1"/>
  <c r="J3386" i="1"/>
  <c r="I3386" i="1"/>
  <c r="H3386" i="1"/>
  <c r="G3386" i="1"/>
  <c r="F3386" i="1"/>
  <c r="E3386" i="1"/>
  <c r="D3386" i="1"/>
  <c r="C3386" i="1"/>
  <c r="B3386" i="1"/>
  <c r="A3386" i="1"/>
  <c r="K3385" i="1"/>
  <c r="I3385" i="1"/>
  <c r="H3385" i="1"/>
  <c r="G3385" i="1"/>
  <c r="F3385" i="1"/>
  <c r="E3385" i="1"/>
  <c r="D3385" i="1"/>
  <c r="C3385" i="1"/>
  <c r="B3385" i="1"/>
  <c r="A3385" i="1"/>
  <c r="K3384" i="1"/>
  <c r="I3384" i="1"/>
  <c r="H3384" i="1"/>
  <c r="G3384" i="1"/>
  <c r="F3384" i="1"/>
  <c r="E3384" i="1"/>
  <c r="D3384" i="1"/>
  <c r="C3384" i="1"/>
  <c r="B3384" i="1"/>
  <c r="A3384" i="1"/>
  <c r="K3383" i="1"/>
  <c r="I3383" i="1"/>
  <c r="H3383" i="1"/>
  <c r="G3383" i="1"/>
  <c r="F3383" i="1"/>
  <c r="E3383" i="1"/>
  <c r="D3383" i="1"/>
  <c r="C3383" i="1"/>
  <c r="B3383" i="1"/>
  <c r="A3383" i="1"/>
  <c r="K3382" i="1"/>
  <c r="J3382" i="1"/>
  <c r="H3382" i="1"/>
  <c r="G3382" i="1"/>
  <c r="F3382" i="1"/>
  <c r="E3382" i="1"/>
  <c r="D3382" i="1"/>
  <c r="C3382" i="1"/>
  <c r="B3382" i="1"/>
  <c r="A3382" i="1"/>
  <c r="K3381" i="1"/>
  <c r="J3381" i="1"/>
  <c r="H3381" i="1"/>
  <c r="G3381" i="1"/>
  <c r="F3381" i="1"/>
  <c r="E3381" i="1"/>
  <c r="D3381" i="1"/>
  <c r="C3381" i="1"/>
  <c r="B3381" i="1"/>
  <c r="A3381" i="1"/>
  <c r="K3380" i="1"/>
  <c r="I3380" i="1"/>
  <c r="H3380" i="1"/>
  <c r="G3380" i="1"/>
  <c r="F3380" i="1"/>
  <c r="E3380" i="1"/>
  <c r="D3380" i="1"/>
  <c r="C3380" i="1"/>
  <c r="B3380" i="1"/>
  <c r="A3380" i="1"/>
  <c r="K3379" i="1"/>
  <c r="I3379" i="1"/>
  <c r="H3379" i="1"/>
  <c r="G3379" i="1"/>
  <c r="F3379" i="1"/>
  <c r="E3379" i="1"/>
  <c r="D3379" i="1"/>
  <c r="C3379" i="1"/>
  <c r="B3379" i="1"/>
  <c r="A3379" i="1"/>
  <c r="K3378" i="1"/>
  <c r="I3378" i="1"/>
  <c r="H3378" i="1"/>
  <c r="G3378" i="1"/>
  <c r="F3378" i="1"/>
  <c r="E3378" i="1"/>
  <c r="D3378" i="1"/>
  <c r="C3378" i="1"/>
  <c r="B3378" i="1"/>
  <c r="A3378" i="1"/>
  <c r="K3377" i="1"/>
  <c r="I3377" i="1"/>
  <c r="H3377" i="1"/>
  <c r="G3377" i="1"/>
  <c r="F3377" i="1"/>
  <c r="E3377" i="1"/>
  <c r="D3377" i="1"/>
  <c r="C3377" i="1"/>
  <c r="B3377" i="1"/>
  <c r="A3377" i="1"/>
  <c r="K3376" i="1"/>
  <c r="I3376" i="1"/>
  <c r="H3376" i="1"/>
  <c r="G3376" i="1"/>
  <c r="F3376" i="1"/>
  <c r="E3376" i="1"/>
  <c r="D3376" i="1"/>
  <c r="C3376" i="1"/>
  <c r="B3376" i="1"/>
  <c r="A3376" i="1"/>
  <c r="K3375" i="1"/>
  <c r="I3375" i="1"/>
  <c r="H3375" i="1"/>
  <c r="G3375" i="1"/>
  <c r="F3375" i="1"/>
  <c r="E3375" i="1"/>
  <c r="D3375" i="1"/>
  <c r="C3375" i="1"/>
  <c r="B3375" i="1"/>
  <c r="A3375" i="1"/>
  <c r="K3374" i="1"/>
  <c r="I3374" i="1"/>
  <c r="H3374" i="1"/>
  <c r="G3374" i="1"/>
  <c r="F3374" i="1"/>
  <c r="E3374" i="1"/>
  <c r="D3374" i="1"/>
  <c r="C3374" i="1"/>
  <c r="B3374" i="1"/>
  <c r="A3374" i="1"/>
  <c r="K3373" i="1"/>
  <c r="I3373" i="1"/>
  <c r="H3373" i="1"/>
  <c r="G3373" i="1"/>
  <c r="F3373" i="1"/>
  <c r="E3373" i="1"/>
  <c r="D3373" i="1"/>
  <c r="C3373" i="1"/>
  <c r="B3373" i="1"/>
  <c r="A3373" i="1"/>
  <c r="K3372" i="1"/>
  <c r="I3372" i="1"/>
  <c r="H3372" i="1"/>
  <c r="G3372" i="1"/>
  <c r="F3372" i="1"/>
  <c r="E3372" i="1"/>
  <c r="D3372" i="1"/>
  <c r="C3372" i="1"/>
  <c r="B3372" i="1"/>
  <c r="A3372" i="1"/>
  <c r="K3371" i="1"/>
  <c r="I3371" i="1"/>
  <c r="H3371" i="1"/>
  <c r="G3371" i="1"/>
  <c r="F3371" i="1"/>
  <c r="E3371" i="1"/>
  <c r="D3371" i="1"/>
  <c r="C3371" i="1"/>
  <c r="B3371" i="1"/>
  <c r="A3371" i="1"/>
  <c r="K3370" i="1"/>
  <c r="I3370" i="1"/>
  <c r="H3370" i="1"/>
  <c r="G3370" i="1"/>
  <c r="F3370" i="1"/>
  <c r="E3370" i="1"/>
  <c r="D3370" i="1"/>
  <c r="C3370" i="1"/>
  <c r="B3370" i="1"/>
  <c r="A3370" i="1"/>
  <c r="K3369" i="1"/>
  <c r="I3369" i="1"/>
  <c r="H3369" i="1"/>
  <c r="G3369" i="1"/>
  <c r="F3369" i="1"/>
  <c r="E3369" i="1"/>
  <c r="D3369" i="1"/>
  <c r="C3369" i="1"/>
  <c r="B3369" i="1"/>
  <c r="A3369" i="1"/>
  <c r="K3368" i="1"/>
  <c r="I3368" i="1"/>
  <c r="H3368" i="1"/>
  <c r="G3368" i="1"/>
  <c r="F3368" i="1"/>
  <c r="E3368" i="1"/>
  <c r="D3368" i="1"/>
  <c r="C3368" i="1"/>
  <c r="B3368" i="1"/>
  <c r="A3368" i="1"/>
  <c r="K3367" i="1"/>
  <c r="I3367" i="1"/>
  <c r="H3367" i="1"/>
  <c r="G3367" i="1"/>
  <c r="F3367" i="1"/>
  <c r="E3367" i="1"/>
  <c r="D3367" i="1"/>
  <c r="C3367" i="1"/>
  <c r="B3367" i="1"/>
  <c r="A3367" i="1"/>
  <c r="K3366" i="1"/>
  <c r="I3366" i="1"/>
  <c r="H3366" i="1"/>
  <c r="G3366" i="1"/>
  <c r="F3366" i="1"/>
  <c r="E3366" i="1"/>
  <c r="D3366" i="1"/>
  <c r="C3366" i="1"/>
  <c r="B3366" i="1"/>
  <c r="A3366" i="1"/>
  <c r="K3365" i="1"/>
  <c r="I3365" i="1"/>
  <c r="H3365" i="1"/>
  <c r="G3365" i="1"/>
  <c r="F3365" i="1"/>
  <c r="E3365" i="1"/>
  <c r="D3365" i="1"/>
  <c r="C3365" i="1"/>
  <c r="B3365" i="1"/>
  <c r="A3365" i="1"/>
  <c r="K3364" i="1"/>
  <c r="I3364" i="1"/>
  <c r="H3364" i="1"/>
  <c r="G3364" i="1"/>
  <c r="F3364" i="1"/>
  <c r="E3364" i="1"/>
  <c r="D3364" i="1"/>
  <c r="C3364" i="1"/>
  <c r="B3364" i="1"/>
  <c r="A3364" i="1"/>
  <c r="K3363" i="1"/>
  <c r="I3363" i="1"/>
  <c r="H3363" i="1"/>
  <c r="G3363" i="1"/>
  <c r="F3363" i="1"/>
  <c r="E3363" i="1"/>
  <c r="D3363" i="1"/>
  <c r="C3363" i="1"/>
  <c r="B3363" i="1"/>
  <c r="A3363" i="1"/>
  <c r="K3362" i="1"/>
  <c r="I3362" i="1"/>
  <c r="H3362" i="1"/>
  <c r="G3362" i="1"/>
  <c r="F3362" i="1"/>
  <c r="E3362" i="1"/>
  <c r="D3362" i="1"/>
  <c r="C3362" i="1"/>
  <c r="B3362" i="1"/>
  <c r="A3362" i="1"/>
  <c r="K3361" i="1"/>
  <c r="I3361" i="1"/>
  <c r="H3361" i="1"/>
  <c r="G3361" i="1"/>
  <c r="F3361" i="1"/>
  <c r="E3361" i="1"/>
  <c r="D3361" i="1"/>
  <c r="C3361" i="1"/>
  <c r="B3361" i="1"/>
  <c r="A3361" i="1"/>
  <c r="K3360" i="1"/>
  <c r="I3360" i="1"/>
  <c r="H3360" i="1"/>
  <c r="G3360" i="1"/>
  <c r="F3360" i="1"/>
  <c r="E3360" i="1"/>
  <c r="D3360" i="1"/>
  <c r="C3360" i="1"/>
  <c r="B3360" i="1"/>
  <c r="A3360" i="1"/>
  <c r="K3359" i="1"/>
  <c r="I3359" i="1"/>
  <c r="H3359" i="1"/>
  <c r="G3359" i="1"/>
  <c r="F3359" i="1"/>
  <c r="E3359" i="1"/>
  <c r="D3359" i="1"/>
  <c r="C3359" i="1"/>
  <c r="B3359" i="1"/>
  <c r="A3359" i="1"/>
  <c r="K3358" i="1"/>
  <c r="I3358" i="1"/>
  <c r="H3358" i="1"/>
  <c r="G3358" i="1"/>
  <c r="F3358" i="1"/>
  <c r="E3358" i="1"/>
  <c r="D3358" i="1"/>
  <c r="C3358" i="1"/>
  <c r="B3358" i="1"/>
  <c r="A3358" i="1"/>
  <c r="K3357" i="1"/>
  <c r="I3357" i="1"/>
  <c r="H3357" i="1"/>
  <c r="G3357" i="1"/>
  <c r="F3357" i="1"/>
  <c r="E3357" i="1"/>
  <c r="D3357" i="1"/>
  <c r="C3357" i="1"/>
  <c r="B3357" i="1"/>
  <c r="A3357" i="1"/>
  <c r="K3356" i="1"/>
  <c r="I3356" i="1"/>
  <c r="H3356" i="1"/>
  <c r="G3356" i="1"/>
  <c r="F3356" i="1"/>
  <c r="E3356" i="1"/>
  <c r="D3356" i="1"/>
  <c r="C3356" i="1"/>
  <c r="B3356" i="1"/>
  <c r="A3356" i="1"/>
  <c r="K3355" i="1"/>
  <c r="I3355" i="1"/>
  <c r="H3355" i="1"/>
  <c r="G3355" i="1"/>
  <c r="F3355" i="1"/>
  <c r="E3355" i="1"/>
  <c r="D3355" i="1"/>
  <c r="C3355" i="1"/>
  <c r="B3355" i="1"/>
  <c r="A3355" i="1"/>
  <c r="K3354" i="1"/>
  <c r="I3354" i="1"/>
  <c r="H3354" i="1"/>
  <c r="G3354" i="1"/>
  <c r="F3354" i="1"/>
  <c r="E3354" i="1"/>
  <c r="D3354" i="1"/>
  <c r="C3354" i="1"/>
  <c r="B3354" i="1"/>
  <c r="A3354" i="1"/>
  <c r="K3353" i="1"/>
  <c r="I3353" i="1"/>
  <c r="H3353" i="1"/>
  <c r="G3353" i="1"/>
  <c r="F3353" i="1"/>
  <c r="E3353" i="1"/>
  <c r="D3353" i="1"/>
  <c r="C3353" i="1"/>
  <c r="B3353" i="1"/>
  <c r="A3353" i="1"/>
  <c r="K3352" i="1"/>
  <c r="I3352" i="1"/>
  <c r="H3352" i="1"/>
  <c r="G3352" i="1"/>
  <c r="F3352" i="1"/>
  <c r="E3352" i="1"/>
  <c r="D3352" i="1"/>
  <c r="C3352" i="1"/>
  <c r="B3352" i="1"/>
  <c r="A3352" i="1"/>
  <c r="K3351" i="1"/>
  <c r="I3351" i="1"/>
  <c r="H3351" i="1"/>
  <c r="G3351" i="1"/>
  <c r="F3351" i="1"/>
  <c r="E3351" i="1"/>
  <c r="D3351" i="1"/>
  <c r="C3351" i="1"/>
  <c r="B3351" i="1"/>
  <c r="A3351" i="1"/>
  <c r="K3350" i="1"/>
  <c r="I3350" i="1"/>
  <c r="H3350" i="1"/>
  <c r="G3350" i="1"/>
  <c r="F3350" i="1"/>
  <c r="E3350" i="1"/>
  <c r="D3350" i="1"/>
  <c r="C3350" i="1"/>
  <c r="B3350" i="1"/>
  <c r="A3350" i="1"/>
  <c r="K3349" i="1"/>
  <c r="I3349" i="1"/>
  <c r="H3349" i="1"/>
  <c r="G3349" i="1"/>
  <c r="F3349" i="1"/>
  <c r="E3349" i="1"/>
  <c r="D3349" i="1"/>
  <c r="C3349" i="1"/>
  <c r="B3349" i="1"/>
  <c r="A3349" i="1"/>
  <c r="K3348" i="1"/>
  <c r="I3348" i="1"/>
  <c r="H3348" i="1"/>
  <c r="G3348" i="1"/>
  <c r="F3348" i="1"/>
  <c r="E3348" i="1"/>
  <c r="D3348" i="1"/>
  <c r="C3348" i="1"/>
  <c r="B3348" i="1"/>
  <c r="A3348" i="1"/>
  <c r="K3347" i="1"/>
  <c r="I3347" i="1"/>
  <c r="H3347" i="1"/>
  <c r="G3347" i="1"/>
  <c r="F3347" i="1"/>
  <c r="E3347" i="1"/>
  <c r="D3347" i="1"/>
  <c r="C3347" i="1"/>
  <c r="B3347" i="1"/>
  <c r="A3347" i="1"/>
  <c r="K3346" i="1"/>
  <c r="I3346" i="1"/>
  <c r="H3346" i="1"/>
  <c r="G3346" i="1"/>
  <c r="F3346" i="1"/>
  <c r="E3346" i="1"/>
  <c r="D3346" i="1"/>
  <c r="C3346" i="1"/>
  <c r="B3346" i="1"/>
  <c r="A3346" i="1"/>
  <c r="K3345" i="1"/>
  <c r="I3345" i="1"/>
  <c r="H3345" i="1"/>
  <c r="G3345" i="1"/>
  <c r="F3345" i="1"/>
  <c r="E3345" i="1"/>
  <c r="D3345" i="1"/>
  <c r="C3345" i="1"/>
  <c r="B3345" i="1"/>
  <c r="A3345" i="1"/>
  <c r="K3344" i="1"/>
  <c r="I3344" i="1"/>
  <c r="H3344" i="1"/>
  <c r="G3344" i="1"/>
  <c r="F3344" i="1"/>
  <c r="E3344" i="1"/>
  <c r="D3344" i="1"/>
  <c r="C3344" i="1"/>
  <c r="B3344" i="1"/>
  <c r="A3344" i="1"/>
  <c r="K3343" i="1"/>
  <c r="I3343" i="1"/>
  <c r="H3343" i="1"/>
  <c r="G3343" i="1"/>
  <c r="F3343" i="1"/>
  <c r="E3343" i="1"/>
  <c r="D3343" i="1"/>
  <c r="C3343" i="1"/>
  <c r="B3343" i="1"/>
  <c r="A3343" i="1"/>
  <c r="K3342" i="1"/>
  <c r="J3342" i="1"/>
  <c r="I3342" i="1"/>
  <c r="H3342" i="1"/>
  <c r="G3342" i="1"/>
  <c r="F3342" i="1"/>
  <c r="E3342" i="1"/>
  <c r="D3342" i="1"/>
  <c r="C3342" i="1"/>
  <c r="B3342" i="1"/>
  <c r="A3342" i="1"/>
  <c r="K3341" i="1"/>
  <c r="J3341" i="1"/>
  <c r="H3341" i="1"/>
  <c r="G3341" i="1"/>
  <c r="F3341" i="1"/>
  <c r="E3341" i="1"/>
  <c r="D3341" i="1"/>
  <c r="C3341" i="1"/>
  <c r="B3341" i="1"/>
  <c r="A3341" i="1"/>
  <c r="K3340" i="1"/>
  <c r="I3340" i="1"/>
  <c r="H3340" i="1"/>
  <c r="G3340" i="1"/>
  <c r="F3340" i="1"/>
  <c r="E3340" i="1"/>
  <c r="D3340" i="1"/>
  <c r="C3340" i="1"/>
  <c r="B3340" i="1"/>
  <c r="A3340" i="1"/>
  <c r="K3339" i="1"/>
  <c r="I3339" i="1"/>
  <c r="H3339" i="1"/>
  <c r="G3339" i="1"/>
  <c r="F3339" i="1"/>
  <c r="E3339" i="1"/>
  <c r="D3339" i="1"/>
  <c r="C3339" i="1"/>
  <c r="B3339" i="1"/>
  <c r="A3339" i="1"/>
  <c r="K3338" i="1"/>
  <c r="J3338" i="1"/>
  <c r="H3338" i="1"/>
  <c r="G3338" i="1"/>
  <c r="F3338" i="1"/>
  <c r="E3338" i="1"/>
  <c r="D3338" i="1"/>
  <c r="C3338" i="1"/>
  <c r="B3338" i="1"/>
  <c r="A3338" i="1"/>
  <c r="K3337" i="1"/>
  <c r="J3337" i="1"/>
  <c r="H3337" i="1"/>
  <c r="G3337" i="1"/>
  <c r="F3337" i="1"/>
  <c r="E3337" i="1"/>
  <c r="D3337" i="1"/>
  <c r="C3337" i="1"/>
  <c r="B3337" i="1"/>
  <c r="A3337" i="1"/>
  <c r="K3336" i="1"/>
  <c r="I3336" i="1"/>
  <c r="H3336" i="1"/>
  <c r="G3336" i="1"/>
  <c r="F3336" i="1"/>
  <c r="E3336" i="1"/>
  <c r="D3336" i="1"/>
  <c r="C3336" i="1"/>
  <c r="B3336" i="1"/>
  <c r="A3336" i="1"/>
  <c r="K3335" i="1"/>
  <c r="I3335" i="1"/>
  <c r="H3335" i="1"/>
  <c r="G3335" i="1"/>
  <c r="F3335" i="1"/>
  <c r="E3335" i="1"/>
  <c r="D3335" i="1"/>
  <c r="C3335" i="1"/>
  <c r="B3335" i="1"/>
  <c r="A3335" i="1"/>
  <c r="K3334" i="1"/>
  <c r="I3334" i="1"/>
  <c r="H3334" i="1"/>
  <c r="G3334" i="1"/>
  <c r="F3334" i="1"/>
  <c r="E3334" i="1"/>
  <c r="D3334" i="1"/>
  <c r="C3334" i="1"/>
  <c r="B3334" i="1"/>
  <c r="A3334" i="1"/>
  <c r="K3333" i="1"/>
  <c r="I3333" i="1"/>
  <c r="H3333" i="1"/>
  <c r="G3333" i="1"/>
  <c r="F3333" i="1"/>
  <c r="E3333" i="1"/>
  <c r="D3333" i="1"/>
  <c r="C3333" i="1"/>
  <c r="B3333" i="1"/>
  <c r="A3333" i="1"/>
  <c r="K3332" i="1"/>
  <c r="I3332" i="1"/>
  <c r="H3332" i="1"/>
  <c r="G3332" i="1"/>
  <c r="F3332" i="1"/>
  <c r="E3332" i="1"/>
  <c r="D3332" i="1"/>
  <c r="C3332" i="1"/>
  <c r="B3332" i="1"/>
  <c r="A3332" i="1"/>
  <c r="K3331" i="1"/>
  <c r="I3331" i="1"/>
  <c r="H3331" i="1"/>
  <c r="G3331" i="1"/>
  <c r="F3331" i="1"/>
  <c r="E3331" i="1"/>
  <c r="D3331" i="1"/>
  <c r="C3331" i="1"/>
  <c r="B3331" i="1"/>
  <c r="A3331" i="1"/>
  <c r="K3330" i="1"/>
  <c r="I3330" i="1"/>
  <c r="H3330" i="1"/>
  <c r="G3330" i="1"/>
  <c r="F3330" i="1"/>
  <c r="E3330" i="1"/>
  <c r="D3330" i="1"/>
  <c r="C3330" i="1"/>
  <c r="B3330" i="1"/>
  <c r="A3330" i="1"/>
  <c r="K3329" i="1"/>
  <c r="I3329" i="1"/>
  <c r="H3329" i="1"/>
  <c r="G3329" i="1"/>
  <c r="F3329" i="1"/>
  <c r="E3329" i="1"/>
  <c r="D3329" i="1"/>
  <c r="C3329" i="1"/>
  <c r="B3329" i="1"/>
  <c r="A3329" i="1"/>
  <c r="K3328" i="1"/>
  <c r="I3328" i="1"/>
  <c r="H3328" i="1"/>
  <c r="G3328" i="1"/>
  <c r="F3328" i="1"/>
  <c r="E3328" i="1"/>
  <c r="D3328" i="1"/>
  <c r="C3328" i="1"/>
  <c r="B3328" i="1"/>
  <c r="A3328" i="1"/>
  <c r="K3327" i="1"/>
  <c r="I3327" i="1"/>
  <c r="H3327" i="1"/>
  <c r="G3327" i="1"/>
  <c r="F3327" i="1"/>
  <c r="E3327" i="1"/>
  <c r="D3327" i="1"/>
  <c r="C3327" i="1"/>
  <c r="B3327" i="1"/>
  <c r="A3327" i="1"/>
  <c r="K3326" i="1"/>
  <c r="I3326" i="1"/>
  <c r="H3326" i="1"/>
  <c r="G3326" i="1"/>
  <c r="F3326" i="1"/>
  <c r="E3326" i="1"/>
  <c r="D3326" i="1"/>
  <c r="C3326" i="1"/>
  <c r="B3326" i="1"/>
  <c r="A3326" i="1"/>
  <c r="K3325" i="1"/>
  <c r="I3325" i="1"/>
  <c r="H3325" i="1"/>
  <c r="G3325" i="1"/>
  <c r="F3325" i="1"/>
  <c r="E3325" i="1"/>
  <c r="D3325" i="1"/>
  <c r="C3325" i="1"/>
  <c r="B3325" i="1"/>
  <c r="A3325" i="1"/>
  <c r="K3324" i="1"/>
  <c r="I3324" i="1"/>
  <c r="H3324" i="1"/>
  <c r="G3324" i="1"/>
  <c r="F3324" i="1"/>
  <c r="E3324" i="1"/>
  <c r="D3324" i="1"/>
  <c r="C3324" i="1"/>
  <c r="B3324" i="1"/>
  <c r="A3324" i="1"/>
  <c r="K3323" i="1"/>
  <c r="I3323" i="1"/>
  <c r="H3323" i="1"/>
  <c r="G3323" i="1"/>
  <c r="F3323" i="1"/>
  <c r="E3323" i="1"/>
  <c r="D3323" i="1"/>
  <c r="C3323" i="1"/>
  <c r="B3323" i="1"/>
  <c r="A3323" i="1"/>
  <c r="K3322" i="1"/>
  <c r="I3322" i="1"/>
  <c r="H3322" i="1"/>
  <c r="G3322" i="1"/>
  <c r="F3322" i="1"/>
  <c r="E3322" i="1"/>
  <c r="D3322" i="1"/>
  <c r="C3322" i="1"/>
  <c r="B3322" i="1"/>
  <c r="A3322" i="1"/>
  <c r="K3321" i="1"/>
  <c r="I3321" i="1"/>
  <c r="H3321" i="1"/>
  <c r="G3321" i="1"/>
  <c r="F3321" i="1"/>
  <c r="E3321" i="1"/>
  <c r="D3321" i="1"/>
  <c r="C3321" i="1"/>
  <c r="B3321" i="1"/>
  <c r="A3321" i="1"/>
  <c r="K3320" i="1"/>
  <c r="I3320" i="1"/>
  <c r="H3320" i="1"/>
  <c r="G3320" i="1"/>
  <c r="F3320" i="1"/>
  <c r="E3320" i="1"/>
  <c r="D3320" i="1"/>
  <c r="C3320" i="1"/>
  <c r="B3320" i="1"/>
  <c r="A3320" i="1"/>
  <c r="K3319" i="1"/>
  <c r="I3319" i="1"/>
  <c r="H3319" i="1"/>
  <c r="G3319" i="1"/>
  <c r="F3319" i="1"/>
  <c r="E3319" i="1"/>
  <c r="D3319" i="1"/>
  <c r="C3319" i="1"/>
  <c r="B3319" i="1"/>
  <c r="A3319" i="1"/>
  <c r="K3318" i="1"/>
  <c r="I3318" i="1"/>
  <c r="H3318" i="1"/>
  <c r="G3318" i="1"/>
  <c r="F3318" i="1"/>
  <c r="E3318" i="1"/>
  <c r="D3318" i="1"/>
  <c r="C3318" i="1"/>
  <c r="B3318" i="1"/>
  <c r="A3318" i="1"/>
  <c r="K3317" i="1"/>
  <c r="I3317" i="1"/>
  <c r="H3317" i="1"/>
  <c r="G3317" i="1"/>
  <c r="F3317" i="1"/>
  <c r="E3317" i="1"/>
  <c r="D3317" i="1"/>
  <c r="C3317" i="1"/>
  <c r="B3317" i="1"/>
  <c r="A3317" i="1"/>
  <c r="K3316" i="1"/>
  <c r="I3316" i="1"/>
  <c r="H3316" i="1"/>
  <c r="G3316" i="1"/>
  <c r="F3316" i="1"/>
  <c r="E3316" i="1"/>
  <c r="D3316" i="1"/>
  <c r="C3316" i="1"/>
  <c r="B3316" i="1"/>
  <c r="A3316" i="1"/>
  <c r="K3315" i="1"/>
  <c r="J3315" i="1"/>
  <c r="H3315" i="1"/>
  <c r="G3315" i="1"/>
  <c r="F3315" i="1"/>
  <c r="E3315" i="1"/>
  <c r="D3315" i="1"/>
  <c r="C3315" i="1"/>
  <c r="B3315" i="1"/>
  <c r="A3315" i="1"/>
  <c r="K3314" i="1"/>
  <c r="I3314" i="1"/>
  <c r="H3314" i="1"/>
  <c r="G3314" i="1"/>
  <c r="F3314" i="1"/>
  <c r="E3314" i="1"/>
  <c r="D3314" i="1"/>
  <c r="C3314" i="1"/>
  <c r="B3314" i="1"/>
  <c r="A3314" i="1"/>
  <c r="K3313" i="1"/>
  <c r="I3313" i="1"/>
  <c r="H3313" i="1"/>
  <c r="G3313" i="1"/>
  <c r="F3313" i="1"/>
  <c r="E3313" i="1"/>
  <c r="D3313" i="1"/>
  <c r="C3313" i="1"/>
  <c r="B3313" i="1"/>
  <c r="A3313" i="1"/>
  <c r="K3312" i="1"/>
  <c r="I3312" i="1"/>
  <c r="H3312" i="1"/>
  <c r="G3312" i="1"/>
  <c r="F3312" i="1"/>
  <c r="E3312" i="1"/>
  <c r="D3312" i="1"/>
  <c r="C3312" i="1"/>
  <c r="B3312" i="1"/>
  <c r="A3312" i="1"/>
  <c r="K3311" i="1"/>
  <c r="I3311" i="1"/>
  <c r="H3311" i="1"/>
  <c r="G3311" i="1"/>
  <c r="F3311" i="1"/>
  <c r="E3311" i="1"/>
  <c r="D3311" i="1"/>
  <c r="C3311" i="1"/>
  <c r="B3311" i="1"/>
  <c r="A3311" i="1"/>
  <c r="K3310" i="1"/>
  <c r="I3310" i="1"/>
  <c r="H3310" i="1"/>
  <c r="G3310" i="1"/>
  <c r="F3310" i="1"/>
  <c r="E3310" i="1"/>
  <c r="D3310" i="1"/>
  <c r="C3310" i="1"/>
  <c r="B3310" i="1"/>
  <c r="A3310" i="1"/>
  <c r="K3309" i="1"/>
  <c r="I3309" i="1"/>
  <c r="H3309" i="1"/>
  <c r="G3309" i="1"/>
  <c r="F3309" i="1"/>
  <c r="E3309" i="1"/>
  <c r="D3309" i="1"/>
  <c r="C3309" i="1"/>
  <c r="B3309" i="1"/>
  <c r="A3309" i="1"/>
  <c r="K3308" i="1"/>
  <c r="I3308" i="1"/>
  <c r="H3308" i="1"/>
  <c r="G3308" i="1"/>
  <c r="F3308" i="1"/>
  <c r="E3308" i="1"/>
  <c r="D3308" i="1"/>
  <c r="C3308" i="1"/>
  <c r="B3308" i="1"/>
  <c r="A3308" i="1"/>
  <c r="K3307" i="1"/>
  <c r="I3307" i="1"/>
  <c r="H3307" i="1"/>
  <c r="G3307" i="1"/>
  <c r="F3307" i="1"/>
  <c r="E3307" i="1"/>
  <c r="D3307" i="1"/>
  <c r="C3307" i="1"/>
  <c r="B3307" i="1"/>
  <c r="A3307" i="1"/>
  <c r="K3306" i="1"/>
  <c r="I3306" i="1"/>
  <c r="H3306" i="1"/>
  <c r="G3306" i="1"/>
  <c r="F3306" i="1"/>
  <c r="E3306" i="1"/>
  <c r="D3306" i="1"/>
  <c r="C3306" i="1"/>
  <c r="B3306" i="1"/>
  <c r="A3306" i="1"/>
  <c r="K3305" i="1"/>
  <c r="I3305" i="1"/>
  <c r="H3305" i="1"/>
  <c r="G3305" i="1"/>
  <c r="F3305" i="1"/>
  <c r="E3305" i="1"/>
  <c r="D3305" i="1"/>
  <c r="C3305" i="1"/>
  <c r="B3305" i="1"/>
  <c r="A3305" i="1"/>
  <c r="K3304" i="1"/>
  <c r="J3304" i="1"/>
  <c r="I3304" i="1"/>
  <c r="H3304" i="1"/>
  <c r="G3304" i="1"/>
  <c r="F3304" i="1"/>
  <c r="E3304" i="1"/>
  <c r="D3304" i="1"/>
  <c r="C3304" i="1"/>
  <c r="B3304" i="1"/>
  <c r="A3304" i="1"/>
  <c r="K3303" i="1"/>
  <c r="I3303" i="1"/>
  <c r="H3303" i="1"/>
  <c r="G3303" i="1"/>
  <c r="F3303" i="1"/>
  <c r="E3303" i="1"/>
  <c r="D3303" i="1"/>
  <c r="C3303" i="1"/>
  <c r="B3303" i="1"/>
  <c r="A3303" i="1"/>
  <c r="K3302" i="1"/>
  <c r="I3302" i="1"/>
  <c r="H3302" i="1"/>
  <c r="G3302" i="1"/>
  <c r="F3302" i="1"/>
  <c r="E3302" i="1"/>
  <c r="D3302" i="1"/>
  <c r="C3302" i="1"/>
  <c r="B3302" i="1"/>
  <c r="A3302" i="1"/>
  <c r="K3301" i="1"/>
  <c r="I3301" i="1"/>
  <c r="H3301" i="1"/>
  <c r="G3301" i="1"/>
  <c r="F3301" i="1"/>
  <c r="E3301" i="1"/>
  <c r="D3301" i="1"/>
  <c r="C3301" i="1"/>
  <c r="B3301" i="1"/>
  <c r="A3301" i="1"/>
  <c r="K3300" i="1"/>
  <c r="I3300" i="1"/>
  <c r="H3300" i="1"/>
  <c r="G3300" i="1"/>
  <c r="F3300" i="1"/>
  <c r="E3300" i="1"/>
  <c r="D3300" i="1"/>
  <c r="C3300" i="1"/>
  <c r="B3300" i="1"/>
  <c r="A3300" i="1"/>
  <c r="K3299" i="1"/>
  <c r="I3299" i="1"/>
  <c r="H3299" i="1"/>
  <c r="G3299" i="1"/>
  <c r="F3299" i="1"/>
  <c r="E3299" i="1"/>
  <c r="D3299" i="1"/>
  <c r="C3299" i="1"/>
  <c r="B3299" i="1"/>
  <c r="A3299" i="1"/>
  <c r="K3298" i="1"/>
  <c r="I3298" i="1"/>
  <c r="H3298" i="1"/>
  <c r="G3298" i="1"/>
  <c r="F3298" i="1"/>
  <c r="E3298" i="1"/>
  <c r="D3298" i="1"/>
  <c r="C3298" i="1"/>
  <c r="B3298" i="1"/>
  <c r="A3298" i="1"/>
  <c r="K3297" i="1"/>
  <c r="I3297" i="1"/>
  <c r="H3297" i="1"/>
  <c r="G3297" i="1"/>
  <c r="F3297" i="1"/>
  <c r="E3297" i="1"/>
  <c r="D3297" i="1"/>
  <c r="C3297" i="1"/>
  <c r="B3297" i="1"/>
  <c r="A3297" i="1"/>
  <c r="K3296" i="1"/>
  <c r="I3296" i="1"/>
  <c r="H3296" i="1"/>
  <c r="G3296" i="1"/>
  <c r="F3296" i="1"/>
  <c r="E3296" i="1"/>
  <c r="D3296" i="1"/>
  <c r="C3296" i="1"/>
  <c r="B3296" i="1"/>
  <c r="A3296" i="1"/>
  <c r="K3295" i="1"/>
  <c r="I3295" i="1"/>
  <c r="H3295" i="1"/>
  <c r="G3295" i="1"/>
  <c r="F3295" i="1"/>
  <c r="E3295" i="1"/>
  <c r="D3295" i="1"/>
  <c r="C3295" i="1"/>
  <c r="B3295" i="1"/>
  <c r="A3295" i="1"/>
  <c r="K3294" i="1"/>
  <c r="I3294" i="1"/>
  <c r="H3294" i="1"/>
  <c r="G3294" i="1"/>
  <c r="F3294" i="1"/>
  <c r="E3294" i="1"/>
  <c r="D3294" i="1"/>
  <c r="C3294" i="1"/>
  <c r="B3294" i="1"/>
  <c r="A3294" i="1"/>
  <c r="K3293" i="1"/>
  <c r="I3293" i="1"/>
  <c r="H3293" i="1"/>
  <c r="G3293" i="1"/>
  <c r="F3293" i="1"/>
  <c r="E3293" i="1"/>
  <c r="D3293" i="1"/>
  <c r="C3293" i="1"/>
  <c r="B3293" i="1"/>
  <c r="A3293" i="1"/>
  <c r="K3292" i="1"/>
  <c r="I3292" i="1"/>
  <c r="H3292" i="1"/>
  <c r="G3292" i="1"/>
  <c r="F3292" i="1"/>
  <c r="E3292" i="1"/>
  <c r="D3292" i="1"/>
  <c r="C3292" i="1"/>
  <c r="B3292" i="1"/>
  <c r="A3292" i="1"/>
  <c r="K3291" i="1"/>
  <c r="J3291" i="1"/>
  <c r="H3291" i="1"/>
  <c r="G3291" i="1"/>
  <c r="F3291" i="1"/>
  <c r="E3291" i="1"/>
  <c r="D3291" i="1"/>
  <c r="C3291" i="1"/>
  <c r="B3291" i="1"/>
  <c r="A3291" i="1"/>
  <c r="K3290" i="1"/>
  <c r="J3290" i="1"/>
  <c r="H3290" i="1"/>
  <c r="G3290" i="1"/>
  <c r="F3290" i="1"/>
  <c r="E3290" i="1"/>
  <c r="D3290" i="1"/>
  <c r="C3290" i="1"/>
  <c r="B3290" i="1"/>
  <c r="A3290" i="1"/>
  <c r="K3289" i="1"/>
  <c r="I3289" i="1"/>
  <c r="H3289" i="1"/>
  <c r="G3289" i="1"/>
  <c r="F3289" i="1"/>
  <c r="E3289" i="1"/>
  <c r="D3289" i="1"/>
  <c r="C3289" i="1"/>
  <c r="B3289" i="1"/>
  <c r="A3289" i="1"/>
  <c r="K3288" i="1"/>
  <c r="I3288" i="1"/>
  <c r="H3288" i="1"/>
  <c r="G3288" i="1"/>
  <c r="F3288" i="1"/>
  <c r="E3288" i="1"/>
  <c r="D3288" i="1"/>
  <c r="C3288" i="1"/>
  <c r="B3288" i="1"/>
  <c r="A3288" i="1"/>
  <c r="K3287" i="1"/>
  <c r="I3287" i="1"/>
  <c r="H3287" i="1"/>
  <c r="G3287" i="1"/>
  <c r="F3287" i="1"/>
  <c r="E3287" i="1"/>
  <c r="D3287" i="1"/>
  <c r="C3287" i="1"/>
  <c r="B3287" i="1"/>
  <c r="A3287" i="1"/>
  <c r="K3286" i="1"/>
  <c r="I3286" i="1"/>
  <c r="H3286" i="1"/>
  <c r="G3286" i="1"/>
  <c r="F3286" i="1"/>
  <c r="E3286" i="1"/>
  <c r="D3286" i="1"/>
  <c r="C3286" i="1"/>
  <c r="B3286" i="1"/>
  <c r="A3286" i="1"/>
  <c r="K3285" i="1"/>
  <c r="I3285" i="1"/>
  <c r="H3285" i="1"/>
  <c r="G3285" i="1"/>
  <c r="F3285" i="1"/>
  <c r="E3285" i="1"/>
  <c r="D3285" i="1"/>
  <c r="C3285" i="1"/>
  <c r="B3285" i="1"/>
  <c r="A3285" i="1"/>
  <c r="K3284" i="1"/>
  <c r="I3284" i="1"/>
  <c r="H3284" i="1"/>
  <c r="G3284" i="1"/>
  <c r="F3284" i="1"/>
  <c r="E3284" i="1"/>
  <c r="D3284" i="1"/>
  <c r="C3284" i="1"/>
  <c r="B3284" i="1"/>
  <c r="A3284" i="1"/>
  <c r="K3283" i="1"/>
  <c r="I3283" i="1"/>
  <c r="H3283" i="1"/>
  <c r="G3283" i="1"/>
  <c r="F3283" i="1"/>
  <c r="E3283" i="1"/>
  <c r="D3283" i="1"/>
  <c r="C3283" i="1"/>
  <c r="B3283" i="1"/>
  <c r="A3283" i="1"/>
  <c r="K3282" i="1"/>
  <c r="J3282" i="1"/>
  <c r="H3282" i="1"/>
  <c r="G3282" i="1"/>
  <c r="F3282" i="1"/>
  <c r="E3282" i="1"/>
  <c r="D3282" i="1"/>
  <c r="C3282" i="1"/>
  <c r="B3282" i="1"/>
  <c r="A3282" i="1"/>
  <c r="K3281" i="1"/>
  <c r="I3281" i="1"/>
  <c r="H3281" i="1"/>
  <c r="G3281" i="1"/>
  <c r="F3281" i="1"/>
  <c r="E3281" i="1"/>
  <c r="D3281" i="1"/>
  <c r="C3281" i="1"/>
  <c r="B3281" i="1"/>
  <c r="A3281" i="1"/>
  <c r="K3280" i="1"/>
  <c r="I3280" i="1"/>
  <c r="H3280" i="1"/>
  <c r="G3280" i="1"/>
  <c r="F3280" i="1"/>
  <c r="E3280" i="1"/>
  <c r="D3280" i="1"/>
  <c r="C3280" i="1"/>
  <c r="B3280" i="1"/>
  <c r="A3280" i="1"/>
  <c r="K3279" i="1"/>
  <c r="I3279" i="1"/>
  <c r="H3279" i="1"/>
  <c r="G3279" i="1"/>
  <c r="F3279" i="1"/>
  <c r="E3279" i="1"/>
  <c r="D3279" i="1"/>
  <c r="C3279" i="1"/>
  <c r="B3279" i="1"/>
  <c r="A3279" i="1"/>
  <c r="K3278" i="1"/>
  <c r="I3278" i="1"/>
  <c r="H3278" i="1"/>
  <c r="G3278" i="1"/>
  <c r="F3278" i="1"/>
  <c r="E3278" i="1"/>
  <c r="D3278" i="1"/>
  <c r="C3278" i="1"/>
  <c r="B3278" i="1"/>
  <c r="A3278" i="1"/>
  <c r="K3277" i="1"/>
  <c r="J3277" i="1"/>
  <c r="H3277" i="1"/>
  <c r="G3277" i="1"/>
  <c r="F3277" i="1"/>
  <c r="E3277" i="1"/>
  <c r="D3277" i="1"/>
  <c r="C3277" i="1"/>
  <c r="B3277" i="1"/>
  <c r="A3277" i="1"/>
  <c r="K3276" i="1"/>
  <c r="J3276" i="1"/>
  <c r="H3276" i="1"/>
  <c r="G3276" i="1"/>
  <c r="F3276" i="1"/>
  <c r="E3276" i="1"/>
  <c r="D3276" i="1"/>
  <c r="C3276" i="1"/>
  <c r="B3276" i="1"/>
  <c r="A3276" i="1"/>
  <c r="K3275" i="1"/>
  <c r="J3275" i="1"/>
  <c r="H3275" i="1"/>
  <c r="G3275" i="1"/>
  <c r="F3275" i="1"/>
  <c r="E3275" i="1"/>
  <c r="D3275" i="1"/>
  <c r="C3275" i="1"/>
  <c r="B3275" i="1"/>
  <c r="A3275" i="1"/>
  <c r="K3274" i="1"/>
  <c r="J3274" i="1"/>
  <c r="H3274" i="1"/>
  <c r="G3274" i="1"/>
  <c r="F3274" i="1"/>
  <c r="E3274" i="1"/>
  <c r="D3274" i="1"/>
  <c r="C3274" i="1"/>
  <c r="B3274" i="1"/>
  <c r="A3274" i="1"/>
  <c r="K3273" i="1"/>
  <c r="J3273" i="1"/>
  <c r="H3273" i="1"/>
  <c r="G3273" i="1"/>
  <c r="F3273" i="1"/>
  <c r="E3273" i="1"/>
  <c r="D3273" i="1"/>
  <c r="C3273" i="1"/>
  <c r="B3273" i="1"/>
  <c r="A3273" i="1"/>
  <c r="K3272" i="1"/>
  <c r="J3272" i="1"/>
  <c r="H3272" i="1"/>
  <c r="G3272" i="1"/>
  <c r="F3272" i="1"/>
  <c r="E3272" i="1"/>
  <c r="D3272" i="1"/>
  <c r="C3272" i="1"/>
  <c r="B3272" i="1"/>
  <c r="A3272" i="1"/>
  <c r="K3271" i="1"/>
  <c r="I3271" i="1"/>
  <c r="H3271" i="1"/>
  <c r="G3271" i="1"/>
  <c r="F3271" i="1"/>
  <c r="E3271" i="1"/>
  <c r="D3271" i="1"/>
  <c r="C3271" i="1"/>
  <c r="B3271" i="1"/>
  <c r="A3271" i="1"/>
  <c r="K3270" i="1"/>
  <c r="I3270" i="1"/>
  <c r="H3270" i="1"/>
  <c r="G3270" i="1"/>
  <c r="F3270" i="1"/>
  <c r="E3270" i="1"/>
  <c r="D3270" i="1"/>
  <c r="C3270" i="1"/>
  <c r="B3270" i="1"/>
  <c r="A3270" i="1"/>
  <c r="K3269" i="1"/>
  <c r="I3269" i="1"/>
  <c r="H3269" i="1"/>
  <c r="G3269" i="1"/>
  <c r="F3269" i="1"/>
  <c r="E3269" i="1"/>
  <c r="D3269" i="1"/>
  <c r="C3269" i="1"/>
  <c r="B3269" i="1"/>
  <c r="A3269" i="1"/>
  <c r="K3268" i="1"/>
  <c r="I3268" i="1"/>
  <c r="H3268" i="1"/>
  <c r="G3268" i="1"/>
  <c r="F3268" i="1"/>
  <c r="E3268" i="1"/>
  <c r="D3268" i="1"/>
  <c r="C3268" i="1"/>
  <c r="B3268" i="1"/>
  <c r="A3268" i="1"/>
  <c r="K3267" i="1"/>
  <c r="I3267" i="1"/>
  <c r="H3267" i="1"/>
  <c r="G3267" i="1"/>
  <c r="F3267" i="1"/>
  <c r="E3267" i="1"/>
  <c r="D3267" i="1"/>
  <c r="C3267" i="1"/>
  <c r="B3267" i="1"/>
  <c r="A3267" i="1"/>
  <c r="K3266" i="1"/>
  <c r="I3266" i="1"/>
  <c r="H3266" i="1"/>
  <c r="G3266" i="1"/>
  <c r="F3266" i="1"/>
  <c r="E3266" i="1"/>
  <c r="D3266" i="1"/>
  <c r="C3266" i="1"/>
  <c r="B3266" i="1"/>
  <c r="A3266" i="1"/>
  <c r="K3265" i="1"/>
  <c r="I3265" i="1"/>
  <c r="H3265" i="1"/>
  <c r="G3265" i="1"/>
  <c r="F3265" i="1"/>
  <c r="E3265" i="1"/>
  <c r="D3265" i="1"/>
  <c r="C3265" i="1"/>
  <c r="B3265" i="1"/>
  <c r="A3265" i="1"/>
  <c r="K3264" i="1"/>
  <c r="I3264" i="1"/>
  <c r="H3264" i="1"/>
  <c r="G3264" i="1"/>
  <c r="F3264" i="1"/>
  <c r="E3264" i="1"/>
  <c r="D3264" i="1"/>
  <c r="C3264" i="1"/>
  <c r="B3264" i="1"/>
  <c r="A3264" i="1"/>
  <c r="K3263" i="1"/>
  <c r="I3263" i="1"/>
  <c r="H3263" i="1"/>
  <c r="G3263" i="1"/>
  <c r="F3263" i="1"/>
  <c r="E3263" i="1"/>
  <c r="D3263" i="1"/>
  <c r="C3263" i="1"/>
  <c r="B3263" i="1"/>
  <c r="A3263" i="1"/>
  <c r="K3262" i="1"/>
  <c r="I3262" i="1"/>
  <c r="H3262" i="1"/>
  <c r="G3262" i="1"/>
  <c r="F3262" i="1"/>
  <c r="E3262" i="1"/>
  <c r="D3262" i="1"/>
  <c r="C3262" i="1"/>
  <c r="B3262" i="1"/>
  <c r="A3262" i="1"/>
  <c r="K3261" i="1"/>
  <c r="I3261" i="1"/>
  <c r="H3261" i="1"/>
  <c r="G3261" i="1"/>
  <c r="F3261" i="1"/>
  <c r="E3261" i="1"/>
  <c r="D3261" i="1"/>
  <c r="C3261" i="1"/>
  <c r="B3261" i="1"/>
  <c r="A3261" i="1"/>
  <c r="K3260" i="1"/>
  <c r="I3260" i="1"/>
  <c r="H3260" i="1"/>
  <c r="G3260" i="1"/>
  <c r="F3260" i="1"/>
  <c r="E3260" i="1"/>
  <c r="D3260" i="1"/>
  <c r="C3260" i="1"/>
  <c r="B3260" i="1"/>
  <c r="A3260" i="1"/>
  <c r="K3259" i="1"/>
  <c r="I3259" i="1"/>
  <c r="H3259" i="1"/>
  <c r="G3259" i="1"/>
  <c r="F3259" i="1"/>
  <c r="E3259" i="1"/>
  <c r="D3259" i="1"/>
  <c r="C3259" i="1"/>
  <c r="B3259" i="1"/>
  <c r="A3259" i="1"/>
  <c r="K3258" i="1"/>
  <c r="I3258" i="1"/>
  <c r="H3258" i="1"/>
  <c r="G3258" i="1"/>
  <c r="F3258" i="1"/>
  <c r="E3258" i="1"/>
  <c r="D3258" i="1"/>
  <c r="C3258" i="1"/>
  <c r="B3258" i="1"/>
  <c r="A3258" i="1"/>
  <c r="K3257" i="1"/>
  <c r="I3257" i="1"/>
  <c r="H3257" i="1"/>
  <c r="G3257" i="1"/>
  <c r="F3257" i="1"/>
  <c r="E3257" i="1"/>
  <c r="D3257" i="1"/>
  <c r="C3257" i="1"/>
  <c r="B3257" i="1"/>
  <c r="A3257" i="1"/>
  <c r="K3256" i="1"/>
  <c r="I3256" i="1"/>
  <c r="H3256" i="1"/>
  <c r="G3256" i="1"/>
  <c r="F3256" i="1"/>
  <c r="E3256" i="1"/>
  <c r="D3256" i="1"/>
  <c r="C3256" i="1"/>
  <c r="B3256" i="1"/>
  <c r="A3256" i="1"/>
  <c r="K3255" i="1"/>
  <c r="I3255" i="1"/>
  <c r="H3255" i="1"/>
  <c r="G3255" i="1"/>
  <c r="F3255" i="1"/>
  <c r="E3255" i="1"/>
  <c r="D3255" i="1"/>
  <c r="C3255" i="1"/>
  <c r="B3255" i="1"/>
  <c r="A3255" i="1"/>
  <c r="K3254" i="1"/>
  <c r="I3254" i="1"/>
  <c r="H3254" i="1"/>
  <c r="G3254" i="1"/>
  <c r="F3254" i="1"/>
  <c r="E3254" i="1"/>
  <c r="D3254" i="1"/>
  <c r="C3254" i="1"/>
  <c r="B3254" i="1"/>
  <c r="A3254" i="1"/>
  <c r="K3253" i="1"/>
  <c r="I3253" i="1"/>
  <c r="H3253" i="1"/>
  <c r="G3253" i="1"/>
  <c r="F3253" i="1"/>
  <c r="E3253" i="1"/>
  <c r="D3253" i="1"/>
  <c r="C3253" i="1"/>
  <c r="B3253" i="1"/>
  <c r="A3253" i="1"/>
  <c r="K3252" i="1"/>
  <c r="I3252" i="1"/>
  <c r="H3252" i="1"/>
  <c r="G3252" i="1"/>
  <c r="F3252" i="1"/>
  <c r="E3252" i="1"/>
  <c r="D3252" i="1"/>
  <c r="C3252" i="1"/>
  <c r="B3252" i="1"/>
  <c r="A3252" i="1"/>
  <c r="K3251" i="1"/>
  <c r="I3251" i="1"/>
  <c r="H3251" i="1"/>
  <c r="G3251" i="1"/>
  <c r="F3251" i="1"/>
  <c r="E3251" i="1"/>
  <c r="D3251" i="1"/>
  <c r="C3251" i="1"/>
  <c r="B3251" i="1"/>
  <c r="A3251" i="1"/>
  <c r="K3250" i="1"/>
  <c r="I3250" i="1"/>
  <c r="H3250" i="1"/>
  <c r="G3250" i="1"/>
  <c r="F3250" i="1"/>
  <c r="E3250" i="1"/>
  <c r="D3250" i="1"/>
  <c r="C3250" i="1"/>
  <c r="B3250" i="1"/>
  <c r="A3250" i="1"/>
  <c r="K3249" i="1"/>
  <c r="I3249" i="1"/>
  <c r="H3249" i="1"/>
  <c r="G3249" i="1"/>
  <c r="F3249" i="1"/>
  <c r="E3249" i="1"/>
  <c r="D3249" i="1"/>
  <c r="C3249" i="1"/>
  <c r="B3249" i="1"/>
  <c r="A3249" i="1"/>
  <c r="K3248" i="1"/>
  <c r="I3248" i="1"/>
  <c r="H3248" i="1"/>
  <c r="G3248" i="1"/>
  <c r="F3248" i="1"/>
  <c r="E3248" i="1"/>
  <c r="D3248" i="1"/>
  <c r="C3248" i="1"/>
  <c r="B3248" i="1"/>
  <c r="A3248" i="1"/>
  <c r="K3247" i="1"/>
  <c r="I3247" i="1"/>
  <c r="H3247" i="1"/>
  <c r="G3247" i="1"/>
  <c r="F3247" i="1"/>
  <c r="E3247" i="1"/>
  <c r="D3247" i="1"/>
  <c r="C3247" i="1"/>
  <c r="B3247" i="1"/>
  <c r="A3247" i="1"/>
  <c r="K3246" i="1"/>
  <c r="I3246" i="1"/>
  <c r="H3246" i="1"/>
  <c r="G3246" i="1"/>
  <c r="F3246" i="1"/>
  <c r="E3246" i="1"/>
  <c r="D3246" i="1"/>
  <c r="C3246" i="1"/>
  <c r="B3246" i="1"/>
  <c r="A3246" i="1"/>
  <c r="K3245" i="1"/>
  <c r="I3245" i="1"/>
  <c r="H3245" i="1"/>
  <c r="G3245" i="1"/>
  <c r="F3245" i="1"/>
  <c r="E3245" i="1"/>
  <c r="D3245" i="1"/>
  <c r="C3245" i="1"/>
  <c r="B3245" i="1"/>
  <c r="A3245" i="1"/>
  <c r="K3244" i="1"/>
  <c r="I3244" i="1"/>
  <c r="H3244" i="1"/>
  <c r="G3244" i="1"/>
  <c r="F3244" i="1"/>
  <c r="E3244" i="1"/>
  <c r="D3244" i="1"/>
  <c r="C3244" i="1"/>
  <c r="B3244" i="1"/>
  <c r="A3244" i="1"/>
  <c r="K3243" i="1"/>
  <c r="I3243" i="1"/>
  <c r="H3243" i="1"/>
  <c r="G3243" i="1"/>
  <c r="F3243" i="1"/>
  <c r="E3243" i="1"/>
  <c r="D3243" i="1"/>
  <c r="C3243" i="1"/>
  <c r="B3243" i="1"/>
  <c r="A3243" i="1"/>
  <c r="K3242" i="1"/>
  <c r="I3242" i="1"/>
  <c r="H3242" i="1"/>
  <c r="G3242" i="1"/>
  <c r="F3242" i="1"/>
  <c r="E3242" i="1"/>
  <c r="D3242" i="1"/>
  <c r="C3242" i="1"/>
  <c r="B3242" i="1"/>
  <c r="A3242" i="1"/>
  <c r="K3241" i="1"/>
  <c r="I3241" i="1"/>
  <c r="H3241" i="1"/>
  <c r="G3241" i="1"/>
  <c r="F3241" i="1"/>
  <c r="E3241" i="1"/>
  <c r="D3241" i="1"/>
  <c r="C3241" i="1"/>
  <c r="B3241" i="1"/>
  <c r="A3241" i="1"/>
  <c r="K3240" i="1"/>
  <c r="I3240" i="1"/>
  <c r="H3240" i="1"/>
  <c r="G3240" i="1"/>
  <c r="F3240" i="1"/>
  <c r="E3240" i="1"/>
  <c r="D3240" i="1"/>
  <c r="C3240" i="1"/>
  <c r="B3240" i="1"/>
  <c r="A3240" i="1"/>
  <c r="K3239" i="1"/>
  <c r="I3239" i="1"/>
  <c r="H3239" i="1"/>
  <c r="G3239" i="1"/>
  <c r="F3239" i="1"/>
  <c r="E3239" i="1"/>
  <c r="D3239" i="1"/>
  <c r="C3239" i="1"/>
  <c r="B3239" i="1"/>
  <c r="A3239" i="1"/>
  <c r="K3238" i="1"/>
  <c r="I3238" i="1"/>
  <c r="H3238" i="1"/>
  <c r="G3238" i="1"/>
  <c r="F3238" i="1"/>
  <c r="E3238" i="1"/>
  <c r="D3238" i="1"/>
  <c r="C3238" i="1"/>
  <c r="B3238" i="1"/>
  <c r="A3238" i="1"/>
  <c r="K3237" i="1"/>
  <c r="I3237" i="1"/>
  <c r="H3237" i="1"/>
  <c r="G3237" i="1"/>
  <c r="F3237" i="1"/>
  <c r="E3237" i="1"/>
  <c r="D3237" i="1"/>
  <c r="C3237" i="1"/>
  <c r="B3237" i="1"/>
  <c r="A3237" i="1"/>
  <c r="K3236" i="1"/>
  <c r="I3236" i="1"/>
  <c r="H3236" i="1"/>
  <c r="G3236" i="1"/>
  <c r="F3236" i="1"/>
  <c r="E3236" i="1"/>
  <c r="D3236" i="1"/>
  <c r="C3236" i="1"/>
  <c r="B3236" i="1"/>
  <c r="A3236" i="1"/>
  <c r="K3235" i="1"/>
  <c r="I3235" i="1"/>
  <c r="H3235" i="1"/>
  <c r="G3235" i="1"/>
  <c r="F3235" i="1"/>
  <c r="E3235" i="1"/>
  <c r="D3235" i="1"/>
  <c r="C3235" i="1"/>
  <c r="B3235" i="1"/>
  <c r="A3235" i="1"/>
  <c r="K3234" i="1"/>
  <c r="I3234" i="1"/>
  <c r="H3234" i="1"/>
  <c r="G3234" i="1"/>
  <c r="F3234" i="1"/>
  <c r="E3234" i="1"/>
  <c r="D3234" i="1"/>
  <c r="C3234" i="1"/>
  <c r="B3234" i="1"/>
  <c r="A3234" i="1"/>
  <c r="K3233" i="1"/>
  <c r="I3233" i="1"/>
  <c r="H3233" i="1"/>
  <c r="G3233" i="1"/>
  <c r="F3233" i="1"/>
  <c r="E3233" i="1"/>
  <c r="D3233" i="1"/>
  <c r="C3233" i="1"/>
  <c r="B3233" i="1"/>
  <c r="A3233" i="1"/>
  <c r="K3232" i="1"/>
  <c r="I3232" i="1"/>
  <c r="H3232" i="1"/>
  <c r="G3232" i="1"/>
  <c r="F3232" i="1"/>
  <c r="E3232" i="1"/>
  <c r="D3232" i="1"/>
  <c r="C3232" i="1"/>
  <c r="B3232" i="1"/>
  <c r="A3232" i="1"/>
  <c r="K3231" i="1"/>
  <c r="I3231" i="1"/>
  <c r="H3231" i="1"/>
  <c r="G3231" i="1"/>
  <c r="F3231" i="1"/>
  <c r="E3231" i="1"/>
  <c r="D3231" i="1"/>
  <c r="C3231" i="1"/>
  <c r="B3231" i="1"/>
  <c r="A3231" i="1"/>
  <c r="K3230" i="1"/>
  <c r="I3230" i="1"/>
  <c r="H3230" i="1"/>
  <c r="G3230" i="1"/>
  <c r="F3230" i="1"/>
  <c r="E3230" i="1"/>
  <c r="D3230" i="1"/>
  <c r="C3230" i="1"/>
  <c r="B3230" i="1"/>
  <c r="A3230" i="1"/>
  <c r="K3229" i="1"/>
  <c r="I3229" i="1"/>
  <c r="H3229" i="1"/>
  <c r="G3229" i="1"/>
  <c r="F3229" i="1"/>
  <c r="E3229" i="1"/>
  <c r="D3229" i="1"/>
  <c r="C3229" i="1"/>
  <c r="B3229" i="1"/>
  <c r="A3229" i="1"/>
  <c r="K3228" i="1"/>
  <c r="I3228" i="1"/>
  <c r="H3228" i="1"/>
  <c r="G3228" i="1"/>
  <c r="F3228" i="1"/>
  <c r="E3228" i="1"/>
  <c r="D3228" i="1"/>
  <c r="C3228" i="1"/>
  <c r="B3228" i="1"/>
  <c r="A3228" i="1"/>
  <c r="K3227" i="1"/>
  <c r="I3227" i="1"/>
  <c r="H3227" i="1"/>
  <c r="G3227" i="1"/>
  <c r="F3227" i="1"/>
  <c r="E3227" i="1"/>
  <c r="D3227" i="1"/>
  <c r="C3227" i="1"/>
  <c r="B3227" i="1"/>
  <c r="A3227" i="1"/>
  <c r="K3226" i="1"/>
  <c r="I3226" i="1"/>
  <c r="H3226" i="1"/>
  <c r="G3226" i="1"/>
  <c r="F3226" i="1"/>
  <c r="E3226" i="1"/>
  <c r="D3226" i="1"/>
  <c r="C3226" i="1"/>
  <c r="B3226" i="1"/>
  <c r="A3226" i="1"/>
  <c r="K3225" i="1"/>
  <c r="I3225" i="1"/>
  <c r="H3225" i="1"/>
  <c r="G3225" i="1"/>
  <c r="F3225" i="1"/>
  <c r="E3225" i="1"/>
  <c r="D3225" i="1"/>
  <c r="C3225" i="1"/>
  <c r="B3225" i="1"/>
  <c r="A3225" i="1"/>
  <c r="K3224" i="1"/>
  <c r="I3224" i="1"/>
  <c r="H3224" i="1"/>
  <c r="G3224" i="1"/>
  <c r="F3224" i="1"/>
  <c r="E3224" i="1"/>
  <c r="D3224" i="1"/>
  <c r="C3224" i="1"/>
  <c r="B3224" i="1"/>
  <c r="A3224" i="1"/>
  <c r="K3223" i="1"/>
  <c r="I3223" i="1"/>
  <c r="H3223" i="1"/>
  <c r="G3223" i="1"/>
  <c r="F3223" i="1"/>
  <c r="E3223" i="1"/>
  <c r="D3223" i="1"/>
  <c r="C3223" i="1"/>
  <c r="B3223" i="1"/>
  <c r="A3223" i="1"/>
  <c r="K3222" i="1"/>
  <c r="I3222" i="1"/>
  <c r="H3222" i="1"/>
  <c r="G3222" i="1"/>
  <c r="F3222" i="1"/>
  <c r="E3222" i="1"/>
  <c r="D3222" i="1"/>
  <c r="C3222" i="1"/>
  <c r="B3222" i="1"/>
  <c r="A3222" i="1"/>
  <c r="K3221" i="1"/>
  <c r="I3221" i="1"/>
  <c r="H3221" i="1"/>
  <c r="G3221" i="1"/>
  <c r="F3221" i="1"/>
  <c r="E3221" i="1"/>
  <c r="D3221" i="1"/>
  <c r="C3221" i="1"/>
  <c r="B3221" i="1"/>
  <c r="A3221" i="1"/>
  <c r="K3220" i="1"/>
  <c r="I3220" i="1"/>
  <c r="H3220" i="1"/>
  <c r="G3220" i="1"/>
  <c r="F3220" i="1"/>
  <c r="E3220" i="1"/>
  <c r="D3220" i="1"/>
  <c r="C3220" i="1"/>
  <c r="B3220" i="1"/>
  <c r="A3220" i="1"/>
  <c r="K3219" i="1"/>
  <c r="H3219" i="1"/>
  <c r="G3219" i="1"/>
  <c r="F3219" i="1"/>
  <c r="E3219" i="1"/>
  <c r="D3219" i="1"/>
  <c r="C3219" i="1"/>
  <c r="B3219" i="1"/>
  <c r="A3219" i="1"/>
  <c r="K3218" i="1"/>
  <c r="I3218" i="1"/>
  <c r="H3218" i="1"/>
  <c r="G3218" i="1"/>
  <c r="F3218" i="1"/>
  <c r="E3218" i="1"/>
  <c r="D3218" i="1"/>
  <c r="C3218" i="1"/>
  <c r="B3218" i="1"/>
  <c r="A3218" i="1"/>
  <c r="K3217" i="1"/>
  <c r="I3217" i="1"/>
  <c r="H3217" i="1"/>
  <c r="G3217" i="1"/>
  <c r="F3217" i="1"/>
  <c r="E3217" i="1"/>
  <c r="D3217" i="1"/>
  <c r="C3217" i="1"/>
  <c r="B3217" i="1"/>
  <c r="A3217" i="1"/>
  <c r="K3216" i="1"/>
  <c r="I3216" i="1"/>
  <c r="H3216" i="1"/>
  <c r="G3216" i="1"/>
  <c r="F3216" i="1"/>
  <c r="E3216" i="1"/>
  <c r="D3216" i="1"/>
  <c r="C3216" i="1"/>
  <c r="B3216" i="1"/>
  <c r="A3216" i="1"/>
  <c r="K3215" i="1"/>
  <c r="H3215" i="1"/>
  <c r="G3215" i="1"/>
  <c r="F3215" i="1"/>
  <c r="E3215" i="1"/>
  <c r="D3215" i="1"/>
  <c r="C3215" i="1"/>
  <c r="B3215" i="1"/>
  <c r="A3215" i="1"/>
  <c r="K3214" i="1"/>
  <c r="I3214" i="1"/>
  <c r="H3214" i="1"/>
  <c r="G3214" i="1"/>
  <c r="F3214" i="1"/>
  <c r="E3214" i="1"/>
  <c r="D3214" i="1"/>
  <c r="C3214" i="1"/>
  <c r="B3214" i="1"/>
  <c r="A3214" i="1"/>
  <c r="K3213" i="1"/>
  <c r="H3213" i="1"/>
  <c r="G3213" i="1"/>
  <c r="F3213" i="1"/>
  <c r="E3213" i="1"/>
  <c r="D3213" i="1"/>
  <c r="C3213" i="1"/>
  <c r="B3213" i="1"/>
  <c r="A3213" i="1"/>
  <c r="K3212" i="1"/>
  <c r="I3212" i="1"/>
  <c r="H3212" i="1"/>
  <c r="G3212" i="1"/>
  <c r="F3212" i="1"/>
  <c r="E3212" i="1"/>
  <c r="D3212" i="1"/>
  <c r="C3212" i="1"/>
  <c r="B3212" i="1"/>
  <c r="A3212" i="1"/>
  <c r="K3211" i="1"/>
  <c r="I3211" i="1"/>
  <c r="H3211" i="1"/>
  <c r="G3211" i="1"/>
  <c r="F3211" i="1"/>
  <c r="E3211" i="1"/>
  <c r="D3211" i="1"/>
  <c r="C3211" i="1"/>
  <c r="B3211" i="1"/>
  <c r="A3211" i="1"/>
  <c r="K3210" i="1"/>
  <c r="I3210" i="1"/>
  <c r="H3210" i="1"/>
  <c r="G3210" i="1"/>
  <c r="F3210" i="1"/>
  <c r="E3210" i="1"/>
  <c r="D3210" i="1"/>
  <c r="C3210" i="1"/>
  <c r="B3210" i="1"/>
  <c r="A3210" i="1"/>
  <c r="K3209" i="1"/>
  <c r="I3209" i="1"/>
  <c r="H3209" i="1"/>
  <c r="G3209" i="1"/>
  <c r="F3209" i="1"/>
  <c r="E3209" i="1"/>
  <c r="D3209" i="1"/>
  <c r="C3209" i="1"/>
  <c r="B3209" i="1"/>
  <c r="A3209" i="1"/>
  <c r="K3208" i="1"/>
  <c r="I3208" i="1"/>
  <c r="H3208" i="1"/>
  <c r="G3208" i="1"/>
  <c r="F3208" i="1"/>
  <c r="E3208" i="1"/>
  <c r="D3208" i="1"/>
  <c r="C3208" i="1"/>
  <c r="B3208" i="1"/>
  <c r="A3208" i="1"/>
  <c r="K3207" i="1"/>
  <c r="I3207" i="1"/>
  <c r="H3207" i="1"/>
  <c r="G3207" i="1"/>
  <c r="F3207" i="1"/>
  <c r="E3207" i="1"/>
  <c r="D3207" i="1"/>
  <c r="C3207" i="1"/>
  <c r="B3207" i="1"/>
  <c r="A3207" i="1"/>
  <c r="K3206" i="1"/>
  <c r="I3206" i="1"/>
  <c r="H3206" i="1"/>
  <c r="G3206" i="1"/>
  <c r="F3206" i="1"/>
  <c r="E3206" i="1"/>
  <c r="D3206" i="1"/>
  <c r="C3206" i="1"/>
  <c r="B3206" i="1"/>
  <c r="A3206" i="1"/>
  <c r="K3205" i="1"/>
  <c r="I3205" i="1"/>
  <c r="H3205" i="1"/>
  <c r="G3205" i="1"/>
  <c r="F3205" i="1"/>
  <c r="E3205" i="1"/>
  <c r="D3205" i="1"/>
  <c r="C3205" i="1"/>
  <c r="B3205" i="1"/>
  <c r="A3205" i="1"/>
  <c r="K3204" i="1"/>
  <c r="I3204" i="1"/>
  <c r="H3204" i="1"/>
  <c r="G3204" i="1"/>
  <c r="F3204" i="1"/>
  <c r="E3204" i="1"/>
  <c r="D3204" i="1"/>
  <c r="C3204" i="1"/>
  <c r="B3204" i="1"/>
  <c r="A3204" i="1"/>
  <c r="K3203" i="1"/>
  <c r="I3203" i="1"/>
  <c r="H3203" i="1"/>
  <c r="G3203" i="1"/>
  <c r="F3203" i="1"/>
  <c r="E3203" i="1"/>
  <c r="D3203" i="1"/>
  <c r="C3203" i="1"/>
  <c r="B3203" i="1"/>
  <c r="A3203" i="1"/>
  <c r="K3202" i="1"/>
  <c r="I3202" i="1"/>
  <c r="H3202" i="1"/>
  <c r="G3202" i="1"/>
  <c r="F3202" i="1"/>
  <c r="E3202" i="1"/>
  <c r="D3202" i="1"/>
  <c r="C3202" i="1"/>
  <c r="B3202" i="1"/>
  <c r="A3202" i="1"/>
  <c r="K3201" i="1"/>
  <c r="I3201" i="1"/>
  <c r="H3201" i="1"/>
  <c r="G3201" i="1"/>
  <c r="F3201" i="1"/>
  <c r="E3201" i="1"/>
  <c r="D3201" i="1"/>
  <c r="C3201" i="1"/>
  <c r="B3201" i="1"/>
  <c r="A3201" i="1"/>
  <c r="K3200" i="1"/>
  <c r="I3200" i="1"/>
  <c r="H3200" i="1"/>
  <c r="G3200" i="1"/>
  <c r="F3200" i="1"/>
  <c r="E3200" i="1"/>
  <c r="D3200" i="1"/>
  <c r="C3200" i="1"/>
  <c r="B3200" i="1"/>
  <c r="A3200" i="1"/>
  <c r="K3199" i="1"/>
  <c r="I3199" i="1"/>
  <c r="H3199" i="1"/>
  <c r="G3199" i="1"/>
  <c r="F3199" i="1"/>
  <c r="E3199" i="1"/>
  <c r="D3199" i="1"/>
  <c r="C3199" i="1"/>
  <c r="B3199" i="1"/>
  <c r="A3199" i="1"/>
  <c r="K3198" i="1"/>
  <c r="I3198" i="1"/>
  <c r="H3198" i="1"/>
  <c r="G3198" i="1"/>
  <c r="F3198" i="1"/>
  <c r="E3198" i="1"/>
  <c r="D3198" i="1"/>
  <c r="C3198" i="1"/>
  <c r="B3198" i="1"/>
  <c r="A3198" i="1"/>
  <c r="K3197" i="1"/>
  <c r="I3197" i="1"/>
  <c r="H3197" i="1"/>
  <c r="G3197" i="1"/>
  <c r="F3197" i="1"/>
  <c r="E3197" i="1"/>
  <c r="D3197" i="1"/>
  <c r="C3197" i="1"/>
  <c r="B3197" i="1"/>
  <c r="A3197" i="1"/>
  <c r="K3196" i="1"/>
  <c r="I3196" i="1"/>
  <c r="H3196" i="1"/>
  <c r="G3196" i="1"/>
  <c r="F3196" i="1"/>
  <c r="E3196" i="1"/>
  <c r="D3196" i="1"/>
  <c r="C3196" i="1"/>
  <c r="B3196" i="1"/>
  <c r="A3196" i="1"/>
  <c r="K3195" i="1"/>
  <c r="I3195" i="1"/>
  <c r="H3195" i="1"/>
  <c r="G3195" i="1"/>
  <c r="F3195" i="1"/>
  <c r="E3195" i="1"/>
  <c r="D3195" i="1"/>
  <c r="C3195" i="1"/>
  <c r="B3195" i="1"/>
  <c r="A3195" i="1"/>
  <c r="K3194" i="1"/>
  <c r="I3194" i="1"/>
  <c r="H3194" i="1"/>
  <c r="G3194" i="1"/>
  <c r="F3194" i="1"/>
  <c r="E3194" i="1"/>
  <c r="D3194" i="1"/>
  <c r="C3194" i="1"/>
  <c r="B3194" i="1"/>
  <c r="A3194" i="1"/>
  <c r="K3193" i="1"/>
  <c r="I3193" i="1"/>
  <c r="H3193" i="1"/>
  <c r="G3193" i="1"/>
  <c r="F3193" i="1"/>
  <c r="E3193" i="1"/>
  <c r="D3193" i="1"/>
  <c r="C3193" i="1"/>
  <c r="B3193" i="1"/>
  <c r="A3193" i="1"/>
  <c r="K3192" i="1"/>
  <c r="I3192" i="1"/>
  <c r="H3192" i="1"/>
  <c r="G3192" i="1"/>
  <c r="F3192" i="1"/>
  <c r="E3192" i="1"/>
  <c r="D3192" i="1"/>
  <c r="C3192" i="1"/>
  <c r="B3192" i="1"/>
  <c r="A3192" i="1"/>
  <c r="K3191" i="1"/>
  <c r="I3191" i="1"/>
  <c r="H3191" i="1"/>
  <c r="G3191" i="1"/>
  <c r="F3191" i="1"/>
  <c r="E3191" i="1"/>
  <c r="D3191" i="1"/>
  <c r="C3191" i="1"/>
  <c r="B3191" i="1"/>
  <c r="A3191" i="1"/>
  <c r="K3190" i="1"/>
  <c r="I3190" i="1"/>
  <c r="H3190" i="1"/>
  <c r="G3190" i="1"/>
  <c r="F3190" i="1"/>
  <c r="E3190" i="1"/>
  <c r="D3190" i="1"/>
  <c r="C3190" i="1"/>
  <c r="B3190" i="1"/>
  <c r="A3190" i="1"/>
  <c r="K3189" i="1"/>
  <c r="I3189" i="1"/>
  <c r="H3189" i="1"/>
  <c r="G3189" i="1"/>
  <c r="F3189" i="1"/>
  <c r="E3189" i="1"/>
  <c r="D3189" i="1"/>
  <c r="C3189" i="1"/>
  <c r="B3189" i="1"/>
  <c r="A3189" i="1"/>
  <c r="K3188" i="1"/>
  <c r="I3188" i="1"/>
  <c r="H3188" i="1"/>
  <c r="G3188" i="1"/>
  <c r="F3188" i="1"/>
  <c r="E3188" i="1"/>
  <c r="D3188" i="1"/>
  <c r="C3188" i="1"/>
  <c r="B3188" i="1"/>
  <c r="A3188" i="1"/>
  <c r="K3187" i="1"/>
  <c r="I3187" i="1"/>
  <c r="H3187" i="1"/>
  <c r="G3187" i="1"/>
  <c r="F3187" i="1"/>
  <c r="E3187" i="1"/>
  <c r="D3187" i="1"/>
  <c r="C3187" i="1"/>
  <c r="B3187" i="1"/>
  <c r="A3187" i="1"/>
  <c r="K3186" i="1"/>
  <c r="I3186" i="1"/>
  <c r="H3186" i="1"/>
  <c r="G3186" i="1"/>
  <c r="F3186" i="1"/>
  <c r="E3186" i="1"/>
  <c r="D3186" i="1"/>
  <c r="C3186" i="1"/>
  <c r="B3186" i="1"/>
  <c r="A3186" i="1"/>
  <c r="K3185" i="1"/>
  <c r="I3185" i="1"/>
  <c r="H3185" i="1"/>
  <c r="G3185" i="1"/>
  <c r="F3185" i="1"/>
  <c r="E3185" i="1"/>
  <c r="D3185" i="1"/>
  <c r="C3185" i="1"/>
  <c r="B3185" i="1"/>
  <c r="A3185" i="1"/>
  <c r="K3184" i="1"/>
  <c r="I3184" i="1"/>
  <c r="H3184" i="1"/>
  <c r="G3184" i="1"/>
  <c r="F3184" i="1"/>
  <c r="E3184" i="1"/>
  <c r="D3184" i="1"/>
  <c r="C3184" i="1"/>
  <c r="B3184" i="1"/>
  <c r="A3184" i="1"/>
  <c r="K3183" i="1"/>
  <c r="I3183" i="1"/>
  <c r="H3183" i="1"/>
  <c r="G3183" i="1"/>
  <c r="F3183" i="1"/>
  <c r="E3183" i="1"/>
  <c r="D3183" i="1"/>
  <c r="C3183" i="1"/>
  <c r="B3183" i="1"/>
  <c r="A3183" i="1"/>
  <c r="K3182" i="1"/>
  <c r="I3182" i="1"/>
  <c r="H3182" i="1"/>
  <c r="G3182" i="1"/>
  <c r="F3182" i="1"/>
  <c r="E3182" i="1"/>
  <c r="D3182" i="1"/>
  <c r="C3182" i="1"/>
  <c r="B3182" i="1"/>
  <c r="A3182" i="1"/>
  <c r="K3181" i="1"/>
  <c r="I3181" i="1"/>
  <c r="H3181" i="1"/>
  <c r="G3181" i="1"/>
  <c r="F3181" i="1"/>
  <c r="E3181" i="1"/>
  <c r="D3181" i="1"/>
  <c r="C3181" i="1"/>
  <c r="B3181" i="1"/>
  <c r="A3181" i="1"/>
  <c r="K3180" i="1"/>
  <c r="I3180" i="1"/>
  <c r="H3180" i="1"/>
  <c r="G3180" i="1"/>
  <c r="F3180" i="1"/>
  <c r="E3180" i="1"/>
  <c r="D3180" i="1"/>
  <c r="C3180" i="1"/>
  <c r="B3180" i="1"/>
  <c r="A3180" i="1"/>
  <c r="K3179" i="1"/>
  <c r="I3179" i="1"/>
  <c r="H3179" i="1"/>
  <c r="G3179" i="1"/>
  <c r="F3179" i="1"/>
  <c r="E3179" i="1"/>
  <c r="D3179" i="1"/>
  <c r="C3179" i="1"/>
  <c r="B3179" i="1"/>
  <c r="A3179" i="1"/>
  <c r="K3178" i="1"/>
  <c r="I3178" i="1"/>
  <c r="H3178" i="1"/>
  <c r="G3178" i="1"/>
  <c r="F3178" i="1"/>
  <c r="E3178" i="1"/>
  <c r="D3178" i="1"/>
  <c r="C3178" i="1"/>
  <c r="B3178" i="1"/>
  <c r="A3178" i="1"/>
  <c r="K3177" i="1"/>
  <c r="I3177" i="1"/>
  <c r="H3177" i="1"/>
  <c r="G3177" i="1"/>
  <c r="F3177" i="1"/>
  <c r="E3177" i="1"/>
  <c r="D3177" i="1"/>
  <c r="C3177" i="1"/>
  <c r="B3177" i="1"/>
  <c r="A3177" i="1"/>
  <c r="K3176" i="1"/>
  <c r="I3176" i="1"/>
  <c r="H3176" i="1"/>
  <c r="G3176" i="1"/>
  <c r="F3176" i="1"/>
  <c r="E3176" i="1"/>
  <c r="D3176" i="1"/>
  <c r="C3176" i="1"/>
  <c r="B3176" i="1"/>
  <c r="A3176" i="1"/>
  <c r="K3175" i="1"/>
  <c r="J3175" i="1"/>
  <c r="H3175" i="1"/>
  <c r="G3175" i="1"/>
  <c r="F3175" i="1"/>
  <c r="E3175" i="1"/>
  <c r="D3175" i="1"/>
  <c r="C3175" i="1"/>
  <c r="B3175" i="1"/>
  <c r="A3175" i="1"/>
  <c r="K3174" i="1"/>
  <c r="J3174" i="1"/>
  <c r="I3174" i="1"/>
  <c r="H3174" i="1"/>
  <c r="G3174" i="1"/>
  <c r="F3174" i="1"/>
  <c r="E3174" i="1"/>
  <c r="D3174" i="1"/>
  <c r="C3174" i="1"/>
  <c r="B3174" i="1"/>
  <c r="A3174" i="1"/>
  <c r="K3173" i="1"/>
  <c r="I3173" i="1"/>
  <c r="H3173" i="1"/>
  <c r="G3173" i="1"/>
  <c r="F3173" i="1"/>
  <c r="E3173" i="1"/>
  <c r="D3173" i="1"/>
  <c r="C3173" i="1"/>
  <c r="B3173" i="1"/>
  <c r="A3173" i="1"/>
  <c r="K3172" i="1"/>
  <c r="I3172" i="1"/>
  <c r="H3172" i="1"/>
  <c r="G3172" i="1"/>
  <c r="F3172" i="1"/>
  <c r="E3172" i="1"/>
  <c r="D3172" i="1"/>
  <c r="C3172" i="1"/>
  <c r="B3172" i="1"/>
  <c r="A3172" i="1"/>
  <c r="K3171" i="1"/>
  <c r="I3171" i="1"/>
  <c r="H3171" i="1"/>
  <c r="G3171" i="1"/>
  <c r="F3171" i="1"/>
  <c r="E3171" i="1"/>
  <c r="D3171" i="1"/>
  <c r="C3171" i="1"/>
  <c r="B3171" i="1"/>
  <c r="A3171" i="1"/>
  <c r="K3170" i="1"/>
  <c r="I3170" i="1"/>
  <c r="H3170" i="1"/>
  <c r="G3170" i="1"/>
  <c r="F3170" i="1"/>
  <c r="E3170" i="1"/>
  <c r="D3170" i="1"/>
  <c r="C3170" i="1"/>
  <c r="B3170" i="1"/>
  <c r="A3170" i="1"/>
  <c r="K3169" i="1"/>
  <c r="I3169" i="1"/>
  <c r="H3169" i="1"/>
  <c r="G3169" i="1"/>
  <c r="F3169" i="1"/>
  <c r="E3169" i="1"/>
  <c r="D3169" i="1"/>
  <c r="C3169" i="1"/>
  <c r="B3169" i="1"/>
  <c r="A3169" i="1"/>
  <c r="K3168" i="1"/>
  <c r="I3168" i="1"/>
  <c r="H3168" i="1"/>
  <c r="G3168" i="1"/>
  <c r="F3168" i="1"/>
  <c r="E3168" i="1"/>
  <c r="D3168" i="1"/>
  <c r="C3168" i="1"/>
  <c r="B3168" i="1"/>
  <c r="A3168" i="1"/>
  <c r="K3167" i="1"/>
  <c r="I3167" i="1"/>
  <c r="H3167" i="1"/>
  <c r="G3167" i="1"/>
  <c r="F3167" i="1"/>
  <c r="E3167" i="1"/>
  <c r="D3167" i="1"/>
  <c r="C3167" i="1"/>
  <c r="B3167" i="1"/>
  <c r="A3167" i="1"/>
  <c r="K3166" i="1"/>
  <c r="I3166" i="1"/>
  <c r="H3166" i="1"/>
  <c r="G3166" i="1"/>
  <c r="F3166" i="1"/>
  <c r="E3166" i="1"/>
  <c r="D3166" i="1"/>
  <c r="C3166" i="1"/>
  <c r="B3166" i="1"/>
  <c r="A3166" i="1"/>
  <c r="K3165" i="1"/>
  <c r="I3165" i="1"/>
  <c r="H3165" i="1"/>
  <c r="G3165" i="1"/>
  <c r="F3165" i="1"/>
  <c r="E3165" i="1"/>
  <c r="D3165" i="1"/>
  <c r="C3165" i="1"/>
  <c r="B3165" i="1"/>
  <c r="A3165" i="1"/>
  <c r="K3164" i="1"/>
  <c r="I3164" i="1"/>
  <c r="H3164" i="1"/>
  <c r="G3164" i="1"/>
  <c r="F3164" i="1"/>
  <c r="E3164" i="1"/>
  <c r="D3164" i="1"/>
  <c r="C3164" i="1"/>
  <c r="B3164" i="1"/>
  <c r="A3164" i="1"/>
  <c r="K3163" i="1"/>
  <c r="I3163" i="1"/>
  <c r="H3163" i="1"/>
  <c r="G3163" i="1"/>
  <c r="F3163" i="1"/>
  <c r="E3163" i="1"/>
  <c r="D3163" i="1"/>
  <c r="C3163" i="1"/>
  <c r="B3163" i="1"/>
  <c r="A3163" i="1"/>
  <c r="K3162" i="1"/>
  <c r="I3162" i="1"/>
  <c r="H3162" i="1"/>
  <c r="G3162" i="1"/>
  <c r="F3162" i="1"/>
  <c r="E3162" i="1"/>
  <c r="D3162" i="1"/>
  <c r="C3162" i="1"/>
  <c r="B3162" i="1"/>
  <c r="A3162" i="1"/>
  <c r="K3161" i="1"/>
  <c r="I3161" i="1"/>
  <c r="H3161" i="1"/>
  <c r="G3161" i="1"/>
  <c r="F3161" i="1"/>
  <c r="E3161" i="1"/>
  <c r="D3161" i="1"/>
  <c r="C3161" i="1"/>
  <c r="B3161" i="1"/>
  <c r="A3161" i="1"/>
  <c r="K3160" i="1"/>
  <c r="I3160" i="1"/>
  <c r="H3160" i="1"/>
  <c r="G3160" i="1"/>
  <c r="F3160" i="1"/>
  <c r="E3160" i="1"/>
  <c r="D3160" i="1"/>
  <c r="C3160" i="1"/>
  <c r="B3160" i="1"/>
  <c r="A3160" i="1"/>
  <c r="K3159" i="1"/>
  <c r="I3159" i="1"/>
  <c r="H3159" i="1"/>
  <c r="G3159" i="1"/>
  <c r="F3159" i="1"/>
  <c r="E3159" i="1"/>
  <c r="D3159" i="1"/>
  <c r="C3159" i="1"/>
  <c r="B3159" i="1"/>
  <c r="A3159" i="1"/>
  <c r="K3158" i="1"/>
  <c r="I3158" i="1"/>
  <c r="H3158" i="1"/>
  <c r="G3158" i="1"/>
  <c r="F3158" i="1"/>
  <c r="E3158" i="1"/>
  <c r="D3158" i="1"/>
  <c r="C3158" i="1"/>
  <c r="B3158" i="1"/>
  <c r="A3158" i="1"/>
  <c r="K3157" i="1"/>
  <c r="I3157" i="1"/>
  <c r="H3157" i="1"/>
  <c r="G3157" i="1"/>
  <c r="F3157" i="1"/>
  <c r="E3157" i="1"/>
  <c r="D3157" i="1"/>
  <c r="C3157" i="1"/>
  <c r="B3157" i="1"/>
  <c r="A3157" i="1"/>
  <c r="K3156" i="1"/>
  <c r="I3156" i="1"/>
  <c r="H3156" i="1"/>
  <c r="G3156" i="1"/>
  <c r="F3156" i="1"/>
  <c r="E3156" i="1"/>
  <c r="D3156" i="1"/>
  <c r="C3156" i="1"/>
  <c r="B3156" i="1"/>
  <c r="A3156" i="1"/>
  <c r="K3155" i="1"/>
  <c r="I3155" i="1"/>
  <c r="H3155" i="1"/>
  <c r="G3155" i="1"/>
  <c r="F3155" i="1"/>
  <c r="E3155" i="1"/>
  <c r="D3155" i="1"/>
  <c r="C3155" i="1"/>
  <c r="B3155" i="1"/>
  <c r="A3155" i="1"/>
  <c r="K3154" i="1"/>
  <c r="I3154" i="1"/>
  <c r="H3154" i="1"/>
  <c r="G3154" i="1"/>
  <c r="F3154" i="1"/>
  <c r="E3154" i="1"/>
  <c r="D3154" i="1"/>
  <c r="C3154" i="1"/>
  <c r="B3154" i="1"/>
  <c r="A3154" i="1"/>
  <c r="K3153" i="1"/>
  <c r="I3153" i="1"/>
  <c r="H3153" i="1"/>
  <c r="G3153" i="1"/>
  <c r="F3153" i="1"/>
  <c r="E3153" i="1"/>
  <c r="D3153" i="1"/>
  <c r="C3153" i="1"/>
  <c r="B3153" i="1"/>
  <c r="A3153" i="1"/>
  <c r="K3152" i="1"/>
  <c r="I3152" i="1"/>
  <c r="H3152" i="1"/>
  <c r="G3152" i="1"/>
  <c r="F3152" i="1"/>
  <c r="E3152" i="1"/>
  <c r="D3152" i="1"/>
  <c r="C3152" i="1"/>
  <c r="B3152" i="1"/>
  <c r="A3152" i="1"/>
  <c r="K3151" i="1"/>
  <c r="I3151" i="1"/>
  <c r="H3151" i="1"/>
  <c r="G3151" i="1"/>
  <c r="F3151" i="1"/>
  <c r="E3151" i="1"/>
  <c r="D3151" i="1"/>
  <c r="C3151" i="1"/>
  <c r="B3151" i="1"/>
  <c r="A3151" i="1"/>
  <c r="K3150" i="1"/>
  <c r="I3150" i="1"/>
  <c r="H3150" i="1"/>
  <c r="G3150" i="1"/>
  <c r="F3150" i="1"/>
  <c r="E3150" i="1"/>
  <c r="D3150" i="1"/>
  <c r="C3150" i="1"/>
  <c r="B3150" i="1"/>
  <c r="A3150" i="1"/>
  <c r="K3149" i="1"/>
  <c r="I3149" i="1"/>
  <c r="H3149" i="1"/>
  <c r="G3149" i="1"/>
  <c r="F3149" i="1"/>
  <c r="E3149" i="1"/>
  <c r="D3149" i="1"/>
  <c r="C3149" i="1"/>
  <c r="B3149" i="1"/>
  <c r="A3149" i="1"/>
  <c r="K3148" i="1"/>
  <c r="I3148" i="1"/>
  <c r="H3148" i="1"/>
  <c r="G3148" i="1"/>
  <c r="F3148" i="1"/>
  <c r="E3148" i="1"/>
  <c r="D3148" i="1"/>
  <c r="C3148" i="1"/>
  <c r="B3148" i="1"/>
  <c r="A3148" i="1"/>
  <c r="K3147" i="1"/>
  <c r="J3147" i="1"/>
  <c r="H3147" i="1"/>
  <c r="G3147" i="1"/>
  <c r="F3147" i="1"/>
  <c r="E3147" i="1"/>
  <c r="D3147" i="1"/>
  <c r="C3147" i="1"/>
  <c r="B3147" i="1"/>
  <c r="A3147" i="1"/>
  <c r="K3146" i="1"/>
  <c r="J3146" i="1"/>
  <c r="H3146" i="1"/>
  <c r="G3146" i="1"/>
  <c r="F3146" i="1"/>
  <c r="E3146" i="1"/>
  <c r="D3146" i="1"/>
  <c r="C3146" i="1"/>
  <c r="B3146" i="1"/>
  <c r="A3146" i="1"/>
  <c r="K3145" i="1"/>
  <c r="I3145" i="1"/>
  <c r="H3145" i="1"/>
  <c r="G3145" i="1"/>
  <c r="F3145" i="1"/>
  <c r="E3145" i="1"/>
  <c r="D3145" i="1"/>
  <c r="C3145" i="1"/>
  <c r="B3145" i="1"/>
  <c r="A3145" i="1"/>
  <c r="K3144" i="1"/>
  <c r="J3144" i="1"/>
  <c r="H3144" i="1"/>
  <c r="G3144" i="1"/>
  <c r="F3144" i="1"/>
  <c r="E3144" i="1"/>
  <c r="D3144" i="1"/>
  <c r="C3144" i="1"/>
  <c r="B3144" i="1"/>
  <c r="A3144" i="1"/>
  <c r="K3143" i="1"/>
  <c r="J3143" i="1"/>
  <c r="H3143" i="1"/>
  <c r="G3143" i="1"/>
  <c r="F3143" i="1"/>
  <c r="E3143" i="1"/>
  <c r="D3143" i="1"/>
  <c r="C3143" i="1"/>
  <c r="B3143" i="1"/>
  <c r="A3143" i="1"/>
  <c r="K3142" i="1"/>
  <c r="I3142" i="1"/>
  <c r="H3142" i="1"/>
  <c r="G3142" i="1"/>
  <c r="F3142" i="1"/>
  <c r="E3142" i="1"/>
  <c r="D3142" i="1"/>
  <c r="C3142" i="1"/>
  <c r="B3142" i="1"/>
  <c r="A3142" i="1"/>
  <c r="K3141" i="1"/>
  <c r="I3141" i="1"/>
  <c r="H3141" i="1"/>
  <c r="G3141" i="1"/>
  <c r="F3141" i="1"/>
  <c r="E3141" i="1"/>
  <c r="D3141" i="1"/>
  <c r="C3141" i="1"/>
  <c r="B3141" i="1"/>
  <c r="A3141" i="1"/>
  <c r="K3140" i="1"/>
  <c r="I3140" i="1"/>
  <c r="H3140" i="1"/>
  <c r="G3140" i="1"/>
  <c r="F3140" i="1"/>
  <c r="E3140" i="1"/>
  <c r="D3140" i="1"/>
  <c r="C3140" i="1"/>
  <c r="B3140" i="1"/>
  <c r="A3140" i="1"/>
  <c r="K3139" i="1"/>
  <c r="I3139" i="1"/>
  <c r="H3139" i="1"/>
  <c r="G3139" i="1"/>
  <c r="F3139" i="1"/>
  <c r="E3139" i="1"/>
  <c r="D3139" i="1"/>
  <c r="C3139" i="1"/>
  <c r="B3139" i="1"/>
  <c r="A3139" i="1"/>
  <c r="K3138" i="1"/>
  <c r="I3138" i="1"/>
  <c r="H3138" i="1"/>
  <c r="G3138" i="1"/>
  <c r="F3138" i="1"/>
  <c r="E3138" i="1"/>
  <c r="D3138" i="1"/>
  <c r="C3138" i="1"/>
  <c r="B3138" i="1"/>
  <c r="A3138" i="1"/>
  <c r="K3137" i="1"/>
  <c r="I3137" i="1"/>
  <c r="H3137" i="1"/>
  <c r="G3137" i="1"/>
  <c r="F3137" i="1"/>
  <c r="E3137" i="1"/>
  <c r="D3137" i="1"/>
  <c r="C3137" i="1"/>
  <c r="B3137" i="1"/>
  <c r="A3137" i="1"/>
  <c r="K3136" i="1"/>
  <c r="I3136" i="1"/>
  <c r="H3136" i="1"/>
  <c r="G3136" i="1"/>
  <c r="F3136" i="1"/>
  <c r="E3136" i="1"/>
  <c r="D3136" i="1"/>
  <c r="C3136" i="1"/>
  <c r="B3136" i="1"/>
  <c r="A3136" i="1"/>
  <c r="K3135" i="1"/>
  <c r="I3135" i="1"/>
  <c r="H3135" i="1"/>
  <c r="G3135" i="1"/>
  <c r="F3135" i="1"/>
  <c r="E3135" i="1"/>
  <c r="D3135" i="1"/>
  <c r="C3135" i="1"/>
  <c r="B3135" i="1"/>
  <c r="A3135" i="1"/>
  <c r="K3134" i="1"/>
  <c r="I3134" i="1"/>
  <c r="H3134" i="1"/>
  <c r="G3134" i="1"/>
  <c r="F3134" i="1"/>
  <c r="E3134" i="1"/>
  <c r="D3134" i="1"/>
  <c r="C3134" i="1"/>
  <c r="B3134" i="1"/>
  <c r="A3134" i="1"/>
  <c r="K3133" i="1"/>
  <c r="I3133" i="1"/>
  <c r="H3133" i="1"/>
  <c r="G3133" i="1"/>
  <c r="F3133" i="1"/>
  <c r="E3133" i="1"/>
  <c r="D3133" i="1"/>
  <c r="C3133" i="1"/>
  <c r="B3133" i="1"/>
  <c r="A3133" i="1"/>
  <c r="K3132" i="1"/>
  <c r="I3132" i="1"/>
  <c r="H3132" i="1"/>
  <c r="G3132" i="1"/>
  <c r="F3132" i="1"/>
  <c r="E3132" i="1"/>
  <c r="D3132" i="1"/>
  <c r="C3132" i="1"/>
  <c r="B3132" i="1"/>
  <c r="A3132" i="1"/>
  <c r="K3131" i="1"/>
  <c r="I3131" i="1"/>
  <c r="H3131" i="1"/>
  <c r="G3131" i="1"/>
  <c r="F3131" i="1"/>
  <c r="E3131" i="1"/>
  <c r="D3131" i="1"/>
  <c r="C3131" i="1"/>
  <c r="B3131" i="1"/>
  <c r="A3131" i="1"/>
  <c r="K3130" i="1"/>
  <c r="I3130" i="1"/>
  <c r="H3130" i="1"/>
  <c r="G3130" i="1"/>
  <c r="F3130" i="1"/>
  <c r="E3130" i="1"/>
  <c r="D3130" i="1"/>
  <c r="C3130" i="1"/>
  <c r="B3130" i="1"/>
  <c r="A3130" i="1"/>
  <c r="K3129" i="1"/>
  <c r="I3129" i="1"/>
  <c r="H3129" i="1"/>
  <c r="G3129" i="1"/>
  <c r="F3129" i="1"/>
  <c r="E3129" i="1"/>
  <c r="D3129" i="1"/>
  <c r="C3129" i="1"/>
  <c r="B3129" i="1"/>
  <c r="A3129" i="1"/>
  <c r="K3128" i="1"/>
  <c r="I3128" i="1"/>
  <c r="H3128" i="1"/>
  <c r="G3128" i="1"/>
  <c r="F3128" i="1"/>
  <c r="E3128" i="1"/>
  <c r="D3128" i="1"/>
  <c r="C3128" i="1"/>
  <c r="B3128" i="1"/>
  <c r="A3128" i="1"/>
  <c r="K3127" i="1"/>
  <c r="I3127" i="1"/>
  <c r="H3127" i="1"/>
  <c r="G3127" i="1"/>
  <c r="F3127" i="1"/>
  <c r="E3127" i="1"/>
  <c r="D3127" i="1"/>
  <c r="C3127" i="1"/>
  <c r="B3127" i="1"/>
  <c r="A3127" i="1"/>
  <c r="K3126" i="1"/>
  <c r="I3126" i="1"/>
  <c r="H3126" i="1"/>
  <c r="G3126" i="1"/>
  <c r="F3126" i="1"/>
  <c r="E3126" i="1"/>
  <c r="D3126" i="1"/>
  <c r="C3126" i="1"/>
  <c r="B3126" i="1"/>
  <c r="A3126" i="1"/>
  <c r="K3125" i="1"/>
  <c r="I3125" i="1"/>
  <c r="H3125" i="1"/>
  <c r="G3125" i="1"/>
  <c r="F3125" i="1"/>
  <c r="E3125" i="1"/>
  <c r="D3125" i="1"/>
  <c r="C3125" i="1"/>
  <c r="B3125" i="1"/>
  <c r="A3125" i="1"/>
  <c r="K3124" i="1"/>
  <c r="I3124" i="1"/>
  <c r="H3124" i="1"/>
  <c r="G3124" i="1"/>
  <c r="F3124" i="1"/>
  <c r="E3124" i="1"/>
  <c r="D3124" i="1"/>
  <c r="C3124" i="1"/>
  <c r="B3124" i="1"/>
  <c r="A3124" i="1"/>
  <c r="K3123" i="1"/>
  <c r="I3123" i="1"/>
  <c r="H3123" i="1"/>
  <c r="G3123" i="1"/>
  <c r="F3123" i="1"/>
  <c r="E3123" i="1"/>
  <c r="D3123" i="1"/>
  <c r="C3123" i="1"/>
  <c r="B3123" i="1"/>
  <c r="A3123" i="1"/>
  <c r="K3122" i="1"/>
  <c r="I3122" i="1"/>
  <c r="H3122" i="1"/>
  <c r="G3122" i="1"/>
  <c r="F3122" i="1"/>
  <c r="E3122" i="1"/>
  <c r="D3122" i="1"/>
  <c r="C3122" i="1"/>
  <c r="B3122" i="1"/>
  <c r="A3122" i="1"/>
  <c r="K3121" i="1"/>
  <c r="I3121" i="1"/>
  <c r="H3121" i="1"/>
  <c r="G3121" i="1"/>
  <c r="F3121" i="1"/>
  <c r="E3121" i="1"/>
  <c r="D3121" i="1"/>
  <c r="C3121" i="1"/>
  <c r="B3121" i="1"/>
  <c r="A3121" i="1"/>
  <c r="K3120" i="1"/>
  <c r="I3120" i="1"/>
  <c r="H3120" i="1"/>
  <c r="G3120" i="1"/>
  <c r="F3120" i="1"/>
  <c r="E3120" i="1"/>
  <c r="D3120" i="1"/>
  <c r="C3120" i="1"/>
  <c r="B3120" i="1"/>
  <c r="A3120" i="1"/>
  <c r="K3119" i="1"/>
  <c r="I3119" i="1"/>
  <c r="H3119" i="1"/>
  <c r="G3119" i="1"/>
  <c r="F3119" i="1"/>
  <c r="E3119" i="1"/>
  <c r="D3119" i="1"/>
  <c r="C3119" i="1"/>
  <c r="B3119" i="1"/>
  <c r="A3119" i="1"/>
  <c r="K3118" i="1"/>
  <c r="I3118" i="1"/>
  <c r="H3118" i="1"/>
  <c r="G3118" i="1"/>
  <c r="F3118" i="1"/>
  <c r="E3118" i="1"/>
  <c r="D3118" i="1"/>
  <c r="C3118" i="1"/>
  <c r="B3118" i="1"/>
  <c r="A3118" i="1"/>
  <c r="K3117" i="1"/>
  <c r="I3117" i="1"/>
  <c r="H3117" i="1"/>
  <c r="G3117" i="1"/>
  <c r="F3117" i="1"/>
  <c r="E3117" i="1"/>
  <c r="D3117" i="1"/>
  <c r="C3117" i="1"/>
  <c r="B3117" i="1"/>
  <c r="A3117" i="1"/>
  <c r="K3116" i="1"/>
  <c r="J3116" i="1"/>
  <c r="I3116" i="1"/>
  <c r="H3116" i="1"/>
  <c r="G3116" i="1"/>
  <c r="F3116" i="1"/>
  <c r="E3116" i="1"/>
  <c r="D3116" i="1"/>
  <c r="C3116" i="1"/>
  <c r="B3116" i="1"/>
  <c r="A3116" i="1"/>
  <c r="K3115" i="1"/>
  <c r="I3115" i="1"/>
  <c r="H3115" i="1"/>
  <c r="G3115" i="1"/>
  <c r="F3115" i="1"/>
  <c r="E3115" i="1"/>
  <c r="D3115" i="1"/>
  <c r="C3115" i="1"/>
  <c r="B3115" i="1"/>
  <c r="A3115" i="1"/>
  <c r="K3114" i="1"/>
  <c r="I3114" i="1"/>
  <c r="H3114" i="1"/>
  <c r="G3114" i="1"/>
  <c r="F3114" i="1"/>
  <c r="E3114" i="1"/>
  <c r="D3114" i="1"/>
  <c r="C3114" i="1"/>
  <c r="B3114" i="1"/>
  <c r="A3114" i="1"/>
  <c r="K3113" i="1"/>
  <c r="J3113" i="1"/>
  <c r="H3113" i="1"/>
  <c r="G3113" i="1"/>
  <c r="F3113" i="1"/>
  <c r="E3113" i="1"/>
  <c r="D3113" i="1"/>
  <c r="C3113" i="1"/>
  <c r="B3113" i="1"/>
  <c r="A3113" i="1"/>
  <c r="K3112" i="1"/>
  <c r="J3112" i="1"/>
  <c r="H3112" i="1"/>
  <c r="G3112" i="1"/>
  <c r="F3112" i="1"/>
  <c r="E3112" i="1"/>
  <c r="D3112" i="1"/>
  <c r="C3112" i="1"/>
  <c r="B3112" i="1"/>
  <c r="A3112" i="1"/>
  <c r="K3111" i="1"/>
  <c r="J3111" i="1"/>
  <c r="H3111" i="1"/>
  <c r="G3111" i="1"/>
  <c r="F3111" i="1"/>
  <c r="E3111" i="1"/>
  <c r="D3111" i="1"/>
  <c r="C3111" i="1"/>
  <c r="B3111" i="1"/>
  <c r="A3111" i="1"/>
  <c r="K3110" i="1"/>
  <c r="J3110" i="1"/>
  <c r="H3110" i="1"/>
  <c r="G3110" i="1"/>
  <c r="F3110" i="1"/>
  <c r="E3110" i="1"/>
  <c r="D3110" i="1"/>
  <c r="C3110" i="1"/>
  <c r="B3110" i="1"/>
  <c r="A3110" i="1"/>
  <c r="K3109" i="1"/>
  <c r="J3109" i="1"/>
  <c r="H3109" i="1"/>
  <c r="G3109" i="1"/>
  <c r="F3109" i="1"/>
  <c r="E3109" i="1"/>
  <c r="D3109" i="1"/>
  <c r="C3109" i="1"/>
  <c r="B3109" i="1"/>
  <c r="A3109" i="1"/>
  <c r="K3108" i="1"/>
  <c r="I3108" i="1"/>
  <c r="H3108" i="1"/>
  <c r="G3108" i="1"/>
  <c r="F3108" i="1"/>
  <c r="E3108" i="1"/>
  <c r="D3108" i="1"/>
  <c r="C3108" i="1"/>
  <c r="B3108" i="1"/>
  <c r="A3108" i="1"/>
  <c r="K3107" i="1"/>
  <c r="I3107" i="1"/>
  <c r="H3107" i="1"/>
  <c r="G3107" i="1"/>
  <c r="F3107" i="1"/>
  <c r="E3107" i="1"/>
  <c r="D3107" i="1"/>
  <c r="C3107" i="1"/>
  <c r="B3107" i="1"/>
  <c r="A3107" i="1"/>
  <c r="K3106" i="1"/>
  <c r="I3106" i="1"/>
  <c r="H3106" i="1"/>
  <c r="G3106" i="1"/>
  <c r="F3106" i="1"/>
  <c r="E3106" i="1"/>
  <c r="D3106" i="1"/>
  <c r="C3106" i="1"/>
  <c r="B3106" i="1"/>
  <c r="A3106" i="1"/>
  <c r="K3105" i="1"/>
  <c r="J3105" i="1"/>
  <c r="H3105" i="1"/>
  <c r="G3105" i="1"/>
  <c r="F3105" i="1"/>
  <c r="E3105" i="1"/>
  <c r="D3105" i="1"/>
  <c r="C3105" i="1"/>
  <c r="B3105" i="1"/>
  <c r="A3105" i="1"/>
  <c r="K3104" i="1"/>
  <c r="I3104" i="1"/>
  <c r="H3104" i="1"/>
  <c r="G3104" i="1"/>
  <c r="F3104" i="1"/>
  <c r="E3104" i="1"/>
  <c r="D3104" i="1"/>
  <c r="C3104" i="1"/>
  <c r="B3104" i="1"/>
  <c r="A3104" i="1"/>
  <c r="K3103" i="1"/>
  <c r="I3103" i="1"/>
  <c r="H3103" i="1"/>
  <c r="G3103" i="1"/>
  <c r="F3103" i="1"/>
  <c r="E3103" i="1"/>
  <c r="D3103" i="1"/>
  <c r="C3103" i="1"/>
  <c r="B3103" i="1"/>
  <c r="A3103" i="1"/>
  <c r="K3102" i="1"/>
  <c r="I3102" i="1"/>
  <c r="H3102" i="1"/>
  <c r="G3102" i="1"/>
  <c r="F3102" i="1"/>
  <c r="E3102" i="1"/>
  <c r="D3102" i="1"/>
  <c r="C3102" i="1"/>
  <c r="B3102" i="1"/>
  <c r="A3102" i="1"/>
  <c r="K3101" i="1"/>
  <c r="I3101" i="1"/>
  <c r="H3101" i="1"/>
  <c r="G3101" i="1"/>
  <c r="F3101" i="1"/>
  <c r="E3101" i="1"/>
  <c r="D3101" i="1"/>
  <c r="C3101" i="1"/>
  <c r="B3101" i="1"/>
  <c r="A3101" i="1"/>
  <c r="K3100" i="1"/>
  <c r="I3100" i="1"/>
  <c r="H3100" i="1"/>
  <c r="G3100" i="1"/>
  <c r="F3100" i="1"/>
  <c r="E3100" i="1"/>
  <c r="D3100" i="1"/>
  <c r="C3100" i="1"/>
  <c r="B3100" i="1"/>
  <c r="A3100" i="1"/>
  <c r="K3099" i="1"/>
  <c r="I3099" i="1"/>
  <c r="H3099" i="1"/>
  <c r="G3099" i="1"/>
  <c r="F3099" i="1"/>
  <c r="E3099" i="1"/>
  <c r="D3099" i="1"/>
  <c r="C3099" i="1"/>
  <c r="B3099" i="1"/>
  <c r="A3099" i="1"/>
  <c r="K3098" i="1"/>
  <c r="J3098" i="1"/>
  <c r="I3098" i="1"/>
  <c r="H3098" i="1"/>
  <c r="G3098" i="1"/>
  <c r="F3098" i="1"/>
  <c r="E3098" i="1"/>
  <c r="D3098" i="1"/>
  <c r="C3098" i="1"/>
  <c r="B3098" i="1"/>
  <c r="A3098" i="1"/>
  <c r="K3097" i="1"/>
  <c r="J3097" i="1"/>
  <c r="I3097" i="1"/>
  <c r="H3097" i="1"/>
  <c r="G3097" i="1"/>
  <c r="F3097" i="1"/>
  <c r="E3097" i="1"/>
  <c r="D3097" i="1"/>
  <c r="C3097" i="1"/>
  <c r="B3097" i="1"/>
  <c r="A3097" i="1"/>
  <c r="K3096" i="1"/>
  <c r="J3096" i="1"/>
  <c r="I3096" i="1"/>
  <c r="H3096" i="1"/>
  <c r="G3096" i="1"/>
  <c r="F3096" i="1"/>
  <c r="E3096" i="1"/>
  <c r="D3096" i="1"/>
  <c r="C3096" i="1"/>
  <c r="B3096" i="1"/>
  <c r="A3096" i="1"/>
  <c r="K3095" i="1"/>
  <c r="J3095" i="1"/>
  <c r="I3095" i="1"/>
  <c r="H3095" i="1"/>
  <c r="G3095" i="1"/>
  <c r="F3095" i="1"/>
  <c r="E3095" i="1"/>
  <c r="D3095" i="1"/>
  <c r="C3095" i="1"/>
  <c r="B3095" i="1"/>
  <c r="A3095" i="1"/>
  <c r="K3094" i="1"/>
  <c r="J3094" i="1"/>
  <c r="I3094" i="1"/>
  <c r="H3094" i="1"/>
  <c r="G3094" i="1"/>
  <c r="F3094" i="1"/>
  <c r="E3094" i="1"/>
  <c r="D3094" i="1"/>
  <c r="C3094" i="1"/>
  <c r="B3094" i="1"/>
  <c r="A3094" i="1"/>
  <c r="K3093" i="1"/>
  <c r="J3093" i="1"/>
  <c r="I3093" i="1"/>
  <c r="H3093" i="1"/>
  <c r="G3093" i="1"/>
  <c r="F3093" i="1"/>
  <c r="E3093" i="1"/>
  <c r="D3093" i="1"/>
  <c r="C3093" i="1"/>
  <c r="B3093" i="1"/>
  <c r="A3093" i="1"/>
  <c r="K3092" i="1"/>
  <c r="J3092" i="1"/>
  <c r="I3092" i="1"/>
  <c r="H3092" i="1"/>
  <c r="G3092" i="1"/>
  <c r="F3092" i="1"/>
  <c r="E3092" i="1"/>
  <c r="D3092" i="1"/>
  <c r="C3092" i="1"/>
  <c r="B3092" i="1"/>
  <c r="A3092" i="1"/>
  <c r="K3091" i="1"/>
  <c r="J3091" i="1"/>
  <c r="I3091" i="1"/>
  <c r="H3091" i="1"/>
  <c r="G3091" i="1"/>
  <c r="F3091" i="1"/>
  <c r="E3091" i="1"/>
  <c r="D3091" i="1"/>
  <c r="C3091" i="1"/>
  <c r="B3091" i="1"/>
  <c r="A3091" i="1"/>
  <c r="K3090" i="1"/>
  <c r="J3090" i="1"/>
  <c r="I3090" i="1"/>
  <c r="H3090" i="1"/>
  <c r="G3090" i="1"/>
  <c r="F3090" i="1"/>
  <c r="E3090" i="1"/>
  <c r="D3090" i="1"/>
  <c r="C3090" i="1"/>
  <c r="B3090" i="1"/>
  <c r="A3090" i="1"/>
  <c r="K3089" i="1"/>
  <c r="J3089" i="1"/>
  <c r="I3089" i="1"/>
  <c r="H3089" i="1"/>
  <c r="G3089" i="1"/>
  <c r="F3089" i="1"/>
  <c r="E3089" i="1"/>
  <c r="D3089" i="1"/>
  <c r="C3089" i="1"/>
  <c r="B3089" i="1"/>
  <c r="A3089" i="1"/>
  <c r="K3088" i="1"/>
  <c r="J3088" i="1"/>
  <c r="I3088" i="1"/>
  <c r="H3088" i="1"/>
  <c r="G3088" i="1"/>
  <c r="F3088" i="1"/>
  <c r="E3088" i="1"/>
  <c r="D3088" i="1"/>
  <c r="C3088" i="1"/>
  <c r="B3088" i="1"/>
  <c r="A3088" i="1"/>
  <c r="K3087" i="1"/>
  <c r="I3087" i="1"/>
  <c r="H3087" i="1"/>
  <c r="G3087" i="1"/>
  <c r="F3087" i="1"/>
  <c r="E3087" i="1"/>
  <c r="D3087" i="1"/>
  <c r="C3087" i="1"/>
  <c r="B3087" i="1"/>
  <c r="A3087" i="1"/>
  <c r="K3086" i="1"/>
  <c r="I3086" i="1"/>
  <c r="H3086" i="1"/>
  <c r="G3086" i="1"/>
  <c r="F3086" i="1"/>
  <c r="E3086" i="1"/>
  <c r="D3086" i="1"/>
  <c r="C3086" i="1"/>
  <c r="B3086" i="1"/>
  <c r="A3086" i="1"/>
  <c r="K3085" i="1"/>
  <c r="I3085" i="1"/>
  <c r="H3085" i="1"/>
  <c r="G3085" i="1"/>
  <c r="F3085" i="1"/>
  <c r="E3085" i="1"/>
  <c r="D3085" i="1"/>
  <c r="C3085" i="1"/>
  <c r="B3085" i="1"/>
  <c r="A3085" i="1"/>
  <c r="K3084" i="1"/>
  <c r="I3084" i="1"/>
  <c r="H3084" i="1"/>
  <c r="G3084" i="1"/>
  <c r="F3084" i="1"/>
  <c r="E3084" i="1"/>
  <c r="D3084" i="1"/>
  <c r="C3084" i="1"/>
  <c r="B3084" i="1"/>
  <c r="A3084" i="1"/>
  <c r="K3083" i="1"/>
  <c r="I3083" i="1"/>
  <c r="H3083" i="1"/>
  <c r="G3083" i="1"/>
  <c r="F3083" i="1"/>
  <c r="E3083" i="1"/>
  <c r="D3083" i="1"/>
  <c r="C3083" i="1"/>
  <c r="B3083" i="1"/>
  <c r="A3083" i="1"/>
  <c r="K3082" i="1"/>
  <c r="I3082" i="1"/>
  <c r="H3082" i="1"/>
  <c r="G3082" i="1"/>
  <c r="F3082" i="1"/>
  <c r="E3082" i="1"/>
  <c r="D3082" i="1"/>
  <c r="C3082" i="1"/>
  <c r="B3082" i="1"/>
  <c r="A3082" i="1"/>
  <c r="K3081" i="1"/>
  <c r="I3081" i="1"/>
  <c r="H3081" i="1"/>
  <c r="G3081" i="1"/>
  <c r="F3081" i="1"/>
  <c r="E3081" i="1"/>
  <c r="D3081" i="1"/>
  <c r="C3081" i="1"/>
  <c r="B3081" i="1"/>
  <c r="A3081" i="1"/>
  <c r="K3080" i="1"/>
  <c r="I3080" i="1"/>
  <c r="H3080" i="1"/>
  <c r="G3080" i="1"/>
  <c r="F3080" i="1"/>
  <c r="E3080" i="1"/>
  <c r="D3080" i="1"/>
  <c r="C3080" i="1"/>
  <c r="B3080" i="1"/>
  <c r="A3080" i="1"/>
  <c r="K3079" i="1"/>
  <c r="I3079" i="1"/>
  <c r="H3079" i="1"/>
  <c r="G3079" i="1"/>
  <c r="F3079" i="1"/>
  <c r="E3079" i="1"/>
  <c r="D3079" i="1"/>
  <c r="C3079" i="1"/>
  <c r="B3079" i="1"/>
  <c r="A3079" i="1"/>
  <c r="K3078" i="1"/>
  <c r="I3078" i="1"/>
  <c r="H3078" i="1"/>
  <c r="G3078" i="1"/>
  <c r="F3078" i="1"/>
  <c r="E3078" i="1"/>
  <c r="D3078" i="1"/>
  <c r="C3078" i="1"/>
  <c r="B3078" i="1"/>
  <c r="A3078" i="1"/>
  <c r="K3077" i="1"/>
  <c r="I3077" i="1"/>
  <c r="H3077" i="1"/>
  <c r="G3077" i="1"/>
  <c r="F3077" i="1"/>
  <c r="E3077" i="1"/>
  <c r="D3077" i="1"/>
  <c r="C3077" i="1"/>
  <c r="B3077" i="1"/>
  <c r="A3077" i="1"/>
  <c r="K3076" i="1"/>
  <c r="I3076" i="1"/>
  <c r="H3076" i="1"/>
  <c r="G3076" i="1"/>
  <c r="F3076" i="1"/>
  <c r="E3076" i="1"/>
  <c r="D3076" i="1"/>
  <c r="C3076" i="1"/>
  <c r="B3076" i="1"/>
  <c r="A3076" i="1"/>
  <c r="K3075" i="1"/>
  <c r="I3075" i="1"/>
  <c r="H3075" i="1"/>
  <c r="G3075" i="1"/>
  <c r="F3075" i="1"/>
  <c r="E3075" i="1"/>
  <c r="D3075" i="1"/>
  <c r="C3075" i="1"/>
  <c r="B3075" i="1"/>
  <c r="A3075" i="1"/>
  <c r="K3074" i="1"/>
  <c r="J3074" i="1"/>
  <c r="I3074" i="1"/>
  <c r="H3074" i="1"/>
  <c r="G3074" i="1"/>
  <c r="F3074" i="1"/>
  <c r="E3074" i="1"/>
  <c r="D3074" i="1"/>
  <c r="C3074" i="1"/>
  <c r="B3074" i="1"/>
  <c r="A3074" i="1"/>
  <c r="K3073" i="1"/>
  <c r="J3073" i="1"/>
  <c r="I3073" i="1"/>
  <c r="H3073" i="1"/>
  <c r="G3073" i="1"/>
  <c r="F3073" i="1"/>
  <c r="E3073" i="1"/>
  <c r="D3073" i="1"/>
  <c r="C3073" i="1"/>
  <c r="B3073" i="1"/>
  <c r="A3073" i="1"/>
  <c r="K3072" i="1"/>
  <c r="J3072" i="1"/>
  <c r="I3072" i="1"/>
  <c r="H3072" i="1"/>
  <c r="G3072" i="1"/>
  <c r="F3072" i="1"/>
  <c r="E3072" i="1"/>
  <c r="D3072" i="1"/>
  <c r="C3072" i="1"/>
  <c r="B3072" i="1"/>
  <c r="A3072" i="1"/>
  <c r="K3071" i="1"/>
  <c r="J3071" i="1"/>
  <c r="I3071" i="1"/>
  <c r="H3071" i="1"/>
  <c r="G3071" i="1"/>
  <c r="F3071" i="1"/>
  <c r="E3071" i="1"/>
  <c r="D3071" i="1"/>
  <c r="C3071" i="1"/>
  <c r="B3071" i="1"/>
  <c r="A3071" i="1"/>
  <c r="K3070" i="1"/>
  <c r="J3070" i="1"/>
  <c r="I3070" i="1"/>
  <c r="H3070" i="1"/>
  <c r="G3070" i="1"/>
  <c r="F3070" i="1"/>
  <c r="E3070" i="1"/>
  <c r="D3070" i="1"/>
  <c r="C3070" i="1"/>
  <c r="B3070" i="1"/>
  <c r="A3070" i="1"/>
  <c r="K3069" i="1"/>
  <c r="I3069" i="1"/>
  <c r="H3069" i="1"/>
  <c r="G3069" i="1"/>
  <c r="F3069" i="1"/>
  <c r="E3069" i="1"/>
  <c r="D3069" i="1"/>
  <c r="C3069" i="1"/>
  <c r="B3069" i="1"/>
  <c r="A3069" i="1"/>
  <c r="K3068" i="1"/>
  <c r="I3068" i="1"/>
  <c r="H3068" i="1"/>
  <c r="G3068" i="1"/>
  <c r="F3068" i="1"/>
  <c r="E3068" i="1"/>
  <c r="D3068" i="1"/>
  <c r="C3068" i="1"/>
  <c r="B3068" i="1"/>
  <c r="A3068" i="1"/>
  <c r="K3067" i="1"/>
  <c r="I3067" i="1"/>
  <c r="H3067" i="1"/>
  <c r="G3067" i="1"/>
  <c r="F3067" i="1"/>
  <c r="E3067" i="1"/>
  <c r="D3067" i="1"/>
  <c r="C3067" i="1"/>
  <c r="B3067" i="1"/>
  <c r="A3067" i="1"/>
  <c r="K3066" i="1"/>
  <c r="I3066" i="1"/>
  <c r="H3066" i="1"/>
  <c r="G3066" i="1"/>
  <c r="F3066" i="1"/>
  <c r="E3066" i="1"/>
  <c r="D3066" i="1"/>
  <c r="C3066" i="1"/>
  <c r="B3066" i="1"/>
  <c r="A3066" i="1"/>
  <c r="K3065" i="1"/>
  <c r="I3065" i="1"/>
  <c r="H3065" i="1"/>
  <c r="G3065" i="1"/>
  <c r="F3065" i="1"/>
  <c r="E3065" i="1"/>
  <c r="D3065" i="1"/>
  <c r="C3065" i="1"/>
  <c r="B3065" i="1"/>
  <c r="A3065" i="1"/>
  <c r="K3064" i="1"/>
  <c r="I3064" i="1"/>
  <c r="H3064" i="1"/>
  <c r="G3064" i="1"/>
  <c r="F3064" i="1"/>
  <c r="E3064" i="1"/>
  <c r="D3064" i="1"/>
  <c r="C3064" i="1"/>
  <c r="B3064" i="1"/>
  <c r="A3064" i="1"/>
  <c r="K3063" i="1"/>
  <c r="I3063" i="1"/>
  <c r="H3063" i="1"/>
  <c r="G3063" i="1"/>
  <c r="F3063" i="1"/>
  <c r="E3063" i="1"/>
  <c r="D3063" i="1"/>
  <c r="C3063" i="1"/>
  <c r="B3063" i="1"/>
  <c r="A3063" i="1"/>
  <c r="K3062" i="1"/>
  <c r="I3062" i="1"/>
  <c r="H3062" i="1"/>
  <c r="G3062" i="1"/>
  <c r="F3062" i="1"/>
  <c r="E3062" i="1"/>
  <c r="D3062" i="1"/>
  <c r="C3062" i="1"/>
  <c r="B3062" i="1"/>
  <c r="A3062" i="1"/>
  <c r="K3061" i="1"/>
  <c r="I3061" i="1"/>
  <c r="H3061" i="1"/>
  <c r="G3061" i="1"/>
  <c r="F3061" i="1"/>
  <c r="E3061" i="1"/>
  <c r="D3061" i="1"/>
  <c r="C3061" i="1"/>
  <c r="B3061" i="1"/>
  <c r="A3061" i="1"/>
  <c r="K3060" i="1"/>
  <c r="I3060" i="1"/>
  <c r="H3060" i="1"/>
  <c r="G3060" i="1"/>
  <c r="F3060" i="1"/>
  <c r="E3060" i="1"/>
  <c r="D3060" i="1"/>
  <c r="C3060" i="1"/>
  <c r="B3060" i="1"/>
  <c r="A3060" i="1"/>
  <c r="K3059" i="1"/>
  <c r="I3059" i="1"/>
  <c r="H3059" i="1"/>
  <c r="G3059" i="1"/>
  <c r="F3059" i="1"/>
  <c r="E3059" i="1"/>
  <c r="D3059" i="1"/>
  <c r="C3059" i="1"/>
  <c r="B3059" i="1"/>
  <c r="A3059" i="1"/>
  <c r="K3058" i="1"/>
  <c r="I3058" i="1"/>
  <c r="H3058" i="1"/>
  <c r="G3058" i="1"/>
  <c r="F3058" i="1"/>
  <c r="E3058" i="1"/>
  <c r="D3058" i="1"/>
  <c r="C3058" i="1"/>
  <c r="B3058" i="1"/>
  <c r="A3058" i="1"/>
  <c r="K3057" i="1"/>
  <c r="I3057" i="1"/>
  <c r="H3057" i="1"/>
  <c r="G3057" i="1"/>
  <c r="F3057" i="1"/>
  <c r="E3057" i="1"/>
  <c r="D3057" i="1"/>
  <c r="C3057" i="1"/>
  <c r="B3057" i="1"/>
  <c r="A3057" i="1"/>
  <c r="K3056" i="1"/>
  <c r="I3056" i="1"/>
  <c r="H3056" i="1"/>
  <c r="G3056" i="1"/>
  <c r="F3056" i="1"/>
  <c r="E3056" i="1"/>
  <c r="D3056" i="1"/>
  <c r="C3056" i="1"/>
  <c r="B3056" i="1"/>
  <c r="A3056" i="1"/>
  <c r="K3055" i="1"/>
  <c r="I3055" i="1"/>
  <c r="H3055" i="1"/>
  <c r="G3055" i="1"/>
  <c r="F3055" i="1"/>
  <c r="E3055" i="1"/>
  <c r="D3055" i="1"/>
  <c r="C3055" i="1"/>
  <c r="B3055" i="1"/>
  <c r="A3055" i="1"/>
  <c r="K3054" i="1"/>
  <c r="I3054" i="1"/>
  <c r="H3054" i="1"/>
  <c r="G3054" i="1"/>
  <c r="F3054" i="1"/>
  <c r="E3054" i="1"/>
  <c r="D3054" i="1"/>
  <c r="C3054" i="1"/>
  <c r="B3054" i="1"/>
  <c r="A3054" i="1"/>
  <c r="K3053" i="1"/>
  <c r="I3053" i="1"/>
  <c r="H3053" i="1"/>
  <c r="G3053" i="1"/>
  <c r="F3053" i="1"/>
  <c r="E3053" i="1"/>
  <c r="D3053" i="1"/>
  <c r="C3053" i="1"/>
  <c r="B3053" i="1"/>
  <c r="A3053" i="1"/>
  <c r="K3052" i="1"/>
  <c r="I3052" i="1"/>
  <c r="H3052" i="1"/>
  <c r="G3052" i="1"/>
  <c r="F3052" i="1"/>
  <c r="E3052" i="1"/>
  <c r="D3052" i="1"/>
  <c r="C3052" i="1"/>
  <c r="B3052" i="1"/>
  <c r="A3052" i="1"/>
  <c r="K3051" i="1"/>
  <c r="I3051" i="1"/>
  <c r="H3051" i="1"/>
  <c r="G3051" i="1"/>
  <c r="F3051" i="1"/>
  <c r="E3051" i="1"/>
  <c r="D3051" i="1"/>
  <c r="C3051" i="1"/>
  <c r="B3051" i="1"/>
  <c r="A3051" i="1"/>
  <c r="K3050" i="1"/>
  <c r="I3050" i="1"/>
  <c r="H3050" i="1"/>
  <c r="G3050" i="1"/>
  <c r="F3050" i="1"/>
  <c r="E3050" i="1"/>
  <c r="D3050" i="1"/>
  <c r="C3050" i="1"/>
  <c r="B3050" i="1"/>
  <c r="A3050" i="1"/>
  <c r="K3049" i="1"/>
  <c r="I3049" i="1"/>
  <c r="H3049" i="1"/>
  <c r="G3049" i="1"/>
  <c r="F3049" i="1"/>
  <c r="E3049" i="1"/>
  <c r="D3049" i="1"/>
  <c r="C3049" i="1"/>
  <c r="B3049" i="1"/>
  <c r="A3049" i="1"/>
  <c r="K3048" i="1"/>
  <c r="I3048" i="1"/>
  <c r="H3048" i="1"/>
  <c r="G3048" i="1"/>
  <c r="F3048" i="1"/>
  <c r="E3048" i="1"/>
  <c r="D3048" i="1"/>
  <c r="C3048" i="1"/>
  <c r="B3048" i="1"/>
  <c r="A3048" i="1"/>
  <c r="K3047" i="1"/>
  <c r="I3047" i="1"/>
  <c r="H3047" i="1"/>
  <c r="G3047" i="1"/>
  <c r="F3047" i="1"/>
  <c r="E3047" i="1"/>
  <c r="D3047" i="1"/>
  <c r="C3047" i="1"/>
  <c r="B3047" i="1"/>
  <c r="A3047" i="1"/>
  <c r="K3046" i="1"/>
  <c r="I3046" i="1"/>
  <c r="H3046" i="1"/>
  <c r="G3046" i="1"/>
  <c r="F3046" i="1"/>
  <c r="E3046" i="1"/>
  <c r="D3046" i="1"/>
  <c r="C3046" i="1"/>
  <c r="B3046" i="1"/>
  <c r="A3046" i="1"/>
  <c r="K3045" i="1"/>
  <c r="I3045" i="1"/>
  <c r="H3045" i="1"/>
  <c r="G3045" i="1"/>
  <c r="F3045" i="1"/>
  <c r="E3045" i="1"/>
  <c r="D3045" i="1"/>
  <c r="C3045" i="1"/>
  <c r="B3045" i="1"/>
  <c r="A3045" i="1"/>
  <c r="K3044" i="1"/>
  <c r="I3044" i="1"/>
  <c r="H3044" i="1"/>
  <c r="G3044" i="1"/>
  <c r="F3044" i="1"/>
  <c r="E3044" i="1"/>
  <c r="D3044" i="1"/>
  <c r="C3044" i="1"/>
  <c r="B3044" i="1"/>
  <c r="A3044" i="1"/>
  <c r="K3043" i="1"/>
  <c r="I3043" i="1"/>
  <c r="H3043" i="1"/>
  <c r="G3043" i="1"/>
  <c r="F3043" i="1"/>
  <c r="E3043" i="1"/>
  <c r="D3043" i="1"/>
  <c r="C3043" i="1"/>
  <c r="B3043" i="1"/>
  <c r="A3043" i="1"/>
  <c r="K3042" i="1"/>
  <c r="I3042" i="1"/>
  <c r="H3042" i="1"/>
  <c r="G3042" i="1"/>
  <c r="F3042" i="1"/>
  <c r="E3042" i="1"/>
  <c r="D3042" i="1"/>
  <c r="C3042" i="1"/>
  <c r="B3042" i="1"/>
  <c r="A3042" i="1"/>
  <c r="K3041" i="1"/>
  <c r="I3041" i="1"/>
  <c r="H3041" i="1"/>
  <c r="G3041" i="1"/>
  <c r="F3041" i="1"/>
  <c r="E3041" i="1"/>
  <c r="D3041" i="1"/>
  <c r="C3041" i="1"/>
  <c r="B3041" i="1"/>
  <c r="A3041" i="1"/>
  <c r="K3040" i="1"/>
  <c r="I3040" i="1"/>
  <c r="H3040" i="1"/>
  <c r="G3040" i="1"/>
  <c r="F3040" i="1"/>
  <c r="E3040" i="1"/>
  <c r="D3040" i="1"/>
  <c r="C3040" i="1"/>
  <c r="B3040" i="1"/>
  <c r="A3040" i="1"/>
  <c r="K3039" i="1"/>
  <c r="I3039" i="1"/>
  <c r="H3039" i="1"/>
  <c r="G3039" i="1"/>
  <c r="F3039" i="1"/>
  <c r="E3039" i="1"/>
  <c r="D3039" i="1"/>
  <c r="C3039" i="1"/>
  <c r="B3039" i="1"/>
  <c r="A3039" i="1"/>
  <c r="K3038" i="1"/>
  <c r="J3038" i="1"/>
  <c r="I3038" i="1"/>
  <c r="H3038" i="1"/>
  <c r="G3038" i="1"/>
  <c r="F3038" i="1"/>
  <c r="E3038" i="1"/>
  <c r="D3038" i="1"/>
  <c r="C3038" i="1"/>
  <c r="B3038" i="1"/>
  <c r="A3038" i="1"/>
  <c r="K3037" i="1"/>
  <c r="J3037" i="1"/>
  <c r="I3037" i="1"/>
  <c r="H3037" i="1"/>
  <c r="G3037" i="1"/>
  <c r="F3037" i="1"/>
  <c r="E3037" i="1"/>
  <c r="D3037" i="1"/>
  <c r="C3037" i="1"/>
  <c r="B3037" i="1"/>
  <c r="A3037" i="1"/>
  <c r="K3036" i="1"/>
  <c r="J3036" i="1"/>
  <c r="I3036" i="1"/>
  <c r="H3036" i="1"/>
  <c r="G3036" i="1"/>
  <c r="F3036" i="1"/>
  <c r="E3036" i="1"/>
  <c r="D3036" i="1"/>
  <c r="C3036" i="1"/>
  <c r="B3036" i="1"/>
  <c r="A3036" i="1"/>
  <c r="K3035" i="1"/>
  <c r="J3035" i="1"/>
  <c r="I3035" i="1"/>
  <c r="H3035" i="1"/>
  <c r="G3035" i="1"/>
  <c r="F3035" i="1"/>
  <c r="E3035" i="1"/>
  <c r="D3035" i="1"/>
  <c r="C3035" i="1"/>
  <c r="B3035" i="1"/>
  <c r="A3035" i="1"/>
  <c r="K3034" i="1"/>
  <c r="J3034" i="1"/>
  <c r="I3034" i="1"/>
  <c r="H3034" i="1"/>
  <c r="G3034" i="1"/>
  <c r="F3034" i="1"/>
  <c r="E3034" i="1"/>
  <c r="D3034" i="1"/>
  <c r="C3034" i="1"/>
  <c r="B3034" i="1"/>
  <c r="A3034" i="1"/>
  <c r="K3033" i="1"/>
  <c r="J3033" i="1"/>
  <c r="I3033" i="1"/>
  <c r="H3033" i="1"/>
  <c r="G3033" i="1"/>
  <c r="F3033" i="1"/>
  <c r="E3033" i="1"/>
  <c r="D3033" i="1"/>
  <c r="C3033" i="1"/>
  <c r="B3033" i="1"/>
  <c r="A3033" i="1"/>
  <c r="K3032" i="1"/>
  <c r="J3032" i="1"/>
  <c r="I3032" i="1"/>
  <c r="H3032" i="1"/>
  <c r="G3032" i="1"/>
  <c r="F3032" i="1"/>
  <c r="E3032" i="1"/>
  <c r="D3032" i="1"/>
  <c r="C3032" i="1"/>
  <c r="B3032" i="1"/>
  <c r="A3032" i="1"/>
  <c r="K3031" i="1"/>
  <c r="J3031" i="1"/>
  <c r="I3031" i="1"/>
  <c r="H3031" i="1"/>
  <c r="G3031" i="1"/>
  <c r="F3031" i="1"/>
  <c r="E3031" i="1"/>
  <c r="D3031" i="1"/>
  <c r="C3031" i="1"/>
  <c r="B3031" i="1"/>
  <c r="A3031" i="1"/>
  <c r="K3030" i="1"/>
  <c r="J3030" i="1"/>
  <c r="I3030" i="1"/>
  <c r="H3030" i="1"/>
  <c r="G3030" i="1"/>
  <c r="F3030" i="1"/>
  <c r="E3030" i="1"/>
  <c r="D3030" i="1"/>
  <c r="C3030" i="1"/>
  <c r="B3030" i="1"/>
  <c r="A3030" i="1"/>
  <c r="K3029" i="1"/>
  <c r="J3029" i="1"/>
  <c r="I3029" i="1"/>
  <c r="H3029" i="1"/>
  <c r="G3029" i="1"/>
  <c r="F3029" i="1"/>
  <c r="E3029" i="1"/>
  <c r="D3029" i="1"/>
  <c r="C3029" i="1"/>
  <c r="B3029" i="1"/>
  <c r="A3029" i="1"/>
  <c r="K3028" i="1"/>
  <c r="J3028" i="1"/>
  <c r="I3028" i="1"/>
  <c r="H3028" i="1"/>
  <c r="G3028" i="1"/>
  <c r="F3028" i="1"/>
  <c r="E3028" i="1"/>
  <c r="D3028" i="1"/>
  <c r="C3028" i="1"/>
  <c r="B3028" i="1"/>
  <c r="A3028" i="1"/>
  <c r="K3027" i="1"/>
  <c r="J3027" i="1"/>
  <c r="I3027" i="1"/>
  <c r="H3027" i="1"/>
  <c r="G3027" i="1"/>
  <c r="F3027" i="1"/>
  <c r="E3027" i="1"/>
  <c r="D3027" i="1"/>
  <c r="C3027" i="1"/>
  <c r="B3027" i="1"/>
  <c r="A3027" i="1"/>
  <c r="K3026" i="1"/>
  <c r="J3026" i="1"/>
  <c r="I3026" i="1"/>
  <c r="H3026" i="1"/>
  <c r="G3026" i="1"/>
  <c r="F3026" i="1"/>
  <c r="E3026" i="1"/>
  <c r="D3026" i="1"/>
  <c r="C3026" i="1"/>
  <c r="B3026" i="1"/>
  <c r="A3026" i="1"/>
  <c r="K3025" i="1"/>
  <c r="J3025" i="1"/>
  <c r="I3025" i="1"/>
  <c r="H3025" i="1"/>
  <c r="G3025" i="1"/>
  <c r="F3025" i="1"/>
  <c r="E3025" i="1"/>
  <c r="D3025" i="1"/>
  <c r="C3025" i="1"/>
  <c r="B3025" i="1"/>
  <c r="A3025" i="1"/>
  <c r="K3024" i="1"/>
  <c r="J3024" i="1"/>
  <c r="I3024" i="1"/>
  <c r="H3024" i="1"/>
  <c r="G3024" i="1"/>
  <c r="F3024" i="1"/>
  <c r="E3024" i="1"/>
  <c r="D3024" i="1"/>
  <c r="C3024" i="1"/>
  <c r="B3024" i="1"/>
  <c r="A3024" i="1"/>
  <c r="K3023" i="1"/>
  <c r="J3023" i="1"/>
  <c r="I3023" i="1"/>
  <c r="H3023" i="1"/>
  <c r="G3023" i="1"/>
  <c r="F3023" i="1"/>
  <c r="E3023" i="1"/>
  <c r="D3023" i="1"/>
  <c r="C3023" i="1"/>
  <c r="B3023" i="1"/>
  <c r="A3023" i="1"/>
  <c r="K3022" i="1"/>
  <c r="J3022" i="1"/>
  <c r="I3022" i="1"/>
  <c r="H3022" i="1"/>
  <c r="G3022" i="1"/>
  <c r="F3022" i="1"/>
  <c r="E3022" i="1"/>
  <c r="D3022" i="1"/>
  <c r="C3022" i="1"/>
  <c r="B3022" i="1"/>
  <c r="A3022" i="1"/>
  <c r="K3021" i="1"/>
  <c r="J3021" i="1"/>
  <c r="I3021" i="1"/>
  <c r="H3021" i="1"/>
  <c r="G3021" i="1"/>
  <c r="F3021" i="1"/>
  <c r="E3021" i="1"/>
  <c r="D3021" i="1"/>
  <c r="C3021" i="1"/>
  <c r="B3021" i="1"/>
  <c r="A3021" i="1"/>
  <c r="K3020" i="1"/>
  <c r="J3020" i="1"/>
  <c r="I3020" i="1"/>
  <c r="H3020" i="1"/>
  <c r="G3020" i="1"/>
  <c r="F3020" i="1"/>
  <c r="E3020" i="1"/>
  <c r="D3020" i="1"/>
  <c r="C3020" i="1"/>
  <c r="B3020" i="1"/>
  <c r="A3020" i="1"/>
  <c r="K3019" i="1"/>
  <c r="J3019" i="1"/>
  <c r="I3019" i="1"/>
  <c r="H3019" i="1"/>
  <c r="G3019" i="1"/>
  <c r="F3019" i="1"/>
  <c r="E3019" i="1"/>
  <c r="D3019" i="1"/>
  <c r="C3019" i="1"/>
  <c r="B3019" i="1"/>
  <c r="A3019" i="1"/>
  <c r="K3018" i="1"/>
  <c r="J3018" i="1"/>
  <c r="I3018" i="1"/>
  <c r="H3018" i="1"/>
  <c r="G3018" i="1"/>
  <c r="F3018" i="1"/>
  <c r="E3018" i="1"/>
  <c r="D3018" i="1"/>
  <c r="C3018" i="1"/>
  <c r="B3018" i="1"/>
  <c r="A3018" i="1"/>
  <c r="K3017" i="1"/>
  <c r="J3017" i="1"/>
  <c r="I3017" i="1"/>
  <c r="H3017" i="1"/>
  <c r="G3017" i="1"/>
  <c r="F3017" i="1"/>
  <c r="E3017" i="1"/>
  <c r="D3017" i="1"/>
  <c r="C3017" i="1"/>
  <c r="B3017" i="1"/>
  <c r="A3017" i="1"/>
  <c r="K3016" i="1"/>
  <c r="J3016" i="1"/>
  <c r="I3016" i="1"/>
  <c r="H3016" i="1"/>
  <c r="G3016" i="1"/>
  <c r="F3016" i="1"/>
  <c r="E3016" i="1"/>
  <c r="D3016" i="1"/>
  <c r="C3016" i="1"/>
  <c r="B3016" i="1"/>
  <c r="A3016" i="1"/>
  <c r="K3015" i="1"/>
  <c r="I3015" i="1"/>
  <c r="H3015" i="1"/>
  <c r="G3015" i="1"/>
  <c r="F3015" i="1"/>
  <c r="E3015" i="1"/>
  <c r="D3015" i="1"/>
  <c r="C3015" i="1"/>
  <c r="B3015" i="1"/>
  <c r="A3015" i="1"/>
  <c r="K3014" i="1"/>
  <c r="I3014" i="1"/>
  <c r="H3014" i="1"/>
  <c r="G3014" i="1"/>
  <c r="F3014" i="1"/>
  <c r="E3014" i="1"/>
  <c r="D3014" i="1"/>
  <c r="C3014" i="1"/>
  <c r="B3014" i="1"/>
  <c r="A3014" i="1"/>
  <c r="K3013" i="1"/>
  <c r="I3013" i="1"/>
  <c r="H3013" i="1"/>
  <c r="G3013" i="1"/>
  <c r="F3013" i="1"/>
  <c r="E3013" i="1"/>
  <c r="D3013" i="1"/>
  <c r="C3013" i="1"/>
  <c r="B3013" i="1"/>
  <c r="A3013" i="1"/>
  <c r="K3012" i="1"/>
  <c r="I3012" i="1"/>
  <c r="H3012" i="1"/>
  <c r="G3012" i="1"/>
  <c r="F3012" i="1"/>
  <c r="E3012" i="1"/>
  <c r="D3012" i="1"/>
  <c r="C3012" i="1"/>
  <c r="B3012" i="1"/>
  <c r="A3012" i="1"/>
  <c r="K3011" i="1"/>
  <c r="I3011" i="1"/>
  <c r="H3011" i="1"/>
  <c r="G3011" i="1"/>
  <c r="F3011" i="1"/>
  <c r="E3011" i="1"/>
  <c r="D3011" i="1"/>
  <c r="C3011" i="1"/>
  <c r="B3011" i="1"/>
  <c r="A3011" i="1"/>
  <c r="K3010" i="1"/>
  <c r="I3010" i="1"/>
  <c r="H3010" i="1"/>
  <c r="G3010" i="1"/>
  <c r="F3010" i="1"/>
  <c r="E3010" i="1"/>
  <c r="D3010" i="1"/>
  <c r="C3010" i="1"/>
  <c r="B3010" i="1"/>
  <c r="A3010" i="1"/>
  <c r="K3009" i="1"/>
  <c r="I3009" i="1"/>
  <c r="H3009" i="1"/>
  <c r="G3009" i="1"/>
  <c r="F3009" i="1"/>
  <c r="E3009" i="1"/>
  <c r="D3009" i="1"/>
  <c r="C3009" i="1"/>
  <c r="B3009" i="1"/>
  <c r="A3009" i="1"/>
  <c r="K3008" i="1"/>
  <c r="I3008" i="1"/>
  <c r="H3008" i="1"/>
  <c r="G3008" i="1"/>
  <c r="F3008" i="1"/>
  <c r="E3008" i="1"/>
  <c r="D3008" i="1"/>
  <c r="C3008" i="1"/>
  <c r="B3008" i="1"/>
  <c r="A3008" i="1"/>
  <c r="K3007" i="1"/>
  <c r="I3007" i="1"/>
  <c r="H3007" i="1"/>
  <c r="G3007" i="1"/>
  <c r="F3007" i="1"/>
  <c r="E3007" i="1"/>
  <c r="D3007" i="1"/>
  <c r="C3007" i="1"/>
  <c r="B3007" i="1"/>
  <c r="A3007" i="1"/>
  <c r="K3006" i="1"/>
  <c r="I3006" i="1"/>
  <c r="H3006" i="1"/>
  <c r="G3006" i="1"/>
  <c r="F3006" i="1"/>
  <c r="E3006" i="1"/>
  <c r="D3006" i="1"/>
  <c r="C3006" i="1"/>
  <c r="B3006" i="1"/>
  <c r="A3006" i="1"/>
  <c r="K3005" i="1"/>
  <c r="J3005" i="1"/>
  <c r="H3005" i="1"/>
  <c r="G3005" i="1"/>
  <c r="F3005" i="1"/>
  <c r="E3005" i="1"/>
  <c r="D3005" i="1"/>
  <c r="C3005" i="1"/>
  <c r="B3005" i="1"/>
  <c r="A3005" i="1"/>
  <c r="K3004" i="1"/>
  <c r="I3004" i="1"/>
  <c r="H3004" i="1"/>
  <c r="G3004" i="1"/>
  <c r="F3004" i="1"/>
  <c r="E3004" i="1"/>
  <c r="D3004" i="1"/>
  <c r="C3004" i="1"/>
  <c r="B3004" i="1"/>
  <c r="A3004" i="1"/>
  <c r="K3003" i="1"/>
  <c r="I3003" i="1"/>
  <c r="H3003" i="1"/>
  <c r="G3003" i="1"/>
  <c r="F3003" i="1"/>
  <c r="E3003" i="1"/>
  <c r="D3003" i="1"/>
  <c r="C3003" i="1"/>
  <c r="B3003" i="1"/>
  <c r="A3003" i="1"/>
  <c r="K3002" i="1"/>
  <c r="I3002" i="1"/>
  <c r="H3002" i="1"/>
  <c r="G3002" i="1"/>
  <c r="F3002" i="1"/>
  <c r="E3002" i="1"/>
  <c r="D3002" i="1"/>
  <c r="C3002" i="1"/>
  <c r="B3002" i="1"/>
  <c r="A3002" i="1"/>
  <c r="K3001" i="1"/>
  <c r="I3001" i="1"/>
  <c r="H3001" i="1"/>
  <c r="G3001" i="1"/>
  <c r="F3001" i="1"/>
  <c r="E3001" i="1"/>
  <c r="D3001" i="1"/>
  <c r="C3001" i="1"/>
  <c r="B3001" i="1"/>
  <c r="A3001" i="1"/>
  <c r="K3000" i="1"/>
  <c r="I3000" i="1"/>
  <c r="H3000" i="1"/>
  <c r="G3000" i="1"/>
  <c r="F3000" i="1"/>
  <c r="E3000" i="1"/>
  <c r="D3000" i="1"/>
  <c r="C3000" i="1"/>
  <c r="B3000" i="1"/>
  <c r="A3000" i="1"/>
  <c r="K2999" i="1"/>
  <c r="I2999" i="1"/>
  <c r="H2999" i="1"/>
  <c r="G2999" i="1"/>
  <c r="F2999" i="1"/>
  <c r="E2999" i="1"/>
  <c r="D2999" i="1"/>
  <c r="C2999" i="1"/>
  <c r="B2999" i="1"/>
  <c r="A2999" i="1"/>
  <c r="K2998" i="1"/>
  <c r="I2998" i="1"/>
  <c r="H2998" i="1"/>
  <c r="G2998" i="1"/>
  <c r="F2998" i="1"/>
  <c r="E2998" i="1"/>
  <c r="D2998" i="1"/>
  <c r="C2998" i="1"/>
  <c r="B2998" i="1"/>
  <c r="A2998" i="1"/>
  <c r="K2997" i="1"/>
  <c r="I2997" i="1"/>
  <c r="H2997" i="1"/>
  <c r="G2997" i="1"/>
  <c r="F2997" i="1"/>
  <c r="E2997" i="1"/>
  <c r="D2997" i="1"/>
  <c r="C2997" i="1"/>
  <c r="B2997" i="1"/>
  <c r="A2997" i="1"/>
  <c r="K2996" i="1"/>
  <c r="I2996" i="1"/>
  <c r="H2996" i="1"/>
  <c r="G2996" i="1"/>
  <c r="F2996" i="1"/>
  <c r="E2996" i="1"/>
  <c r="D2996" i="1"/>
  <c r="C2996" i="1"/>
  <c r="B2996" i="1"/>
  <c r="A2996" i="1"/>
  <c r="K2995" i="1"/>
  <c r="I2995" i="1"/>
  <c r="H2995" i="1"/>
  <c r="G2995" i="1"/>
  <c r="F2995" i="1"/>
  <c r="E2995" i="1"/>
  <c r="D2995" i="1"/>
  <c r="C2995" i="1"/>
  <c r="B2995" i="1"/>
  <c r="A2995" i="1"/>
  <c r="K2994" i="1"/>
  <c r="I2994" i="1"/>
  <c r="H2994" i="1"/>
  <c r="G2994" i="1"/>
  <c r="F2994" i="1"/>
  <c r="E2994" i="1"/>
  <c r="D2994" i="1"/>
  <c r="C2994" i="1"/>
  <c r="B2994" i="1"/>
  <c r="A2994" i="1"/>
  <c r="K2993" i="1"/>
  <c r="I2993" i="1"/>
  <c r="H2993" i="1"/>
  <c r="G2993" i="1"/>
  <c r="F2993" i="1"/>
  <c r="E2993" i="1"/>
  <c r="D2993" i="1"/>
  <c r="C2993" i="1"/>
  <c r="B2993" i="1"/>
  <c r="A2993" i="1"/>
  <c r="K2992" i="1"/>
  <c r="I2992" i="1"/>
  <c r="H2992" i="1"/>
  <c r="G2992" i="1"/>
  <c r="F2992" i="1"/>
  <c r="E2992" i="1"/>
  <c r="D2992" i="1"/>
  <c r="C2992" i="1"/>
  <c r="B2992" i="1"/>
  <c r="A2992" i="1"/>
  <c r="K2991" i="1"/>
  <c r="I2991" i="1"/>
  <c r="H2991" i="1"/>
  <c r="G2991" i="1"/>
  <c r="F2991" i="1"/>
  <c r="E2991" i="1"/>
  <c r="D2991" i="1"/>
  <c r="C2991" i="1"/>
  <c r="B2991" i="1"/>
  <c r="A2991" i="1"/>
  <c r="K2990" i="1"/>
  <c r="I2990" i="1"/>
  <c r="H2990" i="1"/>
  <c r="G2990" i="1"/>
  <c r="F2990" i="1"/>
  <c r="E2990" i="1"/>
  <c r="D2990" i="1"/>
  <c r="C2990" i="1"/>
  <c r="B2990" i="1"/>
  <c r="A2990" i="1"/>
  <c r="K2989" i="1"/>
  <c r="I2989" i="1"/>
  <c r="H2989" i="1"/>
  <c r="G2989" i="1"/>
  <c r="F2989" i="1"/>
  <c r="E2989" i="1"/>
  <c r="D2989" i="1"/>
  <c r="C2989" i="1"/>
  <c r="B2989" i="1"/>
  <c r="A2989" i="1"/>
  <c r="K2988" i="1"/>
  <c r="J2988" i="1"/>
  <c r="H2988" i="1"/>
  <c r="G2988" i="1"/>
  <c r="F2988" i="1"/>
  <c r="E2988" i="1"/>
  <c r="D2988" i="1"/>
  <c r="C2988" i="1"/>
  <c r="B2988" i="1"/>
  <c r="A2988" i="1"/>
  <c r="K2987" i="1"/>
  <c r="I2987" i="1"/>
  <c r="H2987" i="1"/>
  <c r="G2987" i="1"/>
  <c r="F2987" i="1"/>
  <c r="E2987" i="1"/>
  <c r="D2987" i="1"/>
  <c r="C2987" i="1"/>
  <c r="B2987" i="1"/>
  <c r="A2987" i="1"/>
  <c r="K2986" i="1"/>
  <c r="I2986" i="1"/>
  <c r="H2986" i="1"/>
  <c r="G2986" i="1"/>
  <c r="F2986" i="1"/>
  <c r="E2986" i="1"/>
  <c r="D2986" i="1"/>
  <c r="C2986" i="1"/>
  <c r="B2986" i="1"/>
  <c r="A2986" i="1"/>
  <c r="K2985" i="1"/>
  <c r="I2985" i="1"/>
  <c r="H2985" i="1"/>
  <c r="G2985" i="1"/>
  <c r="F2985" i="1"/>
  <c r="E2985" i="1"/>
  <c r="D2985" i="1"/>
  <c r="C2985" i="1"/>
  <c r="B2985" i="1"/>
  <c r="A2985" i="1"/>
  <c r="K2984" i="1"/>
  <c r="I2984" i="1"/>
  <c r="H2984" i="1"/>
  <c r="G2984" i="1"/>
  <c r="F2984" i="1"/>
  <c r="E2984" i="1"/>
  <c r="D2984" i="1"/>
  <c r="C2984" i="1"/>
  <c r="B2984" i="1"/>
  <c r="A2984" i="1"/>
  <c r="K2983" i="1"/>
  <c r="I2983" i="1"/>
  <c r="H2983" i="1"/>
  <c r="G2983" i="1"/>
  <c r="F2983" i="1"/>
  <c r="E2983" i="1"/>
  <c r="D2983" i="1"/>
  <c r="C2983" i="1"/>
  <c r="B2983" i="1"/>
  <c r="A2983" i="1"/>
  <c r="K2982" i="1"/>
  <c r="I2982" i="1"/>
  <c r="H2982" i="1"/>
  <c r="G2982" i="1"/>
  <c r="F2982" i="1"/>
  <c r="E2982" i="1"/>
  <c r="D2982" i="1"/>
  <c r="C2982" i="1"/>
  <c r="B2982" i="1"/>
  <c r="A2982" i="1"/>
  <c r="K2981" i="1"/>
  <c r="I2981" i="1"/>
  <c r="H2981" i="1"/>
  <c r="G2981" i="1"/>
  <c r="F2981" i="1"/>
  <c r="E2981" i="1"/>
  <c r="D2981" i="1"/>
  <c r="C2981" i="1"/>
  <c r="B2981" i="1"/>
  <c r="A2981" i="1"/>
  <c r="K2980" i="1"/>
  <c r="I2980" i="1"/>
  <c r="H2980" i="1"/>
  <c r="G2980" i="1"/>
  <c r="F2980" i="1"/>
  <c r="E2980" i="1"/>
  <c r="D2980" i="1"/>
  <c r="C2980" i="1"/>
  <c r="B2980" i="1"/>
  <c r="A2980" i="1"/>
  <c r="K2979" i="1"/>
  <c r="I2979" i="1"/>
  <c r="H2979" i="1"/>
  <c r="G2979" i="1"/>
  <c r="F2979" i="1"/>
  <c r="E2979" i="1"/>
  <c r="D2979" i="1"/>
  <c r="C2979" i="1"/>
  <c r="B2979" i="1"/>
  <c r="A2979" i="1"/>
  <c r="K2978" i="1"/>
  <c r="I2978" i="1"/>
  <c r="H2978" i="1"/>
  <c r="G2978" i="1"/>
  <c r="F2978" i="1"/>
  <c r="E2978" i="1"/>
  <c r="D2978" i="1"/>
  <c r="C2978" i="1"/>
  <c r="B2978" i="1"/>
  <c r="A2978" i="1"/>
  <c r="K2977" i="1"/>
  <c r="I2977" i="1"/>
  <c r="H2977" i="1"/>
  <c r="G2977" i="1"/>
  <c r="F2977" i="1"/>
  <c r="E2977" i="1"/>
  <c r="D2977" i="1"/>
  <c r="C2977" i="1"/>
  <c r="B2977" i="1"/>
  <c r="A2977" i="1"/>
  <c r="K2976" i="1"/>
  <c r="I2976" i="1"/>
  <c r="H2976" i="1"/>
  <c r="G2976" i="1"/>
  <c r="F2976" i="1"/>
  <c r="E2976" i="1"/>
  <c r="D2976" i="1"/>
  <c r="C2976" i="1"/>
  <c r="B2976" i="1"/>
  <c r="A2976" i="1"/>
  <c r="K2975" i="1"/>
  <c r="I2975" i="1"/>
  <c r="H2975" i="1"/>
  <c r="G2975" i="1"/>
  <c r="F2975" i="1"/>
  <c r="E2975" i="1"/>
  <c r="D2975" i="1"/>
  <c r="C2975" i="1"/>
  <c r="B2975" i="1"/>
  <c r="A2975" i="1"/>
  <c r="K2974" i="1"/>
  <c r="I2974" i="1"/>
  <c r="H2974" i="1"/>
  <c r="G2974" i="1"/>
  <c r="F2974" i="1"/>
  <c r="E2974" i="1"/>
  <c r="D2974" i="1"/>
  <c r="C2974" i="1"/>
  <c r="B2974" i="1"/>
  <c r="A2974" i="1"/>
  <c r="K2973" i="1"/>
  <c r="I2973" i="1"/>
  <c r="H2973" i="1"/>
  <c r="G2973" i="1"/>
  <c r="F2973" i="1"/>
  <c r="E2973" i="1"/>
  <c r="D2973" i="1"/>
  <c r="C2973" i="1"/>
  <c r="B2973" i="1"/>
  <c r="A2973" i="1"/>
  <c r="K2972" i="1"/>
  <c r="I2972" i="1"/>
  <c r="H2972" i="1"/>
  <c r="G2972" i="1"/>
  <c r="F2972" i="1"/>
  <c r="E2972" i="1"/>
  <c r="D2972" i="1"/>
  <c r="C2972" i="1"/>
  <c r="B2972" i="1"/>
  <c r="A2972" i="1"/>
  <c r="K2971" i="1"/>
  <c r="I2971" i="1"/>
  <c r="H2971" i="1"/>
  <c r="G2971" i="1"/>
  <c r="F2971" i="1"/>
  <c r="E2971" i="1"/>
  <c r="D2971" i="1"/>
  <c r="C2971" i="1"/>
  <c r="B2971" i="1"/>
  <c r="A2971" i="1"/>
  <c r="K2970" i="1"/>
  <c r="I2970" i="1"/>
  <c r="H2970" i="1"/>
  <c r="G2970" i="1"/>
  <c r="F2970" i="1"/>
  <c r="E2970" i="1"/>
  <c r="D2970" i="1"/>
  <c r="C2970" i="1"/>
  <c r="B2970" i="1"/>
  <c r="A2970" i="1"/>
  <c r="K2969" i="1"/>
  <c r="I2969" i="1"/>
  <c r="H2969" i="1"/>
  <c r="G2969" i="1"/>
  <c r="F2969" i="1"/>
  <c r="E2969" i="1"/>
  <c r="D2969" i="1"/>
  <c r="C2969" i="1"/>
  <c r="B2969" i="1"/>
  <c r="A2969" i="1"/>
  <c r="K2968" i="1"/>
  <c r="I2968" i="1"/>
  <c r="H2968" i="1"/>
  <c r="G2968" i="1"/>
  <c r="F2968" i="1"/>
  <c r="E2968" i="1"/>
  <c r="D2968" i="1"/>
  <c r="C2968" i="1"/>
  <c r="B2968" i="1"/>
  <c r="A2968" i="1"/>
  <c r="K2967" i="1"/>
  <c r="I2967" i="1"/>
  <c r="H2967" i="1"/>
  <c r="G2967" i="1"/>
  <c r="F2967" i="1"/>
  <c r="E2967" i="1"/>
  <c r="D2967" i="1"/>
  <c r="C2967" i="1"/>
  <c r="B2967" i="1"/>
  <c r="A2967" i="1"/>
  <c r="K2966" i="1"/>
  <c r="I2966" i="1"/>
  <c r="H2966" i="1"/>
  <c r="G2966" i="1"/>
  <c r="F2966" i="1"/>
  <c r="E2966" i="1"/>
  <c r="D2966" i="1"/>
  <c r="C2966" i="1"/>
  <c r="B2966" i="1"/>
  <c r="A2966" i="1"/>
  <c r="K2965" i="1"/>
  <c r="I2965" i="1"/>
  <c r="H2965" i="1"/>
  <c r="G2965" i="1"/>
  <c r="F2965" i="1"/>
  <c r="E2965" i="1"/>
  <c r="D2965" i="1"/>
  <c r="C2965" i="1"/>
  <c r="B2965" i="1"/>
  <c r="A2965" i="1"/>
  <c r="K2964" i="1"/>
  <c r="I2964" i="1"/>
  <c r="H2964" i="1"/>
  <c r="G2964" i="1"/>
  <c r="F2964" i="1"/>
  <c r="E2964" i="1"/>
  <c r="D2964" i="1"/>
  <c r="C2964" i="1"/>
  <c r="B2964" i="1"/>
  <c r="A2964" i="1"/>
  <c r="K2963" i="1"/>
  <c r="I2963" i="1"/>
  <c r="H2963" i="1"/>
  <c r="G2963" i="1"/>
  <c r="F2963" i="1"/>
  <c r="E2963" i="1"/>
  <c r="D2963" i="1"/>
  <c r="C2963" i="1"/>
  <c r="B2963" i="1"/>
  <c r="A2963" i="1"/>
  <c r="K2962" i="1"/>
  <c r="I2962" i="1"/>
  <c r="H2962" i="1"/>
  <c r="G2962" i="1"/>
  <c r="F2962" i="1"/>
  <c r="E2962" i="1"/>
  <c r="D2962" i="1"/>
  <c r="C2962" i="1"/>
  <c r="B2962" i="1"/>
  <c r="A2962" i="1"/>
  <c r="K2961" i="1"/>
  <c r="I2961" i="1"/>
  <c r="H2961" i="1"/>
  <c r="G2961" i="1"/>
  <c r="F2961" i="1"/>
  <c r="E2961" i="1"/>
  <c r="D2961" i="1"/>
  <c r="C2961" i="1"/>
  <c r="B2961" i="1"/>
  <c r="A2961" i="1"/>
  <c r="K2960" i="1"/>
  <c r="I2960" i="1"/>
  <c r="H2960" i="1"/>
  <c r="G2960" i="1"/>
  <c r="F2960" i="1"/>
  <c r="E2960" i="1"/>
  <c r="D2960" i="1"/>
  <c r="C2960" i="1"/>
  <c r="B2960" i="1"/>
  <c r="A2960" i="1"/>
  <c r="K2959" i="1"/>
  <c r="I2959" i="1"/>
  <c r="H2959" i="1"/>
  <c r="G2959" i="1"/>
  <c r="F2959" i="1"/>
  <c r="E2959" i="1"/>
  <c r="D2959" i="1"/>
  <c r="C2959" i="1"/>
  <c r="B2959" i="1"/>
  <c r="A2959" i="1"/>
  <c r="K2958" i="1"/>
  <c r="I2958" i="1"/>
  <c r="H2958" i="1"/>
  <c r="G2958" i="1"/>
  <c r="F2958" i="1"/>
  <c r="E2958" i="1"/>
  <c r="D2958" i="1"/>
  <c r="C2958" i="1"/>
  <c r="B2958" i="1"/>
  <c r="A2958" i="1"/>
  <c r="K2957" i="1"/>
  <c r="I2957" i="1"/>
  <c r="H2957" i="1"/>
  <c r="G2957" i="1"/>
  <c r="F2957" i="1"/>
  <c r="E2957" i="1"/>
  <c r="D2957" i="1"/>
  <c r="C2957" i="1"/>
  <c r="B2957" i="1"/>
  <c r="A2957" i="1"/>
  <c r="K2956" i="1"/>
  <c r="I2956" i="1"/>
  <c r="H2956" i="1"/>
  <c r="G2956" i="1"/>
  <c r="F2956" i="1"/>
  <c r="E2956" i="1"/>
  <c r="D2956" i="1"/>
  <c r="C2956" i="1"/>
  <c r="B2956" i="1"/>
  <c r="A2956" i="1"/>
  <c r="K2955" i="1"/>
  <c r="I2955" i="1"/>
  <c r="H2955" i="1"/>
  <c r="G2955" i="1"/>
  <c r="F2955" i="1"/>
  <c r="E2955" i="1"/>
  <c r="D2955" i="1"/>
  <c r="C2955" i="1"/>
  <c r="B2955" i="1"/>
  <c r="A2955" i="1"/>
  <c r="K2954" i="1"/>
  <c r="I2954" i="1"/>
  <c r="H2954" i="1"/>
  <c r="G2954" i="1"/>
  <c r="F2954" i="1"/>
  <c r="E2954" i="1"/>
  <c r="D2954" i="1"/>
  <c r="C2954" i="1"/>
  <c r="B2954" i="1"/>
  <c r="A2954" i="1"/>
  <c r="K2953" i="1"/>
  <c r="J2953" i="1"/>
  <c r="H2953" i="1"/>
  <c r="G2953" i="1"/>
  <c r="F2953" i="1"/>
  <c r="E2953" i="1"/>
  <c r="D2953" i="1"/>
  <c r="C2953" i="1"/>
  <c r="B2953" i="1"/>
  <c r="A2953" i="1"/>
  <c r="K2952" i="1"/>
  <c r="J2952" i="1"/>
  <c r="H2952" i="1"/>
  <c r="G2952" i="1"/>
  <c r="F2952" i="1"/>
  <c r="E2952" i="1"/>
  <c r="D2952" i="1"/>
  <c r="C2952" i="1"/>
  <c r="B2952" i="1"/>
  <c r="A2952" i="1"/>
  <c r="K2951" i="1"/>
  <c r="J2951" i="1"/>
  <c r="H2951" i="1"/>
  <c r="G2951" i="1"/>
  <c r="F2951" i="1"/>
  <c r="E2951" i="1"/>
  <c r="D2951" i="1"/>
  <c r="C2951" i="1"/>
  <c r="B2951" i="1"/>
  <c r="A2951" i="1"/>
  <c r="K2950" i="1"/>
  <c r="I2950" i="1"/>
  <c r="H2950" i="1"/>
  <c r="G2950" i="1"/>
  <c r="F2950" i="1"/>
  <c r="E2950" i="1"/>
  <c r="D2950" i="1"/>
  <c r="C2950" i="1"/>
  <c r="B2950" i="1"/>
  <c r="A2950" i="1"/>
  <c r="K2949" i="1"/>
  <c r="I2949" i="1"/>
  <c r="H2949" i="1"/>
  <c r="G2949" i="1"/>
  <c r="F2949" i="1"/>
  <c r="E2949" i="1"/>
  <c r="D2949" i="1"/>
  <c r="C2949" i="1"/>
  <c r="B2949" i="1"/>
  <c r="A2949" i="1"/>
  <c r="K2948" i="1"/>
  <c r="I2948" i="1"/>
  <c r="H2948" i="1"/>
  <c r="G2948" i="1"/>
  <c r="F2948" i="1"/>
  <c r="E2948" i="1"/>
  <c r="D2948" i="1"/>
  <c r="C2948" i="1"/>
  <c r="B2948" i="1"/>
  <c r="A2948" i="1"/>
  <c r="K2947" i="1"/>
  <c r="I2947" i="1"/>
  <c r="H2947" i="1"/>
  <c r="G2947" i="1"/>
  <c r="F2947" i="1"/>
  <c r="E2947" i="1"/>
  <c r="D2947" i="1"/>
  <c r="C2947" i="1"/>
  <c r="B2947" i="1"/>
  <c r="A2947" i="1"/>
  <c r="K2946" i="1"/>
  <c r="I2946" i="1"/>
  <c r="H2946" i="1"/>
  <c r="G2946" i="1"/>
  <c r="F2946" i="1"/>
  <c r="E2946" i="1"/>
  <c r="D2946" i="1"/>
  <c r="C2946" i="1"/>
  <c r="B2946" i="1"/>
  <c r="A2946" i="1"/>
  <c r="K2945" i="1"/>
  <c r="I2945" i="1"/>
  <c r="H2945" i="1"/>
  <c r="G2945" i="1"/>
  <c r="F2945" i="1"/>
  <c r="E2945" i="1"/>
  <c r="D2945" i="1"/>
  <c r="C2945" i="1"/>
  <c r="B2945" i="1"/>
  <c r="A2945" i="1"/>
  <c r="K2944" i="1"/>
  <c r="I2944" i="1"/>
  <c r="H2944" i="1"/>
  <c r="G2944" i="1"/>
  <c r="F2944" i="1"/>
  <c r="E2944" i="1"/>
  <c r="D2944" i="1"/>
  <c r="C2944" i="1"/>
  <c r="B2944" i="1"/>
  <c r="A2944" i="1"/>
  <c r="K2943" i="1"/>
  <c r="I2943" i="1"/>
  <c r="H2943" i="1"/>
  <c r="G2943" i="1"/>
  <c r="F2943" i="1"/>
  <c r="E2943" i="1"/>
  <c r="D2943" i="1"/>
  <c r="C2943" i="1"/>
  <c r="B2943" i="1"/>
  <c r="A2943" i="1"/>
  <c r="K2942" i="1"/>
  <c r="I2942" i="1"/>
  <c r="H2942" i="1"/>
  <c r="G2942" i="1"/>
  <c r="F2942" i="1"/>
  <c r="E2942" i="1"/>
  <c r="D2942" i="1"/>
  <c r="C2942" i="1"/>
  <c r="B2942" i="1"/>
  <c r="A2942" i="1"/>
  <c r="K2941" i="1"/>
  <c r="I2941" i="1"/>
  <c r="H2941" i="1"/>
  <c r="G2941" i="1"/>
  <c r="F2941" i="1"/>
  <c r="E2941" i="1"/>
  <c r="D2941" i="1"/>
  <c r="C2941" i="1"/>
  <c r="B2941" i="1"/>
  <c r="A2941" i="1"/>
  <c r="K2940" i="1"/>
  <c r="I2940" i="1"/>
  <c r="H2940" i="1"/>
  <c r="G2940" i="1"/>
  <c r="F2940" i="1"/>
  <c r="E2940" i="1"/>
  <c r="D2940" i="1"/>
  <c r="C2940" i="1"/>
  <c r="B2940" i="1"/>
  <c r="A2940" i="1"/>
  <c r="K2939" i="1"/>
  <c r="I2939" i="1"/>
  <c r="H2939" i="1"/>
  <c r="G2939" i="1"/>
  <c r="F2939" i="1"/>
  <c r="E2939" i="1"/>
  <c r="D2939" i="1"/>
  <c r="C2939" i="1"/>
  <c r="B2939" i="1"/>
  <c r="A2939" i="1"/>
  <c r="K2938" i="1"/>
  <c r="I2938" i="1"/>
  <c r="H2938" i="1"/>
  <c r="G2938" i="1"/>
  <c r="F2938" i="1"/>
  <c r="E2938" i="1"/>
  <c r="D2938" i="1"/>
  <c r="C2938" i="1"/>
  <c r="B2938" i="1"/>
  <c r="A2938" i="1"/>
  <c r="K2937" i="1"/>
  <c r="I2937" i="1"/>
  <c r="H2937" i="1"/>
  <c r="G2937" i="1"/>
  <c r="F2937" i="1"/>
  <c r="E2937" i="1"/>
  <c r="D2937" i="1"/>
  <c r="C2937" i="1"/>
  <c r="B2937" i="1"/>
  <c r="A2937" i="1"/>
  <c r="K2936" i="1"/>
  <c r="I2936" i="1"/>
  <c r="H2936" i="1"/>
  <c r="G2936" i="1"/>
  <c r="F2936" i="1"/>
  <c r="E2936" i="1"/>
  <c r="D2936" i="1"/>
  <c r="C2936" i="1"/>
  <c r="B2936" i="1"/>
  <c r="A2936" i="1"/>
  <c r="K2935" i="1"/>
  <c r="I2935" i="1"/>
  <c r="H2935" i="1"/>
  <c r="G2935" i="1"/>
  <c r="F2935" i="1"/>
  <c r="E2935" i="1"/>
  <c r="D2935" i="1"/>
  <c r="C2935" i="1"/>
  <c r="B2935" i="1"/>
  <c r="A2935" i="1"/>
  <c r="K2934" i="1"/>
  <c r="I2934" i="1"/>
  <c r="H2934" i="1"/>
  <c r="G2934" i="1"/>
  <c r="F2934" i="1"/>
  <c r="E2934" i="1"/>
  <c r="D2934" i="1"/>
  <c r="C2934" i="1"/>
  <c r="B2934" i="1"/>
  <c r="A2934" i="1"/>
  <c r="K2933" i="1"/>
  <c r="I2933" i="1"/>
  <c r="H2933" i="1"/>
  <c r="G2933" i="1"/>
  <c r="F2933" i="1"/>
  <c r="E2933" i="1"/>
  <c r="D2933" i="1"/>
  <c r="C2933" i="1"/>
  <c r="B2933" i="1"/>
  <c r="A2933" i="1"/>
  <c r="K2932" i="1"/>
  <c r="I2932" i="1"/>
  <c r="H2932" i="1"/>
  <c r="G2932" i="1"/>
  <c r="F2932" i="1"/>
  <c r="E2932" i="1"/>
  <c r="D2932" i="1"/>
  <c r="C2932" i="1"/>
  <c r="B2932" i="1"/>
  <c r="A2932" i="1"/>
  <c r="K2931" i="1"/>
  <c r="I2931" i="1"/>
  <c r="H2931" i="1"/>
  <c r="G2931" i="1"/>
  <c r="F2931" i="1"/>
  <c r="E2931" i="1"/>
  <c r="D2931" i="1"/>
  <c r="C2931" i="1"/>
  <c r="B2931" i="1"/>
  <c r="A2931" i="1"/>
  <c r="K2930" i="1"/>
  <c r="J2930" i="1"/>
  <c r="I2930" i="1"/>
  <c r="H2930" i="1"/>
  <c r="G2930" i="1"/>
  <c r="F2930" i="1"/>
  <c r="E2930" i="1"/>
  <c r="D2930" i="1"/>
  <c r="C2930" i="1"/>
  <c r="B2930" i="1"/>
  <c r="A2930" i="1"/>
  <c r="K2929" i="1"/>
  <c r="I2929" i="1"/>
  <c r="H2929" i="1"/>
  <c r="G2929" i="1"/>
  <c r="F2929" i="1"/>
  <c r="E2929" i="1"/>
  <c r="D2929" i="1"/>
  <c r="C2929" i="1"/>
  <c r="B2929" i="1"/>
  <c r="A2929" i="1"/>
  <c r="K2928" i="1"/>
  <c r="I2928" i="1"/>
  <c r="H2928" i="1"/>
  <c r="G2928" i="1"/>
  <c r="F2928" i="1"/>
  <c r="E2928" i="1"/>
  <c r="D2928" i="1"/>
  <c r="C2928" i="1"/>
  <c r="B2928" i="1"/>
  <c r="A2928" i="1"/>
  <c r="K2927" i="1"/>
  <c r="I2927" i="1"/>
  <c r="H2927" i="1"/>
  <c r="G2927" i="1"/>
  <c r="F2927" i="1"/>
  <c r="E2927" i="1"/>
  <c r="D2927" i="1"/>
  <c r="C2927" i="1"/>
  <c r="B2927" i="1"/>
  <c r="A2927" i="1"/>
  <c r="K2926" i="1"/>
  <c r="I2926" i="1"/>
  <c r="H2926" i="1"/>
  <c r="G2926" i="1"/>
  <c r="F2926" i="1"/>
  <c r="E2926" i="1"/>
  <c r="D2926" i="1"/>
  <c r="C2926" i="1"/>
  <c r="B2926" i="1"/>
  <c r="A2926" i="1"/>
  <c r="K2925" i="1"/>
  <c r="I2925" i="1"/>
  <c r="H2925" i="1"/>
  <c r="G2925" i="1"/>
  <c r="F2925" i="1"/>
  <c r="E2925" i="1"/>
  <c r="D2925" i="1"/>
  <c r="C2925" i="1"/>
  <c r="B2925" i="1"/>
  <c r="A2925" i="1"/>
  <c r="K2924" i="1"/>
  <c r="I2924" i="1"/>
  <c r="H2924" i="1"/>
  <c r="G2924" i="1"/>
  <c r="F2924" i="1"/>
  <c r="E2924" i="1"/>
  <c r="D2924" i="1"/>
  <c r="C2924" i="1"/>
  <c r="B2924" i="1"/>
  <c r="A2924" i="1"/>
  <c r="K2923" i="1"/>
  <c r="I2923" i="1"/>
  <c r="H2923" i="1"/>
  <c r="G2923" i="1"/>
  <c r="F2923" i="1"/>
  <c r="E2923" i="1"/>
  <c r="D2923" i="1"/>
  <c r="C2923" i="1"/>
  <c r="B2923" i="1"/>
  <c r="A2923" i="1"/>
  <c r="K2922" i="1"/>
  <c r="I2922" i="1"/>
  <c r="H2922" i="1"/>
  <c r="G2922" i="1"/>
  <c r="F2922" i="1"/>
  <c r="E2922" i="1"/>
  <c r="D2922" i="1"/>
  <c r="C2922" i="1"/>
  <c r="B2922" i="1"/>
  <c r="A2922" i="1"/>
  <c r="K2921" i="1"/>
  <c r="I2921" i="1"/>
  <c r="H2921" i="1"/>
  <c r="G2921" i="1"/>
  <c r="F2921" i="1"/>
  <c r="E2921" i="1"/>
  <c r="D2921" i="1"/>
  <c r="C2921" i="1"/>
  <c r="B2921" i="1"/>
  <c r="A2921" i="1"/>
  <c r="K2920" i="1"/>
  <c r="I2920" i="1"/>
  <c r="H2920" i="1"/>
  <c r="G2920" i="1"/>
  <c r="F2920" i="1"/>
  <c r="E2920" i="1"/>
  <c r="D2920" i="1"/>
  <c r="C2920" i="1"/>
  <c r="B2920" i="1"/>
  <c r="A2920" i="1"/>
  <c r="K2919" i="1"/>
  <c r="I2919" i="1"/>
  <c r="H2919" i="1"/>
  <c r="G2919" i="1"/>
  <c r="F2919" i="1"/>
  <c r="E2919" i="1"/>
  <c r="D2919" i="1"/>
  <c r="C2919" i="1"/>
  <c r="B2919" i="1"/>
  <c r="A2919" i="1"/>
  <c r="K2918" i="1"/>
  <c r="I2918" i="1"/>
  <c r="H2918" i="1"/>
  <c r="G2918" i="1"/>
  <c r="F2918" i="1"/>
  <c r="E2918" i="1"/>
  <c r="D2918" i="1"/>
  <c r="C2918" i="1"/>
  <c r="B2918" i="1"/>
  <c r="A2918" i="1"/>
  <c r="K2917" i="1"/>
  <c r="I2917" i="1"/>
  <c r="H2917" i="1"/>
  <c r="G2917" i="1"/>
  <c r="F2917" i="1"/>
  <c r="E2917" i="1"/>
  <c r="D2917" i="1"/>
  <c r="C2917" i="1"/>
  <c r="B2917" i="1"/>
  <c r="A2917" i="1"/>
  <c r="K2916" i="1"/>
  <c r="I2916" i="1"/>
  <c r="H2916" i="1"/>
  <c r="G2916" i="1"/>
  <c r="F2916" i="1"/>
  <c r="E2916" i="1"/>
  <c r="D2916" i="1"/>
  <c r="C2916" i="1"/>
  <c r="B2916" i="1"/>
  <c r="A2916" i="1"/>
  <c r="K2915" i="1"/>
  <c r="I2915" i="1"/>
  <c r="H2915" i="1"/>
  <c r="G2915" i="1"/>
  <c r="F2915" i="1"/>
  <c r="E2915" i="1"/>
  <c r="D2915" i="1"/>
  <c r="C2915" i="1"/>
  <c r="B2915" i="1"/>
  <c r="A2915" i="1"/>
  <c r="K2914" i="1"/>
  <c r="I2914" i="1"/>
  <c r="H2914" i="1"/>
  <c r="G2914" i="1"/>
  <c r="F2914" i="1"/>
  <c r="E2914" i="1"/>
  <c r="D2914" i="1"/>
  <c r="C2914" i="1"/>
  <c r="B2914" i="1"/>
  <c r="A2914" i="1"/>
  <c r="K2913" i="1"/>
  <c r="I2913" i="1"/>
  <c r="H2913" i="1"/>
  <c r="G2913" i="1"/>
  <c r="F2913" i="1"/>
  <c r="E2913" i="1"/>
  <c r="D2913" i="1"/>
  <c r="C2913" i="1"/>
  <c r="B2913" i="1"/>
  <c r="A2913" i="1"/>
  <c r="K2912" i="1"/>
  <c r="J2912" i="1"/>
  <c r="H2912" i="1"/>
  <c r="G2912" i="1"/>
  <c r="F2912" i="1"/>
  <c r="E2912" i="1"/>
  <c r="D2912" i="1"/>
  <c r="C2912" i="1"/>
  <c r="B2912" i="1"/>
  <c r="A2912" i="1"/>
  <c r="K2911" i="1"/>
  <c r="J2911" i="1"/>
  <c r="H2911" i="1"/>
  <c r="G2911" i="1"/>
  <c r="F2911" i="1"/>
  <c r="E2911" i="1"/>
  <c r="D2911" i="1"/>
  <c r="C2911" i="1"/>
  <c r="B2911" i="1"/>
  <c r="A2911" i="1"/>
  <c r="K2910" i="1"/>
  <c r="J2910" i="1"/>
  <c r="H2910" i="1"/>
  <c r="G2910" i="1"/>
  <c r="F2910" i="1"/>
  <c r="E2910" i="1"/>
  <c r="D2910" i="1"/>
  <c r="C2910" i="1"/>
  <c r="B2910" i="1"/>
  <c r="A2910" i="1"/>
  <c r="K2909" i="1"/>
  <c r="I2909" i="1"/>
  <c r="H2909" i="1"/>
  <c r="G2909" i="1"/>
  <c r="F2909" i="1"/>
  <c r="E2909" i="1"/>
  <c r="D2909" i="1"/>
  <c r="C2909" i="1"/>
  <c r="B2909" i="1"/>
  <c r="A2909" i="1"/>
  <c r="K2908" i="1"/>
  <c r="I2908" i="1"/>
  <c r="H2908" i="1"/>
  <c r="G2908" i="1"/>
  <c r="F2908" i="1"/>
  <c r="E2908" i="1"/>
  <c r="D2908" i="1"/>
  <c r="C2908" i="1"/>
  <c r="B2908" i="1"/>
  <c r="A2908" i="1"/>
  <c r="K2907" i="1"/>
  <c r="I2907" i="1"/>
  <c r="H2907" i="1"/>
  <c r="G2907" i="1"/>
  <c r="F2907" i="1"/>
  <c r="E2907" i="1"/>
  <c r="D2907" i="1"/>
  <c r="C2907" i="1"/>
  <c r="B2907" i="1"/>
  <c r="A2907" i="1"/>
  <c r="K2906" i="1"/>
  <c r="I2906" i="1"/>
  <c r="H2906" i="1"/>
  <c r="G2906" i="1"/>
  <c r="F2906" i="1"/>
  <c r="E2906" i="1"/>
  <c r="D2906" i="1"/>
  <c r="C2906" i="1"/>
  <c r="B2906" i="1"/>
  <c r="A2906" i="1"/>
  <c r="K2905" i="1"/>
  <c r="I2905" i="1"/>
  <c r="H2905" i="1"/>
  <c r="G2905" i="1"/>
  <c r="F2905" i="1"/>
  <c r="E2905" i="1"/>
  <c r="D2905" i="1"/>
  <c r="C2905" i="1"/>
  <c r="B2905" i="1"/>
  <c r="A2905" i="1"/>
  <c r="K2904" i="1"/>
  <c r="I2904" i="1"/>
  <c r="H2904" i="1"/>
  <c r="G2904" i="1"/>
  <c r="F2904" i="1"/>
  <c r="E2904" i="1"/>
  <c r="D2904" i="1"/>
  <c r="C2904" i="1"/>
  <c r="B2904" i="1"/>
  <c r="A2904" i="1"/>
  <c r="K2903" i="1"/>
  <c r="I2903" i="1"/>
  <c r="H2903" i="1"/>
  <c r="G2903" i="1"/>
  <c r="F2903" i="1"/>
  <c r="E2903" i="1"/>
  <c r="D2903" i="1"/>
  <c r="C2903" i="1"/>
  <c r="B2903" i="1"/>
  <c r="A2903" i="1"/>
  <c r="K2902" i="1"/>
  <c r="I2902" i="1"/>
  <c r="H2902" i="1"/>
  <c r="G2902" i="1"/>
  <c r="F2902" i="1"/>
  <c r="E2902" i="1"/>
  <c r="D2902" i="1"/>
  <c r="C2902" i="1"/>
  <c r="B2902" i="1"/>
  <c r="A2902" i="1"/>
  <c r="K2901" i="1"/>
  <c r="I2901" i="1"/>
  <c r="H2901" i="1"/>
  <c r="G2901" i="1"/>
  <c r="F2901" i="1"/>
  <c r="E2901" i="1"/>
  <c r="D2901" i="1"/>
  <c r="C2901" i="1"/>
  <c r="B2901" i="1"/>
  <c r="A2901" i="1"/>
  <c r="K2900" i="1"/>
  <c r="I2900" i="1"/>
  <c r="H2900" i="1"/>
  <c r="G2900" i="1"/>
  <c r="F2900" i="1"/>
  <c r="E2900" i="1"/>
  <c r="D2900" i="1"/>
  <c r="C2900" i="1"/>
  <c r="B2900" i="1"/>
  <c r="A2900" i="1"/>
  <c r="K2899" i="1"/>
  <c r="J2899" i="1"/>
  <c r="H2899" i="1"/>
  <c r="G2899" i="1"/>
  <c r="F2899" i="1"/>
  <c r="E2899" i="1"/>
  <c r="D2899" i="1"/>
  <c r="C2899" i="1"/>
  <c r="B2899" i="1"/>
  <c r="A2899" i="1"/>
  <c r="K2898" i="1"/>
  <c r="J2898" i="1"/>
  <c r="I2898" i="1"/>
  <c r="H2898" i="1"/>
  <c r="G2898" i="1"/>
  <c r="F2898" i="1"/>
  <c r="E2898" i="1"/>
  <c r="D2898" i="1"/>
  <c r="C2898" i="1"/>
  <c r="B2898" i="1"/>
  <c r="A2898" i="1"/>
  <c r="K2897" i="1"/>
  <c r="J2897" i="1"/>
  <c r="H2897" i="1"/>
  <c r="G2897" i="1"/>
  <c r="F2897" i="1"/>
  <c r="E2897" i="1"/>
  <c r="D2897" i="1"/>
  <c r="C2897" i="1"/>
  <c r="B2897" i="1"/>
  <c r="A2897" i="1"/>
  <c r="K2896" i="1"/>
  <c r="J2896" i="1"/>
  <c r="H2896" i="1"/>
  <c r="G2896" i="1"/>
  <c r="F2896" i="1"/>
  <c r="E2896" i="1"/>
  <c r="D2896" i="1"/>
  <c r="C2896" i="1"/>
  <c r="B2896" i="1"/>
  <c r="A2896" i="1"/>
  <c r="K2895" i="1"/>
  <c r="J2895" i="1"/>
  <c r="H2895" i="1"/>
  <c r="G2895" i="1"/>
  <c r="F2895" i="1"/>
  <c r="E2895" i="1"/>
  <c r="D2895" i="1"/>
  <c r="C2895" i="1"/>
  <c r="B2895" i="1"/>
  <c r="A2895" i="1"/>
  <c r="K2894" i="1"/>
  <c r="J2894" i="1"/>
  <c r="H2894" i="1"/>
  <c r="G2894" i="1"/>
  <c r="F2894" i="1"/>
  <c r="E2894" i="1"/>
  <c r="D2894" i="1"/>
  <c r="C2894" i="1"/>
  <c r="B2894" i="1"/>
  <c r="A2894" i="1"/>
  <c r="K2893" i="1"/>
  <c r="J2893" i="1"/>
  <c r="H2893" i="1"/>
  <c r="G2893" i="1"/>
  <c r="F2893" i="1"/>
  <c r="E2893" i="1"/>
  <c r="D2893" i="1"/>
  <c r="C2893" i="1"/>
  <c r="B2893" i="1"/>
  <c r="A2893" i="1"/>
  <c r="K2892" i="1"/>
  <c r="J2892" i="1"/>
  <c r="H2892" i="1"/>
  <c r="G2892" i="1"/>
  <c r="F2892" i="1"/>
  <c r="E2892" i="1"/>
  <c r="D2892" i="1"/>
  <c r="C2892" i="1"/>
  <c r="B2892" i="1"/>
  <c r="A2892" i="1"/>
  <c r="K2891" i="1"/>
  <c r="J2891" i="1"/>
  <c r="H2891" i="1"/>
  <c r="G2891" i="1"/>
  <c r="F2891" i="1"/>
  <c r="E2891" i="1"/>
  <c r="D2891" i="1"/>
  <c r="C2891" i="1"/>
  <c r="B2891" i="1"/>
  <c r="A2891" i="1"/>
  <c r="K2890" i="1"/>
  <c r="J2890" i="1"/>
  <c r="H2890" i="1"/>
  <c r="G2890" i="1"/>
  <c r="F2890" i="1"/>
  <c r="E2890" i="1"/>
  <c r="D2890" i="1"/>
  <c r="C2890" i="1"/>
  <c r="B2890" i="1"/>
  <c r="A2890" i="1"/>
  <c r="K2889" i="1"/>
  <c r="I2889" i="1"/>
  <c r="H2889" i="1"/>
  <c r="G2889" i="1"/>
  <c r="F2889" i="1"/>
  <c r="E2889" i="1"/>
  <c r="D2889" i="1"/>
  <c r="C2889" i="1"/>
  <c r="B2889" i="1"/>
  <c r="A2889" i="1"/>
  <c r="K2888" i="1"/>
  <c r="I2888" i="1"/>
  <c r="H2888" i="1"/>
  <c r="G2888" i="1"/>
  <c r="F2888" i="1"/>
  <c r="E2888" i="1"/>
  <c r="D2888" i="1"/>
  <c r="C2888" i="1"/>
  <c r="B2888" i="1"/>
  <c r="A2888" i="1"/>
  <c r="K2887" i="1"/>
  <c r="I2887" i="1"/>
  <c r="H2887" i="1"/>
  <c r="G2887" i="1"/>
  <c r="F2887" i="1"/>
  <c r="E2887" i="1"/>
  <c r="D2887" i="1"/>
  <c r="C2887" i="1"/>
  <c r="B2887" i="1"/>
  <c r="A2887" i="1"/>
  <c r="K2886" i="1"/>
  <c r="I2886" i="1"/>
  <c r="H2886" i="1"/>
  <c r="G2886" i="1"/>
  <c r="F2886" i="1"/>
  <c r="E2886" i="1"/>
  <c r="D2886" i="1"/>
  <c r="C2886" i="1"/>
  <c r="B2886" i="1"/>
  <c r="A2886" i="1"/>
  <c r="K2885" i="1"/>
  <c r="I2885" i="1"/>
  <c r="H2885" i="1"/>
  <c r="G2885" i="1"/>
  <c r="F2885" i="1"/>
  <c r="E2885" i="1"/>
  <c r="D2885" i="1"/>
  <c r="C2885" i="1"/>
  <c r="B2885" i="1"/>
  <c r="A2885" i="1"/>
  <c r="K2884" i="1"/>
  <c r="I2884" i="1"/>
  <c r="H2884" i="1"/>
  <c r="G2884" i="1"/>
  <c r="F2884" i="1"/>
  <c r="E2884" i="1"/>
  <c r="D2884" i="1"/>
  <c r="C2884" i="1"/>
  <c r="B2884" i="1"/>
  <c r="A2884" i="1"/>
  <c r="K2883" i="1"/>
  <c r="I2883" i="1"/>
  <c r="H2883" i="1"/>
  <c r="G2883" i="1"/>
  <c r="F2883" i="1"/>
  <c r="E2883" i="1"/>
  <c r="D2883" i="1"/>
  <c r="C2883" i="1"/>
  <c r="B2883" i="1"/>
  <c r="A2883" i="1"/>
  <c r="K2882" i="1"/>
  <c r="I2882" i="1"/>
  <c r="H2882" i="1"/>
  <c r="G2882" i="1"/>
  <c r="F2882" i="1"/>
  <c r="E2882" i="1"/>
  <c r="D2882" i="1"/>
  <c r="C2882" i="1"/>
  <c r="B2882" i="1"/>
  <c r="A2882" i="1"/>
  <c r="K2881" i="1"/>
  <c r="I2881" i="1"/>
  <c r="H2881" i="1"/>
  <c r="G2881" i="1"/>
  <c r="F2881" i="1"/>
  <c r="E2881" i="1"/>
  <c r="D2881" i="1"/>
  <c r="C2881" i="1"/>
  <c r="B2881" i="1"/>
  <c r="A2881" i="1"/>
  <c r="K2880" i="1"/>
  <c r="I2880" i="1"/>
  <c r="H2880" i="1"/>
  <c r="G2880" i="1"/>
  <c r="F2880" i="1"/>
  <c r="E2880" i="1"/>
  <c r="D2880" i="1"/>
  <c r="C2880" i="1"/>
  <c r="B2880" i="1"/>
  <c r="A2880" i="1"/>
  <c r="K2879" i="1"/>
  <c r="I2879" i="1"/>
  <c r="H2879" i="1"/>
  <c r="G2879" i="1"/>
  <c r="F2879" i="1"/>
  <c r="E2879" i="1"/>
  <c r="D2879" i="1"/>
  <c r="C2879" i="1"/>
  <c r="B2879" i="1"/>
  <c r="A2879" i="1"/>
  <c r="K2878" i="1"/>
  <c r="I2878" i="1"/>
  <c r="H2878" i="1"/>
  <c r="G2878" i="1"/>
  <c r="F2878" i="1"/>
  <c r="E2878" i="1"/>
  <c r="D2878" i="1"/>
  <c r="C2878" i="1"/>
  <c r="B2878" i="1"/>
  <c r="A2878" i="1"/>
  <c r="K2877" i="1"/>
  <c r="I2877" i="1"/>
  <c r="H2877" i="1"/>
  <c r="G2877" i="1"/>
  <c r="F2877" i="1"/>
  <c r="E2877" i="1"/>
  <c r="D2877" i="1"/>
  <c r="C2877" i="1"/>
  <c r="B2877" i="1"/>
  <c r="A2877" i="1"/>
  <c r="K2876" i="1"/>
  <c r="I2876" i="1"/>
  <c r="H2876" i="1"/>
  <c r="G2876" i="1"/>
  <c r="F2876" i="1"/>
  <c r="E2876" i="1"/>
  <c r="D2876" i="1"/>
  <c r="C2876" i="1"/>
  <c r="B2876" i="1"/>
  <c r="A2876" i="1"/>
  <c r="K2875" i="1"/>
  <c r="I2875" i="1"/>
  <c r="H2875" i="1"/>
  <c r="G2875" i="1"/>
  <c r="F2875" i="1"/>
  <c r="E2875" i="1"/>
  <c r="D2875" i="1"/>
  <c r="C2875" i="1"/>
  <c r="B2875" i="1"/>
  <c r="A2875" i="1"/>
  <c r="K2874" i="1"/>
  <c r="I2874" i="1"/>
  <c r="H2874" i="1"/>
  <c r="G2874" i="1"/>
  <c r="F2874" i="1"/>
  <c r="E2874" i="1"/>
  <c r="D2874" i="1"/>
  <c r="C2874" i="1"/>
  <c r="B2874" i="1"/>
  <c r="A2874" i="1"/>
  <c r="K2873" i="1"/>
  <c r="I2873" i="1"/>
  <c r="H2873" i="1"/>
  <c r="G2873" i="1"/>
  <c r="F2873" i="1"/>
  <c r="E2873" i="1"/>
  <c r="D2873" i="1"/>
  <c r="C2873" i="1"/>
  <c r="B2873" i="1"/>
  <c r="A2873" i="1"/>
  <c r="K2872" i="1"/>
  <c r="I2872" i="1"/>
  <c r="H2872" i="1"/>
  <c r="G2872" i="1"/>
  <c r="F2872" i="1"/>
  <c r="E2872" i="1"/>
  <c r="D2872" i="1"/>
  <c r="C2872" i="1"/>
  <c r="B2872" i="1"/>
  <c r="A2872" i="1"/>
  <c r="K2871" i="1"/>
  <c r="I2871" i="1"/>
  <c r="H2871" i="1"/>
  <c r="G2871" i="1"/>
  <c r="F2871" i="1"/>
  <c r="E2871" i="1"/>
  <c r="D2871" i="1"/>
  <c r="C2871" i="1"/>
  <c r="B2871" i="1"/>
  <c r="A2871" i="1"/>
  <c r="K2870" i="1"/>
  <c r="I2870" i="1"/>
  <c r="H2870" i="1"/>
  <c r="G2870" i="1"/>
  <c r="F2870" i="1"/>
  <c r="E2870" i="1"/>
  <c r="D2870" i="1"/>
  <c r="C2870" i="1"/>
  <c r="B2870" i="1"/>
  <c r="A2870" i="1"/>
  <c r="K2869" i="1"/>
  <c r="I2869" i="1"/>
  <c r="H2869" i="1"/>
  <c r="G2869" i="1"/>
  <c r="F2869" i="1"/>
  <c r="E2869" i="1"/>
  <c r="D2869" i="1"/>
  <c r="C2869" i="1"/>
  <c r="B2869" i="1"/>
  <c r="A2869" i="1"/>
  <c r="K2868" i="1"/>
  <c r="I2868" i="1"/>
  <c r="H2868" i="1"/>
  <c r="G2868" i="1"/>
  <c r="F2868" i="1"/>
  <c r="E2868" i="1"/>
  <c r="D2868" i="1"/>
  <c r="C2868" i="1"/>
  <c r="B2868" i="1"/>
  <c r="A2868" i="1"/>
  <c r="K2867" i="1"/>
  <c r="I2867" i="1"/>
  <c r="H2867" i="1"/>
  <c r="G2867" i="1"/>
  <c r="F2867" i="1"/>
  <c r="E2867" i="1"/>
  <c r="D2867" i="1"/>
  <c r="C2867" i="1"/>
  <c r="B2867" i="1"/>
  <c r="A2867" i="1"/>
  <c r="K2866" i="1"/>
  <c r="I2866" i="1"/>
  <c r="H2866" i="1"/>
  <c r="G2866" i="1"/>
  <c r="F2866" i="1"/>
  <c r="E2866" i="1"/>
  <c r="D2866" i="1"/>
  <c r="C2866" i="1"/>
  <c r="B2866" i="1"/>
  <c r="A2866" i="1"/>
  <c r="K2865" i="1"/>
  <c r="I2865" i="1"/>
  <c r="H2865" i="1"/>
  <c r="G2865" i="1"/>
  <c r="F2865" i="1"/>
  <c r="E2865" i="1"/>
  <c r="D2865" i="1"/>
  <c r="C2865" i="1"/>
  <c r="B2865" i="1"/>
  <c r="A2865" i="1"/>
  <c r="K2864" i="1"/>
  <c r="J2864" i="1"/>
  <c r="I2864" i="1"/>
  <c r="H2864" i="1"/>
  <c r="G2864" i="1"/>
  <c r="F2864" i="1"/>
  <c r="E2864" i="1"/>
  <c r="D2864" i="1"/>
  <c r="C2864" i="1"/>
  <c r="B2864" i="1"/>
  <c r="A2864" i="1"/>
  <c r="K2863" i="1"/>
  <c r="J2863" i="1"/>
  <c r="I2863" i="1"/>
  <c r="H2863" i="1"/>
  <c r="G2863" i="1"/>
  <c r="F2863" i="1"/>
  <c r="E2863" i="1"/>
  <c r="D2863" i="1"/>
  <c r="C2863" i="1"/>
  <c r="B2863" i="1"/>
  <c r="A2863" i="1"/>
  <c r="K2862" i="1"/>
  <c r="I2862" i="1"/>
  <c r="H2862" i="1"/>
  <c r="G2862" i="1"/>
  <c r="F2862" i="1"/>
  <c r="E2862" i="1"/>
  <c r="D2862" i="1"/>
  <c r="C2862" i="1"/>
  <c r="B2862" i="1"/>
  <c r="A2862" i="1"/>
  <c r="K2861" i="1"/>
  <c r="I2861" i="1"/>
  <c r="H2861" i="1"/>
  <c r="G2861" i="1"/>
  <c r="F2861" i="1"/>
  <c r="E2861" i="1"/>
  <c r="D2861" i="1"/>
  <c r="C2861" i="1"/>
  <c r="B2861" i="1"/>
  <c r="A2861" i="1"/>
  <c r="K2860" i="1"/>
  <c r="I2860" i="1"/>
  <c r="H2860" i="1"/>
  <c r="G2860" i="1"/>
  <c r="F2860" i="1"/>
  <c r="E2860" i="1"/>
  <c r="D2860" i="1"/>
  <c r="C2860" i="1"/>
  <c r="B2860" i="1"/>
  <c r="A2860" i="1"/>
  <c r="K2859" i="1"/>
  <c r="I2859" i="1"/>
  <c r="H2859" i="1"/>
  <c r="G2859" i="1"/>
  <c r="F2859" i="1"/>
  <c r="E2859" i="1"/>
  <c r="D2859" i="1"/>
  <c r="C2859" i="1"/>
  <c r="B2859" i="1"/>
  <c r="A2859" i="1"/>
  <c r="K2858" i="1"/>
  <c r="I2858" i="1"/>
  <c r="H2858" i="1"/>
  <c r="G2858" i="1"/>
  <c r="F2858" i="1"/>
  <c r="E2858" i="1"/>
  <c r="D2858" i="1"/>
  <c r="C2858" i="1"/>
  <c r="B2858" i="1"/>
  <c r="A2858" i="1"/>
  <c r="K2857" i="1"/>
  <c r="I2857" i="1"/>
  <c r="H2857" i="1"/>
  <c r="G2857" i="1"/>
  <c r="F2857" i="1"/>
  <c r="E2857" i="1"/>
  <c r="D2857" i="1"/>
  <c r="C2857" i="1"/>
  <c r="B2857" i="1"/>
  <c r="A2857" i="1"/>
  <c r="K2856" i="1"/>
  <c r="I2856" i="1"/>
  <c r="H2856" i="1"/>
  <c r="G2856" i="1"/>
  <c r="F2856" i="1"/>
  <c r="E2856" i="1"/>
  <c r="D2856" i="1"/>
  <c r="C2856" i="1"/>
  <c r="B2856" i="1"/>
  <c r="A2856" i="1"/>
  <c r="K2855" i="1"/>
  <c r="I2855" i="1"/>
  <c r="H2855" i="1"/>
  <c r="G2855" i="1"/>
  <c r="F2855" i="1"/>
  <c r="E2855" i="1"/>
  <c r="D2855" i="1"/>
  <c r="C2855" i="1"/>
  <c r="B2855" i="1"/>
  <c r="A2855" i="1"/>
  <c r="K2854" i="1"/>
  <c r="I2854" i="1"/>
  <c r="H2854" i="1"/>
  <c r="G2854" i="1"/>
  <c r="F2854" i="1"/>
  <c r="E2854" i="1"/>
  <c r="D2854" i="1"/>
  <c r="C2854" i="1"/>
  <c r="B2854" i="1"/>
  <c r="A2854" i="1"/>
  <c r="K2853" i="1"/>
  <c r="I2853" i="1"/>
  <c r="H2853" i="1"/>
  <c r="G2853" i="1"/>
  <c r="F2853" i="1"/>
  <c r="E2853" i="1"/>
  <c r="D2853" i="1"/>
  <c r="C2853" i="1"/>
  <c r="B2853" i="1"/>
  <c r="A2853" i="1"/>
  <c r="K2852" i="1"/>
  <c r="I2852" i="1"/>
  <c r="H2852" i="1"/>
  <c r="G2852" i="1"/>
  <c r="F2852" i="1"/>
  <c r="E2852" i="1"/>
  <c r="D2852" i="1"/>
  <c r="C2852" i="1"/>
  <c r="B2852" i="1"/>
  <c r="A2852" i="1"/>
  <c r="K2851" i="1"/>
  <c r="I2851" i="1"/>
  <c r="H2851" i="1"/>
  <c r="G2851" i="1"/>
  <c r="F2851" i="1"/>
  <c r="E2851" i="1"/>
  <c r="D2851" i="1"/>
  <c r="C2851" i="1"/>
  <c r="B2851" i="1"/>
  <c r="A2851" i="1"/>
  <c r="K2850" i="1"/>
  <c r="I2850" i="1"/>
  <c r="H2850" i="1"/>
  <c r="G2850" i="1"/>
  <c r="F2850" i="1"/>
  <c r="E2850" i="1"/>
  <c r="D2850" i="1"/>
  <c r="C2850" i="1"/>
  <c r="B2850" i="1"/>
  <c r="A2850" i="1"/>
  <c r="K2849" i="1"/>
  <c r="I2849" i="1"/>
  <c r="H2849" i="1"/>
  <c r="G2849" i="1"/>
  <c r="F2849" i="1"/>
  <c r="E2849" i="1"/>
  <c r="D2849" i="1"/>
  <c r="C2849" i="1"/>
  <c r="B2849" i="1"/>
  <c r="A2849" i="1"/>
  <c r="K2848" i="1"/>
  <c r="J2848" i="1"/>
  <c r="I2848" i="1"/>
  <c r="H2848" i="1"/>
  <c r="G2848" i="1"/>
  <c r="F2848" i="1"/>
  <c r="E2848" i="1"/>
  <c r="D2848" i="1"/>
  <c r="C2848" i="1"/>
  <c r="B2848" i="1"/>
  <c r="A2848" i="1"/>
  <c r="K2847" i="1"/>
  <c r="J2847" i="1"/>
  <c r="H2847" i="1"/>
  <c r="G2847" i="1"/>
  <c r="F2847" i="1"/>
  <c r="E2847" i="1"/>
  <c r="D2847" i="1"/>
  <c r="C2847" i="1"/>
  <c r="B2847" i="1"/>
  <c r="A2847" i="1"/>
  <c r="K2846" i="1"/>
  <c r="J2846" i="1"/>
  <c r="H2846" i="1"/>
  <c r="G2846" i="1"/>
  <c r="F2846" i="1"/>
  <c r="E2846" i="1"/>
  <c r="D2846" i="1"/>
  <c r="C2846" i="1"/>
  <c r="B2846" i="1"/>
  <c r="A2846" i="1"/>
  <c r="K2845" i="1"/>
  <c r="J2845" i="1"/>
  <c r="H2845" i="1"/>
  <c r="G2845" i="1"/>
  <c r="F2845" i="1"/>
  <c r="E2845" i="1"/>
  <c r="D2845" i="1"/>
  <c r="C2845" i="1"/>
  <c r="B2845" i="1"/>
  <c r="A2845" i="1"/>
  <c r="K2844" i="1"/>
  <c r="J2844" i="1"/>
  <c r="H2844" i="1"/>
  <c r="G2844" i="1"/>
  <c r="F2844" i="1"/>
  <c r="E2844" i="1"/>
  <c r="D2844" i="1"/>
  <c r="C2844" i="1"/>
  <c r="B2844" i="1"/>
  <c r="A2844" i="1"/>
  <c r="K2843" i="1"/>
  <c r="I2843" i="1"/>
  <c r="H2843" i="1"/>
  <c r="G2843" i="1"/>
  <c r="F2843" i="1"/>
  <c r="E2843" i="1"/>
  <c r="D2843" i="1"/>
  <c r="C2843" i="1"/>
  <c r="B2843" i="1"/>
  <c r="A2843" i="1"/>
  <c r="K2842" i="1"/>
  <c r="I2842" i="1"/>
  <c r="H2842" i="1"/>
  <c r="G2842" i="1"/>
  <c r="F2842" i="1"/>
  <c r="E2842" i="1"/>
  <c r="D2842" i="1"/>
  <c r="C2842" i="1"/>
  <c r="B2842" i="1"/>
  <c r="A2842" i="1"/>
  <c r="K2841" i="1"/>
  <c r="I2841" i="1"/>
  <c r="H2841" i="1"/>
  <c r="G2841" i="1"/>
  <c r="F2841" i="1"/>
  <c r="E2841" i="1"/>
  <c r="D2841" i="1"/>
  <c r="C2841" i="1"/>
  <c r="B2841" i="1"/>
  <c r="A2841" i="1"/>
  <c r="K2840" i="1"/>
  <c r="I2840" i="1"/>
  <c r="H2840" i="1"/>
  <c r="G2840" i="1"/>
  <c r="F2840" i="1"/>
  <c r="E2840" i="1"/>
  <c r="D2840" i="1"/>
  <c r="C2840" i="1"/>
  <c r="B2840" i="1"/>
  <c r="A2840" i="1"/>
  <c r="K2839" i="1"/>
  <c r="I2839" i="1"/>
  <c r="H2839" i="1"/>
  <c r="G2839" i="1"/>
  <c r="F2839" i="1"/>
  <c r="E2839" i="1"/>
  <c r="D2839" i="1"/>
  <c r="C2839" i="1"/>
  <c r="B2839" i="1"/>
  <c r="A2839" i="1"/>
  <c r="K2838" i="1"/>
  <c r="I2838" i="1"/>
  <c r="H2838" i="1"/>
  <c r="G2838" i="1"/>
  <c r="F2838" i="1"/>
  <c r="E2838" i="1"/>
  <c r="D2838" i="1"/>
  <c r="C2838" i="1"/>
  <c r="B2838" i="1"/>
  <c r="A2838" i="1"/>
  <c r="K2837" i="1"/>
  <c r="I2837" i="1"/>
  <c r="H2837" i="1"/>
  <c r="G2837" i="1"/>
  <c r="F2837" i="1"/>
  <c r="E2837" i="1"/>
  <c r="D2837" i="1"/>
  <c r="C2837" i="1"/>
  <c r="B2837" i="1"/>
  <c r="A2837" i="1"/>
  <c r="K2836" i="1"/>
  <c r="I2836" i="1"/>
  <c r="H2836" i="1"/>
  <c r="G2836" i="1"/>
  <c r="F2836" i="1"/>
  <c r="E2836" i="1"/>
  <c r="D2836" i="1"/>
  <c r="C2836" i="1"/>
  <c r="B2836" i="1"/>
  <c r="A2836" i="1"/>
  <c r="K2835" i="1"/>
  <c r="I2835" i="1"/>
  <c r="H2835" i="1"/>
  <c r="G2835" i="1"/>
  <c r="F2835" i="1"/>
  <c r="E2835" i="1"/>
  <c r="D2835" i="1"/>
  <c r="C2835" i="1"/>
  <c r="B2835" i="1"/>
  <c r="A2835" i="1"/>
  <c r="K2834" i="1"/>
  <c r="I2834" i="1"/>
  <c r="H2834" i="1"/>
  <c r="G2834" i="1"/>
  <c r="F2834" i="1"/>
  <c r="E2834" i="1"/>
  <c r="D2834" i="1"/>
  <c r="C2834" i="1"/>
  <c r="B2834" i="1"/>
  <c r="A2834" i="1"/>
  <c r="K2833" i="1"/>
  <c r="I2833" i="1"/>
  <c r="H2833" i="1"/>
  <c r="G2833" i="1"/>
  <c r="F2833" i="1"/>
  <c r="E2833" i="1"/>
  <c r="D2833" i="1"/>
  <c r="C2833" i="1"/>
  <c r="B2833" i="1"/>
  <c r="A2833" i="1"/>
  <c r="K2832" i="1"/>
  <c r="I2832" i="1"/>
  <c r="H2832" i="1"/>
  <c r="G2832" i="1"/>
  <c r="F2832" i="1"/>
  <c r="E2832" i="1"/>
  <c r="D2832" i="1"/>
  <c r="C2832" i="1"/>
  <c r="B2832" i="1"/>
  <c r="A2832" i="1"/>
  <c r="K2831" i="1"/>
  <c r="I2831" i="1"/>
  <c r="H2831" i="1"/>
  <c r="G2831" i="1"/>
  <c r="F2831" i="1"/>
  <c r="E2831" i="1"/>
  <c r="D2831" i="1"/>
  <c r="C2831" i="1"/>
  <c r="B2831" i="1"/>
  <c r="A2831" i="1"/>
  <c r="K2830" i="1"/>
  <c r="I2830" i="1"/>
  <c r="H2830" i="1"/>
  <c r="G2830" i="1"/>
  <c r="F2830" i="1"/>
  <c r="E2830" i="1"/>
  <c r="D2830" i="1"/>
  <c r="C2830" i="1"/>
  <c r="B2830" i="1"/>
  <c r="A2830" i="1"/>
  <c r="K2829" i="1"/>
  <c r="I2829" i="1"/>
  <c r="H2829" i="1"/>
  <c r="G2829" i="1"/>
  <c r="F2829" i="1"/>
  <c r="E2829" i="1"/>
  <c r="D2829" i="1"/>
  <c r="C2829" i="1"/>
  <c r="B2829" i="1"/>
  <c r="A2829" i="1"/>
  <c r="K2828" i="1"/>
  <c r="I2828" i="1"/>
  <c r="H2828" i="1"/>
  <c r="G2828" i="1"/>
  <c r="F2828" i="1"/>
  <c r="E2828" i="1"/>
  <c r="D2828" i="1"/>
  <c r="C2828" i="1"/>
  <c r="B2828" i="1"/>
  <c r="A2828" i="1"/>
  <c r="K2827" i="1"/>
  <c r="I2827" i="1"/>
  <c r="H2827" i="1"/>
  <c r="G2827" i="1"/>
  <c r="F2827" i="1"/>
  <c r="E2827" i="1"/>
  <c r="D2827" i="1"/>
  <c r="C2827" i="1"/>
  <c r="B2827" i="1"/>
  <c r="A2827" i="1"/>
  <c r="K2826" i="1"/>
  <c r="I2826" i="1"/>
  <c r="H2826" i="1"/>
  <c r="G2826" i="1"/>
  <c r="F2826" i="1"/>
  <c r="E2826" i="1"/>
  <c r="D2826" i="1"/>
  <c r="C2826" i="1"/>
  <c r="B2826" i="1"/>
  <c r="A2826" i="1"/>
  <c r="K2825" i="1"/>
  <c r="I2825" i="1"/>
  <c r="H2825" i="1"/>
  <c r="G2825" i="1"/>
  <c r="F2825" i="1"/>
  <c r="E2825" i="1"/>
  <c r="D2825" i="1"/>
  <c r="C2825" i="1"/>
  <c r="B2825" i="1"/>
  <c r="A2825" i="1"/>
  <c r="K2824" i="1"/>
  <c r="I2824" i="1"/>
  <c r="H2824" i="1"/>
  <c r="G2824" i="1"/>
  <c r="F2824" i="1"/>
  <c r="E2824" i="1"/>
  <c r="D2824" i="1"/>
  <c r="C2824" i="1"/>
  <c r="B2824" i="1"/>
  <c r="A2824" i="1"/>
  <c r="K2823" i="1"/>
  <c r="I2823" i="1"/>
  <c r="H2823" i="1"/>
  <c r="G2823" i="1"/>
  <c r="F2823" i="1"/>
  <c r="E2823" i="1"/>
  <c r="D2823" i="1"/>
  <c r="C2823" i="1"/>
  <c r="B2823" i="1"/>
  <c r="A2823" i="1"/>
  <c r="K2822" i="1"/>
  <c r="I2822" i="1"/>
  <c r="H2822" i="1"/>
  <c r="G2822" i="1"/>
  <c r="F2822" i="1"/>
  <c r="E2822" i="1"/>
  <c r="D2822" i="1"/>
  <c r="C2822" i="1"/>
  <c r="B2822" i="1"/>
  <c r="A2822" i="1"/>
  <c r="K2821" i="1"/>
  <c r="I2821" i="1"/>
  <c r="H2821" i="1"/>
  <c r="G2821" i="1"/>
  <c r="F2821" i="1"/>
  <c r="E2821" i="1"/>
  <c r="D2821" i="1"/>
  <c r="C2821" i="1"/>
  <c r="B2821" i="1"/>
  <c r="A2821" i="1"/>
  <c r="K2820" i="1"/>
  <c r="I2820" i="1"/>
  <c r="H2820" i="1"/>
  <c r="G2820" i="1"/>
  <c r="F2820" i="1"/>
  <c r="E2820" i="1"/>
  <c r="D2820" i="1"/>
  <c r="C2820" i="1"/>
  <c r="B2820" i="1"/>
  <c r="A2820" i="1"/>
  <c r="K2819" i="1"/>
  <c r="I2819" i="1"/>
  <c r="H2819" i="1"/>
  <c r="G2819" i="1"/>
  <c r="F2819" i="1"/>
  <c r="E2819" i="1"/>
  <c r="D2819" i="1"/>
  <c r="C2819" i="1"/>
  <c r="B2819" i="1"/>
  <c r="A2819" i="1"/>
  <c r="K2818" i="1"/>
  <c r="I2818" i="1"/>
  <c r="H2818" i="1"/>
  <c r="G2818" i="1"/>
  <c r="F2818" i="1"/>
  <c r="E2818" i="1"/>
  <c r="D2818" i="1"/>
  <c r="C2818" i="1"/>
  <c r="B2818" i="1"/>
  <c r="A2818" i="1"/>
  <c r="K2817" i="1"/>
  <c r="I2817" i="1"/>
  <c r="H2817" i="1"/>
  <c r="G2817" i="1"/>
  <c r="F2817" i="1"/>
  <c r="E2817" i="1"/>
  <c r="D2817" i="1"/>
  <c r="C2817" i="1"/>
  <c r="B2817" i="1"/>
  <c r="A2817" i="1"/>
  <c r="K2816" i="1"/>
  <c r="I2816" i="1"/>
  <c r="H2816" i="1"/>
  <c r="G2816" i="1"/>
  <c r="F2816" i="1"/>
  <c r="E2816" i="1"/>
  <c r="D2816" i="1"/>
  <c r="C2816" i="1"/>
  <c r="B2816" i="1"/>
  <c r="A2816" i="1"/>
  <c r="K2815" i="1"/>
  <c r="I2815" i="1"/>
  <c r="H2815" i="1"/>
  <c r="G2815" i="1"/>
  <c r="F2815" i="1"/>
  <c r="E2815" i="1"/>
  <c r="D2815" i="1"/>
  <c r="C2815" i="1"/>
  <c r="B2815" i="1"/>
  <c r="A2815" i="1"/>
  <c r="K2814" i="1"/>
  <c r="I2814" i="1"/>
  <c r="H2814" i="1"/>
  <c r="G2814" i="1"/>
  <c r="F2814" i="1"/>
  <c r="E2814" i="1"/>
  <c r="D2814" i="1"/>
  <c r="C2814" i="1"/>
  <c r="B2814" i="1"/>
  <c r="A2814" i="1"/>
  <c r="K2813" i="1"/>
  <c r="I2813" i="1"/>
  <c r="H2813" i="1"/>
  <c r="G2813" i="1"/>
  <c r="F2813" i="1"/>
  <c r="E2813" i="1"/>
  <c r="D2813" i="1"/>
  <c r="C2813" i="1"/>
  <c r="B2813" i="1"/>
  <c r="A2813" i="1"/>
  <c r="K2812" i="1"/>
  <c r="I2812" i="1"/>
  <c r="H2812" i="1"/>
  <c r="G2812" i="1"/>
  <c r="F2812" i="1"/>
  <c r="E2812" i="1"/>
  <c r="D2812" i="1"/>
  <c r="C2812" i="1"/>
  <c r="B2812" i="1"/>
  <c r="A2812" i="1"/>
  <c r="K2811" i="1"/>
  <c r="I2811" i="1"/>
  <c r="H2811" i="1"/>
  <c r="G2811" i="1"/>
  <c r="F2811" i="1"/>
  <c r="E2811" i="1"/>
  <c r="D2811" i="1"/>
  <c r="C2811" i="1"/>
  <c r="B2811" i="1"/>
  <c r="A2811" i="1"/>
  <c r="K2810" i="1"/>
  <c r="I2810" i="1"/>
  <c r="H2810" i="1"/>
  <c r="G2810" i="1"/>
  <c r="F2810" i="1"/>
  <c r="E2810" i="1"/>
  <c r="D2810" i="1"/>
  <c r="C2810" i="1"/>
  <c r="B2810" i="1"/>
  <c r="A2810" i="1"/>
  <c r="K2809" i="1"/>
  <c r="J2809" i="1"/>
  <c r="I2809" i="1"/>
  <c r="H2809" i="1"/>
  <c r="G2809" i="1"/>
  <c r="F2809" i="1"/>
  <c r="E2809" i="1"/>
  <c r="D2809" i="1"/>
  <c r="C2809" i="1"/>
  <c r="B2809" i="1"/>
  <c r="A2809" i="1"/>
  <c r="K2808" i="1"/>
  <c r="I2808" i="1"/>
  <c r="H2808" i="1"/>
  <c r="G2808" i="1"/>
  <c r="F2808" i="1"/>
  <c r="E2808" i="1"/>
  <c r="D2808" i="1"/>
  <c r="C2808" i="1"/>
  <c r="B2808" i="1"/>
  <c r="A2808" i="1"/>
  <c r="K2807" i="1"/>
  <c r="I2807" i="1"/>
  <c r="H2807" i="1"/>
  <c r="G2807" i="1"/>
  <c r="F2807" i="1"/>
  <c r="E2807" i="1"/>
  <c r="D2807" i="1"/>
  <c r="C2807" i="1"/>
  <c r="B2807" i="1"/>
  <c r="A2807" i="1"/>
  <c r="K2806" i="1"/>
  <c r="I2806" i="1"/>
  <c r="H2806" i="1"/>
  <c r="G2806" i="1"/>
  <c r="F2806" i="1"/>
  <c r="E2806" i="1"/>
  <c r="D2806" i="1"/>
  <c r="C2806" i="1"/>
  <c r="B2806" i="1"/>
  <c r="A2806" i="1"/>
  <c r="K2805" i="1"/>
  <c r="I2805" i="1"/>
  <c r="H2805" i="1"/>
  <c r="G2805" i="1"/>
  <c r="F2805" i="1"/>
  <c r="E2805" i="1"/>
  <c r="D2805" i="1"/>
  <c r="C2805" i="1"/>
  <c r="B2805" i="1"/>
  <c r="A2805" i="1"/>
  <c r="K2804" i="1"/>
  <c r="I2804" i="1"/>
  <c r="H2804" i="1"/>
  <c r="G2804" i="1"/>
  <c r="F2804" i="1"/>
  <c r="E2804" i="1"/>
  <c r="D2804" i="1"/>
  <c r="C2804" i="1"/>
  <c r="B2804" i="1"/>
  <c r="A2804" i="1"/>
  <c r="K2803" i="1"/>
  <c r="I2803" i="1"/>
  <c r="H2803" i="1"/>
  <c r="G2803" i="1"/>
  <c r="F2803" i="1"/>
  <c r="E2803" i="1"/>
  <c r="D2803" i="1"/>
  <c r="C2803" i="1"/>
  <c r="B2803" i="1"/>
  <c r="A2803" i="1"/>
  <c r="K2802" i="1"/>
  <c r="I2802" i="1"/>
  <c r="H2802" i="1"/>
  <c r="G2802" i="1"/>
  <c r="F2802" i="1"/>
  <c r="E2802" i="1"/>
  <c r="D2802" i="1"/>
  <c r="C2802" i="1"/>
  <c r="B2802" i="1"/>
  <c r="A2802" i="1"/>
  <c r="K2801" i="1"/>
  <c r="I2801" i="1"/>
  <c r="H2801" i="1"/>
  <c r="G2801" i="1"/>
  <c r="F2801" i="1"/>
  <c r="E2801" i="1"/>
  <c r="D2801" i="1"/>
  <c r="C2801" i="1"/>
  <c r="B2801" i="1"/>
  <c r="A2801" i="1"/>
  <c r="K2800" i="1"/>
  <c r="I2800" i="1"/>
  <c r="H2800" i="1"/>
  <c r="G2800" i="1"/>
  <c r="F2800" i="1"/>
  <c r="E2800" i="1"/>
  <c r="D2800" i="1"/>
  <c r="C2800" i="1"/>
  <c r="B2800" i="1"/>
  <c r="A2800" i="1"/>
  <c r="K2799" i="1"/>
  <c r="I2799" i="1"/>
  <c r="H2799" i="1"/>
  <c r="G2799" i="1"/>
  <c r="F2799" i="1"/>
  <c r="E2799" i="1"/>
  <c r="D2799" i="1"/>
  <c r="C2799" i="1"/>
  <c r="B2799" i="1"/>
  <c r="A2799" i="1"/>
  <c r="K2798" i="1"/>
  <c r="I2798" i="1"/>
  <c r="H2798" i="1"/>
  <c r="G2798" i="1"/>
  <c r="F2798" i="1"/>
  <c r="E2798" i="1"/>
  <c r="D2798" i="1"/>
  <c r="C2798" i="1"/>
  <c r="B2798" i="1"/>
  <c r="A2798" i="1"/>
  <c r="K2797" i="1"/>
  <c r="I2797" i="1"/>
  <c r="H2797" i="1"/>
  <c r="G2797" i="1"/>
  <c r="F2797" i="1"/>
  <c r="E2797" i="1"/>
  <c r="D2797" i="1"/>
  <c r="C2797" i="1"/>
  <c r="B2797" i="1"/>
  <c r="A2797" i="1"/>
  <c r="K2796" i="1"/>
  <c r="I2796" i="1"/>
  <c r="H2796" i="1"/>
  <c r="G2796" i="1"/>
  <c r="F2796" i="1"/>
  <c r="E2796" i="1"/>
  <c r="D2796" i="1"/>
  <c r="C2796" i="1"/>
  <c r="B2796" i="1"/>
  <c r="A2796" i="1"/>
  <c r="K2795" i="1"/>
  <c r="I2795" i="1"/>
  <c r="H2795" i="1"/>
  <c r="G2795" i="1"/>
  <c r="F2795" i="1"/>
  <c r="E2795" i="1"/>
  <c r="D2795" i="1"/>
  <c r="C2795" i="1"/>
  <c r="B2795" i="1"/>
  <c r="A2795" i="1"/>
  <c r="K2794" i="1"/>
  <c r="I2794" i="1"/>
  <c r="H2794" i="1"/>
  <c r="G2794" i="1"/>
  <c r="F2794" i="1"/>
  <c r="E2794" i="1"/>
  <c r="D2794" i="1"/>
  <c r="C2794" i="1"/>
  <c r="B2794" i="1"/>
  <c r="A2794" i="1"/>
  <c r="K2793" i="1"/>
  <c r="I2793" i="1"/>
  <c r="H2793" i="1"/>
  <c r="G2793" i="1"/>
  <c r="F2793" i="1"/>
  <c r="E2793" i="1"/>
  <c r="D2793" i="1"/>
  <c r="C2793" i="1"/>
  <c r="B2793" i="1"/>
  <c r="A2793" i="1"/>
  <c r="K2792" i="1"/>
  <c r="I2792" i="1"/>
  <c r="H2792" i="1"/>
  <c r="G2792" i="1"/>
  <c r="F2792" i="1"/>
  <c r="E2792" i="1"/>
  <c r="D2792" i="1"/>
  <c r="C2792" i="1"/>
  <c r="B2792" i="1"/>
  <c r="A2792" i="1"/>
  <c r="K2791" i="1"/>
  <c r="I2791" i="1"/>
  <c r="H2791" i="1"/>
  <c r="G2791" i="1"/>
  <c r="F2791" i="1"/>
  <c r="E2791" i="1"/>
  <c r="D2791" i="1"/>
  <c r="C2791" i="1"/>
  <c r="B2791" i="1"/>
  <c r="A2791" i="1"/>
  <c r="K2790" i="1"/>
  <c r="I2790" i="1"/>
  <c r="H2790" i="1"/>
  <c r="G2790" i="1"/>
  <c r="F2790" i="1"/>
  <c r="E2790" i="1"/>
  <c r="D2790" i="1"/>
  <c r="C2790" i="1"/>
  <c r="B2790" i="1"/>
  <c r="A2790" i="1"/>
  <c r="K2789" i="1"/>
  <c r="I2789" i="1"/>
  <c r="H2789" i="1"/>
  <c r="G2789" i="1"/>
  <c r="F2789" i="1"/>
  <c r="E2789" i="1"/>
  <c r="D2789" i="1"/>
  <c r="C2789" i="1"/>
  <c r="B2789" i="1"/>
  <c r="A2789" i="1"/>
  <c r="K2788" i="1"/>
  <c r="I2788" i="1"/>
  <c r="H2788" i="1"/>
  <c r="G2788" i="1"/>
  <c r="F2788" i="1"/>
  <c r="E2788" i="1"/>
  <c r="D2788" i="1"/>
  <c r="C2788" i="1"/>
  <c r="B2788" i="1"/>
  <c r="A2788" i="1"/>
  <c r="K2787" i="1"/>
  <c r="I2787" i="1"/>
  <c r="H2787" i="1"/>
  <c r="G2787" i="1"/>
  <c r="F2787" i="1"/>
  <c r="E2787" i="1"/>
  <c r="D2787" i="1"/>
  <c r="C2787" i="1"/>
  <c r="B2787" i="1"/>
  <c r="A2787" i="1"/>
  <c r="K2786" i="1"/>
  <c r="I2786" i="1"/>
  <c r="H2786" i="1"/>
  <c r="G2786" i="1"/>
  <c r="F2786" i="1"/>
  <c r="E2786" i="1"/>
  <c r="D2786" i="1"/>
  <c r="C2786" i="1"/>
  <c r="B2786" i="1"/>
  <c r="A2786" i="1"/>
  <c r="K2785" i="1"/>
  <c r="I2785" i="1"/>
  <c r="H2785" i="1"/>
  <c r="G2785" i="1"/>
  <c r="F2785" i="1"/>
  <c r="E2785" i="1"/>
  <c r="D2785" i="1"/>
  <c r="C2785" i="1"/>
  <c r="B2785" i="1"/>
  <c r="A2785" i="1"/>
  <c r="K2784" i="1"/>
  <c r="I2784" i="1"/>
  <c r="H2784" i="1"/>
  <c r="G2784" i="1"/>
  <c r="F2784" i="1"/>
  <c r="E2784" i="1"/>
  <c r="D2784" i="1"/>
  <c r="C2784" i="1"/>
  <c r="B2784" i="1"/>
  <c r="A2784" i="1"/>
  <c r="K2783" i="1"/>
  <c r="I2783" i="1"/>
  <c r="H2783" i="1"/>
  <c r="G2783" i="1"/>
  <c r="F2783" i="1"/>
  <c r="E2783" i="1"/>
  <c r="D2783" i="1"/>
  <c r="C2783" i="1"/>
  <c r="B2783" i="1"/>
  <c r="A2783" i="1"/>
  <c r="K2782" i="1"/>
  <c r="I2782" i="1"/>
  <c r="H2782" i="1"/>
  <c r="G2782" i="1"/>
  <c r="F2782" i="1"/>
  <c r="E2782" i="1"/>
  <c r="D2782" i="1"/>
  <c r="C2782" i="1"/>
  <c r="B2782" i="1"/>
  <c r="A2782" i="1"/>
  <c r="K2781" i="1"/>
  <c r="I2781" i="1"/>
  <c r="H2781" i="1"/>
  <c r="G2781" i="1"/>
  <c r="F2781" i="1"/>
  <c r="E2781" i="1"/>
  <c r="D2781" i="1"/>
  <c r="C2781" i="1"/>
  <c r="B2781" i="1"/>
  <c r="A2781" i="1"/>
  <c r="K2780" i="1"/>
  <c r="I2780" i="1"/>
  <c r="H2780" i="1"/>
  <c r="G2780" i="1"/>
  <c r="F2780" i="1"/>
  <c r="E2780" i="1"/>
  <c r="D2780" i="1"/>
  <c r="C2780" i="1"/>
  <c r="B2780" i="1"/>
  <c r="A2780" i="1"/>
  <c r="K2779" i="1"/>
  <c r="I2779" i="1"/>
  <c r="H2779" i="1"/>
  <c r="G2779" i="1"/>
  <c r="F2779" i="1"/>
  <c r="E2779" i="1"/>
  <c r="D2779" i="1"/>
  <c r="C2779" i="1"/>
  <c r="B2779" i="1"/>
  <c r="A2779" i="1"/>
  <c r="K2778" i="1"/>
  <c r="I2778" i="1"/>
  <c r="H2778" i="1"/>
  <c r="G2778" i="1"/>
  <c r="F2778" i="1"/>
  <c r="E2778" i="1"/>
  <c r="D2778" i="1"/>
  <c r="C2778" i="1"/>
  <c r="B2778" i="1"/>
  <c r="A2778" i="1"/>
  <c r="K2777" i="1"/>
  <c r="I2777" i="1"/>
  <c r="H2777" i="1"/>
  <c r="G2777" i="1"/>
  <c r="F2777" i="1"/>
  <c r="E2777" i="1"/>
  <c r="D2777" i="1"/>
  <c r="C2777" i="1"/>
  <c r="B2777" i="1"/>
  <c r="A2777" i="1"/>
  <c r="K2776" i="1"/>
  <c r="I2776" i="1"/>
  <c r="H2776" i="1"/>
  <c r="G2776" i="1"/>
  <c r="F2776" i="1"/>
  <c r="E2776" i="1"/>
  <c r="D2776" i="1"/>
  <c r="C2776" i="1"/>
  <c r="B2776" i="1"/>
  <c r="A2776" i="1"/>
  <c r="K2775" i="1"/>
  <c r="J2775" i="1"/>
  <c r="H2775" i="1"/>
  <c r="G2775" i="1"/>
  <c r="F2775" i="1"/>
  <c r="E2775" i="1"/>
  <c r="D2775" i="1"/>
  <c r="C2775" i="1"/>
  <c r="B2775" i="1"/>
  <c r="A2775" i="1"/>
  <c r="K2774" i="1"/>
  <c r="J2774" i="1"/>
  <c r="H2774" i="1"/>
  <c r="G2774" i="1"/>
  <c r="F2774" i="1"/>
  <c r="E2774" i="1"/>
  <c r="D2774" i="1"/>
  <c r="C2774" i="1"/>
  <c r="B2774" i="1"/>
  <c r="A2774" i="1"/>
  <c r="K2773" i="1"/>
  <c r="J2773" i="1"/>
  <c r="H2773" i="1"/>
  <c r="G2773" i="1"/>
  <c r="F2773" i="1"/>
  <c r="E2773" i="1"/>
  <c r="D2773" i="1"/>
  <c r="C2773" i="1"/>
  <c r="B2773" i="1"/>
  <c r="A2773" i="1"/>
  <c r="K2772" i="1"/>
  <c r="J2772" i="1"/>
  <c r="H2772" i="1"/>
  <c r="G2772" i="1"/>
  <c r="F2772" i="1"/>
  <c r="E2772" i="1"/>
  <c r="D2772" i="1"/>
  <c r="C2772" i="1"/>
  <c r="B2772" i="1"/>
  <c r="A2772" i="1"/>
  <c r="K2771" i="1"/>
  <c r="J2771" i="1"/>
  <c r="H2771" i="1"/>
  <c r="G2771" i="1"/>
  <c r="F2771" i="1"/>
  <c r="E2771" i="1"/>
  <c r="D2771" i="1"/>
  <c r="C2771" i="1"/>
  <c r="B2771" i="1"/>
  <c r="A2771" i="1"/>
  <c r="K2770" i="1"/>
  <c r="J2770" i="1"/>
  <c r="H2770" i="1"/>
  <c r="G2770" i="1"/>
  <c r="F2770" i="1"/>
  <c r="E2770" i="1"/>
  <c r="D2770" i="1"/>
  <c r="C2770" i="1"/>
  <c r="B2770" i="1"/>
  <c r="A2770" i="1"/>
  <c r="K2769" i="1"/>
  <c r="J2769" i="1"/>
  <c r="H2769" i="1"/>
  <c r="G2769" i="1"/>
  <c r="F2769" i="1"/>
  <c r="E2769" i="1"/>
  <c r="D2769" i="1"/>
  <c r="C2769" i="1"/>
  <c r="B2769" i="1"/>
  <c r="A2769" i="1"/>
  <c r="K2768" i="1"/>
  <c r="J2768" i="1"/>
  <c r="H2768" i="1"/>
  <c r="G2768" i="1"/>
  <c r="F2768" i="1"/>
  <c r="E2768" i="1"/>
  <c r="D2768" i="1"/>
  <c r="C2768" i="1"/>
  <c r="B2768" i="1"/>
  <c r="A2768" i="1"/>
  <c r="K2767" i="1"/>
  <c r="J2767" i="1"/>
  <c r="H2767" i="1"/>
  <c r="G2767" i="1"/>
  <c r="F2767" i="1"/>
  <c r="E2767" i="1"/>
  <c r="D2767" i="1"/>
  <c r="C2767" i="1"/>
  <c r="B2767" i="1"/>
  <c r="A2767" i="1"/>
  <c r="K2766" i="1"/>
  <c r="J2766" i="1"/>
  <c r="H2766" i="1"/>
  <c r="G2766" i="1"/>
  <c r="F2766" i="1"/>
  <c r="E2766" i="1"/>
  <c r="D2766" i="1"/>
  <c r="C2766" i="1"/>
  <c r="B2766" i="1"/>
  <c r="A2766" i="1"/>
  <c r="K2765" i="1"/>
  <c r="J2765" i="1"/>
  <c r="H2765" i="1"/>
  <c r="G2765" i="1"/>
  <c r="F2765" i="1"/>
  <c r="E2765" i="1"/>
  <c r="D2765" i="1"/>
  <c r="C2765" i="1"/>
  <c r="B2765" i="1"/>
  <c r="A2765" i="1"/>
  <c r="K2764" i="1"/>
  <c r="J2764" i="1"/>
  <c r="H2764" i="1"/>
  <c r="G2764" i="1"/>
  <c r="F2764" i="1"/>
  <c r="E2764" i="1"/>
  <c r="D2764" i="1"/>
  <c r="C2764" i="1"/>
  <c r="B2764" i="1"/>
  <c r="A2764" i="1"/>
  <c r="K2763" i="1"/>
  <c r="J2763" i="1"/>
  <c r="H2763" i="1"/>
  <c r="G2763" i="1"/>
  <c r="F2763" i="1"/>
  <c r="E2763" i="1"/>
  <c r="D2763" i="1"/>
  <c r="C2763" i="1"/>
  <c r="B2763" i="1"/>
  <c r="A2763" i="1"/>
  <c r="K2762" i="1"/>
  <c r="J2762" i="1"/>
  <c r="H2762" i="1"/>
  <c r="G2762" i="1"/>
  <c r="F2762" i="1"/>
  <c r="E2762" i="1"/>
  <c r="D2762" i="1"/>
  <c r="C2762" i="1"/>
  <c r="B2762" i="1"/>
  <c r="A2762" i="1"/>
  <c r="K2761" i="1"/>
  <c r="J2761" i="1"/>
  <c r="H2761" i="1"/>
  <c r="G2761" i="1"/>
  <c r="F2761" i="1"/>
  <c r="E2761" i="1"/>
  <c r="D2761" i="1"/>
  <c r="C2761" i="1"/>
  <c r="B2761" i="1"/>
  <c r="A2761" i="1"/>
  <c r="K2760" i="1"/>
  <c r="J2760" i="1"/>
  <c r="H2760" i="1"/>
  <c r="G2760" i="1"/>
  <c r="F2760" i="1"/>
  <c r="E2760" i="1"/>
  <c r="D2760" i="1"/>
  <c r="C2760" i="1"/>
  <c r="B2760" i="1"/>
  <c r="A2760" i="1"/>
  <c r="K2759" i="1"/>
  <c r="J2759" i="1"/>
  <c r="H2759" i="1"/>
  <c r="G2759" i="1"/>
  <c r="F2759" i="1"/>
  <c r="E2759" i="1"/>
  <c r="D2759" i="1"/>
  <c r="C2759" i="1"/>
  <c r="B2759" i="1"/>
  <c r="A2759" i="1"/>
  <c r="K2758" i="1"/>
  <c r="J2758" i="1"/>
  <c r="H2758" i="1"/>
  <c r="G2758" i="1"/>
  <c r="F2758" i="1"/>
  <c r="E2758" i="1"/>
  <c r="D2758" i="1"/>
  <c r="C2758" i="1"/>
  <c r="B2758" i="1"/>
  <c r="A2758" i="1"/>
  <c r="K2757" i="1"/>
  <c r="J2757" i="1"/>
  <c r="H2757" i="1"/>
  <c r="G2757" i="1"/>
  <c r="F2757" i="1"/>
  <c r="E2757" i="1"/>
  <c r="D2757" i="1"/>
  <c r="C2757" i="1"/>
  <c r="B2757" i="1"/>
  <c r="A2757" i="1"/>
  <c r="K2756" i="1"/>
  <c r="J2756" i="1"/>
  <c r="H2756" i="1"/>
  <c r="G2756" i="1"/>
  <c r="F2756" i="1"/>
  <c r="E2756" i="1"/>
  <c r="D2756" i="1"/>
  <c r="C2756" i="1"/>
  <c r="B2756" i="1"/>
  <c r="A2756" i="1"/>
  <c r="K2755" i="1"/>
  <c r="J2755" i="1"/>
  <c r="H2755" i="1"/>
  <c r="G2755" i="1"/>
  <c r="F2755" i="1"/>
  <c r="E2755" i="1"/>
  <c r="D2755" i="1"/>
  <c r="C2755" i="1"/>
  <c r="B2755" i="1"/>
  <c r="A2755" i="1"/>
  <c r="K2754" i="1"/>
  <c r="J2754" i="1"/>
  <c r="H2754" i="1"/>
  <c r="G2754" i="1"/>
  <c r="F2754" i="1"/>
  <c r="E2754" i="1"/>
  <c r="D2754" i="1"/>
  <c r="C2754" i="1"/>
  <c r="B2754" i="1"/>
  <c r="A2754" i="1"/>
  <c r="K2753" i="1"/>
  <c r="J2753" i="1"/>
  <c r="H2753" i="1"/>
  <c r="G2753" i="1"/>
  <c r="F2753" i="1"/>
  <c r="E2753" i="1"/>
  <c r="D2753" i="1"/>
  <c r="C2753" i="1"/>
  <c r="B2753" i="1"/>
  <c r="A2753" i="1"/>
  <c r="K2752" i="1"/>
  <c r="J2752" i="1"/>
  <c r="H2752" i="1"/>
  <c r="G2752" i="1"/>
  <c r="F2752" i="1"/>
  <c r="E2752" i="1"/>
  <c r="D2752" i="1"/>
  <c r="C2752" i="1"/>
  <c r="B2752" i="1"/>
  <c r="A2752" i="1"/>
  <c r="K2751" i="1"/>
  <c r="J2751" i="1"/>
  <c r="H2751" i="1"/>
  <c r="G2751" i="1"/>
  <c r="F2751" i="1"/>
  <c r="E2751" i="1"/>
  <c r="D2751" i="1"/>
  <c r="C2751" i="1"/>
  <c r="B2751" i="1"/>
  <c r="A2751" i="1"/>
  <c r="K2750" i="1"/>
  <c r="J2750" i="1"/>
  <c r="H2750" i="1"/>
  <c r="G2750" i="1"/>
  <c r="F2750" i="1"/>
  <c r="E2750" i="1"/>
  <c r="D2750" i="1"/>
  <c r="C2750" i="1"/>
  <c r="B2750" i="1"/>
  <c r="A2750" i="1"/>
  <c r="K2749" i="1"/>
  <c r="J2749" i="1"/>
  <c r="H2749" i="1"/>
  <c r="G2749" i="1"/>
  <c r="F2749" i="1"/>
  <c r="E2749" i="1"/>
  <c r="D2749" i="1"/>
  <c r="C2749" i="1"/>
  <c r="B2749" i="1"/>
  <c r="A2749" i="1"/>
  <c r="K2748" i="1"/>
  <c r="J2748" i="1"/>
  <c r="H2748" i="1"/>
  <c r="G2748" i="1"/>
  <c r="F2748" i="1"/>
  <c r="E2748" i="1"/>
  <c r="D2748" i="1"/>
  <c r="C2748" i="1"/>
  <c r="B2748" i="1"/>
  <c r="A2748" i="1"/>
  <c r="K2747" i="1"/>
  <c r="J2747" i="1"/>
  <c r="H2747" i="1"/>
  <c r="G2747" i="1"/>
  <c r="F2747" i="1"/>
  <c r="E2747" i="1"/>
  <c r="D2747" i="1"/>
  <c r="C2747" i="1"/>
  <c r="B2747" i="1"/>
  <c r="A2747" i="1"/>
  <c r="K2746" i="1"/>
  <c r="J2746" i="1"/>
  <c r="H2746" i="1"/>
  <c r="G2746" i="1"/>
  <c r="F2746" i="1"/>
  <c r="E2746" i="1"/>
  <c r="D2746" i="1"/>
  <c r="C2746" i="1"/>
  <c r="B2746" i="1"/>
  <c r="A2746" i="1"/>
  <c r="K2745" i="1"/>
  <c r="J2745" i="1"/>
  <c r="H2745" i="1"/>
  <c r="G2745" i="1"/>
  <c r="F2745" i="1"/>
  <c r="E2745" i="1"/>
  <c r="D2745" i="1"/>
  <c r="C2745" i="1"/>
  <c r="B2745" i="1"/>
  <c r="A2745" i="1"/>
  <c r="K2744" i="1"/>
  <c r="J2744" i="1"/>
  <c r="H2744" i="1"/>
  <c r="G2744" i="1"/>
  <c r="F2744" i="1"/>
  <c r="E2744" i="1"/>
  <c r="D2744" i="1"/>
  <c r="C2744" i="1"/>
  <c r="B2744" i="1"/>
  <c r="A2744" i="1"/>
  <c r="K2743" i="1"/>
  <c r="J2743" i="1"/>
  <c r="H2743" i="1"/>
  <c r="G2743" i="1"/>
  <c r="F2743" i="1"/>
  <c r="E2743" i="1"/>
  <c r="D2743" i="1"/>
  <c r="C2743" i="1"/>
  <c r="B2743" i="1"/>
  <c r="A2743" i="1"/>
  <c r="K2742" i="1"/>
  <c r="J2742" i="1"/>
  <c r="H2742" i="1"/>
  <c r="G2742" i="1"/>
  <c r="F2742" i="1"/>
  <c r="E2742" i="1"/>
  <c r="D2742" i="1"/>
  <c r="C2742" i="1"/>
  <c r="B2742" i="1"/>
  <c r="A2742" i="1"/>
  <c r="K2741" i="1"/>
  <c r="J2741" i="1"/>
  <c r="H2741" i="1"/>
  <c r="G2741" i="1"/>
  <c r="F2741" i="1"/>
  <c r="E2741" i="1"/>
  <c r="D2741" i="1"/>
  <c r="C2741" i="1"/>
  <c r="B2741" i="1"/>
  <c r="A2741" i="1"/>
  <c r="K2740" i="1"/>
  <c r="J2740" i="1"/>
  <c r="H2740" i="1"/>
  <c r="G2740" i="1"/>
  <c r="F2740" i="1"/>
  <c r="E2740" i="1"/>
  <c r="D2740" i="1"/>
  <c r="C2740" i="1"/>
  <c r="B2740" i="1"/>
  <c r="A2740" i="1"/>
  <c r="K2739" i="1"/>
  <c r="J2739" i="1"/>
  <c r="H2739" i="1"/>
  <c r="G2739" i="1"/>
  <c r="F2739" i="1"/>
  <c r="E2739" i="1"/>
  <c r="D2739" i="1"/>
  <c r="C2739" i="1"/>
  <c r="B2739" i="1"/>
  <c r="A2739" i="1"/>
  <c r="K2738" i="1"/>
  <c r="J2738" i="1"/>
  <c r="H2738" i="1"/>
  <c r="G2738" i="1"/>
  <c r="F2738" i="1"/>
  <c r="E2738" i="1"/>
  <c r="D2738" i="1"/>
  <c r="C2738" i="1"/>
  <c r="B2738" i="1"/>
  <c r="A2738" i="1"/>
  <c r="K2737" i="1"/>
  <c r="J2737" i="1"/>
  <c r="H2737" i="1"/>
  <c r="G2737" i="1"/>
  <c r="F2737" i="1"/>
  <c r="E2737" i="1"/>
  <c r="D2737" i="1"/>
  <c r="C2737" i="1"/>
  <c r="B2737" i="1"/>
  <c r="A2737" i="1"/>
  <c r="K2736" i="1"/>
  <c r="J2736" i="1"/>
  <c r="H2736" i="1"/>
  <c r="G2736" i="1"/>
  <c r="F2736" i="1"/>
  <c r="E2736" i="1"/>
  <c r="D2736" i="1"/>
  <c r="C2736" i="1"/>
  <c r="B2736" i="1"/>
  <c r="A2736" i="1"/>
  <c r="K2735" i="1"/>
  <c r="J2735" i="1"/>
  <c r="H2735" i="1"/>
  <c r="G2735" i="1"/>
  <c r="F2735" i="1"/>
  <c r="E2735" i="1"/>
  <c r="D2735" i="1"/>
  <c r="C2735" i="1"/>
  <c r="B2735" i="1"/>
  <c r="A2735" i="1"/>
  <c r="K2734" i="1"/>
  <c r="J2734" i="1"/>
  <c r="H2734" i="1"/>
  <c r="G2734" i="1"/>
  <c r="F2734" i="1"/>
  <c r="E2734" i="1"/>
  <c r="D2734" i="1"/>
  <c r="C2734" i="1"/>
  <c r="B2734" i="1"/>
  <c r="A2734" i="1"/>
  <c r="K2733" i="1"/>
  <c r="J2733" i="1"/>
  <c r="H2733" i="1"/>
  <c r="G2733" i="1"/>
  <c r="F2733" i="1"/>
  <c r="E2733" i="1"/>
  <c r="D2733" i="1"/>
  <c r="C2733" i="1"/>
  <c r="B2733" i="1"/>
  <c r="A2733" i="1"/>
  <c r="K2732" i="1"/>
  <c r="J2732" i="1"/>
  <c r="H2732" i="1"/>
  <c r="G2732" i="1"/>
  <c r="F2732" i="1"/>
  <c r="E2732" i="1"/>
  <c r="D2732" i="1"/>
  <c r="C2732" i="1"/>
  <c r="B2732" i="1"/>
  <c r="A2732" i="1"/>
  <c r="K2731" i="1"/>
  <c r="J2731" i="1"/>
  <c r="H2731" i="1"/>
  <c r="G2731" i="1"/>
  <c r="F2731" i="1"/>
  <c r="E2731" i="1"/>
  <c r="D2731" i="1"/>
  <c r="C2731" i="1"/>
  <c r="B2731" i="1"/>
  <c r="A2731" i="1"/>
  <c r="K2730" i="1"/>
  <c r="J2730" i="1"/>
  <c r="H2730" i="1"/>
  <c r="G2730" i="1"/>
  <c r="F2730" i="1"/>
  <c r="E2730" i="1"/>
  <c r="D2730" i="1"/>
  <c r="C2730" i="1"/>
  <c r="B2730" i="1"/>
  <c r="A2730" i="1"/>
  <c r="K2729" i="1"/>
  <c r="J2729" i="1"/>
  <c r="H2729" i="1"/>
  <c r="G2729" i="1"/>
  <c r="F2729" i="1"/>
  <c r="E2729" i="1"/>
  <c r="D2729" i="1"/>
  <c r="C2729" i="1"/>
  <c r="B2729" i="1"/>
  <c r="A2729" i="1"/>
  <c r="K2728" i="1"/>
  <c r="J2728" i="1"/>
  <c r="H2728" i="1"/>
  <c r="G2728" i="1"/>
  <c r="F2728" i="1"/>
  <c r="E2728" i="1"/>
  <c r="D2728" i="1"/>
  <c r="C2728" i="1"/>
  <c r="B2728" i="1"/>
  <c r="A2728" i="1"/>
  <c r="K2727" i="1"/>
  <c r="J2727" i="1"/>
  <c r="I2727" i="1"/>
  <c r="H2727" i="1"/>
  <c r="G2727" i="1"/>
  <c r="F2727" i="1"/>
  <c r="E2727" i="1"/>
  <c r="D2727" i="1"/>
  <c r="C2727" i="1"/>
  <c r="B2727" i="1"/>
  <c r="A2727" i="1"/>
  <c r="K2726" i="1"/>
  <c r="I2726" i="1"/>
  <c r="H2726" i="1"/>
  <c r="G2726" i="1"/>
  <c r="F2726" i="1"/>
  <c r="E2726" i="1"/>
  <c r="D2726" i="1"/>
  <c r="C2726" i="1"/>
  <c r="B2726" i="1"/>
  <c r="A2726" i="1"/>
  <c r="K2725" i="1"/>
  <c r="I2725" i="1"/>
  <c r="H2725" i="1"/>
  <c r="G2725" i="1"/>
  <c r="F2725" i="1"/>
  <c r="E2725" i="1"/>
  <c r="D2725" i="1"/>
  <c r="C2725" i="1"/>
  <c r="B2725" i="1"/>
  <c r="A2725" i="1"/>
  <c r="K2724" i="1"/>
  <c r="I2724" i="1"/>
  <c r="H2724" i="1"/>
  <c r="G2724" i="1"/>
  <c r="F2724" i="1"/>
  <c r="E2724" i="1"/>
  <c r="D2724" i="1"/>
  <c r="C2724" i="1"/>
  <c r="B2724" i="1"/>
  <c r="A2724" i="1"/>
  <c r="K2723" i="1"/>
  <c r="I2723" i="1"/>
  <c r="H2723" i="1"/>
  <c r="G2723" i="1"/>
  <c r="F2723" i="1"/>
  <c r="E2723" i="1"/>
  <c r="D2723" i="1"/>
  <c r="C2723" i="1"/>
  <c r="B2723" i="1"/>
  <c r="A2723" i="1"/>
  <c r="K2722" i="1"/>
  <c r="J2722" i="1"/>
  <c r="H2722" i="1"/>
  <c r="G2722" i="1"/>
  <c r="F2722" i="1"/>
  <c r="E2722" i="1"/>
  <c r="D2722" i="1"/>
  <c r="C2722" i="1"/>
  <c r="B2722" i="1"/>
  <c r="A2722" i="1"/>
  <c r="K2721" i="1"/>
  <c r="I2721" i="1"/>
  <c r="H2721" i="1"/>
  <c r="G2721" i="1"/>
  <c r="F2721" i="1"/>
  <c r="E2721" i="1"/>
  <c r="D2721" i="1"/>
  <c r="C2721" i="1"/>
  <c r="B2721" i="1"/>
  <c r="A2721" i="1"/>
  <c r="K2720" i="1"/>
  <c r="I2720" i="1"/>
  <c r="H2720" i="1"/>
  <c r="G2720" i="1"/>
  <c r="F2720" i="1"/>
  <c r="E2720" i="1"/>
  <c r="D2720" i="1"/>
  <c r="C2720" i="1"/>
  <c r="B2720" i="1"/>
  <c r="A2720" i="1"/>
  <c r="K2719" i="1"/>
  <c r="J2719" i="1"/>
  <c r="H2719" i="1"/>
  <c r="G2719" i="1"/>
  <c r="F2719" i="1"/>
  <c r="E2719" i="1"/>
  <c r="D2719" i="1"/>
  <c r="C2719" i="1"/>
  <c r="B2719" i="1"/>
  <c r="A2719" i="1"/>
  <c r="K2718" i="1"/>
  <c r="J2718" i="1"/>
  <c r="H2718" i="1"/>
  <c r="G2718" i="1"/>
  <c r="F2718" i="1"/>
  <c r="E2718" i="1"/>
  <c r="D2718" i="1"/>
  <c r="C2718" i="1"/>
  <c r="B2718" i="1"/>
  <c r="A2718" i="1"/>
  <c r="K2717" i="1"/>
  <c r="J2717" i="1"/>
  <c r="H2717" i="1"/>
  <c r="G2717" i="1"/>
  <c r="F2717" i="1"/>
  <c r="E2717" i="1"/>
  <c r="D2717" i="1"/>
  <c r="C2717" i="1"/>
  <c r="B2717" i="1"/>
  <c r="A2717" i="1"/>
  <c r="K2716" i="1"/>
  <c r="J2716" i="1"/>
  <c r="H2716" i="1"/>
  <c r="G2716" i="1"/>
  <c r="F2716" i="1"/>
  <c r="E2716" i="1"/>
  <c r="D2716" i="1"/>
  <c r="C2716" i="1"/>
  <c r="B2716" i="1"/>
  <c r="A2716" i="1"/>
  <c r="K2715" i="1"/>
  <c r="I2715" i="1"/>
  <c r="H2715" i="1"/>
  <c r="G2715" i="1"/>
  <c r="F2715" i="1"/>
  <c r="E2715" i="1"/>
  <c r="D2715" i="1"/>
  <c r="C2715" i="1"/>
  <c r="B2715" i="1"/>
  <c r="A2715" i="1"/>
  <c r="K2714" i="1"/>
  <c r="I2714" i="1"/>
  <c r="H2714" i="1"/>
  <c r="G2714" i="1"/>
  <c r="F2714" i="1"/>
  <c r="E2714" i="1"/>
  <c r="D2714" i="1"/>
  <c r="C2714" i="1"/>
  <c r="B2714" i="1"/>
  <c r="A2714" i="1"/>
  <c r="K2713" i="1"/>
  <c r="J2713" i="1"/>
  <c r="H2713" i="1"/>
  <c r="G2713" i="1"/>
  <c r="F2713" i="1"/>
  <c r="E2713" i="1"/>
  <c r="D2713" i="1"/>
  <c r="C2713" i="1"/>
  <c r="B2713" i="1"/>
  <c r="A2713" i="1"/>
  <c r="K2712" i="1"/>
  <c r="I2712" i="1"/>
  <c r="H2712" i="1"/>
  <c r="G2712" i="1"/>
  <c r="F2712" i="1"/>
  <c r="E2712" i="1"/>
  <c r="D2712" i="1"/>
  <c r="C2712" i="1"/>
  <c r="B2712" i="1"/>
  <c r="A2712" i="1"/>
  <c r="K2711" i="1"/>
  <c r="I2711" i="1"/>
  <c r="H2711" i="1"/>
  <c r="G2711" i="1"/>
  <c r="F2711" i="1"/>
  <c r="E2711" i="1"/>
  <c r="D2711" i="1"/>
  <c r="C2711" i="1"/>
  <c r="B2711" i="1"/>
  <c r="A2711" i="1"/>
  <c r="K2710" i="1"/>
  <c r="J2710" i="1"/>
  <c r="H2710" i="1"/>
  <c r="G2710" i="1"/>
  <c r="F2710" i="1"/>
  <c r="E2710" i="1"/>
  <c r="D2710" i="1"/>
  <c r="C2710" i="1"/>
  <c r="B2710" i="1"/>
  <c r="A2710" i="1"/>
  <c r="K2709" i="1"/>
  <c r="J2709" i="1"/>
  <c r="H2709" i="1"/>
  <c r="G2709" i="1"/>
  <c r="F2709" i="1"/>
  <c r="E2709" i="1"/>
  <c r="D2709" i="1"/>
  <c r="C2709" i="1"/>
  <c r="B2709" i="1"/>
  <c r="A2709" i="1"/>
  <c r="K2708" i="1"/>
  <c r="I2708" i="1"/>
  <c r="H2708" i="1"/>
  <c r="G2708" i="1"/>
  <c r="F2708" i="1"/>
  <c r="E2708" i="1"/>
  <c r="D2708" i="1"/>
  <c r="C2708" i="1"/>
  <c r="B2708" i="1"/>
  <c r="A2708" i="1"/>
  <c r="K2707" i="1"/>
  <c r="I2707" i="1"/>
  <c r="H2707" i="1"/>
  <c r="G2707" i="1"/>
  <c r="F2707" i="1"/>
  <c r="E2707" i="1"/>
  <c r="D2707" i="1"/>
  <c r="C2707" i="1"/>
  <c r="B2707" i="1"/>
  <c r="A2707" i="1"/>
  <c r="K2706" i="1"/>
  <c r="I2706" i="1"/>
  <c r="H2706" i="1"/>
  <c r="G2706" i="1"/>
  <c r="F2706" i="1"/>
  <c r="E2706" i="1"/>
  <c r="D2706" i="1"/>
  <c r="C2706" i="1"/>
  <c r="B2706" i="1"/>
  <c r="A2706" i="1"/>
  <c r="K2705" i="1"/>
  <c r="I2705" i="1"/>
  <c r="H2705" i="1"/>
  <c r="G2705" i="1"/>
  <c r="F2705" i="1"/>
  <c r="E2705" i="1"/>
  <c r="D2705" i="1"/>
  <c r="C2705" i="1"/>
  <c r="B2705" i="1"/>
  <c r="A2705" i="1"/>
  <c r="K2704" i="1"/>
  <c r="I2704" i="1"/>
  <c r="H2704" i="1"/>
  <c r="G2704" i="1"/>
  <c r="F2704" i="1"/>
  <c r="E2704" i="1"/>
  <c r="D2704" i="1"/>
  <c r="C2704" i="1"/>
  <c r="B2704" i="1"/>
  <c r="A2704" i="1"/>
  <c r="K2703" i="1"/>
  <c r="I2703" i="1"/>
  <c r="H2703" i="1"/>
  <c r="G2703" i="1"/>
  <c r="F2703" i="1"/>
  <c r="E2703" i="1"/>
  <c r="D2703" i="1"/>
  <c r="C2703" i="1"/>
  <c r="B2703" i="1"/>
  <c r="A2703" i="1"/>
  <c r="K2702" i="1"/>
  <c r="I2702" i="1"/>
  <c r="H2702" i="1"/>
  <c r="G2702" i="1"/>
  <c r="F2702" i="1"/>
  <c r="E2702" i="1"/>
  <c r="D2702" i="1"/>
  <c r="C2702" i="1"/>
  <c r="B2702" i="1"/>
  <c r="A2702" i="1"/>
  <c r="K2701" i="1"/>
  <c r="I2701" i="1"/>
  <c r="H2701" i="1"/>
  <c r="G2701" i="1"/>
  <c r="F2701" i="1"/>
  <c r="E2701" i="1"/>
  <c r="D2701" i="1"/>
  <c r="C2701" i="1"/>
  <c r="B2701" i="1"/>
  <c r="A2701" i="1"/>
  <c r="K2700" i="1"/>
  <c r="I2700" i="1"/>
  <c r="H2700" i="1"/>
  <c r="G2700" i="1"/>
  <c r="F2700" i="1"/>
  <c r="E2700" i="1"/>
  <c r="D2700" i="1"/>
  <c r="C2700" i="1"/>
  <c r="B2700" i="1"/>
  <c r="A2700" i="1"/>
  <c r="K2699" i="1"/>
  <c r="I2699" i="1"/>
  <c r="H2699" i="1"/>
  <c r="G2699" i="1"/>
  <c r="F2699" i="1"/>
  <c r="E2699" i="1"/>
  <c r="D2699" i="1"/>
  <c r="C2699" i="1"/>
  <c r="B2699" i="1"/>
  <c r="A2699" i="1"/>
  <c r="K2698" i="1"/>
  <c r="I2698" i="1"/>
  <c r="H2698" i="1"/>
  <c r="G2698" i="1"/>
  <c r="F2698" i="1"/>
  <c r="E2698" i="1"/>
  <c r="D2698" i="1"/>
  <c r="C2698" i="1"/>
  <c r="B2698" i="1"/>
  <c r="A2698" i="1"/>
  <c r="K2697" i="1"/>
  <c r="I2697" i="1"/>
  <c r="H2697" i="1"/>
  <c r="G2697" i="1"/>
  <c r="F2697" i="1"/>
  <c r="E2697" i="1"/>
  <c r="D2697" i="1"/>
  <c r="C2697" i="1"/>
  <c r="B2697" i="1"/>
  <c r="A2697" i="1"/>
  <c r="K2696" i="1"/>
  <c r="I2696" i="1"/>
  <c r="H2696" i="1"/>
  <c r="G2696" i="1"/>
  <c r="F2696" i="1"/>
  <c r="E2696" i="1"/>
  <c r="D2696" i="1"/>
  <c r="C2696" i="1"/>
  <c r="B2696" i="1"/>
  <c r="A2696" i="1"/>
  <c r="K2695" i="1"/>
  <c r="I2695" i="1"/>
  <c r="H2695" i="1"/>
  <c r="G2695" i="1"/>
  <c r="F2695" i="1"/>
  <c r="E2695" i="1"/>
  <c r="D2695" i="1"/>
  <c r="C2695" i="1"/>
  <c r="B2695" i="1"/>
  <c r="A2695" i="1"/>
  <c r="K2694" i="1"/>
  <c r="I2694" i="1"/>
  <c r="H2694" i="1"/>
  <c r="G2694" i="1"/>
  <c r="F2694" i="1"/>
  <c r="E2694" i="1"/>
  <c r="D2694" i="1"/>
  <c r="C2694" i="1"/>
  <c r="B2694" i="1"/>
  <c r="A2694" i="1"/>
  <c r="K2693" i="1"/>
  <c r="I2693" i="1"/>
  <c r="H2693" i="1"/>
  <c r="G2693" i="1"/>
  <c r="F2693" i="1"/>
  <c r="E2693" i="1"/>
  <c r="D2693" i="1"/>
  <c r="C2693" i="1"/>
  <c r="B2693" i="1"/>
  <c r="A2693" i="1"/>
  <c r="K2692" i="1"/>
  <c r="J2692" i="1"/>
  <c r="H2692" i="1"/>
  <c r="G2692" i="1"/>
  <c r="F2692" i="1"/>
  <c r="E2692" i="1"/>
  <c r="D2692" i="1"/>
  <c r="C2692" i="1"/>
  <c r="B2692" i="1"/>
  <c r="A2692" i="1"/>
  <c r="K2691" i="1"/>
  <c r="J2691" i="1"/>
  <c r="H2691" i="1"/>
  <c r="G2691" i="1"/>
  <c r="F2691" i="1"/>
  <c r="E2691" i="1"/>
  <c r="D2691" i="1"/>
  <c r="C2691" i="1"/>
  <c r="B2691" i="1"/>
  <c r="A2691" i="1"/>
  <c r="K2690" i="1"/>
  <c r="I2690" i="1"/>
  <c r="H2690" i="1"/>
  <c r="G2690" i="1"/>
  <c r="F2690" i="1"/>
  <c r="E2690" i="1"/>
  <c r="D2690" i="1"/>
  <c r="C2690" i="1"/>
  <c r="B2690" i="1"/>
  <c r="A2690" i="1"/>
  <c r="K2689" i="1"/>
  <c r="I2689" i="1"/>
  <c r="H2689" i="1"/>
  <c r="G2689" i="1"/>
  <c r="F2689" i="1"/>
  <c r="E2689" i="1"/>
  <c r="D2689" i="1"/>
  <c r="C2689" i="1"/>
  <c r="B2689" i="1"/>
  <c r="A2689" i="1"/>
  <c r="K2688" i="1"/>
  <c r="I2688" i="1"/>
  <c r="H2688" i="1"/>
  <c r="G2688" i="1"/>
  <c r="F2688" i="1"/>
  <c r="E2688" i="1"/>
  <c r="D2688" i="1"/>
  <c r="C2688" i="1"/>
  <c r="B2688" i="1"/>
  <c r="A2688" i="1"/>
  <c r="K2687" i="1"/>
  <c r="I2687" i="1"/>
  <c r="H2687" i="1"/>
  <c r="G2687" i="1"/>
  <c r="F2687" i="1"/>
  <c r="E2687" i="1"/>
  <c r="D2687" i="1"/>
  <c r="C2687" i="1"/>
  <c r="B2687" i="1"/>
  <c r="A2687" i="1"/>
  <c r="K2686" i="1"/>
  <c r="J2686" i="1"/>
  <c r="H2686" i="1"/>
  <c r="G2686" i="1"/>
  <c r="F2686" i="1"/>
  <c r="E2686" i="1"/>
  <c r="D2686" i="1"/>
  <c r="C2686" i="1"/>
  <c r="B2686" i="1"/>
  <c r="A2686" i="1"/>
  <c r="K2685" i="1"/>
  <c r="J2685" i="1"/>
  <c r="H2685" i="1"/>
  <c r="G2685" i="1"/>
  <c r="F2685" i="1"/>
  <c r="E2685" i="1"/>
  <c r="D2685" i="1"/>
  <c r="C2685" i="1"/>
  <c r="B2685" i="1"/>
  <c r="A2685" i="1"/>
  <c r="K2684" i="1"/>
  <c r="J2684" i="1"/>
  <c r="H2684" i="1"/>
  <c r="G2684" i="1"/>
  <c r="F2684" i="1"/>
  <c r="E2684" i="1"/>
  <c r="D2684" i="1"/>
  <c r="C2684" i="1"/>
  <c r="B2684" i="1"/>
  <c r="A2684" i="1"/>
  <c r="K2683" i="1"/>
  <c r="I2683" i="1"/>
  <c r="H2683" i="1"/>
  <c r="G2683" i="1"/>
  <c r="F2683" i="1"/>
  <c r="E2683" i="1"/>
  <c r="D2683" i="1"/>
  <c r="C2683" i="1"/>
  <c r="B2683" i="1"/>
  <c r="A2683" i="1"/>
  <c r="K2682" i="1"/>
  <c r="I2682" i="1"/>
  <c r="H2682" i="1"/>
  <c r="G2682" i="1"/>
  <c r="F2682" i="1"/>
  <c r="E2682" i="1"/>
  <c r="D2682" i="1"/>
  <c r="C2682" i="1"/>
  <c r="B2682" i="1"/>
  <c r="A2682" i="1"/>
  <c r="K2681" i="1"/>
  <c r="I2681" i="1"/>
  <c r="H2681" i="1"/>
  <c r="G2681" i="1"/>
  <c r="F2681" i="1"/>
  <c r="E2681" i="1"/>
  <c r="D2681" i="1"/>
  <c r="C2681" i="1"/>
  <c r="B2681" i="1"/>
  <c r="A2681" i="1"/>
  <c r="K2680" i="1"/>
  <c r="I2680" i="1"/>
  <c r="H2680" i="1"/>
  <c r="G2680" i="1"/>
  <c r="F2680" i="1"/>
  <c r="E2680" i="1"/>
  <c r="D2680" i="1"/>
  <c r="C2680" i="1"/>
  <c r="B2680" i="1"/>
  <c r="A2680" i="1"/>
  <c r="K2679" i="1"/>
  <c r="I2679" i="1"/>
  <c r="H2679" i="1"/>
  <c r="G2679" i="1"/>
  <c r="F2679" i="1"/>
  <c r="E2679" i="1"/>
  <c r="D2679" i="1"/>
  <c r="C2679" i="1"/>
  <c r="B2679" i="1"/>
  <c r="A2679" i="1"/>
  <c r="K2678" i="1"/>
  <c r="I2678" i="1"/>
  <c r="H2678" i="1"/>
  <c r="G2678" i="1"/>
  <c r="F2678" i="1"/>
  <c r="E2678" i="1"/>
  <c r="D2678" i="1"/>
  <c r="C2678" i="1"/>
  <c r="B2678" i="1"/>
  <c r="A2678" i="1"/>
  <c r="K2677" i="1"/>
  <c r="I2677" i="1"/>
  <c r="H2677" i="1"/>
  <c r="G2677" i="1"/>
  <c r="F2677" i="1"/>
  <c r="E2677" i="1"/>
  <c r="D2677" i="1"/>
  <c r="C2677" i="1"/>
  <c r="B2677" i="1"/>
  <c r="A2677" i="1"/>
  <c r="K2676" i="1"/>
  <c r="I2676" i="1"/>
  <c r="H2676" i="1"/>
  <c r="G2676" i="1"/>
  <c r="F2676" i="1"/>
  <c r="E2676" i="1"/>
  <c r="D2676" i="1"/>
  <c r="C2676" i="1"/>
  <c r="B2676" i="1"/>
  <c r="A2676" i="1"/>
  <c r="K2675" i="1"/>
  <c r="I2675" i="1"/>
  <c r="H2675" i="1"/>
  <c r="G2675" i="1"/>
  <c r="F2675" i="1"/>
  <c r="E2675" i="1"/>
  <c r="D2675" i="1"/>
  <c r="C2675" i="1"/>
  <c r="B2675" i="1"/>
  <c r="A2675" i="1"/>
  <c r="K2674" i="1"/>
  <c r="I2674" i="1"/>
  <c r="H2674" i="1"/>
  <c r="G2674" i="1"/>
  <c r="F2674" i="1"/>
  <c r="E2674" i="1"/>
  <c r="D2674" i="1"/>
  <c r="C2674" i="1"/>
  <c r="B2674" i="1"/>
  <c r="A2674" i="1"/>
  <c r="K2673" i="1"/>
  <c r="I2673" i="1"/>
  <c r="H2673" i="1"/>
  <c r="G2673" i="1"/>
  <c r="F2673" i="1"/>
  <c r="E2673" i="1"/>
  <c r="D2673" i="1"/>
  <c r="C2673" i="1"/>
  <c r="B2673" i="1"/>
  <c r="A2673" i="1"/>
  <c r="K2672" i="1"/>
  <c r="I2672" i="1"/>
  <c r="H2672" i="1"/>
  <c r="G2672" i="1"/>
  <c r="F2672" i="1"/>
  <c r="E2672" i="1"/>
  <c r="D2672" i="1"/>
  <c r="C2672" i="1"/>
  <c r="B2672" i="1"/>
  <c r="A2672" i="1"/>
  <c r="K2671" i="1"/>
  <c r="I2671" i="1"/>
  <c r="H2671" i="1"/>
  <c r="G2671" i="1"/>
  <c r="F2671" i="1"/>
  <c r="E2671" i="1"/>
  <c r="D2671" i="1"/>
  <c r="C2671" i="1"/>
  <c r="B2671" i="1"/>
  <c r="A2671" i="1"/>
  <c r="K2670" i="1"/>
  <c r="I2670" i="1"/>
  <c r="H2670" i="1"/>
  <c r="G2670" i="1"/>
  <c r="F2670" i="1"/>
  <c r="E2670" i="1"/>
  <c r="D2670" i="1"/>
  <c r="C2670" i="1"/>
  <c r="B2670" i="1"/>
  <c r="A2670" i="1"/>
  <c r="K2669" i="1"/>
  <c r="I2669" i="1"/>
  <c r="H2669" i="1"/>
  <c r="G2669" i="1"/>
  <c r="F2669" i="1"/>
  <c r="E2669" i="1"/>
  <c r="D2669" i="1"/>
  <c r="C2669" i="1"/>
  <c r="B2669" i="1"/>
  <c r="A2669" i="1"/>
  <c r="K2668" i="1"/>
  <c r="I2668" i="1"/>
  <c r="H2668" i="1"/>
  <c r="G2668" i="1"/>
  <c r="F2668" i="1"/>
  <c r="E2668" i="1"/>
  <c r="D2668" i="1"/>
  <c r="C2668" i="1"/>
  <c r="B2668" i="1"/>
  <c r="A2668" i="1"/>
  <c r="K2667" i="1"/>
  <c r="I2667" i="1"/>
  <c r="H2667" i="1"/>
  <c r="G2667" i="1"/>
  <c r="F2667" i="1"/>
  <c r="E2667" i="1"/>
  <c r="D2667" i="1"/>
  <c r="C2667" i="1"/>
  <c r="B2667" i="1"/>
  <c r="A2667" i="1"/>
  <c r="K2666" i="1"/>
  <c r="I2666" i="1"/>
  <c r="H2666" i="1"/>
  <c r="G2666" i="1"/>
  <c r="F2666" i="1"/>
  <c r="E2666" i="1"/>
  <c r="D2666" i="1"/>
  <c r="C2666" i="1"/>
  <c r="B2666" i="1"/>
  <c r="A2666" i="1"/>
  <c r="K2665" i="1"/>
  <c r="I2665" i="1"/>
  <c r="H2665" i="1"/>
  <c r="G2665" i="1"/>
  <c r="F2665" i="1"/>
  <c r="E2665" i="1"/>
  <c r="D2665" i="1"/>
  <c r="C2665" i="1"/>
  <c r="B2665" i="1"/>
  <c r="A2665" i="1"/>
  <c r="K2664" i="1"/>
  <c r="I2664" i="1"/>
  <c r="H2664" i="1"/>
  <c r="G2664" i="1"/>
  <c r="F2664" i="1"/>
  <c r="E2664" i="1"/>
  <c r="D2664" i="1"/>
  <c r="C2664" i="1"/>
  <c r="B2664" i="1"/>
  <c r="A2664" i="1"/>
  <c r="K2663" i="1"/>
  <c r="I2663" i="1"/>
  <c r="H2663" i="1"/>
  <c r="G2663" i="1"/>
  <c r="F2663" i="1"/>
  <c r="E2663" i="1"/>
  <c r="D2663" i="1"/>
  <c r="C2663" i="1"/>
  <c r="B2663" i="1"/>
  <c r="A2663" i="1"/>
  <c r="K2662" i="1"/>
  <c r="I2662" i="1"/>
  <c r="H2662" i="1"/>
  <c r="G2662" i="1"/>
  <c r="F2662" i="1"/>
  <c r="E2662" i="1"/>
  <c r="D2662" i="1"/>
  <c r="C2662" i="1"/>
  <c r="B2662" i="1"/>
  <c r="A2662" i="1"/>
  <c r="K2661" i="1"/>
  <c r="I2661" i="1"/>
  <c r="H2661" i="1"/>
  <c r="G2661" i="1"/>
  <c r="F2661" i="1"/>
  <c r="E2661" i="1"/>
  <c r="D2661" i="1"/>
  <c r="C2661" i="1"/>
  <c r="B2661" i="1"/>
  <c r="A2661" i="1"/>
  <c r="K2660" i="1"/>
  <c r="I2660" i="1"/>
  <c r="H2660" i="1"/>
  <c r="G2660" i="1"/>
  <c r="F2660" i="1"/>
  <c r="E2660" i="1"/>
  <c r="D2660" i="1"/>
  <c r="C2660" i="1"/>
  <c r="B2660" i="1"/>
  <c r="A2660" i="1"/>
  <c r="K2659" i="1"/>
  <c r="I2659" i="1"/>
  <c r="H2659" i="1"/>
  <c r="G2659" i="1"/>
  <c r="F2659" i="1"/>
  <c r="E2659" i="1"/>
  <c r="D2659" i="1"/>
  <c r="C2659" i="1"/>
  <c r="B2659" i="1"/>
  <c r="A2659" i="1"/>
  <c r="K2658" i="1"/>
  <c r="I2658" i="1"/>
  <c r="H2658" i="1"/>
  <c r="G2658" i="1"/>
  <c r="F2658" i="1"/>
  <c r="E2658" i="1"/>
  <c r="D2658" i="1"/>
  <c r="C2658" i="1"/>
  <c r="B2658" i="1"/>
  <c r="A2658" i="1"/>
  <c r="K2657" i="1"/>
  <c r="I2657" i="1"/>
  <c r="H2657" i="1"/>
  <c r="G2657" i="1"/>
  <c r="F2657" i="1"/>
  <c r="E2657" i="1"/>
  <c r="D2657" i="1"/>
  <c r="C2657" i="1"/>
  <c r="B2657" i="1"/>
  <c r="A2657" i="1"/>
  <c r="K2656" i="1"/>
  <c r="I2656" i="1"/>
  <c r="H2656" i="1"/>
  <c r="G2656" i="1"/>
  <c r="F2656" i="1"/>
  <c r="E2656" i="1"/>
  <c r="D2656" i="1"/>
  <c r="C2656" i="1"/>
  <c r="B2656" i="1"/>
  <c r="A2656" i="1"/>
  <c r="K2655" i="1"/>
  <c r="I2655" i="1"/>
  <c r="H2655" i="1"/>
  <c r="G2655" i="1"/>
  <c r="F2655" i="1"/>
  <c r="E2655" i="1"/>
  <c r="D2655" i="1"/>
  <c r="C2655" i="1"/>
  <c r="B2655" i="1"/>
  <c r="A2655" i="1"/>
  <c r="K2654" i="1"/>
  <c r="I2654" i="1"/>
  <c r="H2654" i="1"/>
  <c r="G2654" i="1"/>
  <c r="F2654" i="1"/>
  <c r="E2654" i="1"/>
  <c r="D2654" i="1"/>
  <c r="C2654" i="1"/>
  <c r="B2654" i="1"/>
  <c r="A2654" i="1"/>
  <c r="K2653" i="1"/>
  <c r="I2653" i="1"/>
  <c r="H2653" i="1"/>
  <c r="G2653" i="1"/>
  <c r="F2653" i="1"/>
  <c r="E2653" i="1"/>
  <c r="D2653" i="1"/>
  <c r="C2653" i="1"/>
  <c r="B2653" i="1"/>
  <c r="A2653" i="1"/>
  <c r="K2652" i="1"/>
  <c r="I2652" i="1"/>
  <c r="H2652" i="1"/>
  <c r="G2652" i="1"/>
  <c r="F2652" i="1"/>
  <c r="E2652" i="1"/>
  <c r="D2652" i="1"/>
  <c r="C2652" i="1"/>
  <c r="B2652" i="1"/>
  <c r="A2652" i="1"/>
  <c r="K2651" i="1"/>
  <c r="I2651" i="1"/>
  <c r="H2651" i="1"/>
  <c r="G2651" i="1"/>
  <c r="F2651" i="1"/>
  <c r="E2651" i="1"/>
  <c r="D2651" i="1"/>
  <c r="C2651" i="1"/>
  <c r="B2651" i="1"/>
  <c r="A2651" i="1"/>
  <c r="K2650" i="1"/>
  <c r="I2650" i="1"/>
  <c r="H2650" i="1"/>
  <c r="G2650" i="1"/>
  <c r="F2650" i="1"/>
  <c r="E2650" i="1"/>
  <c r="D2650" i="1"/>
  <c r="C2650" i="1"/>
  <c r="B2650" i="1"/>
  <c r="A2650" i="1"/>
  <c r="K2649" i="1"/>
  <c r="I2649" i="1"/>
  <c r="H2649" i="1"/>
  <c r="G2649" i="1"/>
  <c r="F2649" i="1"/>
  <c r="E2649" i="1"/>
  <c r="D2649" i="1"/>
  <c r="C2649" i="1"/>
  <c r="B2649" i="1"/>
  <c r="A2649" i="1"/>
  <c r="K2648" i="1"/>
  <c r="I2648" i="1"/>
  <c r="H2648" i="1"/>
  <c r="G2648" i="1"/>
  <c r="F2648" i="1"/>
  <c r="E2648" i="1"/>
  <c r="D2648" i="1"/>
  <c r="C2648" i="1"/>
  <c r="B2648" i="1"/>
  <c r="A2648" i="1"/>
  <c r="K2647" i="1"/>
  <c r="I2647" i="1"/>
  <c r="H2647" i="1"/>
  <c r="G2647" i="1"/>
  <c r="F2647" i="1"/>
  <c r="E2647" i="1"/>
  <c r="D2647" i="1"/>
  <c r="C2647" i="1"/>
  <c r="B2647" i="1"/>
  <c r="A2647" i="1"/>
  <c r="K2646" i="1"/>
  <c r="I2646" i="1"/>
  <c r="H2646" i="1"/>
  <c r="G2646" i="1"/>
  <c r="F2646" i="1"/>
  <c r="E2646" i="1"/>
  <c r="D2646" i="1"/>
  <c r="C2646" i="1"/>
  <c r="B2646" i="1"/>
  <c r="A2646" i="1"/>
  <c r="K2645" i="1"/>
  <c r="I2645" i="1"/>
  <c r="H2645" i="1"/>
  <c r="G2645" i="1"/>
  <c r="F2645" i="1"/>
  <c r="E2645" i="1"/>
  <c r="D2645" i="1"/>
  <c r="C2645" i="1"/>
  <c r="B2645" i="1"/>
  <c r="A2645" i="1"/>
  <c r="K2644" i="1"/>
  <c r="I2644" i="1"/>
  <c r="H2644" i="1"/>
  <c r="G2644" i="1"/>
  <c r="F2644" i="1"/>
  <c r="E2644" i="1"/>
  <c r="D2644" i="1"/>
  <c r="C2644" i="1"/>
  <c r="B2644" i="1"/>
  <c r="A2644" i="1"/>
  <c r="K2643" i="1"/>
  <c r="I2643" i="1"/>
  <c r="H2643" i="1"/>
  <c r="G2643" i="1"/>
  <c r="F2643" i="1"/>
  <c r="E2643" i="1"/>
  <c r="D2643" i="1"/>
  <c r="C2643" i="1"/>
  <c r="B2643" i="1"/>
  <c r="A2643" i="1"/>
  <c r="K2642" i="1"/>
  <c r="I2642" i="1"/>
  <c r="H2642" i="1"/>
  <c r="G2642" i="1"/>
  <c r="F2642" i="1"/>
  <c r="E2642" i="1"/>
  <c r="D2642" i="1"/>
  <c r="C2642" i="1"/>
  <c r="B2642" i="1"/>
  <c r="A2642" i="1"/>
  <c r="K2641" i="1"/>
  <c r="I2641" i="1"/>
  <c r="H2641" i="1"/>
  <c r="G2641" i="1"/>
  <c r="F2641" i="1"/>
  <c r="E2641" i="1"/>
  <c r="D2641" i="1"/>
  <c r="C2641" i="1"/>
  <c r="B2641" i="1"/>
  <c r="A2641" i="1"/>
  <c r="K2640" i="1"/>
  <c r="I2640" i="1"/>
  <c r="H2640" i="1"/>
  <c r="G2640" i="1"/>
  <c r="F2640" i="1"/>
  <c r="E2640" i="1"/>
  <c r="D2640" i="1"/>
  <c r="C2640" i="1"/>
  <c r="B2640" i="1"/>
  <c r="A2640" i="1"/>
  <c r="K2639" i="1"/>
  <c r="I2639" i="1"/>
  <c r="H2639" i="1"/>
  <c r="G2639" i="1"/>
  <c r="F2639" i="1"/>
  <c r="E2639" i="1"/>
  <c r="D2639" i="1"/>
  <c r="C2639" i="1"/>
  <c r="B2639" i="1"/>
  <c r="A2639" i="1"/>
  <c r="K2638" i="1"/>
  <c r="I2638" i="1"/>
  <c r="H2638" i="1"/>
  <c r="G2638" i="1"/>
  <c r="F2638" i="1"/>
  <c r="E2638" i="1"/>
  <c r="D2638" i="1"/>
  <c r="C2638" i="1"/>
  <c r="B2638" i="1"/>
  <c r="A2638" i="1"/>
  <c r="K2637" i="1"/>
  <c r="I2637" i="1"/>
  <c r="H2637" i="1"/>
  <c r="G2637" i="1"/>
  <c r="F2637" i="1"/>
  <c r="E2637" i="1"/>
  <c r="D2637" i="1"/>
  <c r="C2637" i="1"/>
  <c r="B2637" i="1"/>
  <c r="A2637" i="1"/>
  <c r="K2636" i="1"/>
  <c r="I2636" i="1"/>
  <c r="H2636" i="1"/>
  <c r="G2636" i="1"/>
  <c r="F2636" i="1"/>
  <c r="E2636" i="1"/>
  <c r="D2636" i="1"/>
  <c r="C2636" i="1"/>
  <c r="B2636" i="1"/>
  <c r="A2636" i="1"/>
  <c r="K2635" i="1"/>
  <c r="I2635" i="1"/>
  <c r="H2635" i="1"/>
  <c r="G2635" i="1"/>
  <c r="F2635" i="1"/>
  <c r="E2635" i="1"/>
  <c r="D2635" i="1"/>
  <c r="C2635" i="1"/>
  <c r="B2635" i="1"/>
  <c r="A2635" i="1"/>
  <c r="K2634" i="1"/>
  <c r="I2634" i="1"/>
  <c r="H2634" i="1"/>
  <c r="G2634" i="1"/>
  <c r="F2634" i="1"/>
  <c r="E2634" i="1"/>
  <c r="D2634" i="1"/>
  <c r="C2634" i="1"/>
  <c r="B2634" i="1"/>
  <c r="A2634" i="1"/>
  <c r="K2633" i="1"/>
  <c r="I2633" i="1"/>
  <c r="H2633" i="1"/>
  <c r="G2633" i="1"/>
  <c r="F2633" i="1"/>
  <c r="E2633" i="1"/>
  <c r="D2633" i="1"/>
  <c r="C2633" i="1"/>
  <c r="B2633" i="1"/>
  <c r="A2633" i="1"/>
  <c r="K2632" i="1"/>
  <c r="I2632" i="1"/>
  <c r="H2632" i="1"/>
  <c r="G2632" i="1"/>
  <c r="F2632" i="1"/>
  <c r="E2632" i="1"/>
  <c r="D2632" i="1"/>
  <c r="C2632" i="1"/>
  <c r="B2632" i="1"/>
  <c r="A2632" i="1"/>
  <c r="K2631" i="1"/>
  <c r="I2631" i="1"/>
  <c r="H2631" i="1"/>
  <c r="G2631" i="1"/>
  <c r="F2631" i="1"/>
  <c r="E2631" i="1"/>
  <c r="D2631" i="1"/>
  <c r="C2631" i="1"/>
  <c r="B2631" i="1"/>
  <c r="A2631" i="1"/>
  <c r="K2630" i="1"/>
  <c r="I2630" i="1"/>
  <c r="H2630" i="1"/>
  <c r="G2630" i="1"/>
  <c r="F2630" i="1"/>
  <c r="E2630" i="1"/>
  <c r="D2630" i="1"/>
  <c r="C2630" i="1"/>
  <c r="B2630" i="1"/>
  <c r="A2630" i="1"/>
  <c r="K2629" i="1"/>
  <c r="I2629" i="1"/>
  <c r="H2629" i="1"/>
  <c r="G2629" i="1"/>
  <c r="F2629" i="1"/>
  <c r="E2629" i="1"/>
  <c r="D2629" i="1"/>
  <c r="C2629" i="1"/>
  <c r="B2629" i="1"/>
  <c r="A2629" i="1"/>
  <c r="K2628" i="1"/>
  <c r="I2628" i="1"/>
  <c r="H2628" i="1"/>
  <c r="G2628" i="1"/>
  <c r="F2628" i="1"/>
  <c r="E2628" i="1"/>
  <c r="D2628" i="1"/>
  <c r="C2628" i="1"/>
  <c r="B2628" i="1"/>
  <c r="A2628" i="1"/>
  <c r="K2627" i="1"/>
  <c r="J2627" i="1"/>
  <c r="H2627" i="1"/>
  <c r="G2627" i="1"/>
  <c r="F2627" i="1"/>
  <c r="E2627" i="1"/>
  <c r="D2627" i="1"/>
  <c r="C2627" i="1"/>
  <c r="B2627" i="1"/>
  <c r="A2627" i="1"/>
  <c r="K2626" i="1"/>
  <c r="J2626" i="1"/>
  <c r="H2626" i="1"/>
  <c r="G2626" i="1"/>
  <c r="F2626" i="1"/>
  <c r="E2626" i="1"/>
  <c r="D2626" i="1"/>
  <c r="C2626" i="1"/>
  <c r="B2626" i="1"/>
  <c r="A2626" i="1"/>
  <c r="K2625" i="1"/>
  <c r="J2625" i="1"/>
  <c r="H2625" i="1"/>
  <c r="G2625" i="1"/>
  <c r="F2625" i="1"/>
  <c r="E2625" i="1"/>
  <c r="D2625" i="1"/>
  <c r="C2625" i="1"/>
  <c r="B2625" i="1"/>
  <c r="A2625" i="1"/>
  <c r="K2624" i="1"/>
  <c r="J2624" i="1"/>
  <c r="H2624" i="1"/>
  <c r="G2624" i="1"/>
  <c r="F2624" i="1"/>
  <c r="E2624" i="1"/>
  <c r="D2624" i="1"/>
  <c r="C2624" i="1"/>
  <c r="B2624" i="1"/>
  <c r="A2624" i="1"/>
  <c r="K2623" i="1"/>
  <c r="J2623" i="1"/>
  <c r="H2623" i="1"/>
  <c r="G2623" i="1"/>
  <c r="F2623" i="1"/>
  <c r="E2623" i="1"/>
  <c r="D2623" i="1"/>
  <c r="C2623" i="1"/>
  <c r="B2623" i="1"/>
  <c r="A2623" i="1"/>
  <c r="K2622" i="1"/>
  <c r="J2622" i="1"/>
  <c r="H2622" i="1"/>
  <c r="G2622" i="1"/>
  <c r="F2622" i="1"/>
  <c r="E2622" i="1"/>
  <c r="D2622" i="1"/>
  <c r="C2622" i="1"/>
  <c r="B2622" i="1"/>
  <c r="A2622" i="1"/>
  <c r="K2621" i="1"/>
  <c r="I2621" i="1"/>
  <c r="H2621" i="1"/>
  <c r="G2621" i="1"/>
  <c r="F2621" i="1"/>
  <c r="E2621" i="1"/>
  <c r="D2621" i="1"/>
  <c r="C2621" i="1"/>
  <c r="B2621" i="1"/>
  <c r="A2621" i="1"/>
  <c r="K2620" i="1"/>
  <c r="I2620" i="1"/>
  <c r="H2620" i="1"/>
  <c r="G2620" i="1"/>
  <c r="F2620" i="1"/>
  <c r="E2620" i="1"/>
  <c r="D2620" i="1"/>
  <c r="C2620" i="1"/>
  <c r="B2620" i="1"/>
  <c r="A2620" i="1"/>
  <c r="K2619" i="1"/>
  <c r="I2619" i="1"/>
  <c r="H2619" i="1"/>
  <c r="G2619" i="1"/>
  <c r="F2619" i="1"/>
  <c r="E2619" i="1"/>
  <c r="D2619" i="1"/>
  <c r="C2619" i="1"/>
  <c r="B2619" i="1"/>
  <c r="A2619" i="1"/>
  <c r="K2618" i="1"/>
  <c r="I2618" i="1"/>
  <c r="H2618" i="1"/>
  <c r="G2618" i="1"/>
  <c r="F2618" i="1"/>
  <c r="E2618" i="1"/>
  <c r="D2618" i="1"/>
  <c r="C2618" i="1"/>
  <c r="B2618" i="1"/>
  <c r="A2618" i="1"/>
  <c r="K2617" i="1"/>
  <c r="I2617" i="1"/>
  <c r="H2617" i="1"/>
  <c r="G2617" i="1"/>
  <c r="F2617" i="1"/>
  <c r="E2617" i="1"/>
  <c r="D2617" i="1"/>
  <c r="C2617" i="1"/>
  <c r="B2617" i="1"/>
  <c r="A2617" i="1"/>
  <c r="K2616" i="1"/>
  <c r="I2616" i="1"/>
  <c r="H2616" i="1"/>
  <c r="G2616" i="1"/>
  <c r="F2616" i="1"/>
  <c r="E2616" i="1"/>
  <c r="D2616" i="1"/>
  <c r="C2616" i="1"/>
  <c r="B2616" i="1"/>
  <c r="A2616" i="1"/>
  <c r="K2615" i="1"/>
  <c r="I2615" i="1"/>
  <c r="H2615" i="1"/>
  <c r="G2615" i="1"/>
  <c r="F2615" i="1"/>
  <c r="E2615" i="1"/>
  <c r="D2615" i="1"/>
  <c r="C2615" i="1"/>
  <c r="B2615" i="1"/>
  <c r="A2615" i="1"/>
  <c r="K2614" i="1"/>
  <c r="J2614" i="1"/>
  <c r="H2614" i="1"/>
  <c r="G2614" i="1"/>
  <c r="F2614" i="1"/>
  <c r="E2614" i="1"/>
  <c r="D2614" i="1"/>
  <c r="C2614" i="1"/>
  <c r="B2614" i="1"/>
  <c r="A2614" i="1"/>
  <c r="K2613" i="1"/>
  <c r="J2613" i="1"/>
  <c r="H2613" i="1"/>
  <c r="G2613" i="1"/>
  <c r="F2613" i="1"/>
  <c r="E2613" i="1"/>
  <c r="D2613" i="1"/>
  <c r="C2613" i="1"/>
  <c r="B2613" i="1"/>
  <c r="A2613" i="1"/>
  <c r="K2612" i="1"/>
  <c r="I2612" i="1"/>
  <c r="H2612" i="1"/>
  <c r="G2612" i="1"/>
  <c r="F2612" i="1"/>
  <c r="E2612" i="1"/>
  <c r="D2612" i="1"/>
  <c r="C2612" i="1"/>
  <c r="B2612" i="1"/>
  <c r="A2612" i="1"/>
  <c r="K2611" i="1"/>
  <c r="I2611" i="1"/>
  <c r="H2611" i="1"/>
  <c r="G2611" i="1"/>
  <c r="F2611" i="1"/>
  <c r="E2611" i="1"/>
  <c r="D2611" i="1"/>
  <c r="C2611" i="1"/>
  <c r="B2611" i="1"/>
  <c r="A2611" i="1"/>
  <c r="K2610" i="1"/>
  <c r="J2610" i="1"/>
  <c r="I2610" i="1"/>
  <c r="H2610" i="1"/>
  <c r="G2610" i="1"/>
  <c r="F2610" i="1"/>
  <c r="E2610" i="1"/>
  <c r="D2610" i="1"/>
  <c r="C2610" i="1"/>
  <c r="B2610" i="1"/>
  <c r="A2610" i="1"/>
  <c r="K2609" i="1"/>
  <c r="I2609" i="1"/>
  <c r="H2609" i="1"/>
  <c r="G2609" i="1"/>
  <c r="F2609" i="1"/>
  <c r="E2609" i="1"/>
  <c r="D2609" i="1"/>
  <c r="C2609" i="1"/>
  <c r="B2609" i="1"/>
  <c r="A2609" i="1"/>
  <c r="K2608" i="1"/>
  <c r="I2608" i="1"/>
  <c r="H2608" i="1"/>
  <c r="G2608" i="1"/>
  <c r="F2608" i="1"/>
  <c r="E2608" i="1"/>
  <c r="D2608" i="1"/>
  <c r="C2608" i="1"/>
  <c r="B2608" i="1"/>
  <c r="A2608" i="1"/>
  <c r="K2607" i="1"/>
  <c r="I2607" i="1"/>
  <c r="H2607" i="1"/>
  <c r="G2607" i="1"/>
  <c r="F2607" i="1"/>
  <c r="E2607" i="1"/>
  <c r="D2607" i="1"/>
  <c r="C2607" i="1"/>
  <c r="B2607" i="1"/>
  <c r="A2607" i="1"/>
  <c r="K2606" i="1"/>
  <c r="I2606" i="1"/>
  <c r="H2606" i="1"/>
  <c r="G2606" i="1"/>
  <c r="F2606" i="1"/>
  <c r="E2606" i="1"/>
  <c r="D2606" i="1"/>
  <c r="C2606" i="1"/>
  <c r="B2606" i="1"/>
  <c r="A2606" i="1"/>
  <c r="K2605" i="1"/>
  <c r="I2605" i="1"/>
  <c r="H2605" i="1"/>
  <c r="G2605" i="1"/>
  <c r="F2605" i="1"/>
  <c r="E2605" i="1"/>
  <c r="D2605" i="1"/>
  <c r="C2605" i="1"/>
  <c r="B2605" i="1"/>
  <c r="A2605" i="1"/>
  <c r="K2604" i="1"/>
  <c r="I2604" i="1"/>
  <c r="H2604" i="1"/>
  <c r="G2604" i="1"/>
  <c r="F2604" i="1"/>
  <c r="E2604" i="1"/>
  <c r="D2604" i="1"/>
  <c r="C2604" i="1"/>
  <c r="B2604" i="1"/>
  <c r="A2604" i="1"/>
  <c r="K2603" i="1"/>
  <c r="I2603" i="1"/>
  <c r="H2603" i="1"/>
  <c r="G2603" i="1"/>
  <c r="F2603" i="1"/>
  <c r="E2603" i="1"/>
  <c r="D2603" i="1"/>
  <c r="C2603" i="1"/>
  <c r="B2603" i="1"/>
  <c r="A2603" i="1"/>
  <c r="K2602" i="1"/>
  <c r="I2602" i="1"/>
  <c r="H2602" i="1"/>
  <c r="G2602" i="1"/>
  <c r="F2602" i="1"/>
  <c r="E2602" i="1"/>
  <c r="D2602" i="1"/>
  <c r="C2602" i="1"/>
  <c r="B2602" i="1"/>
  <c r="A2602" i="1"/>
  <c r="K2601" i="1"/>
  <c r="I2601" i="1"/>
  <c r="H2601" i="1"/>
  <c r="G2601" i="1"/>
  <c r="F2601" i="1"/>
  <c r="E2601" i="1"/>
  <c r="D2601" i="1"/>
  <c r="C2601" i="1"/>
  <c r="B2601" i="1"/>
  <c r="A2601" i="1"/>
  <c r="K2600" i="1"/>
  <c r="I2600" i="1"/>
  <c r="H2600" i="1"/>
  <c r="G2600" i="1"/>
  <c r="F2600" i="1"/>
  <c r="E2600" i="1"/>
  <c r="D2600" i="1"/>
  <c r="C2600" i="1"/>
  <c r="B2600" i="1"/>
  <c r="A2600" i="1"/>
  <c r="K2599" i="1"/>
  <c r="I2599" i="1"/>
  <c r="H2599" i="1"/>
  <c r="G2599" i="1"/>
  <c r="F2599" i="1"/>
  <c r="E2599" i="1"/>
  <c r="D2599" i="1"/>
  <c r="C2599" i="1"/>
  <c r="B2599" i="1"/>
  <c r="A2599" i="1"/>
  <c r="K2598" i="1"/>
  <c r="I2598" i="1"/>
  <c r="H2598" i="1"/>
  <c r="G2598" i="1"/>
  <c r="F2598" i="1"/>
  <c r="E2598" i="1"/>
  <c r="D2598" i="1"/>
  <c r="C2598" i="1"/>
  <c r="B2598" i="1"/>
  <c r="A2598" i="1"/>
  <c r="K2597" i="1"/>
  <c r="I2597" i="1"/>
  <c r="H2597" i="1"/>
  <c r="G2597" i="1"/>
  <c r="F2597" i="1"/>
  <c r="E2597" i="1"/>
  <c r="D2597" i="1"/>
  <c r="C2597" i="1"/>
  <c r="B2597" i="1"/>
  <c r="A2597" i="1"/>
  <c r="K2596" i="1"/>
  <c r="I2596" i="1"/>
  <c r="H2596" i="1"/>
  <c r="G2596" i="1"/>
  <c r="F2596" i="1"/>
  <c r="E2596" i="1"/>
  <c r="D2596" i="1"/>
  <c r="C2596" i="1"/>
  <c r="B2596" i="1"/>
  <c r="A2596" i="1"/>
  <c r="K2595" i="1"/>
  <c r="J2595" i="1"/>
  <c r="H2595" i="1"/>
  <c r="G2595" i="1"/>
  <c r="F2595" i="1"/>
  <c r="E2595" i="1"/>
  <c r="D2595" i="1"/>
  <c r="C2595" i="1"/>
  <c r="B2595" i="1"/>
  <c r="A2595" i="1"/>
  <c r="K2594" i="1"/>
  <c r="I2594" i="1"/>
  <c r="H2594" i="1"/>
  <c r="G2594" i="1"/>
  <c r="F2594" i="1"/>
  <c r="E2594" i="1"/>
  <c r="D2594" i="1"/>
  <c r="C2594" i="1"/>
  <c r="B2594" i="1"/>
  <c r="A2594" i="1"/>
  <c r="K2593" i="1"/>
  <c r="I2593" i="1"/>
  <c r="H2593" i="1"/>
  <c r="G2593" i="1"/>
  <c r="F2593" i="1"/>
  <c r="E2593" i="1"/>
  <c r="D2593" i="1"/>
  <c r="C2593" i="1"/>
  <c r="B2593" i="1"/>
  <c r="A2593" i="1"/>
  <c r="K2592" i="1"/>
  <c r="J2592" i="1"/>
  <c r="I2592" i="1"/>
  <c r="H2592" i="1"/>
  <c r="G2592" i="1"/>
  <c r="F2592" i="1"/>
  <c r="E2592" i="1"/>
  <c r="D2592" i="1"/>
  <c r="C2592" i="1"/>
  <c r="B2592" i="1"/>
  <c r="A2592" i="1"/>
  <c r="K2591" i="1"/>
  <c r="J2591" i="1"/>
  <c r="H2591" i="1"/>
  <c r="G2591" i="1"/>
  <c r="F2591" i="1"/>
  <c r="E2591" i="1"/>
  <c r="D2591" i="1"/>
  <c r="C2591" i="1"/>
  <c r="B2591" i="1"/>
  <c r="A2591" i="1"/>
  <c r="K2590" i="1"/>
  <c r="J2590" i="1"/>
  <c r="H2590" i="1"/>
  <c r="G2590" i="1"/>
  <c r="F2590" i="1"/>
  <c r="E2590" i="1"/>
  <c r="D2590" i="1"/>
  <c r="C2590" i="1"/>
  <c r="B2590" i="1"/>
  <c r="A2590" i="1"/>
  <c r="K2589" i="1"/>
  <c r="J2589" i="1"/>
  <c r="H2589" i="1"/>
  <c r="G2589" i="1"/>
  <c r="F2589" i="1"/>
  <c r="E2589" i="1"/>
  <c r="D2589" i="1"/>
  <c r="C2589" i="1"/>
  <c r="B2589" i="1"/>
  <c r="A2589" i="1"/>
  <c r="K2588" i="1"/>
  <c r="J2588" i="1"/>
  <c r="H2588" i="1"/>
  <c r="G2588" i="1"/>
  <c r="F2588" i="1"/>
  <c r="E2588" i="1"/>
  <c r="D2588" i="1"/>
  <c r="C2588" i="1"/>
  <c r="B2588" i="1"/>
  <c r="A2588" i="1"/>
  <c r="K2587" i="1"/>
  <c r="J2587" i="1"/>
  <c r="H2587" i="1"/>
  <c r="G2587" i="1"/>
  <c r="F2587" i="1"/>
  <c r="E2587" i="1"/>
  <c r="D2587" i="1"/>
  <c r="C2587" i="1"/>
  <c r="B2587" i="1"/>
  <c r="A2587" i="1"/>
  <c r="K2586" i="1"/>
  <c r="J2586" i="1"/>
  <c r="H2586" i="1"/>
  <c r="G2586" i="1"/>
  <c r="F2586" i="1"/>
  <c r="E2586" i="1"/>
  <c r="D2586" i="1"/>
  <c r="C2586" i="1"/>
  <c r="B2586" i="1"/>
  <c r="A2586" i="1"/>
  <c r="K2585" i="1"/>
  <c r="J2585" i="1"/>
  <c r="H2585" i="1"/>
  <c r="G2585" i="1"/>
  <c r="F2585" i="1"/>
  <c r="E2585" i="1"/>
  <c r="D2585" i="1"/>
  <c r="C2585" i="1"/>
  <c r="B2585" i="1"/>
  <c r="A2585" i="1"/>
  <c r="K2584" i="1"/>
  <c r="I2584" i="1"/>
  <c r="H2584" i="1"/>
  <c r="G2584" i="1"/>
  <c r="F2584" i="1"/>
  <c r="E2584" i="1"/>
  <c r="D2584" i="1"/>
  <c r="C2584" i="1"/>
  <c r="B2584" i="1"/>
  <c r="A2584" i="1"/>
  <c r="K2583" i="1"/>
  <c r="J2583" i="1"/>
  <c r="H2583" i="1"/>
  <c r="G2583" i="1"/>
  <c r="F2583" i="1"/>
  <c r="E2583" i="1"/>
  <c r="D2583" i="1"/>
  <c r="C2583" i="1"/>
  <c r="B2583" i="1"/>
  <c r="A2583" i="1"/>
  <c r="K2582" i="1"/>
  <c r="I2582" i="1"/>
  <c r="H2582" i="1"/>
  <c r="G2582" i="1"/>
  <c r="F2582" i="1"/>
  <c r="E2582" i="1"/>
  <c r="D2582" i="1"/>
  <c r="C2582" i="1"/>
  <c r="B2582" i="1"/>
  <c r="A2582" i="1"/>
  <c r="K2581" i="1"/>
  <c r="I2581" i="1"/>
  <c r="H2581" i="1"/>
  <c r="G2581" i="1"/>
  <c r="F2581" i="1"/>
  <c r="E2581" i="1"/>
  <c r="D2581" i="1"/>
  <c r="C2581" i="1"/>
  <c r="B2581" i="1"/>
  <c r="A2581" i="1"/>
  <c r="K2580" i="1"/>
  <c r="I2580" i="1"/>
  <c r="H2580" i="1"/>
  <c r="G2580" i="1"/>
  <c r="F2580" i="1"/>
  <c r="E2580" i="1"/>
  <c r="D2580" i="1"/>
  <c r="C2580" i="1"/>
  <c r="B2580" i="1"/>
  <c r="A2580" i="1"/>
  <c r="K2579" i="1"/>
  <c r="I2579" i="1"/>
  <c r="H2579" i="1"/>
  <c r="G2579" i="1"/>
  <c r="F2579" i="1"/>
  <c r="E2579" i="1"/>
  <c r="D2579" i="1"/>
  <c r="C2579" i="1"/>
  <c r="B2579" i="1"/>
  <c r="A2579" i="1"/>
  <c r="K2578" i="1"/>
  <c r="I2578" i="1"/>
  <c r="H2578" i="1"/>
  <c r="G2578" i="1"/>
  <c r="F2578" i="1"/>
  <c r="E2578" i="1"/>
  <c r="D2578" i="1"/>
  <c r="C2578" i="1"/>
  <c r="B2578" i="1"/>
  <c r="A2578" i="1"/>
  <c r="K2577" i="1"/>
  <c r="I2577" i="1"/>
  <c r="H2577" i="1"/>
  <c r="G2577" i="1"/>
  <c r="F2577" i="1"/>
  <c r="E2577" i="1"/>
  <c r="D2577" i="1"/>
  <c r="C2577" i="1"/>
  <c r="B2577" i="1"/>
  <c r="A2577" i="1"/>
  <c r="K2576" i="1"/>
  <c r="I2576" i="1"/>
  <c r="H2576" i="1"/>
  <c r="G2576" i="1"/>
  <c r="F2576" i="1"/>
  <c r="E2576" i="1"/>
  <c r="D2576" i="1"/>
  <c r="C2576" i="1"/>
  <c r="B2576" i="1"/>
  <c r="A2576" i="1"/>
  <c r="K2575" i="1"/>
  <c r="I2575" i="1"/>
  <c r="H2575" i="1"/>
  <c r="G2575" i="1"/>
  <c r="F2575" i="1"/>
  <c r="E2575" i="1"/>
  <c r="D2575" i="1"/>
  <c r="C2575" i="1"/>
  <c r="B2575" i="1"/>
  <c r="A2575" i="1"/>
  <c r="K2574" i="1"/>
  <c r="I2574" i="1"/>
  <c r="H2574" i="1"/>
  <c r="G2574" i="1"/>
  <c r="F2574" i="1"/>
  <c r="E2574" i="1"/>
  <c r="D2574" i="1"/>
  <c r="C2574" i="1"/>
  <c r="B2574" i="1"/>
  <c r="A2574" i="1"/>
  <c r="K2573" i="1"/>
  <c r="I2573" i="1"/>
  <c r="H2573" i="1"/>
  <c r="G2573" i="1"/>
  <c r="F2573" i="1"/>
  <c r="E2573" i="1"/>
  <c r="D2573" i="1"/>
  <c r="C2573" i="1"/>
  <c r="B2573" i="1"/>
  <c r="A2573" i="1"/>
  <c r="K2572" i="1"/>
  <c r="I2572" i="1"/>
  <c r="H2572" i="1"/>
  <c r="G2572" i="1"/>
  <c r="F2572" i="1"/>
  <c r="E2572" i="1"/>
  <c r="D2572" i="1"/>
  <c r="C2572" i="1"/>
  <c r="B2572" i="1"/>
  <c r="A2572" i="1"/>
  <c r="K2571" i="1"/>
  <c r="I2571" i="1"/>
  <c r="H2571" i="1"/>
  <c r="G2571" i="1"/>
  <c r="F2571" i="1"/>
  <c r="E2571" i="1"/>
  <c r="D2571" i="1"/>
  <c r="C2571" i="1"/>
  <c r="B2571" i="1"/>
  <c r="A2571" i="1"/>
  <c r="K2570" i="1"/>
  <c r="J2570" i="1"/>
  <c r="I2570" i="1"/>
  <c r="H2570" i="1"/>
  <c r="G2570" i="1"/>
  <c r="F2570" i="1"/>
  <c r="E2570" i="1"/>
  <c r="D2570" i="1"/>
  <c r="C2570" i="1"/>
  <c r="B2570" i="1"/>
  <c r="A2570" i="1"/>
  <c r="K2569" i="1"/>
  <c r="J2569" i="1"/>
  <c r="I2569" i="1"/>
  <c r="H2569" i="1"/>
  <c r="G2569" i="1"/>
  <c r="F2569" i="1"/>
  <c r="E2569" i="1"/>
  <c r="D2569" i="1"/>
  <c r="C2569" i="1"/>
  <c r="B2569" i="1"/>
  <c r="A2569" i="1"/>
  <c r="K2568" i="1"/>
  <c r="J2568" i="1"/>
  <c r="I2568" i="1"/>
  <c r="H2568" i="1"/>
  <c r="G2568" i="1"/>
  <c r="F2568" i="1"/>
  <c r="E2568" i="1"/>
  <c r="D2568" i="1"/>
  <c r="C2568" i="1"/>
  <c r="B2568" i="1"/>
  <c r="A2568" i="1"/>
  <c r="K2567" i="1"/>
  <c r="J2567" i="1"/>
  <c r="I2567" i="1"/>
  <c r="H2567" i="1"/>
  <c r="G2567" i="1"/>
  <c r="F2567" i="1"/>
  <c r="E2567" i="1"/>
  <c r="D2567" i="1"/>
  <c r="C2567" i="1"/>
  <c r="B2567" i="1"/>
  <c r="A2567" i="1"/>
  <c r="K2566" i="1"/>
  <c r="J2566" i="1"/>
  <c r="I2566" i="1"/>
  <c r="H2566" i="1"/>
  <c r="G2566" i="1"/>
  <c r="F2566" i="1"/>
  <c r="E2566" i="1"/>
  <c r="D2566" i="1"/>
  <c r="C2566" i="1"/>
  <c r="B2566" i="1"/>
  <c r="A2566" i="1"/>
  <c r="K2565" i="1"/>
  <c r="I2565" i="1"/>
  <c r="H2565" i="1"/>
  <c r="G2565" i="1"/>
  <c r="F2565" i="1"/>
  <c r="E2565" i="1"/>
  <c r="D2565" i="1"/>
  <c r="C2565" i="1"/>
  <c r="B2565" i="1"/>
  <c r="A2565" i="1"/>
  <c r="K2564" i="1"/>
  <c r="I2564" i="1"/>
  <c r="H2564" i="1"/>
  <c r="G2564" i="1"/>
  <c r="F2564" i="1"/>
  <c r="E2564" i="1"/>
  <c r="D2564" i="1"/>
  <c r="C2564" i="1"/>
  <c r="B2564" i="1"/>
  <c r="A2564" i="1"/>
  <c r="K2563" i="1"/>
  <c r="I2563" i="1"/>
  <c r="H2563" i="1"/>
  <c r="G2563" i="1"/>
  <c r="F2563" i="1"/>
  <c r="E2563" i="1"/>
  <c r="D2563" i="1"/>
  <c r="C2563" i="1"/>
  <c r="B2563" i="1"/>
  <c r="A2563" i="1"/>
  <c r="K2562" i="1"/>
  <c r="J2562" i="1"/>
  <c r="I2562" i="1"/>
  <c r="H2562" i="1"/>
  <c r="G2562" i="1"/>
  <c r="F2562" i="1"/>
  <c r="E2562" i="1"/>
  <c r="D2562" i="1"/>
  <c r="C2562" i="1"/>
  <c r="B2562" i="1"/>
  <c r="A2562" i="1"/>
  <c r="K2561" i="1"/>
  <c r="I2561" i="1"/>
  <c r="H2561" i="1"/>
  <c r="G2561" i="1"/>
  <c r="F2561" i="1"/>
  <c r="E2561" i="1"/>
  <c r="D2561" i="1"/>
  <c r="C2561" i="1"/>
  <c r="B2561" i="1"/>
  <c r="A2561" i="1"/>
  <c r="K2560" i="1"/>
  <c r="I2560" i="1"/>
  <c r="H2560" i="1"/>
  <c r="G2560" i="1"/>
  <c r="F2560" i="1"/>
  <c r="E2560" i="1"/>
  <c r="D2560" i="1"/>
  <c r="C2560" i="1"/>
  <c r="B2560" i="1"/>
  <c r="A2560" i="1"/>
  <c r="K2559" i="1"/>
  <c r="I2559" i="1"/>
  <c r="H2559" i="1"/>
  <c r="G2559" i="1"/>
  <c r="F2559" i="1"/>
  <c r="E2559" i="1"/>
  <c r="D2559" i="1"/>
  <c r="C2559" i="1"/>
  <c r="B2559" i="1"/>
  <c r="A2559" i="1"/>
  <c r="K2558" i="1"/>
  <c r="I2558" i="1"/>
  <c r="H2558" i="1"/>
  <c r="G2558" i="1"/>
  <c r="F2558" i="1"/>
  <c r="E2558" i="1"/>
  <c r="D2558" i="1"/>
  <c r="C2558" i="1"/>
  <c r="B2558" i="1"/>
  <c r="A2558" i="1"/>
  <c r="K2557" i="1"/>
  <c r="I2557" i="1"/>
  <c r="H2557" i="1"/>
  <c r="G2557" i="1"/>
  <c r="F2557" i="1"/>
  <c r="E2557" i="1"/>
  <c r="D2557" i="1"/>
  <c r="C2557" i="1"/>
  <c r="B2557" i="1"/>
  <c r="A2557" i="1"/>
  <c r="K2556" i="1"/>
  <c r="I2556" i="1"/>
  <c r="H2556" i="1"/>
  <c r="G2556" i="1"/>
  <c r="F2556" i="1"/>
  <c r="E2556" i="1"/>
  <c r="D2556" i="1"/>
  <c r="C2556" i="1"/>
  <c r="B2556" i="1"/>
  <c r="A2556" i="1"/>
  <c r="K2555" i="1"/>
  <c r="I2555" i="1"/>
  <c r="H2555" i="1"/>
  <c r="G2555" i="1"/>
  <c r="F2555" i="1"/>
  <c r="E2555" i="1"/>
  <c r="D2555" i="1"/>
  <c r="C2555" i="1"/>
  <c r="B2555" i="1"/>
  <c r="A2555" i="1"/>
  <c r="K2554" i="1"/>
  <c r="I2554" i="1"/>
  <c r="H2554" i="1"/>
  <c r="G2554" i="1"/>
  <c r="F2554" i="1"/>
  <c r="E2554" i="1"/>
  <c r="D2554" i="1"/>
  <c r="C2554" i="1"/>
  <c r="B2554" i="1"/>
  <c r="A2554" i="1"/>
  <c r="K2553" i="1"/>
  <c r="I2553" i="1"/>
  <c r="H2553" i="1"/>
  <c r="G2553" i="1"/>
  <c r="F2553" i="1"/>
  <c r="E2553" i="1"/>
  <c r="D2553" i="1"/>
  <c r="C2553" i="1"/>
  <c r="B2553" i="1"/>
  <c r="A2553" i="1"/>
  <c r="K2552" i="1"/>
  <c r="I2552" i="1"/>
  <c r="H2552" i="1"/>
  <c r="G2552" i="1"/>
  <c r="F2552" i="1"/>
  <c r="E2552" i="1"/>
  <c r="D2552" i="1"/>
  <c r="C2552" i="1"/>
  <c r="B2552" i="1"/>
  <c r="A2552" i="1"/>
  <c r="K2551" i="1"/>
  <c r="I2551" i="1"/>
  <c r="H2551" i="1"/>
  <c r="G2551" i="1"/>
  <c r="F2551" i="1"/>
  <c r="E2551" i="1"/>
  <c r="D2551" i="1"/>
  <c r="C2551" i="1"/>
  <c r="B2551" i="1"/>
  <c r="A2551" i="1"/>
  <c r="K2550" i="1"/>
  <c r="I2550" i="1"/>
  <c r="H2550" i="1"/>
  <c r="G2550" i="1"/>
  <c r="F2550" i="1"/>
  <c r="E2550" i="1"/>
  <c r="D2550" i="1"/>
  <c r="C2550" i="1"/>
  <c r="B2550" i="1"/>
  <c r="A2550" i="1"/>
  <c r="K2549" i="1"/>
  <c r="I2549" i="1"/>
  <c r="H2549" i="1"/>
  <c r="G2549" i="1"/>
  <c r="F2549" i="1"/>
  <c r="E2549" i="1"/>
  <c r="D2549" i="1"/>
  <c r="C2549" i="1"/>
  <c r="B2549" i="1"/>
  <c r="A2549" i="1"/>
  <c r="K2548" i="1"/>
  <c r="I2548" i="1"/>
  <c r="H2548" i="1"/>
  <c r="G2548" i="1"/>
  <c r="F2548" i="1"/>
  <c r="E2548" i="1"/>
  <c r="D2548" i="1"/>
  <c r="C2548" i="1"/>
  <c r="B2548" i="1"/>
  <c r="A2548" i="1"/>
  <c r="K2547" i="1"/>
  <c r="I2547" i="1"/>
  <c r="H2547" i="1"/>
  <c r="G2547" i="1"/>
  <c r="F2547" i="1"/>
  <c r="E2547" i="1"/>
  <c r="D2547" i="1"/>
  <c r="C2547" i="1"/>
  <c r="B2547" i="1"/>
  <c r="A2547" i="1"/>
  <c r="K2546" i="1"/>
  <c r="I2546" i="1"/>
  <c r="H2546" i="1"/>
  <c r="G2546" i="1"/>
  <c r="F2546" i="1"/>
  <c r="E2546" i="1"/>
  <c r="D2546" i="1"/>
  <c r="C2546" i="1"/>
  <c r="B2546" i="1"/>
  <c r="A2546" i="1"/>
  <c r="K2545" i="1"/>
  <c r="I2545" i="1"/>
  <c r="H2545" i="1"/>
  <c r="G2545" i="1"/>
  <c r="F2545" i="1"/>
  <c r="E2545" i="1"/>
  <c r="D2545" i="1"/>
  <c r="C2545" i="1"/>
  <c r="B2545" i="1"/>
  <c r="A2545" i="1"/>
  <c r="K2544" i="1"/>
  <c r="I2544" i="1"/>
  <c r="H2544" i="1"/>
  <c r="G2544" i="1"/>
  <c r="F2544" i="1"/>
  <c r="E2544" i="1"/>
  <c r="D2544" i="1"/>
  <c r="C2544" i="1"/>
  <c r="B2544" i="1"/>
  <c r="A2544" i="1"/>
  <c r="K2543" i="1"/>
  <c r="J2543" i="1"/>
  <c r="H2543" i="1"/>
  <c r="G2543" i="1"/>
  <c r="F2543" i="1"/>
  <c r="E2543" i="1"/>
  <c r="D2543" i="1"/>
  <c r="C2543" i="1"/>
  <c r="B2543" i="1"/>
  <c r="A2543" i="1"/>
  <c r="K2542" i="1"/>
  <c r="I2542" i="1"/>
  <c r="H2542" i="1"/>
  <c r="G2542" i="1"/>
  <c r="F2542" i="1"/>
  <c r="E2542" i="1"/>
  <c r="D2542" i="1"/>
  <c r="C2542" i="1"/>
  <c r="B2542" i="1"/>
  <c r="A2542" i="1"/>
  <c r="K2541" i="1"/>
  <c r="I2541" i="1"/>
  <c r="H2541" i="1"/>
  <c r="G2541" i="1"/>
  <c r="F2541" i="1"/>
  <c r="E2541" i="1"/>
  <c r="D2541" i="1"/>
  <c r="C2541" i="1"/>
  <c r="B2541" i="1"/>
  <c r="A2541" i="1"/>
  <c r="K2540" i="1"/>
  <c r="I2540" i="1"/>
  <c r="H2540" i="1"/>
  <c r="G2540" i="1"/>
  <c r="F2540" i="1"/>
  <c r="E2540" i="1"/>
  <c r="D2540" i="1"/>
  <c r="C2540" i="1"/>
  <c r="B2540" i="1"/>
  <c r="A2540" i="1"/>
  <c r="K2539" i="1"/>
  <c r="I2539" i="1"/>
  <c r="H2539" i="1"/>
  <c r="G2539" i="1"/>
  <c r="F2539" i="1"/>
  <c r="E2539" i="1"/>
  <c r="D2539" i="1"/>
  <c r="C2539" i="1"/>
  <c r="B2539" i="1"/>
  <c r="A2539" i="1"/>
  <c r="K2538" i="1"/>
  <c r="I2538" i="1"/>
  <c r="H2538" i="1"/>
  <c r="G2538" i="1"/>
  <c r="F2538" i="1"/>
  <c r="E2538" i="1"/>
  <c r="D2538" i="1"/>
  <c r="C2538" i="1"/>
  <c r="B2538" i="1"/>
  <c r="A2538" i="1"/>
  <c r="K2537" i="1"/>
  <c r="I2537" i="1"/>
  <c r="H2537" i="1"/>
  <c r="G2537" i="1"/>
  <c r="F2537" i="1"/>
  <c r="E2537" i="1"/>
  <c r="D2537" i="1"/>
  <c r="C2537" i="1"/>
  <c r="B2537" i="1"/>
  <c r="A2537" i="1"/>
  <c r="K2536" i="1"/>
  <c r="I2536" i="1"/>
  <c r="H2536" i="1"/>
  <c r="G2536" i="1"/>
  <c r="F2536" i="1"/>
  <c r="E2536" i="1"/>
  <c r="D2536" i="1"/>
  <c r="C2536" i="1"/>
  <c r="B2536" i="1"/>
  <c r="A2536" i="1"/>
  <c r="K2535" i="1"/>
  <c r="I2535" i="1"/>
  <c r="H2535" i="1"/>
  <c r="G2535" i="1"/>
  <c r="F2535" i="1"/>
  <c r="E2535" i="1"/>
  <c r="D2535" i="1"/>
  <c r="C2535" i="1"/>
  <c r="B2535" i="1"/>
  <c r="A2535" i="1"/>
  <c r="K2534" i="1"/>
  <c r="I2534" i="1"/>
  <c r="H2534" i="1"/>
  <c r="G2534" i="1"/>
  <c r="F2534" i="1"/>
  <c r="E2534" i="1"/>
  <c r="D2534" i="1"/>
  <c r="C2534" i="1"/>
  <c r="B2534" i="1"/>
  <c r="A2534" i="1"/>
  <c r="K2533" i="1"/>
  <c r="I2533" i="1"/>
  <c r="H2533" i="1"/>
  <c r="G2533" i="1"/>
  <c r="F2533" i="1"/>
  <c r="E2533" i="1"/>
  <c r="D2533" i="1"/>
  <c r="C2533" i="1"/>
  <c r="B2533" i="1"/>
  <c r="A2533" i="1"/>
  <c r="K2532" i="1"/>
  <c r="I2532" i="1"/>
  <c r="H2532" i="1"/>
  <c r="G2532" i="1"/>
  <c r="F2532" i="1"/>
  <c r="E2532" i="1"/>
  <c r="D2532" i="1"/>
  <c r="C2532" i="1"/>
  <c r="B2532" i="1"/>
  <c r="A2532" i="1"/>
  <c r="K2531" i="1"/>
  <c r="I2531" i="1"/>
  <c r="H2531" i="1"/>
  <c r="G2531" i="1"/>
  <c r="F2531" i="1"/>
  <c r="E2531" i="1"/>
  <c r="D2531" i="1"/>
  <c r="C2531" i="1"/>
  <c r="B2531" i="1"/>
  <c r="A2531" i="1"/>
  <c r="K2530" i="1"/>
  <c r="I2530" i="1"/>
  <c r="H2530" i="1"/>
  <c r="G2530" i="1"/>
  <c r="F2530" i="1"/>
  <c r="E2530" i="1"/>
  <c r="D2530" i="1"/>
  <c r="C2530" i="1"/>
  <c r="B2530" i="1"/>
  <c r="A2530" i="1"/>
  <c r="K2529" i="1"/>
  <c r="I2529" i="1"/>
  <c r="H2529" i="1"/>
  <c r="G2529" i="1"/>
  <c r="F2529" i="1"/>
  <c r="E2529" i="1"/>
  <c r="D2529" i="1"/>
  <c r="C2529" i="1"/>
  <c r="B2529" i="1"/>
  <c r="A2529" i="1"/>
  <c r="K2528" i="1"/>
  <c r="J2528" i="1"/>
  <c r="H2528" i="1"/>
  <c r="G2528" i="1"/>
  <c r="F2528" i="1"/>
  <c r="E2528" i="1"/>
  <c r="D2528" i="1"/>
  <c r="C2528" i="1"/>
  <c r="B2528" i="1"/>
  <c r="A2528" i="1"/>
  <c r="K2527" i="1"/>
  <c r="I2527" i="1"/>
  <c r="H2527" i="1"/>
  <c r="G2527" i="1"/>
  <c r="F2527" i="1"/>
  <c r="E2527" i="1"/>
  <c r="D2527" i="1"/>
  <c r="C2527" i="1"/>
  <c r="B2527" i="1"/>
  <c r="A2527" i="1"/>
  <c r="K2526" i="1"/>
  <c r="I2526" i="1"/>
  <c r="H2526" i="1"/>
  <c r="G2526" i="1"/>
  <c r="F2526" i="1"/>
  <c r="E2526" i="1"/>
  <c r="D2526" i="1"/>
  <c r="C2526" i="1"/>
  <c r="B2526" i="1"/>
  <c r="A2526" i="1"/>
  <c r="K2525" i="1"/>
  <c r="I2525" i="1"/>
  <c r="H2525" i="1"/>
  <c r="G2525" i="1"/>
  <c r="F2525" i="1"/>
  <c r="E2525" i="1"/>
  <c r="D2525" i="1"/>
  <c r="C2525" i="1"/>
  <c r="B2525" i="1"/>
  <c r="A2525" i="1"/>
  <c r="K2524" i="1"/>
  <c r="I2524" i="1"/>
  <c r="H2524" i="1"/>
  <c r="G2524" i="1"/>
  <c r="F2524" i="1"/>
  <c r="E2524" i="1"/>
  <c r="D2524" i="1"/>
  <c r="C2524" i="1"/>
  <c r="B2524" i="1"/>
  <c r="A2524" i="1"/>
  <c r="K2523" i="1"/>
  <c r="I2523" i="1"/>
  <c r="H2523" i="1"/>
  <c r="G2523" i="1"/>
  <c r="F2523" i="1"/>
  <c r="E2523" i="1"/>
  <c r="D2523" i="1"/>
  <c r="C2523" i="1"/>
  <c r="B2523" i="1"/>
  <c r="A2523" i="1"/>
  <c r="K2522" i="1"/>
  <c r="I2522" i="1"/>
  <c r="H2522" i="1"/>
  <c r="G2522" i="1"/>
  <c r="F2522" i="1"/>
  <c r="E2522" i="1"/>
  <c r="D2522" i="1"/>
  <c r="C2522" i="1"/>
  <c r="B2522" i="1"/>
  <c r="A2522" i="1"/>
  <c r="K2521" i="1"/>
  <c r="I2521" i="1"/>
  <c r="H2521" i="1"/>
  <c r="G2521" i="1"/>
  <c r="F2521" i="1"/>
  <c r="E2521" i="1"/>
  <c r="D2521" i="1"/>
  <c r="C2521" i="1"/>
  <c r="B2521" i="1"/>
  <c r="A2521" i="1"/>
  <c r="K2520" i="1"/>
  <c r="I2520" i="1"/>
  <c r="H2520" i="1"/>
  <c r="G2520" i="1"/>
  <c r="F2520" i="1"/>
  <c r="E2520" i="1"/>
  <c r="D2520" i="1"/>
  <c r="C2520" i="1"/>
  <c r="B2520" i="1"/>
  <c r="A2520" i="1"/>
  <c r="K2519" i="1"/>
  <c r="I2519" i="1"/>
  <c r="H2519" i="1"/>
  <c r="G2519" i="1"/>
  <c r="F2519" i="1"/>
  <c r="E2519" i="1"/>
  <c r="D2519" i="1"/>
  <c r="C2519" i="1"/>
  <c r="B2519" i="1"/>
  <c r="A2519" i="1"/>
  <c r="K2518" i="1"/>
  <c r="I2518" i="1"/>
  <c r="H2518" i="1"/>
  <c r="G2518" i="1"/>
  <c r="F2518" i="1"/>
  <c r="E2518" i="1"/>
  <c r="D2518" i="1"/>
  <c r="C2518" i="1"/>
  <c r="B2518" i="1"/>
  <c r="A2518" i="1"/>
  <c r="K2517" i="1"/>
  <c r="I2517" i="1"/>
  <c r="H2517" i="1"/>
  <c r="G2517" i="1"/>
  <c r="F2517" i="1"/>
  <c r="E2517" i="1"/>
  <c r="D2517" i="1"/>
  <c r="C2517" i="1"/>
  <c r="B2517" i="1"/>
  <c r="A2517" i="1"/>
  <c r="K2516" i="1"/>
  <c r="I2516" i="1"/>
  <c r="H2516" i="1"/>
  <c r="G2516" i="1"/>
  <c r="F2516" i="1"/>
  <c r="E2516" i="1"/>
  <c r="D2516" i="1"/>
  <c r="C2516" i="1"/>
  <c r="B2516" i="1"/>
  <c r="A2516" i="1"/>
  <c r="K2515" i="1"/>
  <c r="I2515" i="1"/>
  <c r="H2515" i="1"/>
  <c r="G2515" i="1"/>
  <c r="F2515" i="1"/>
  <c r="E2515" i="1"/>
  <c r="D2515" i="1"/>
  <c r="C2515" i="1"/>
  <c r="B2515" i="1"/>
  <c r="A2515" i="1"/>
  <c r="K2514" i="1"/>
  <c r="I2514" i="1"/>
  <c r="H2514" i="1"/>
  <c r="G2514" i="1"/>
  <c r="F2514" i="1"/>
  <c r="E2514" i="1"/>
  <c r="D2514" i="1"/>
  <c r="C2514" i="1"/>
  <c r="B2514" i="1"/>
  <c r="A2514" i="1"/>
  <c r="K2513" i="1"/>
  <c r="I2513" i="1"/>
  <c r="H2513" i="1"/>
  <c r="G2513" i="1"/>
  <c r="F2513" i="1"/>
  <c r="E2513" i="1"/>
  <c r="D2513" i="1"/>
  <c r="C2513" i="1"/>
  <c r="B2513" i="1"/>
  <c r="A2513" i="1"/>
  <c r="K2512" i="1"/>
  <c r="I2512" i="1"/>
  <c r="H2512" i="1"/>
  <c r="G2512" i="1"/>
  <c r="F2512" i="1"/>
  <c r="E2512" i="1"/>
  <c r="D2512" i="1"/>
  <c r="C2512" i="1"/>
  <c r="B2512" i="1"/>
  <c r="A2512" i="1"/>
  <c r="K2511" i="1"/>
  <c r="I2511" i="1"/>
  <c r="H2511" i="1"/>
  <c r="G2511" i="1"/>
  <c r="F2511" i="1"/>
  <c r="E2511" i="1"/>
  <c r="D2511" i="1"/>
  <c r="C2511" i="1"/>
  <c r="B2511" i="1"/>
  <c r="A2511" i="1"/>
  <c r="K2510" i="1"/>
  <c r="I2510" i="1"/>
  <c r="H2510" i="1"/>
  <c r="G2510" i="1"/>
  <c r="F2510" i="1"/>
  <c r="E2510" i="1"/>
  <c r="D2510" i="1"/>
  <c r="C2510" i="1"/>
  <c r="B2510" i="1"/>
  <c r="A2510" i="1"/>
  <c r="K2509" i="1"/>
  <c r="I2509" i="1"/>
  <c r="H2509" i="1"/>
  <c r="G2509" i="1"/>
  <c r="F2509" i="1"/>
  <c r="E2509" i="1"/>
  <c r="D2509" i="1"/>
  <c r="C2509" i="1"/>
  <c r="B2509" i="1"/>
  <c r="A2509" i="1"/>
  <c r="K2508" i="1"/>
  <c r="I2508" i="1"/>
  <c r="H2508" i="1"/>
  <c r="G2508" i="1"/>
  <c r="F2508" i="1"/>
  <c r="E2508" i="1"/>
  <c r="D2508" i="1"/>
  <c r="C2508" i="1"/>
  <c r="B2508" i="1"/>
  <c r="A2508" i="1"/>
  <c r="K2507" i="1"/>
  <c r="I2507" i="1"/>
  <c r="H2507" i="1"/>
  <c r="G2507" i="1"/>
  <c r="F2507" i="1"/>
  <c r="E2507" i="1"/>
  <c r="D2507" i="1"/>
  <c r="C2507" i="1"/>
  <c r="B2507" i="1"/>
  <c r="A2507" i="1"/>
  <c r="K2506" i="1"/>
  <c r="I2506" i="1"/>
  <c r="H2506" i="1"/>
  <c r="G2506" i="1"/>
  <c r="F2506" i="1"/>
  <c r="E2506" i="1"/>
  <c r="D2506" i="1"/>
  <c r="C2506" i="1"/>
  <c r="B2506" i="1"/>
  <c r="A2506" i="1"/>
  <c r="K2505" i="1"/>
  <c r="I2505" i="1"/>
  <c r="H2505" i="1"/>
  <c r="G2505" i="1"/>
  <c r="F2505" i="1"/>
  <c r="E2505" i="1"/>
  <c r="D2505" i="1"/>
  <c r="C2505" i="1"/>
  <c r="B2505" i="1"/>
  <c r="A2505" i="1"/>
  <c r="K2504" i="1"/>
  <c r="I2504" i="1"/>
  <c r="H2504" i="1"/>
  <c r="G2504" i="1"/>
  <c r="F2504" i="1"/>
  <c r="E2504" i="1"/>
  <c r="D2504" i="1"/>
  <c r="C2504" i="1"/>
  <c r="B2504" i="1"/>
  <c r="A2504" i="1"/>
  <c r="K2503" i="1"/>
  <c r="I2503" i="1"/>
  <c r="H2503" i="1"/>
  <c r="G2503" i="1"/>
  <c r="F2503" i="1"/>
  <c r="E2503" i="1"/>
  <c r="D2503" i="1"/>
  <c r="C2503" i="1"/>
  <c r="B2503" i="1"/>
  <c r="A2503" i="1"/>
  <c r="K2502" i="1"/>
  <c r="J2502" i="1"/>
  <c r="H2502" i="1"/>
  <c r="G2502" i="1"/>
  <c r="F2502" i="1"/>
  <c r="E2502" i="1"/>
  <c r="D2502" i="1"/>
  <c r="C2502" i="1"/>
  <c r="B2502" i="1"/>
  <c r="A2502" i="1"/>
  <c r="K2501" i="1"/>
  <c r="J2501" i="1"/>
  <c r="H2501" i="1"/>
  <c r="G2501" i="1"/>
  <c r="F2501" i="1"/>
  <c r="E2501" i="1"/>
  <c r="D2501" i="1"/>
  <c r="C2501" i="1"/>
  <c r="B2501" i="1"/>
  <c r="A2501" i="1"/>
  <c r="K2500" i="1"/>
  <c r="J2500" i="1"/>
  <c r="I2500" i="1"/>
  <c r="H2500" i="1"/>
  <c r="G2500" i="1"/>
  <c r="F2500" i="1"/>
  <c r="E2500" i="1"/>
  <c r="D2500" i="1"/>
  <c r="C2500" i="1"/>
  <c r="B2500" i="1"/>
  <c r="A2500" i="1"/>
  <c r="K2499" i="1"/>
  <c r="J2499" i="1"/>
  <c r="I2499" i="1"/>
  <c r="H2499" i="1"/>
  <c r="G2499" i="1"/>
  <c r="F2499" i="1"/>
  <c r="E2499" i="1"/>
  <c r="D2499" i="1"/>
  <c r="C2499" i="1"/>
  <c r="B2499" i="1"/>
  <c r="A2499" i="1"/>
  <c r="K2498" i="1"/>
  <c r="J2498" i="1"/>
  <c r="I2498" i="1"/>
  <c r="H2498" i="1"/>
  <c r="G2498" i="1"/>
  <c r="F2498" i="1"/>
  <c r="E2498" i="1"/>
  <c r="D2498" i="1"/>
  <c r="C2498" i="1"/>
  <c r="B2498" i="1"/>
  <c r="A2498" i="1"/>
  <c r="K2497" i="1"/>
  <c r="J2497" i="1"/>
  <c r="I2497" i="1"/>
  <c r="H2497" i="1"/>
  <c r="G2497" i="1"/>
  <c r="F2497" i="1"/>
  <c r="E2497" i="1"/>
  <c r="D2497" i="1"/>
  <c r="C2497" i="1"/>
  <c r="B2497" i="1"/>
  <c r="A2497" i="1"/>
  <c r="K2496" i="1"/>
  <c r="J2496" i="1"/>
  <c r="I2496" i="1"/>
  <c r="H2496" i="1"/>
  <c r="G2496" i="1"/>
  <c r="F2496" i="1"/>
  <c r="E2496" i="1"/>
  <c r="D2496" i="1"/>
  <c r="C2496" i="1"/>
  <c r="B2496" i="1"/>
  <c r="A2496" i="1"/>
  <c r="K2495" i="1"/>
  <c r="J2495" i="1"/>
  <c r="I2495" i="1"/>
  <c r="H2495" i="1"/>
  <c r="G2495" i="1"/>
  <c r="F2495" i="1"/>
  <c r="E2495" i="1"/>
  <c r="D2495" i="1"/>
  <c r="C2495" i="1"/>
  <c r="B2495" i="1"/>
  <c r="A2495" i="1"/>
  <c r="K2494" i="1"/>
  <c r="J2494" i="1"/>
  <c r="I2494" i="1"/>
  <c r="H2494" i="1"/>
  <c r="G2494" i="1"/>
  <c r="F2494" i="1"/>
  <c r="E2494" i="1"/>
  <c r="D2494" i="1"/>
  <c r="C2494" i="1"/>
  <c r="B2494" i="1"/>
  <c r="A2494" i="1"/>
  <c r="K2493" i="1"/>
  <c r="J2493" i="1"/>
  <c r="I2493" i="1"/>
  <c r="H2493" i="1"/>
  <c r="G2493" i="1"/>
  <c r="F2493" i="1"/>
  <c r="E2493" i="1"/>
  <c r="D2493" i="1"/>
  <c r="C2493" i="1"/>
  <c r="B2493" i="1"/>
  <c r="A2493" i="1"/>
  <c r="K2492" i="1"/>
  <c r="J2492" i="1"/>
  <c r="I2492" i="1"/>
  <c r="H2492" i="1"/>
  <c r="G2492" i="1"/>
  <c r="F2492" i="1"/>
  <c r="E2492" i="1"/>
  <c r="D2492" i="1"/>
  <c r="C2492" i="1"/>
  <c r="B2492" i="1"/>
  <c r="A2492" i="1"/>
  <c r="K2491" i="1"/>
  <c r="J2491" i="1"/>
  <c r="I2491" i="1"/>
  <c r="H2491" i="1"/>
  <c r="G2491" i="1"/>
  <c r="F2491" i="1"/>
  <c r="E2491" i="1"/>
  <c r="D2491" i="1"/>
  <c r="C2491" i="1"/>
  <c r="B2491" i="1"/>
  <c r="A2491" i="1"/>
  <c r="K2490" i="1"/>
  <c r="J2490" i="1"/>
  <c r="I2490" i="1"/>
  <c r="H2490" i="1"/>
  <c r="G2490" i="1"/>
  <c r="F2490" i="1"/>
  <c r="E2490" i="1"/>
  <c r="D2490" i="1"/>
  <c r="C2490" i="1"/>
  <c r="B2490" i="1"/>
  <c r="A2490" i="1"/>
  <c r="K2489" i="1"/>
  <c r="J2489" i="1"/>
  <c r="I2489" i="1"/>
  <c r="H2489" i="1"/>
  <c r="G2489" i="1"/>
  <c r="F2489" i="1"/>
  <c r="E2489" i="1"/>
  <c r="D2489" i="1"/>
  <c r="C2489" i="1"/>
  <c r="B2489" i="1"/>
  <c r="A2489" i="1"/>
  <c r="K2488" i="1"/>
  <c r="J2488" i="1"/>
  <c r="I2488" i="1"/>
  <c r="H2488" i="1"/>
  <c r="G2488" i="1"/>
  <c r="F2488" i="1"/>
  <c r="E2488" i="1"/>
  <c r="D2488" i="1"/>
  <c r="C2488" i="1"/>
  <c r="B2488" i="1"/>
  <c r="A2488" i="1"/>
  <c r="K2487" i="1"/>
  <c r="J2487" i="1"/>
  <c r="I2487" i="1"/>
  <c r="H2487" i="1"/>
  <c r="G2487" i="1"/>
  <c r="F2487" i="1"/>
  <c r="E2487" i="1"/>
  <c r="D2487" i="1"/>
  <c r="C2487" i="1"/>
  <c r="B2487" i="1"/>
  <c r="A2487" i="1"/>
  <c r="K2486" i="1"/>
  <c r="J2486" i="1"/>
  <c r="I2486" i="1"/>
  <c r="H2486" i="1"/>
  <c r="G2486" i="1"/>
  <c r="F2486" i="1"/>
  <c r="E2486" i="1"/>
  <c r="D2486" i="1"/>
  <c r="C2486" i="1"/>
  <c r="B2486" i="1"/>
  <c r="A2486" i="1"/>
  <c r="K2485" i="1"/>
  <c r="J2485" i="1"/>
  <c r="I2485" i="1"/>
  <c r="H2485" i="1"/>
  <c r="G2485" i="1"/>
  <c r="F2485" i="1"/>
  <c r="E2485" i="1"/>
  <c r="D2485" i="1"/>
  <c r="C2485" i="1"/>
  <c r="B2485" i="1"/>
  <c r="A2485" i="1"/>
  <c r="K2484" i="1"/>
  <c r="J2484" i="1"/>
  <c r="I2484" i="1"/>
  <c r="H2484" i="1"/>
  <c r="G2484" i="1"/>
  <c r="F2484" i="1"/>
  <c r="E2484" i="1"/>
  <c r="D2484" i="1"/>
  <c r="C2484" i="1"/>
  <c r="B2484" i="1"/>
  <c r="A2484" i="1"/>
  <c r="K2483" i="1"/>
  <c r="J2483" i="1"/>
  <c r="I2483" i="1"/>
  <c r="H2483" i="1"/>
  <c r="G2483" i="1"/>
  <c r="F2483" i="1"/>
  <c r="E2483" i="1"/>
  <c r="D2483" i="1"/>
  <c r="C2483" i="1"/>
  <c r="B2483" i="1"/>
  <c r="A2483" i="1"/>
  <c r="K2482" i="1"/>
  <c r="J2482" i="1"/>
  <c r="I2482" i="1"/>
  <c r="H2482" i="1"/>
  <c r="G2482" i="1"/>
  <c r="F2482" i="1"/>
  <c r="E2482" i="1"/>
  <c r="D2482" i="1"/>
  <c r="C2482" i="1"/>
  <c r="B2482" i="1"/>
  <c r="A2482" i="1"/>
  <c r="K2481" i="1"/>
  <c r="J2481" i="1"/>
  <c r="I2481" i="1"/>
  <c r="H2481" i="1"/>
  <c r="G2481" i="1"/>
  <c r="F2481" i="1"/>
  <c r="E2481" i="1"/>
  <c r="D2481" i="1"/>
  <c r="C2481" i="1"/>
  <c r="B2481" i="1"/>
  <c r="A2481" i="1"/>
  <c r="K2480" i="1"/>
  <c r="J2480" i="1"/>
  <c r="I2480" i="1"/>
  <c r="H2480" i="1"/>
  <c r="G2480" i="1"/>
  <c r="F2480" i="1"/>
  <c r="E2480" i="1"/>
  <c r="D2480" i="1"/>
  <c r="C2480" i="1"/>
  <c r="B2480" i="1"/>
  <c r="A2480" i="1"/>
  <c r="K2479" i="1"/>
  <c r="J2479" i="1"/>
  <c r="I2479" i="1"/>
  <c r="H2479" i="1"/>
  <c r="G2479" i="1"/>
  <c r="F2479" i="1"/>
  <c r="E2479" i="1"/>
  <c r="D2479" i="1"/>
  <c r="C2479" i="1"/>
  <c r="B2479" i="1"/>
  <c r="A2479" i="1"/>
  <c r="K2478" i="1"/>
  <c r="J2478" i="1"/>
  <c r="I2478" i="1"/>
  <c r="H2478" i="1"/>
  <c r="G2478" i="1"/>
  <c r="F2478" i="1"/>
  <c r="E2478" i="1"/>
  <c r="D2478" i="1"/>
  <c r="C2478" i="1"/>
  <c r="B2478" i="1"/>
  <c r="A2478" i="1"/>
  <c r="K2477" i="1"/>
  <c r="J2477" i="1"/>
  <c r="I2477" i="1"/>
  <c r="H2477" i="1"/>
  <c r="G2477" i="1"/>
  <c r="F2477" i="1"/>
  <c r="E2477" i="1"/>
  <c r="D2477" i="1"/>
  <c r="C2477" i="1"/>
  <c r="B2477" i="1"/>
  <c r="A2477" i="1"/>
  <c r="K2476" i="1"/>
  <c r="J2476" i="1"/>
  <c r="I2476" i="1"/>
  <c r="H2476" i="1"/>
  <c r="G2476" i="1"/>
  <c r="F2476" i="1"/>
  <c r="E2476" i="1"/>
  <c r="D2476" i="1"/>
  <c r="C2476" i="1"/>
  <c r="B2476" i="1"/>
  <c r="A2476" i="1"/>
  <c r="K2475" i="1"/>
  <c r="J2475" i="1"/>
  <c r="I2475" i="1"/>
  <c r="H2475" i="1"/>
  <c r="G2475" i="1"/>
  <c r="F2475" i="1"/>
  <c r="E2475" i="1"/>
  <c r="D2475" i="1"/>
  <c r="C2475" i="1"/>
  <c r="B2475" i="1"/>
  <c r="A2475" i="1"/>
  <c r="K2474" i="1"/>
  <c r="J2474" i="1"/>
  <c r="I2474" i="1"/>
  <c r="H2474" i="1"/>
  <c r="G2474" i="1"/>
  <c r="F2474" i="1"/>
  <c r="E2474" i="1"/>
  <c r="D2474" i="1"/>
  <c r="C2474" i="1"/>
  <c r="B2474" i="1"/>
  <c r="A2474" i="1"/>
  <c r="K2473" i="1"/>
  <c r="J2473" i="1"/>
  <c r="I2473" i="1"/>
  <c r="H2473" i="1"/>
  <c r="G2473" i="1"/>
  <c r="F2473" i="1"/>
  <c r="E2473" i="1"/>
  <c r="D2473" i="1"/>
  <c r="C2473" i="1"/>
  <c r="B2473" i="1"/>
  <c r="A2473" i="1"/>
  <c r="K2472" i="1"/>
  <c r="J2472" i="1"/>
  <c r="I2472" i="1"/>
  <c r="H2472" i="1"/>
  <c r="G2472" i="1"/>
  <c r="F2472" i="1"/>
  <c r="E2472" i="1"/>
  <c r="D2472" i="1"/>
  <c r="C2472" i="1"/>
  <c r="B2472" i="1"/>
  <c r="A2472" i="1"/>
  <c r="K2471" i="1"/>
  <c r="J2471" i="1"/>
  <c r="I2471" i="1"/>
  <c r="H2471" i="1"/>
  <c r="G2471" i="1"/>
  <c r="F2471" i="1"/>
  <c r="E2471" i="1"/>
  <c r="D2471" i="1"/>
  <c r="C2471" i="1"/>
  <c r="B2471" i="1"/>
  <c r="A2471" i="1"/>
  <c r="K2470" i="1"/>
  <c r="J2470" i="1"/>
  <c r="I2470" i="1"/>
  <c r="H2470" i="1"/>
  <c r="G2470" i="1"/>
  <c r="F2470" i="1"/>
  <c r="E2470" i="1"/>
  <c r="D2470" i="1"/>
  <c r="C2470" i="1"/>
  <c r="B2470" i="1"/>
  <c r="A2470" i="1"/>
  <c r="K2469" i="1"/>
  <c r="J2469" i="1"/>
  <c r="I2469" i="1"/>
  <c r="H2469" i="1"/>
  <c r="G2469" i="1"/>
  <c r="F2469" i="1"/>
  <c r="E2469" i="1"/>
  <c r="D2469" i="1"/>
  <c r="C2469" i="1"/>
  <c r="B2469" i="1"/>
  <c r="A2469" i="1"/>
  <c r="K2468" i="1"/>
  <c r="J2468" i="1"/>
  <c r="I2468" i="1"/>
  <c r="H2468" i="1"/>
  <c r="G2468" i="1"/>
  <c r="F2468" i="1"/>
  <c r="E2468" i="1"/>
  <c r="D2468" i="1"/>
  <c r="C2468" i="1"/>
  <c r="B2468" i="1"/>
  <c r="A2468" i="1"/>
  <c r="K2467" i="1"/>
  <c r="J2467" i="1"/>
  <c r="I2467" i="1"/>
  <c r="H2467" i="1"/>
  <c r="G2467" i="1"/>
  <c r="F2467" i="1"/>
  <c r="E2467" i="1"/>
  <c r="D2467" i="1"/>
  <c r="C2467" i="1"/>
  <c r="B2467" i="1"/>
  <c r="A2467" i="1"/>
  <c r="K2466" i="1"/>
  <c r="J2466" i="1"/>
  <c r="I2466" i="1"/>
  <c r="H2466" i="1"/>
  <c r="G2466" i="1"/>
  <c r="F2466" i="1"/>
  <c r="E2466" i="1"/>
  <c r="D2466" i="1"/>
  <c r="C2466" i="1"/>
  <c r="B2466" i="1"/>
  <c r="A2466" i="1"/>
  <c r="K2465" i="1"/>
  <c r="J2465" i="1"/>
  <c r="I2465" i="1"/>
  <c r="H2465" i="1"/>
  <c r="G2465" i="1"/>
  <c r="F2465" i="1"/>
  <c r="E2465" i="1"/>
  <c r="D2465" i="1"/>
  <c r="C2465" i="1"/>
  <c r="B2465" i="1"/>
  <c r="A2465" i="1"/>
  <c r="K2464" i="1"/>
  <c r="J2464" i="1"/>
  <c r="I2464" i="1"/>
  <c r="H2464" i="1"/>
  <c r="G2464" i="1"/>
  <c r="F2464" i="1"/>
  <c r="E2464" i="1"/>
  <c r="D2464" i="1"/>
  <c r="C2464" i="1"/>
  <c r="B2464" i="1"/>
  <c r="A2464" i="1"/>
  <c r="K2463" i="1"/>
  <c r="J2463" i="1"/>
  <c r="I2463" i="1"/>
  <c r="H2463" i="1"/>
  <c r="G2463" i="1"/>
  <c r="F2463" i="1"/>
  <c r="E2463" i="1"/>
  <c r="D2463" i="1"/>
  <c r="C2463" i="1"/>
  <c r="B2463" i="1"/>
  <c r="A2463" i="1"/>
  <c r="K2462" i="1"/>
  <c r="J2462" i="1"/>
  <c r="I2462" i="1"/>
  <c r="H2462" i="1"/>
  <c r="G2462" i="1"/>
  <c r="F2462" i="1"/>
  <c r="E2462" i="1"/>
  <c r="D2462" i="1"/>
  <c r="C2462" i="1"/>
  <c r="B2462" i="1"/>
  <c r="A2462" i="1"/>
  <c r="K2461" i="1"/>
  <c r="J2461" i="1"/>
  <c r="I2461" i="1"/>
  <c r="H2461" i="1"/>
  <c r="G2461" i="1"/>
  <c r="F2461" i="1"/>
  <c r="E2461" i="1"/>
  <c r="D2461" i="1"/>
  <c r="C2461" i="1"/>
  <c r="B2461" i="1"/>
  <c r="A2461" i="1"/>
  <c r="K2460" i="1"/>
  <c r="J2460" i="1"/>
  <c r="I2460" i="1"/>
  <c r="H2460" i="1"/>
  <c r="G2460" i="1"/>
  <c r="F2460" i="1"/>
  <c r="E2460" i="1"/>
  <c r="D2460" i="1"/>
  <c r="C2460" i="1"/>
  <c r="B2460" i="1"/>
  <c r="A2460" i="1"/>
  <c r="K2459" i="1"/>
  <c r="J2459" i="1"/>
  <c r="I2459" i="1"/>
  <c r="H2459" i="1"/>
  <c r="G2459" i="1"/>
  <c r="F2459" i="1"/>
  <c r="E2459" i="1"/>
  <c r="D2459" i="1"/>
  <c r="C2459" i="1"/>
  <c r="B2459" i="1"/>
  <c r="A2459" i="1"/>
  <c r="K2458" i="1"/>
  <c r="J2458" i="1"/>
  <c r="I2458" i="1"/>
  <c r="H2458" i="1"/>
  <c r="G2458" i="1"/>
  <c r="F2458" i="1"/>
  <c r="E2458" i="1"/>
  <c r="D2458" i="1"/>
  <c r="C2458" i="1"/>
  <c r="B2458" i="1"/>
  <c r="A2458" i="1"/>
  <c r="K2457" i="1"/>
  <c r="J2457" i="1"/>
  <c r="I2457" i="1"/>
  <c r="H2457" i="1"/>
  <c r="G2457" i="1"/>
  <c r="F2457" i="1"/>
  <c r="E2457" i="1"/>
  <c r="D2457" i="1"/>
  <c r="C2457" i="1"/>
  <c r="B2457" i="1"/>
  <c r="A2457" i="1"/>
  <c r="K2456" i="1"/>
  <c r="J2456" i="1"/>
  <c r="I2456" i="1"/>
  <c r="H2456" i="1"/>
  <c r="G2456" i="1"/>
  <c r="F2456" i="1"/>
  <c r="E2456" i="1"/>
  <c r="D2456" i="1"/>
  <c r="C2456" i="1"/>
  <c r="B2456" i="1"/>
  <c r="A2456" i="1"/>
  <c r="K2455" i="1"/>
  <c r="I2455" i="1"/>
  <c r="H2455" i="1"/>
  <c r="G2455" i="1"/>
  <c r="F2455" i="1"/>
  <c r="E2455" i="1"/>
  <c r="D2455" i="1"/>
  <c r="C2455" i="1"/>
  <c r="B2455" i="1"/>
  <c r="A2455" i="1"/>
  <c r="K2454" i="1"/>
  <c r="I2454" i="1"/>
  <c r="H2454" i="1"/>
  <c r="G2454" i="1"/>
  <c r="F2454" i="1"/>
  <c r="E2454" i="1"/>
  <c r="D2454" i="1"/>
  <c r="C2454" i="1"/>
  <c r="B2454" i="1"/>
  <c r="A2454" i="1"/>
  <c r="K2453" i="1"/>
  <c r="I2453" i="1"/>
  <c r="H2453" i="1"/>
  <c r="G2453" i="1"/>
  <c r="F2453" i="1"/>
  <c r="E2453" i="1"/>
  <c r="D2453" i="1"/>
  <c r="C2453" i="1"/>
  <c r="B2453" i="1"/>
  <c r="A2453" i="1"/>
  <c r="K2452" i="1"/>
  <c r="I2452" i="1"/>
  <c r="H2452" i="1"/>
  <c r="G2452" i="1"/>
  <c r="F2452" i="1"/>
  <c r="E2452" i="1"/>
  <c r="D2452" i="1"/>
  <c r="C2452" i="1"/>
  <c r="B2452" i="1"/>
  <c r="A2452" i="1"/>
  <c r="K2451" i="1"/>
  <c r="J2451" i="1"/>
  <c r="H2451" i="1"/>
  <c r="G2451" i="1"/>
  <c r="F2451" i="1"/>
  <c r="E2451" i="1"/>
  <c r="D2451" i="1"/>
  <c r="C2451" i="1"/>
  <c r="B2451" i="1"/>
  <c r="A2451" i="1"/>
  <c r="K2450" i="1"/>
  <c r="I2450" i="1"/>
  <c r="H2450" i="1"/>
  <c r="G2450" i="1"/>
  <c r="F2450" i="1"/>
  <c r="E2450" i="1"/>
  <c r="D2450" i="1"/>
  <c r="C2450" i="1"/>
  <c r="B2450" i="1"/>
  <c r="A2450" i="1"/>
  <c r="K2449" i="1"/>
  <c r="I2449" i="1"/>
  <c r="H2449" i="1"/>
  <c r="G2449" i="1"/>
  <c r="F2449" i="1"/>
  <c r="E2449" i="1"/>
  <c r="D2449" i="1"/>
  <c r="C2449" i="1"/>
  <c r="B2449" i="1"/>
  <c r="A2449" i="1"/>
  <c r="K2448" i="1"/>
  <c r="I2448" i="1"/>
  <c r="H2448" i="1"/>
  <c r="G2448" i="1"/>
  <c r="F2448" i="1"/>
  <c r="E2448" i="1"/>
  <c r="D2448" i="1"/>
  <c r="C2448" i="1"/>
  <c r="B2448" i="1"/>
  <c r="A2448" i="1"/>
  <c r="K2447" i="1"/>
  <c r="I2447" i="1"/>
  <c r="H2447" i="1"/>
  <c r="G2447" i="1"/>
  <c r="F2447" i="1"/>
  <c r="E2447" i="1"/>
  <c r="D2447" i="1"/>
  <c r="C2447" i="1"/>
  <c r="B2447" i="1"/>
  <c r="A2447" i="1"/>
  <c r="K2446" i="1"/>
  <c r="I2446" i="1"/>
  <c r="H2446" i="1"/>
  <c r="G2446" i="1"/>
  <c r="F2446" i="1"/>
  <c r="E2446" i="1"/>
  <c r="D2446" i="1"/>
  <c r="C2446" i="1"/>
  <c r="B2446" i="1"/>
  <c r="A2446" i="1"/>
  <c r="K2445" i="1"/>
  <c r="I2445" i="1"/>
  <c r="H2445" i="1"/>
  <c r="G2445" i="1"/>
  <c r="F2445" i="1"/>
  <c r="E2445" i="1"/>
  <c r="D2445" i="1"/>
  <c r="C2445" i="1"/>
  <c r="B2445" i="1"/>
  <c r="A2445" i="1"/>
  <c r="K2444" i="1"/>
  <c r="I2444" i="1"/>
  <c r="H2444" i="1"/>
  <c r="G2444" i="1"/>
  <c r="F2444" i="1"/>
  <c r="E2444" i="1"/>
  <c r="D2444" i="1"/>
  <c r="C2444" i="1"/>
  <c r="B2444" i="1"/>
  <c r="A2444" i="1"/>
  <c r="K2443" i="1"/>
  <c r="I2443" i="1"/>
  <c r="H2443" i="1"/>
  <c r="G2443" i="1"/>
  <c r="F2443" i="1"/>
  <c r="E2443" i="1"/>
  <c r="D2443" i="1"/>
  <c r="C2443" i="1"/>
  <c r="B2443" i="1"/>
  <c r="A2443" i="1"/>
  <c r="K2442" i="1"/>
  <c r="I2442" i="1"/>
  <c r="H2442" i="1"/>
  <c r="G2442" i="1"/>
  <c r="F2442" i="1"/>
  <c r="E2442" i="1"/>
  <c r="D2442" i="1"/>
  <c r="C2442" i="1"/>
  <c r="B2442" i="1"/>
  <c r="A2442" i="1"/>
  <c r="K2441" i="1"/>
  <c r="I2441" i="1"/>
  <c r="H2441" i="1"/>
  <c r="G2441" i="1"/>
  <c r="F2441" i="1"/>
  <c r="E2441" i="1"/>
  <c r="D2441" i="1"/>
  <c r="C2441" i="1"/>
  <c r="B2441" i="1"/>
  <c r="A2441" i="1"/>
  <c r="K2440" i="1"/>
  <c r="I2440" i="1"/>
  <c r="H2440" i="1"/>
  <c r="G2440" i="1"/>
  <c r="F2440" i="1"/>
  <c r="E2440" i="1"/>
  <c r="D2440" i="1"/>
  <c r="C2440" i="1"/>
  <c r="B2440" i="1"/>
  <c r="A2440" i="1"/>
  <c r="K2439" i="1"/>
  <c r="I2439" i="1"/>
  <c r="H2439" i="1"/>
  <c r="G2439" i="1"/>
  <c r="F2439" i="1"/>
  <c r="E2439" i="1"/>
  <c r="D2439" i="1"/>
  <c r="C2439" i="1"/>
  <c r="B2439" i="1"/>
  <c r="A2439" i="1"/>
  <c r="K2438" i="1"/>
  <c r="I2438" i="1"/>
  <c r="H2438" i="1"/>
  <c r="G2438" i="1"/>
  <c r="F2438" i="1"/>
  <c r="E2438" i="1"/>
  <c r="D2438" i="1"/>
  <c r="C2438" i="1"/>
  <c r="B2438" i="1"/>
  <c r="A2438" i="1"/>
  <c r="K2437" i="1"/>
  <c r="I2437" i="1"/>
  <c r="H2437" i="1"/>
  <c r="G2437" i="1"/>
  <c r="F2437" i="1"/>
  <c r="E2437" i="1"/>
  <c r="D2437" i="1"/>
  <c r="C2437" i="1"/>
  <c r="B2437" i="1"/>
  <c r="A2437" i="1"/>
  <c r="K2436" i="1"/>
  <c r="I2436" i="1"/>
  <c r="H2436" i="1"/>
  <c r="G2436" i="1"/>
  <c r="F2436" i="1"/>
  <c r="E2436" i="1"/>
  <c r="D2436" i="1"/>
  <c r="C2436" i="1"/>
  <c r="B2436" i="1"/>
  <c r="A2436" i="1"/>
  <c r="K2435" i="1"/>
  <c r="I2435" i="1"/>
  <c r="H2435" i="1"/>
  <c r="G2435" i="1"/>
  <c r="F2435" i="1"/>
  <c r="E2435" i="1"/>
  <c r="D2435" i="1"/>
  <c r="C2435" i="1"/>
  <c r="B2435" i="1"/>
  <c r="A2435" i="1"/>
  <c r="K2434" i="1"/>
  <c r="J2434" i="1"/>
  <c r="I2434" i="1"/>
  <c r="H2434" i="1"/>
  <c r="G2434" i="1"/>
  <c r="F2434" i="1"/>
  <c r="E2434" i="1"/>
  <c r="D2434" i="1"/>
  <c r="C2434" i="1"/>
  <c r="B2434" i="1"/>
  <c r="A2434" i="1"/>
  <c r="K2433" i="1"/>
  <c r="J2433" i="1"/>
  <c r="I2433" i="1"/>
  <c r="H2433" i="1"/>
  <c r="G2433" i="1"/>
  <c r="F2433" i="1"/>
  <c r="E2433" i="1"/>
  <c r="D2433" i="1"/>
  <c r="C2433" i="1"/>
  <c r="B2433" i="1"/>
  <c r="A2433" i="1"/>
  <c r="K2432" i="1"/>
  <c r="J2432" i="1"/>
  <c r="I2432" i="1"/>
  <c r="H2432" i="1"/>
  <c r="G2432" i="1"/>
  <c r="F2432" i="1"/>
  <c r="E2432" i="1"/>
  <c r="D2432" i="1"/>
  <c r="C2432" i="1"/>
  <c r="B2432" i="1"/>
  <c r="A2432" i="1"/>
  <c r="K2431" i="1"/>
  <c r="J2431" i="1"/>
  <c r="I2431" i="1"/>
  <c r="H2431" i="1"/>
  <c r="G2431" i="1"/>
  <c r="F2431" i="1"/>
  <c r="E2431" i="1"/>
  <c r="D2431" i="1"/>
  <c r="C2431" i="1"/>
  <c r="B2431" i="1"/>
  <c r="A2431" i="1"/>
  <c r="K2430" i="1"/>
  <c r="J2430" i="1"/>
  <c r="I2430" i="1"/>
  <c r="H2430" i="1"/>
  <c r="G2430" i="1"/>
  <c r="F2430" i="1"/>
  <c r="E2430" i="1"/>
  <c r="D2430" i="1"/>
  <c r="C2430" i="1"/>
  <c r="B2430" i="1"/>
  <c r="A2430" i="1"/>
  <c r="K2429" i="1"/>
  <c r="J2429" i="1"/>
  <c r="I2429" i="1"/>
  <c r="H2429" i="1"/>
  <c r="G2429" i="1"/>
  <c r="F2429" i="1"/>
  <c r="E2429" i="1"/>
  <c r="D2429" i="1"/>
  <c r="C2429" i="1"/>
  <c r="B2429" i="1"/>
  <c r="A2429" i="1"/>
  <c r="K2428" i="1"/>
  <c r="J2428" i="1"/>
  <c r="I2428" i="1"/>
  <c r="H2428" i="1"/>
  <c r="G2428" i="1"/>
  <c r="F2428" i="1"/>
  <c r="E2428" i="1"/>
  <c r="D2428" i="1"/>
  <c r="C2428" i="1"/>
  <c r="B2428" i="1"/>
  <c r="A2428" i="1"/>
  <c r="K2427" i="1"/>
  <c r="J2427" i="1"/>
  <c r="I2427" i="1"/>
  <c r="H2427" i="1"/>
  <c r="G2427" i="1"/>
  <c r="F2427" i="1"/>
  <c r="E2427" i="1"/>
  <c r="D2427" i="1"/>
  <c r="C2427" i="1"/>
  <c r="B2427" i="1"/>
  <c r="A2427" i="1"/>
  <c r="K2426" i="1"/>
  <c r="J2426" i="1"/>
  <c r="I2426" i="1"/>
  <c r="H2426" i="1"/>
  <c r="G2426" i="1"/>
  <c r="F2426" i="1"/>
  <c r="E2426" i="1"/>
  <c r="D2426" i="1"/>
  <c r="C2426" i="1"/>
  <c r="B2426" i="1"/>
  <c r="A2426" i="1"/>
  <c r="K2425" i="1"/>
  <c r="J2425" i="1"/>
  <c r="I2425" i="1"/>
  <c r="H2425" i="1"/>
  <c r="G2425" i="1"/>
  <c r="F2425" i="1"/>
  <c r="E2425" i="1"/>
  <c r="D2425" i="1"/>
  <c r="C2425" i="1"/>
  <c r="B2425" i="1"/>
  <c r="A2425" i="1"/>
  <c r="K2424" i="1"/>
  <c r="J2424" i="1"/>
  <c r="I2424" i="1"/>
  <c r="H2424" i="1"/>
  <c r="G2424" i="1"/>
  <c r="F2424" i="1"/>
  <c r="E2424" i="1"/>
  <c r="D2424" i="1"/>
  <c r="C2424" i="1"/>
  <c r="B2424" i="1"/>
  <c r="A2424" i="1"/>
  <c r="K2423" i="1"/>
  <c r="J2423" i="1"/>
  <c r="I2423" i="1"/>
  <c r="H2423" i="1"/>
  <c r="G2423" i="1"/>
  <c r="F2423" i="1"/>
  <c r="E2423" i="1"/>
  <c r="D2423" i="1"/>
  <c r="C2423" i="1"/>
  <c r="B2423" i="1"/>
  <c r="A2423" i="1"/>
  <c r="K2422" i="1"/>
  <c r="J2422" i="1"/>
  <c r="I2422" i="1"/>
  <c r="H2422" i="1"/>
  <c r="G2422" i="1"/>
  <c r="F2422" i="1"/>
  <c r="E2422" i="1"/>
  <c r="D2422" i="1"/>
  <c r="C2422" i="1"/>
  <c r="B2422" i="1"/>
  <c r="A2422" i="1"/>
  <c r="K2421" i="1"/>
  <c r="J2421" i="1"/>
  <c r="I2421" i="1"/>
  <c r="H2421" i="1"/>
  <c r="G2421" i="1"/>
  <c r="F2421" i="1"/>
  <c r="E2421" i="1"/>
  <c r="D2421" i="1"/>
  <c r="C2421" i="1"/>
  <c r="B2421" i="1"/>
  <c r="A2421" i="1"/>
  <c r="K2420" i="1"/>
  <c r="J2420" i="1"/>
  <c r="I2420" i="1"/>
  <c r="H2420" i="1"/>
  <c r="G2420" i="1"/>
  <c r="F2420" i="1"/>
  <c r="E2420" i="1"/>
  <c r="D2420" i="1"/>
  <c r="C2420" i="1"/>
  <c r="B2420" i="1"/>
  <c r="A2420" i="1"/>
  <c r="K2419" i="1"/>
  <c r="J2419" i="1"/>
  <c r="I2419" i="1"/>
  <c r="H2419" i="1"/>
  <c r="G2419" i="1"/>
  <c r="F2419" i="1"/>
  <c r="E2419" i="1"/>
  <c r="D2419" i="1"/>
  <c r="C2419" i="1"/>
  <c r="B2419" i="1"/>
  <c r="A2419" i="1"/>
  <c r="K2418" i="1"/>
  <c r="J2418" i="1"/>
  <c r="I2418" i="1"/>
  <c r="H2418" i="1"/>
  <c r="G2418" i="1"/>
  <c r="F2418" i="1"/>
  <c r="E2418" i="1"/>
  <c r="D2418" i="1"/>
  <c r="C2418" i="1"/>
  <c r="B2418" i="1"/>
  <c r="A2418" i="1"/>
  <c r="K2417" i="1"/>
  <c r="J2417" i="1"/>
  <c r="I2417" i="1"/>
  <c r="H2417" i="1"/>
  <c r="G2417" i="1"/>
  <c r="F2417" i="1"/>
  <c r="E2417" i="1"/>
  <c r="D2417" i="1"/>
  <c r="C2417" i="1"/>
  <c r="B2417" i="1"/>
  <c r="A2417" i="1"/>
  <c r="K2416" i="1"/>
  <c r="J2416" i="1"/>
  <c r="I2416" i="1"/>
  <c r="H2416" i="1"/>
  <c r="G2416" i="1"/>
  <c r="F2416" i="1"/>
  <c r="E2416" i="1"/>
  <c r="D2416" i="1"/>
  <c r="C2416" i="1"/>
  <c r="B2416" i="1"/>
  <c r="A2416" i="1"/>
  <c r="K2415" i="1"/>
  <c r="J2415" i="1"/>
  <c r="I2415" i="1"/>
  <c r="H2415" i="1"/>
  <c r="G2415" i="1"/>
  <c r="F2415" i="1"/>
  <c r="E2415" i="1"/>
  <c r="D2415" i="1"/>
  <c r="C2415" i="1"/>
  <c r="B2415" i="1"/>
  <c r="A2415" i="1"/>
  <c r="K2414" i="1"/>
  <c r="J2414" i="1"/>
  <c r="I2414" i="1"/>
  <c r="H2414" i="1"/>
  <c r="G2414" i="1"/>
  <c r="F2414" i="1"/>
  <c r="E2414" i="1"/>
  <c r="D2414" i="1"/>
  <c r="C2414" i="1"/>
  <c r="B2414" i="1"/>
  <c r="A2414" i="1"/>
  <c r="K2413" i="1"/>
  <c r="J2413" i="1"/>
  <c r="I2413" i="1"/>
  <c r="H2413" i="1"/>
  <c r="G2413" i="1"/>
  <c r="F2413" i="1"/>
  <c r="E2413" i="1"/>
  <c r="D2413" i="1"/>
  <c r="C2413" i="1"/>
  <c r="B2413" i="1"/>
  <c r="A2413" i="1"/>
  <c r="K2412" i="1"/>
  <c r="J2412" i="1"/>
  <c r="I2412" i="1"/>
  <c r="H2412" i="1"/>
  <c r="G2412" i="1"/>
  <c r="F2412" i="1"/>
  <c r="E2412" i="1"/>
  <c r="D2412" i="1"/>
  <c r="C2412" i="1"/>
  <c r="B2412" i="1"/>
  <c r="A2412" i="1"/>
  <c r="K2411" i="1"/>
  <c r="J2411" i="1"/>
  <c r="I2411" i="1"/>
  <c r="H2411" i="1"/>
  <c r="G2411" i="1"/>
  <c r="F2411" i="1"/>
  <c r="E2411" i="1"/>
  <c r="D2411" i="1"/>
  <c r="C2411" i="1"/>
  <c r="B2411" i="1"/>
  <c r="A2411" i="1"/>
  <c r="K2410" i="1"/>
  <c r="J2410" i="1"/>
  <c r="I2410" i="1"/>
  <c r="H2410" i="1"/>
  <c r="G2410" i="1"/>
  <c r="F2410" i="1"/>
  <c r="E2410" i="1"/>
  <c r="D2410" i="1"/>
  <c r="C2410" i="1"/>
  <c r="B2410" i="1"/>
  <c r="A2410" i="1"/>
  <c r="K2409" i="1"/>
  <c r="J2409" i="1"/>
  <c r="I2409" i="1"/>
  <c r="H2409" i="1"/>
  <c r="G2409" i="1"/>
  <c r="F2409" i="1"/>
  <c r="E2409" i="1"/>
  <c r="D2409" i="1"/>
  <c r="C2409" i="1"/>
  <c r="B2409" i="1"/>
  <c r="A2409" i="1"/>
  <c r="K2408" i="1"/>
  <c r="J2408" i="1"/>
  <c r="I2408" i="1"/>
  <c r="H2408" i="1"/>
  <c r="G2408" i="1"/>
  <c r="F2408" i="1"/>
  <c r="E2408" i="1"/>
  <c r="D2408" i="1"/>
  <c r="C2408" i="1"/>
  <c r="B2408" i="1"/>
  <c r="A2408" i="1"/>
  <c r="K2407" i="1"/>
  <c r="J2407" i="1"/>
  <c r="I2407" i="1"/>
  <c r="H2407" i="1"/>
  <c r="G2407" i="1"/>
  <c r="F2407" i="1"/>
  <c r="E2407" i="1"/>
  <c r="D2407" i="1"/>
  <c r="C2407" i="1"/>
  <c r="B2407" i="1"/>
  <c r="A2407" i="1"/>
  <c r="K2406" i="1"/>
  <c r="J2406" i="1"/>
  <c r="I2406" i="1"/>
  <c r="H2406" i="1"/>
  <c r="G2406" i="1"/>
  <c r="F2406" i="1"/>
  <c r="E2406" i="1"/>
  <c r="D2406" i="1"/>
  <c r="C2406" i="1"/>
  <c r="B2406" i="1"/>
  <c r="A2406" i="1"/>
  <c r="K2405" i="1"/>
  <c r="J2405" i="1"/>
  <c r="I2405" i="1"/>
  <c r="H2405" i="1"/>
  <c r="G2405" i="1"/>
  <c r="F2405" i="1"/>
  <c r="E2405" i="1"/>
  <c r="D2405" i="1"/>
  <c r="C2405" i="1"/>
  <c r="B2405" i="1"/>
  <c r="A2405" i="1"/>
  <c r="K2404" i="1"/>
  <c r="J2404" i="1"/>
  <c r="I2404" i="1"/>
  <c r="H2404" i="1"/>
  <c r="G2404" i="1"/>
  <c r="F2404" i="1"/>
  <c r="E2404" i="1"/>
  <c r="D2404" i="1"/>
  <c r="C2404" i="1"/>
  <c r="B2404" i="1"/>
  <c r="A2404" i="1"/>
  <c r="K2403" i="1"/>
  <c r="J2403" i="1"/>
  <c r="I2403" i="1"/>
  <c r="H2403" i="1"/>
  <c r="G2403" i="1"/>
  <c r="F2403" i="1"/>
  <c r="E2403" i="1"/>
  <c r="D2403" i="1"/>
  <c r="C2403" i="1"/>
  <c r="B2403" i="1"/>
  <c r="A2403" i="1"/>
  <c r="K2402" i="1"/>
  <c r="J2402" i="1"/>
  <c r="I2402" i="1"/>
  <c r="H2402" i="1"/>
  <c r="G2402" i="1"/>
  <c r="F2402" i="1"/>
  <c r="E2402" i="1"/>
  <c r="D2402" i="1"/>
  <c r="C2402" i="1"/>
  <c r="B2402" i="1"/>
  <c r="A2402" i="1"/>
  <c r="K2401" i="1"/>
  <c r="J2401" i="1"/>
  <c r="I2401" i="1"/>
  <c r="H2401" i="1"/>
  <c r="G2401" i="1"/>
  <c r="F2401" i="1"/>
  <c r="E2401" i="1"/>
  <c r="D2401" i="1"/>
  <c r="C2401" i="1"/>
  <c r="B2401" i="1"/>
  <c r="A2401" i="1"/>
  <c r="K2400" i="1"/>
  <c r="J2400" i="1"/>
  <c r="I2400" i="1"/>
  <c r="H2400" i="1"/>
  <c r="G2400" i="1"/>
  <c r="F2400" i="1"/>
  <c r="E2400" i="1"/>
  <c r="D2400" i="1"/>
  <c r="C2400" i="1"/>
  <c r="B2400" i="1"/>
  <c r="A2400" i="1"/>
  <c r="K2399" i="1"/>
  <c r="J2399" i="1"/>
  <c r="I2399" i="1"/>
  <c r="H2399" i="1"/>
  <c r="G2399" i="1"/>
  <c r="F2399" i="1"/>
  <c r="E2399" i="1"/>
  <c r="D2399" i="1"/>
  <c r="C2399" i="1"/>
  <c r="B2399" i="1"/>
  <c r="A2399" i="1"/>
  <c r="K2398" i="1"/>
  <c r="J2398" i="1"/>
  <c r="I2398" i="1"/>
  <c r="H2398" i="1"/>
  <c r="G2398" i="1"/>
  <c r="F2398" i="1"/>
  <c r="E2398" i="1"/>
  <c r="D2398" i="1"/>
  <c r="C2398" i="1"/>
  <c r="B2398" i="1"/>
  <c r="A2398" i="1"/>
  <c r="K2397" i="1"/>
  <c r="J2397" i="1"/>
  <c r="I2397" i="1"/>
  <c r="H2397" i="1"/>
  <c r="G2397" i="1"/>
  <c r="F2397" i="1"/>
  <c r="E2397" i="1"/>
  <c r="D2397" i="1"/>
  <c r="C2397" i="1"/>
  <c r="B2397" i="1"/>
  <c r="A2397" i="1"/>
  <c r="K2396" i="1"/>
  <c r="J2396" i="1"/>
  <c r="I2396" i="1"/>
  <c r="H2396" i="1"/>
  <c r="G2396" i="1"/>
  <c r="F2396" i="1"/>
  <c r="E2396" i="1"/>
  <c r="D2396" i="1"/>
  <c r="C2396" i="1"/>
  <c r="B2396" i="1"/>
  <c r="A2396" i="1"/>
  <c r="K2395" i="1"/>
  <c r="J2395" i="1"/>
  <c r="I2395" i="1"/>
  <c r="H2395" i="1"/>
  <c r="G2395" i="1"/>
  <c r="F2395" i="1"/>
  <c r="E2395" i="1"/>
  <c r="D2395" i="1"/>
  <c r="C2395" i="1"/>
  <c r="B2395" i="1"/>
  <c r="A2395" i="1"/>
  <c r="K2394" i="1"/>
  <c r="J2394" i="1"/>
  <c r="I2394" i="1"/>
  <c r="H2394" i="1"/>
  <c r="G2394" i="1"/>
  <c r="F2394" i="1"/>
  <c r="E2394" i="1"/>
  <c r="D2394" i="1"/>
  <c r="C2394" i="1"/>
  <c r="B2394" i="1"/>
  <c r="A2394" i="1"/>
  <c r="K2393" i="1"/>
  <c r="J2393" i="1"/>
  <c r="I2393" i="1"/>
  <c r="H2393" i="1"/>
  <c r="G2393" i="1"/>
  <c r="F2393" i="1"/>
  <c r="E2393" i="1"/>
  <c r="D2393" i="1"/>
  <c r="C2393" i="1"/>
  <c r="B2393" i="1"/>
  <c r="A2393" i="1"/>
  <c r="K2392" i="1"/>
  <c r="J2392" i="1"/>
  <c r="I2392" i="1"/>
  <c r="H2392" i="1"/>
  <c r="G2392" i="1"/>
  <c r="F2392" i="1"/>
  <c r="E2392" i="1"/>
  <c r="D2392" i="1"/>
  <c r="C2392" i="1"/>
  <c r="B2392" i="1"/>
  <c r="A2392" i="1"/>
  <c r="K2391" i="1"/>
  <c r="J2391" i="1"/>
  <c r="I2391" i="1"/>
  <c r="H2391" i="1"/>
  <c r="G2391" i="1"/>
  <c r="F2391" i="1"/>
  <c r="E2391" i="1"/>
  <c r="D2391" i="1"/>
  <c r="C2391" i="1"/>
  <c r="B2391" i="1"/>
  <c r="A2391" i="1"/>
  <c r="K2390" i="1"/>
  <c r="J2390" i="1"/>
  <c r="I2390" i="1"/>
  <c r="H2390" i="1"/>
  <c r="G2390" i="1"/>
  <c r="F2390" i="1"/>
  <c r="E2390" i="1"/>
  <c r="D2390" i="1"/>
  <c r="C2390" i="1"/>
  <c r="B2390" i="1"/>
  <c r="A2390" i="1"/>
  <c r="K2389" i="1"/>
  <c r="J2389" i="1"/>
  <c r="I2389" i="1"/>
  <c r="H2389" i="1"/>
  <c r="G2389" i="1"/>
  <c r="F2389" i="1"/>
  <c r="E2389" i="1"/>
  <c r="D2389" i="1"/>
  <c r="C2389" i="1"/>
  <c r="B2389" i="1"/>
  <c r="A2389" i="1"/>
  <c r="K2388" i="1"/>
  <c r="J2388" i="1"/>
  <c r="I2388" i="1"/>
  <c r="H2388" i="1"/>
  <c r="G2388" i="1"/>
  <c r="F2388" i="1"/>
  <c r="E2388" i="1"/>
  <c r="D2388" i="1"/>
  <c r="C2388" i="1"/>
  <c r="B2388" i="1"/>
  <c r="A2388" i="1"/>
  <c r="K2387" i="1"/>
  <c r="J2387" i="1"/>
  <c r="I2387" i="1"/>
  <c r="H2387" i="1"/>
  <c r="G2387" i="1"/>
  <c r="F2387" i="1"/>
  <c r="E2387" i="1"/>
  <c r="D2387" i="1"/>
  <c r="C2387" i="1"/>
  <c r="B2387" i="1"/>
  <c r="A2387" i="1"/>
  <c r="K2386" i="1"/>
  <c r="J2386" i="1"/>
  <c r="I2386" i="1"/>
  <c r="H2386" i="1"/>
  <c r="G2386" i="1"/>
  <c r="F2386" i="1"/>
  <c r="E2386" i="1"/>
  <c r="D2386" i="1"/>
  <c r="C2386" i="1"/>
  <c r="B2386" i="1"/>
  <c r="A2386" i="1"/>
  <c r="K2385" i="1"/>
  <c r="J2385" i="1"/>
  <c r="I2385" i="1"/>
  <c r="H2385" i="1"/>
  <c r="G2385" i="1"/>
  <c r="F2385" i="1"/>
  <c r="E2385" i="1"/>
  <c r="D2385" i="1"/>
  <c r="C2385" i="1"/>
  <c r="B2385" i="1"/>
  <c r="A2385" i="1"/>
  <c r="K2384" i="1"/>
  <c r="J2384" i="1"/>
  <c r="I2384" i="1"/>
  <c r="H2384" i="1"/>
  <c r="G2384" i="1"/>
  <c r="F2384" i="1"/>
  <c r="E2384" i="1"/>
  <c r="D2384" i="1"/>
  <c r="C2384" i="1"/>
  <c r="B2384" i="1"/>
  <c r="A2384" i="1"/>
  <c r="K2383" i="1"/>
  <c r="J2383" i="1"/>
  <c r="I2383" i="1"/>
  <c r="H2383" i="1"/>
  <c r="G2383" i="1"/>
  <c r="F2383" i="1"/>
  <c r="E2383" i="1"/>
  <c r="D2383" i="1"/>
  <c r="C2383" i="1"/>
  <c r="B2383" i="1"/>
  <c r="A2383" i="1"/>
  <c r="K2382" i="1"/>
  <c r="J2382" i="1"/>
  <c r="I2382" i="1"/>
  <c r="H2382" i="1"/>
  <c r="G2382" i="1"/>
  <c r="F2382" i="1"/>
  <c r="E2382" i="1"/>
  <c r="D2382" i="1"/>
  <c r="C2382" i="1"/>
  <c r="B2382" i="1"/>
  <c r="A2382" i="1"/>
  <c r="K2381" i="1"/>
  <c r="J2381" i="1"/>
  <c r="I2381" i="1"/>
  <c r="H2381" i="1"/>
  <c r="G2381" i="1"/>
  <c r="F2381" i="1"/>
  <c r="E2381" i="1"/>
  <c r="D2381" i="1"/>
  <c r="C2381" i="1"/>
  <c r="B2381" i="1"/>
  <c r="A2381" i="1"/>
  <c r="K2380" i="1"/>
  <c r="J2380" i="1"/>
  <c r="I2380" i="1"/>
  <c r="H2380" i="1"/>
  <c r="G2380" i="1"/>
  <c r="F2380" i="1"/>
  <c r="E2380" i="1"/>
  <c r="D2380" i="1"/>
  <c r="C2380" i="1"/>
  <c r="B2380" i="1"/>
  <c r="A2380" i="1"/>
  <c r="K2379" i="1"/>
  <c r="J2379" i="1"/>
  <c r="I2379" i="1"/>
  <c r="H2379" i="1"/>
  <c r="G2379" i="1"/>
  <c r="F2379" i="1"/>
  <c r="E2379" i="1"/>
  <c r="D2379" i="1"/>
  <c r="C2379" i="1"/>
  <c r="B2379" i="1"/>
  <c r="A2379" i="1"/>
  <c r="K2378" i="1"/>
  <c r="J2378" i="1"/>
  <c r="I2378" i="1"/>
  <c r="H2378" i="1"/>
  <c r="G2378" i="1"/>
  <c r="F2378" i="1"/>
  <c r="E2378" i="1"/>
  <c r="D2378" i="1"/>
  <c r="C2378" i="1"/>
  <c r="B2378" i="1"/>
  <c r="A2378" i="1"/>
  <c r="K2377" i="1"/>
  <c r="J2377" i="1"/>
  <c r="I2377" i="1"/>
  <c r="H2377" i="1"/>
  <c r="G2377" i="1"/>
  <c r="F2377" i="1"/>
  <c r="E2377" i="1"/>
  <c r="D2377" i="1"/>
  <c r="C2377" i="1"/>
  <c r="B2377" i="1"/>
  <c r="A2377" i="1"/>
  <c r="K2376" i="1"/>
  <c r="J2376" i="1"/>
  <c r="I2376" i="1"/>
  <c r="H2376" i="1"/>
  <c r="G2376" i="1"/>
  <c r="F2376" i="1"/>
  <c r="E2376" i="1"/>
  <c r="D2376" i="1"/>
  <c r="C2376" i="1"/>
  <c r="B2376" i="1"/>
  <c r="A2376" i="1"/>
  <c r="K2375" i="1"/>
  <c r="J2375" i="1"/>
  <c r="I2375" i="1"/>
  <c r="H2375" i="1"/>
  <c r="G2375" i="1"/>
  <c r="F2375" i="1"/>
  <c r="E2375" i="1"/>
  <c r="D2375" i="1"/>
  <c r="C2375" i="1"/>
  <c r="B2375" i="1"/>
  <c r="A2375" i="1"/>
  <c r="K2374" i="1"/>
  <c r="J2374" i="1"/>
  <c r="I2374" i="1"/>
  <c r="H2374" i="1"/>
  <c r="G2374" i="1"/>
  <c r="F2374" i="1"/>
  <c r="E2374" i="1"/>
  <c r="D2374" i="1"/>
  <c r="C2374" i="1"/>
  <c r="B2374" i="1"/>
  <c r="A2374" i="1"/>
  <c r="K2373" i="1"/>
  <c r="J2373" i="1"/>
  <c r="I2373" i="1"/>
  <c r="H2373" i="1"/>
  <c r="G2373" i="1"/>
  <c r="F2373" i="1"/>
  <c r="E2373" i="1"/>
  <c r="D2373" i="1"/>
  <c r="C2373" i="1"/>
  <c r="B2373" i="1"/>
  <c r="A2373" i="1"/>
  <c r="K2372" i="1"/>
  <c r="J2372" i="1"/>
  <c r="I2372" i="1"/>
  <c r="H2372" i="1"/>
  <c r="G2372" i="1"/>
  <c r="F2372" i="1"/>
  <c r="E2372" i="1"/>
  <c r="D2372" i="1"/>
  <c r="C2372" i="1"/>
  <c r="B2372" i="1"/>
  <c r="A2372" i="1"/>
  <c r="K2371" i="1"/>
  <c r="J2371" i="1"/>
  <c r="I2371" i="1"/>
  <c r="H2371" i="1"/>
  <c r="G2371" i="1"/>
  <c r="F2371" i="1"/>
  <c r="E2371" i="1"/>
  <c r="D2371" i="1"/>
  <c r="C2371" i="1"/>
  <c r="B2371" i="1"/>
  <c r="A2371" i="1"/>
  <c r="K2370" i="1"/>
  <c r="J2370" i="1"/>
  <c r="I2370" i="1"/>
  <c r="H2370" i="1"/>
  <c r="G2370" i="1"/>
  <c r="F2370" i="1"/>
  <c r="E2370" i="1"/>
  <c r="D2370" i="1"/>
  <c r="C2370" i="1"/>
  <c r="B2370" i="1"/>
  <c r="A2370" i="1"/>
  <c r="K2369" i="1"/>
  <c r="J2369" i="1"/>
  <c r="I2369" i="1"/>
  <c r="H2369" i="1"/>
  <c r="G2369" i="1"/>
  <c r="F2369" i="1"/>
  <c r="E2369" i="1"/>
  <c r="D2369" i="1"/>
  <c r="C2369" i="1"/>
  <c r="B2369" i="1"/>
  <c r="A2369" i="1"/>
  <c r="K2368" i="1"/>
  <c r="J2368" i="1"/>
  <c r="I2368" i="1"/>
  <c r="H2368" i="1"/>
  <c r="G2368" i="1"/>
  <c r="F2368" i="1"/>
  <c r="E2368" i="1"/>
  <c r="D2368" i="1"/>
  <c r="C2368" i="1"/>
  <c r="B2368" i="1"/>
  <c r="A2368" i="1"/>
  <c r="K2367" i="1"/>
  <c r="J2367" i="1"/>
  <c r="I2367" i="1"/>
  <c r="H2367" i="1"/>
  <c r="G2367" i="1"/>
  <c r="F2367" i="1"/>
  <c r="E2367" i="1"/>
  <c r="D2367" i="1"/>
  <c r="C2367" i="1"/>
  <c r="B2367" i="1"/>
  <c r="A2367" i="1"/>
  <c r="K2366" i="1"/>
  <c r="J2366" i="1"/>
  <c r="I2366" i="1"/>
  <c r="H2366" i="1"/>
  <c r="G2366" i="1"/>
  <c r="F2366" i="1"/>
  <c r="E2366" i="1"/>
  <c r="D2366" i="1"/>
  <c r="C2366" i="1"/>
  <c r="B2366" i="1"/>
  <c r="A2366" i="1"/>
  <c r="K2365" i="1"/>
  <c r="J2365" i="1"/>
  <c r="I2365" i="1"/>
  <c r="H2365" i="1"/>
  <c r="G2365" i="1"/>
  <c r="F2365" i="1"/>
  <c r="E2365" i="1"/>
  <c r="D2365" i="1"/>
  <c r="C2365" i="1"/>
  <c r="B2365" i="1"/>
  <c r="A2365" i="1"/>
  <c r="K2364" i="1"/>
  <c r="J2364" i="1"/>
  <c r="I2364" i="1"/>
  <c r="H2364" i="1"/>
  <c r="G2364" i="1"/>
  <c r="F2364" i="1"/>
  <c r="E2364" i="1"/>
  <c r="D2364" i="1"/>
  <c r="C2364" i="1"/>
  <c r="B2364" i="1"/>
  <c r="A2364" i="1"/>
  <c r="K2363" i="1"/>
  <c r="J2363" i="1"/>
  <c r="I2363" i="1"/>
  <c r="H2363" i="1"/>
  <c r="G2363" i="1"/>
  <c r="F2363" i="1"/>
  <c r="E2363" i="1"/>
  <c r="D2363" i="1"/>
  <c r="C2363" i="1"/>
  <c r="B2363" i="1"/>
  <c r="A2363" i="1"/>
  <c r="K2362" i="1"/>
  <c r="J2362" i="1"/>
  <c r="I2362" i="1"/>
  <c r="H2362" i="1"/>
  <c r="G2362" i="1"/>
  <c r="F2362" i="1"/>
  <c r="E2362" i="1"/>
  <c r="D2362" i="1"/>
  <c r="C2362" i="1"/>
  <c r="B2362" i="1"/>
  <c r="A2362" i="1"/>
  <c r="K2361" i="1"/>
  <c r="J2361" i="1"/>
  <c r="I2361" i="1"/>
  <c r="H2361" i="1"/>
  <c r="G2361" i="1"/>
  <c r="F2361" i="1"/>
  <c r="E2361" i="1"/>
  <c r="D2361" i="1"/>
  <c r="C2361" i="1"/>
  <c r="B2361" i="1"/>
  <c r="A2361" i="1"/>
  <c r="K2360" i="1"/>
  <c r="J2360" i="1"/>
  <c r="I2360" i="1"/>
  <c r="H2360" i="1"/>
  <c r="G2360" i="1"/>
  <c r="F2360" i="1"/>
  <c r="E2360" i="1"/>
  <c r="D2360" i="1"/>
  <c r="C2360" i="1"/>
  <c r="B2360" i="1"/>
  <c r="A2360" i="1"/>
  <c r="K2359" i="1"/>
  <c r="J2359" i="1"/>
  <c r="I2359" i="1"/>
  <c r="H2359" i="1"/>
  <c r="G2359" i="1"/>
  <c r="F2359" i="1"/>
  <c r="E2359" i="1"/>
  <c r="D2359" i="1"/>
  <c r="C2359" i="1"/>
  <c r="B2359" i="1"/>
  <c r="A2359" i="1"/>
  <c r="K2358" i="1"/>
  <c r="J2358" i="1"/>
  <c r="I2358" i="1"/>
  <c r="H2358" i="1"/>
  <c r="G2358" i="1"/>
  <c r="F2358" i="1"/>
  <c r="E2358" i="1"/>
  <c r="D2358" i="1"/>
  <c r="C2358" i="1"/>
  <c r="B2358" i="1"/>
  <c r="A2358" i="1"/>
  <c r="K2357" i="1"/>
  <c r="J2357" i="1"/>
  <c r="I2357" i="1"/>
  <c r="H2357" i="1"/>
  <c r="G2357" i="1"/>
  <c r="F2357" i="1"/>
  <c r="E2357" i="1"/>
  <c r="D2357" i="1"/>
  <c r="C2357" i="1"/>
  <c r="B2357" i="1"/>
  <c r="A2357" i="1"/>
  <c r="K2356" i="1"/>
  <c r="J2356" i="1"/>
  <c r="I2356" i="1"/>
  <c r="H2356" i="1"/>
  <c r="G2356" i="1"/>
  <c r="F2356" i="1"/>
  <c r="E2356" i="1"/>
  <c r="D2356" i="1"/>
  <c r="C2356" i="1"/>
  <c r="B2356" i="1"/>
  <c r="A2356" i="1"/>
  <c r="K2355" i="1"/>
  <c r="J2355" i="1"/>
  <c r="I2355" i="1"/>
  <c r="H2355" i="1"/>
  <c r="G2355" i="1"/>
  <c r="F2355" i="1"/>
  <c r="E2355" i="1"/>
  <c r="D2355" i="1"/>
  <c r="C2355" i="1"/>
  <c r="B2355" i="1"/>
  <c r="A2355" i="1"/>
  <c r="K2354" i="1"/>
  <c r="J2354" i="1"/>
  <c r="I2354" i="1"/>
  <c r="H2354" i="1"/>
  <c r="G2354" i="1"/>
  <c r="F2354" i="1"/>
  <c r="E2354" i="1"/>
  <c r="D2354" i="1"/>
  <c r="C2354" i="1"/>
  <c r="B2354" i="1"/>
  <c r="A2354" i="1"/>
  <c r="K2353" i="1"/>
  <c r="J2353" i="1"/>
  <c r="I2353" i="1"/>
  <c r="H2353" i="1"/>
  <c r="G2353" i="1"/>
  <c r="F2353" i="1"/>
  <c r="E2353" i="1"/>
  <c r="D2353" i="1"/>
  <c r="C2353" i="1"/>
  <c r="B2353" i="1"/>
  <c r="A2353" i="1"/>
  <c r="K2352" i="1"/>
  <c r="J2352" i="1"/>
  <c r="I2352" i="1"/>
  <c r="H2352" i="1"/>
  <c r="G2352" i="1"/>
  <c r="F2352" i="1"/>
  <c r="E2352" i="1"/>
  <c r="D2352" i="1"/>
  <c r="C2352" i="1"/>
  <c r="B2352" i="1"/>
  <c r="A2352" i="1"/>
  <c r="K2351" i="1"/>
  <c r="J2351" i="1"/>
  <c r="I2351" i="1"/>
  <c r="H2351" i="1"/>
  <c r="G2351" i="1"/>
  <c r="F2351" i="1"/>
  <c r="E2351" i="1"/>
  <c r="D2351" i="1"/>
  <c r="C2351" i="1"/>
  <c r="B2351" i="1"/>
  <c r="A2351" i="1"/>
  <c r="K2350" i="1"/>
  <c r="J2350" i="1"/>
  <c r="I2350" i="1"/>
  <c r="H2350" i="1"/>
  <c r="G2350" i="1"/>
  <c r="F2350" i="1"/>
  <c r="E2350" i="1"/>
  <c r="D2350" i="1"/>
  <c r="C2350" i="1"/>
  <c r="B2350" i="1"/>
  <c r="A2350" i="1"/>
  <c r="K2349" i="1"/>
  <c r="J2349" i="1"/>
  <c r="I2349" i="1"/>
  <c r="H2349" i="1"/>
  <c r="G2349" i="1"/>
  <c r="F2349" i="1"/>
  <c r="E2349" i="1"/>
  <c r="D2349" i="1"/>
  <c r="C2349" i="1"/>
  <c r="B2349" i="1"/>
  <c r="A2349" i="1"/>
  <c r="K2348" i="1"/>
  <c r="J2348" i="1"/>
  <c r="I2348" i="1"/>
  <c r="H2348" i="1"/>
  <c r="G2348" i="1"/>
  <c r="F2348" i="1"/>
  <c r="E2348" i="1"/>
  <c r="D2348" i="1"/>
  <c r="C2348" i="1"/>
  <c r="B2348" i="1"/>
  <c r="A2348" i="1"/>
  <c r="K2347" i="1"/>
  <c r="J2347" i="1"/>
  <c r="I2347" i="1"/>
  <c r="H2347" i="1"/>
  <c r="G2347" i="1"/>
  <c r="F2347" i="1"/>
  <c r="E2347" i="1"/>
  <c r="D2347" i="1"/>
  <c r="C2347" i="1"/>
  <c r="B2347" i="1"/>
  <c r="A2347" i="1"/>
  <c r="K2346" i="1"/>
  <c r="J2346" i="1"/>
  <c r="I2346" i="1"/>
  <c r="H2346" i="1"/>
  <c r="G2346" i="1"/>
  <c r="F2346" i="1"/>
  <c r="E2346" i="1"/>
  <c r="D2346" i="1"/>
  <c r="C2346" i="1"/>
  <c r="B2346" i="1"/>
  <c r="A2346" i="1"/>
  <c r="K2345" i="1"/>
  <c r="J2345" i="1"/>
  <c r="I2345" i="1"/>
  <c r="H2345" i="1"/>
  <c r="G2345" i="1"/>
  <c r="F2345" i="1"/>
  <c r="E2345" i="1"/>
  <c r="D2345" i="1"/>
  <c r="C2345" i="1"/>
  <c r="B2345" i="1"/>
  <c r="A2345" i="1"/>
  <c r="K2344" i="1"/>
  <c r="J2344" i="1"/>
  <c r="I2344" i="1"/>
  <c r="H2344" i="1"/>
  <c r="G2344" i="1"/>
  <c r="F2344" i="1"/>
  <c r="E2344" i="1"/>
  <c r="D2344" i="1"/>
  <c r="C2344" i="1"/>
  <c r="B2344" i="1"/>
  <c r="A2344" i="1"/>
  <c r="K2343" i="1"/>
  <c r="J2343" i="1"/>
  <c r="I2343" i="1"/>
  <c r="H2343" i="1"/>
  <c r="G2343" i="1"/>
  <c r="F2343" i="1"/>
  <c r="E2343" i="1"/>
  <c r="D2343" i="1"/>
  <c r="C2343" i="1"/>
  <c r="B2343" i="1"/>
  <c r="A2343" i="1"/>
  <c r="K2342" i="1"/>
  <c r="J2342" i="1"/>
  <c r="I2342" i="1"/>
  <c r="H2342" i="1"/>
  <c r="G2342" i="1"/>
  <c r="F2342" i="1"/>
  <c r="E2342" i="1"/>
  <c r="D2342" i="1"/>
  <c r="C2342" i="1"/>
  <c r="B2342" i="1"/>
  <c r="A2342" i="1"/>
  <c r="K2341" i="1"/>
  <c r="J2341" i="1"/>
  <c r="I2341" i="1"/>
  <c r="H2341" i="1"/>
  <c r="G2341" i="1"/>
  <c r="F2341" i="1"/>
  <c r="E2341" i="1"/>
  <c r="D2341" i="1"/>
  <c r="C2341" i="1"/>
  <c r="B2341" i="1"/>
  <c r="A2341" i="1"/>
  <c r="K2340" i="1"/>
  <c r="J2340" i="1"/>
  <c r="I2340" i="1"/>
  <c r="H2340" i="1"/>
  <c r="G2340" i="1"/>
  <c r="F2340" i="1"/>
  <c r="E2340" i="1"/>
  <c r="D2340" i="1"/>
  <c r="C2340" i="1"/>
  <c r="B2340" i="1"/>
  <c r="A2340" i="1"/>
  <c r="K2339" i="1"/>
  <c r="J2339" i="1"/>
  <c r="I2339" i="1"/>
  <c r="H2339" i="1"/>
  <c r="G2339" i="1"/>
  <c r="F2339" i="1"/>
  <c r="E2339" i="1"/>
  <c r="D2339" i="1"/>
  <c r="C2339" i="1"/>
  <c r="B2339" i="1"/>
  <c r="A2339" i="1"/>
  <c r="K2338" i="1"/>
  <c r="J2338" i="1"/>
  <c r="I2338" i="1"/>
  <c r="H2338" i="1"/>
  <c r="G2338" i="1"/>
  <c r="F2338" i="1"/>
  <c r="E2338" i="1"/>
  <c r="D2338" i="1"/>
  <c r="C2338" i="1"/>
  <c r="B2338" i="1"/>
  <c r="A2338" i="1"/>
  <c r="K2337" i="1"/>
  <c r="J2337" i="1"/>
  <c r="I2337" i="1"/>
  <c r="H2337" i="1"/>
  <c r="G2337" i="1"/>
  <c r="F2337" i="1"/>
  <c r="E2337" i="1"/>
  <c r="D2337" i="1"/>
  <c r="C2337" i="1"/>
  <c r="B2337" i="1"/>
  <c r="A2337" i="1"/>
  <c r="K2336" i="1"/>
  <c r="J2336" i="1"/>
  <c r="I2336" i="1"/>
  <c r="H2336" i="1"/>
  <c r="G2336" i="1"/>
  <c r="F2336" i="1"/>
  <c r="E2336" i="1"/>
  <c r="D2336" i="1"/>
  <c r="C2336" i="1"/>
  <c r="B2336" i="1"/>
  <c r="A2336" i="1"/>
  <c r="K2335" i="1"/>
  <c r="J2335" i="1"/>
  <c r="I2335" i="1"/>
  <c r="H2335" i="1"/>
  <c r="G2335" i="1"/>
  <c r="F2335" i="1"/>
  <c r="E2335" i="1"/>
  <c r="D2335" i="1"/>
  <c r="C2335" i="1"/>
  <c r="B2335" i="1"/>
  <c r="A2335" i="1"/>
  <c r="K2334" i="1"/>
  <c r="J2334" i="1"/>
  <c r="I2334" i="1"/>
  <c r="H2334" i="1"/>
  <c r="G2334" i="1"/>
  <c r="F2334" i="1"/>
  <c r="E2334" i="1"/>
  <c r="D2334" i="1"/>
  <c r="C2334" i="1"/>
  <c r="B2334" i="1"/>
  <c r="A2334" i="1"/>
  <c r="K2333" i="1"/>
  <c r="J2333" i="1"/>
  <c r="I2333" i="1"/>
  <c r="H2333" i="1"/>
  <c r="G2333" i="1"/>
  <c r="F2333" i="1"/>
  <c r="E2333" i="1"/>
  <c r="D2333" i="1"/>
  <c r="C2333" i="1"/>
  <c r="B2333" i="1"/>
  <c r="A2333" i="1"/>
  <c r="K2332" i="1"/>
  <c r="J2332" i="1"/>
  <c r="I2332" i="1"/>
  <c r="H2332" i="1"/>
  <c r="G2332" i="1"/>
  <c r="F2332" i="1"/>
  <c r="E2332" i="1"/>
  <c r="D2332" i="1"/>
  <c r="C2332" i="1"/>
  <c r="B2332" i="1"/>
  <c r="A2332" i="1"/>
  <c r="K2331" i="1"/>
  <c r="J2331" i="1"/>
  <c r="I2331" i="1"/>
  <c r="H2331" i="1"/>
  <c r="G2331" i="1"/>
  <c r="F2331" i="1"/>
  <c r="E2331" i="1"/>
  <c r="D2331" i="1"/>
  <c r="C2331" i="1"/>
  <c r="B2331" i="1"/>
  <c r="A2331" i="1"/>
  <c r="K2330" i="1"/>
  <c r="J2330" i="1"/>
  <c r="I2330" i="1"/>
  <c r="H2330" i="1"/>
  <c r="G2330" i="1"/>
  <c r="F2330" i="1"/>
  <c r="E2330" i="1"/>
  <c r="D2330" i="1"/>
  <c r="C2330" i="1"/>
  <c r="B2330" i="1"/>
  <c r="A2330" i="1"/>
  <c r="K2329" i="1"/>
  <c r="J2329" i="1"/>
  <c r="I2329" i="1"/>
  <c r="H2329" i="1"/>
  <c r="G2329" i="1"/>
  <c r="F2329" i="1"/>
  <c r="E2329" i="1"/>
  <c r="D2329" i="1"/>
  <c r="C2329" i="1"/>
  <c r="B2329" i="1"/>
  <c r="A2329" i="1"/>
  <c r="K2328" i="1"/>
  <c r="J2328" i="1"/>
  <c r="I2328" i="1"/>
  <c r="H2328" i="1"/>
  <c r="G2328" i="1"/>
  <c r="F2328" i="1"/>
  <c r="E2328" i="1"/>
  <c r="D2328" i="1"/>
  <c r="C2328" i="1"/>
  <c r="B2328" i="1"/>
  <c r="A2328" i="1"/>
  <c r="K2327" i="1"/>
  <c r="J2327" i="1"/>
  <c r="I2327" i="1"/>
  <c r="H2327" i="1"/>
  <c r="G2327" i="1"/>
  <c r="F2327" i="1"/>
  <c r="E2327" i="1"/>
  <c r="D2327" i="1"/>
  <c r="C2327" i="1"/>
  <c r="B2327" i="1"/>
  <c r="A2327" i="1"/>
  <c r="K2326" i="1"/>
  <c r="J2326" i="1"/>
  <c r="I2326" i="1"/>
  <c r="H2326" i="1"/>
  <c r="G2326" i="1"/>
  <c r="F2326" i="1"/>
  <c r="E2326" i="1"/>
  <c r="D2326" i="1"/>
  <c r="C2326" i="1"/>
  <c r="B2326" i="1"/>
  <c r="A2326" i="1"/>
  <c r="K2325" i="1"/>
  <c r="J2325" i="1"/>
  <c r="I2325" i="1"/>
  <c r="H2325" i="1"/>
  <c r="G2325" i="1"/>
  <c r="F2325" i="1"/>
  <c r="E2325" i="1"/>
  <c r="D2325" i="1"/>
  <c r="C2325" i="1"/>
  <c r="B2325" i="1"/>
  <c r="A2325" i="1"/>
  <c r="K2324" i="1"/>
  <c r="J2324" i="1"/>
  <c r="I2324" i="1"/>
  <c r="H2324" i="1"/>
  <c r="G2324" i="1"/>
  <c r="F2324" i="1"/>
  <c r="E2324" i="1"/>
  <c r="D2324" i="1"/>
  <c r="C2324" i="1"/>
  <c r="B2324" i="1"/>
  <c r="A2324" i="1"/>
  <c r="K2323" i="1"/>
  <c r="J2323" i="1"/>
  <c r="I2323" i="1"/>
  <c r="H2323" i="1"/>
  <c r="G2323" i="1"/>
  <c r="F2323" i="1"/>
  <c r="E2323" i="1"/>
  <c r="D2323" i="1"/>
  <c r="C2323" i="1"/>
  <c r="B2323" i="1"/>
  <c r="A2323" i="1"/>
  <c r="K2322" i="1"/>
  <c r="J2322" i="1"/>
  <c r="I2322" i="1"/>
  <c r="H2322" i="1"/>
  <c r="G2322" i="1"/>
  <c r="F2322" i="1"/>
  <c r="E2322" i="1"/>
  <c r="D2322" i="1"/>
  <c r="C2322" i="1"/>
  <c r="B2322" i="1"/>
  <c r="A2322" i="1"/>
  <c r="K2321" i="1"/>
  <c r="J2321" i="1"/>
  <c r="I2321" i="1"/>
  <c r="H2321" i="1"/>
  <c r="G2321" i="1"/>
  <c r="F2321" i="1"/>
  <c r="E2321" i="1"/>
  <c r="D2321" i="1"/>
  <c r="C2321" i="1"/>
  <c r="B2321" i="1"/>
  <c r="A2321" i="1"/>
  <c r="K2320" i="1"/>
  <c r="J2320" i="1"/>
  <c r="I2320" i="1"/>
  <c r="H2320" i="1"/>
  <c r="G2320" i="1"/>
  <c r="F2320" i="1"/>
  <c r="E2320" i="1"/>
  <c r="D2320" i="1"/>
  <c r="C2320" i="1"/>
  <c r="B2320" i="1"/>
  <c r="A2320" i="1"/>
  <c r="K2319" i="1"/>
  <c r="J2319" i="1"/>
  <c r="I2319" i="1"/>
  <c r="H2319" i="1"/>
  <c r="G2319" i="1"/>
  <c r="F2319" i="1"/>
  <c r="E2319" i="1"/>
  <c r="D2319" i="1"/>
  <c r="C2319" i="1"/>
  <c r="B2319" i="1"/>
  <c r="A2319" i="1"/>
  <c r="K2318" i="1"/>
  <c r="J2318" i="1"/>
  <c r="I2318" i="1"/>
  <c r="H2318" i="1"/>
  <c r="G2318" i="1"/>
  <c r="F2318" i="1"/>
  <c r="E2318" i="1"/>
  <c r="D2318" i="1"/>
  <c r="C2318" i="1"/>
  <c r="B2318" i="1"/>
  <c r="A2318" i="1"/>
  <c r="K2317" i="1"/>
  <c r="J2317" i="1"/>
  <c r="I2317" i="1"/>
  <c r="H2317" i="1"/>
  <c r="G2317" i="1"/>
  <c r="F2317" i="1"/>
  <c r="E2317" i="1"/>
  <c r="D2317" i="1"/>
  <c r="C2317" i="1"/>
  <c r="B2317" i="1"/>
  <c r="A2317" i="1"/>
  <c r="K2316" i="1"/>
  <c r="J2316" i="1"/>
  <c r="I2316" i="1"/>
  <c r="H2316" i="1"/>
  <c r="G2316" i="1"/>
  <c r="F2316" i="1"/>
  <c r="E2316" i="1"/>
  <c r="D2316" i="1"/>
  <c r="C2316" i="1"/>
  <c r="B2316" i="1"/>
  <c r="A2316" i="1"/>
  <c r="K2315" i="1"/>
  <c r="J2315" i="1"/>
  <c r="I2315" i="1"/>
  <c r="H2315" i="1"/>
  <c r="G2315" i="1"/>
  <c r="F2315" i="1"/>
  <c r="E2315" i="1"/>
  <c r="D2315" i="1"/>
  <c r="C2315" i="1"/>
  <c r="B2315" i="1"/>
  <c r="A2315" i="1"/>
  <c r="K2314" i="1"/>
  <c r="J2314" i="1"/>
  <c r="I2314" i="1"/>
  <c r="H2314" i="1"/>
  <c r="G2314" i="1"/>
  <c r="F2314" i="1"/>
  <c r="E2314" i="1"/>
  <c r="D2314" i="1"/>
  <c r="C2314" i="1"/>
  <c r="B2314" i="1"/>
  <c r="A2314" i="1"/>
  <c r="K2313" i="1"/>
  <c r="J2313" i="1"/>
  <c r="I2313" i="1"/>
  <c r="H2313" i="1"/>
  <c r="G2313" i="1"/>
  <c r="F2313" i="1"/>
  <c r="E2313" i="1"/>
  <c r="D2313" i="1"/>
  <c r="C2313" i="1"/>
  <c r="B2313" i="1"/>
  <c r="A2313" i="1"/>
  <c r="K2312" i="1"/>
  <c r="J2312" i="1"/>
  <c r="I2312" i="1"/>
  <c r="H2312" i="1"/>
  <c r="G2312" i="1"/>
  <c r="F2312" i="1"/>
  <c r="E2312" i="1"/>
  <c r="D2312" i="1"/>
  <c r="C2312" i="1"/>
  <c r="B2312" i="1"/>
  <c r="A2312" i="1"/>
  <c r="K2311" i="1"/>
  <c r="J2311" i="1"/>
  <c r="I2311" i="1"/>
  <c r="H2311" i="1"/>
  <c r="G2311" i="1"/>
  <c r="F2311" i="1"/>
  <c r="E2311" i="1"/>
  <c r="D2311" i="1"/>
  <c r="C2311" i="1"/>
  <c r="B2311" i="1"/>
  <c r="A2311" i="1"/>
  <c r="K2310" i="1"/>
  <c r="J2310" i="1"/>
  <c r="I2310" i="1"/>
  <c r="H2310" i="1"/>
  <c r="G2310" i="1"/>
  <c r="F2310" i="1"/>
  <c r="E2310" i="1"/>
  <c r="D2310" i="1"/>
  <c r="C2310" i="1"/>
  <c r="B2310" i="1"/>
  <c r="A2310" i="1"/>
  <c r="K2309" i="1"/>
  <c r="J2309" i="1"/>
  <c r="I2309" i="1"/>
  <c r="H2309" i="1"/>
  <c r="G2309" i="1"/>
  <c r="F2309" i="1"/>
  <c r="E2309" i="1"/>
  <c r="D2309" i="1"/>
  <c r="C2309" i="1"/>
  <c r="B2309" i="1"/>
  <c r="A2309" i="1"/>
  <c r="K2308" i="1"/>
  <c r="J2308" i="1"/>
  <c r="I2308" i="1"/>
  <c r="H2308" i="1"/>
  <c r="G2308" i="1"/>
  <c r="F2308" i="1"/>
  <c r="E2308" i="1"/>
  <c r="D2308" i="1"/>
  <c r="C2308" i="1"/>
  <c r="B2308" i="1"/>
  <c r="A2308" i="1"/>
  <c r="K2307" i="1"/>
  <c r="J2307" i="1"/>
  <c r="I2307" i="1"/>
  <c r="H2307" i="1"/>
  <c r="G2307" i="1"/>
  <c r="F2307" i="1"/>
  <c r="E2307" i="1"/>
  <c r="D2307" i="1"/>
  <c r="C2307" i="1"/>
  <c r="B2307" i="1"/>
  <c r="A2307" i="1"/>
  <c r="K2306" i="1"/>
  <c r="J2306" i="1"/>
  <c r="I2306" i="1"/>
  <c r="H2306" i="1"/>
  <c r="G2306" i="1"/>
  <c r="F2306" i="1"/>
  <c r="E2306" i="1"/>
  <c r="D2306" i="1"/>
  <c r="C2306" i="1"/>
  <c r="B2306" i="1"/>
  <c r="A2306" i="1"/>
  <c r="K2305" i="1"/>
  <c r="J2305" i="1"/>
  <c r="I2305" i="1"/>
  <c r="H2305" i="1"/>
  <c r="G2305" i="1"/>
  <c r="F2305" i="1"/>
  <c r="E2305" i="1"/>
  <c r="D2305" i="1"/>
  <c r="C2305" i="1"/>
  <c r="B2305" i="1"/>
  <c r="A2305" i="1"/>
  <c r="K2304" i="1"/>
  <c r="J2304" i="1"/>
  <c r="I2304" i="1"/>
  <c r="H2304" i="1"/>
  <c r="G2304" i="1"/>
  <c r="F2304" i="1"/>
  <c r="E2304" i="1"/>
  <c r="D2304" i="1"/>
  <c r="C2304" i="1"/>
  <c r="B2304" i="1"/>
  <c r="A2304" i="1"/>
  <c r="K2303" i="1"/>
  <c r="J2303" i="1"/>
  <c r="I2303" i="1"/>
  <c r="H2303" i="1"/>
  <c r="G2303" i="1"/>
  <c r="F2303" i="1"/>
  <c r="E2303" i="1"/>
  <c r="D2303" i="1"/>
  <c r="C2303" i="1"/>
  <c r="B2303" i="1"/>
  <c r="A2303" i="1"/>
  <c r="K2302" i="1"/>
  <c r="J2302" i="1"/>
  <c r="I2302" i="1"/>
  <c r="H2302" i="1"/>
  <c r="G2302" i="1"/>
  <c r="F2302" i="1"/>
  <c r="E2302" i="1"/>
  <c r="D2302" i="1"/>
  <c r="C2302" i="1"/>
  <c r="B2302" i="1"/>
  <c r="A2302" i="1"/>
  <c r="K2301" i="1"/>
  <c r="J2301" i="1"/>
  <c r="I2301" i="1"/>
  <c r="H2301" i="1"/>
  <c r="G2301" i="1"/>
  <c r="F2301" i="1"/>
  <c r="E2301" i="1"/>
  <c r="D2301" i="1"/>
  <c r="C2301" i="1"/>
  <c r="B2301" i="1"/>
  <c r="A2301" i="1"/>
  <c r="K2300" i="1"/>
  <c r="J2300" i="1"/>
  <c r="H2300" i="1"/>
  <c r="G2300" i="1"/>
  <c r="F2300" i="1"/>
  <c r="E2300" i="1"/>
  <c r="D2300" i="1"/>
  <c r="C2300" i="1"/>
  <c r="B2300" i="1"/>
  <c r="A2300" i="1"/>
  <c r="K2299" i="1"/>
  <c r="I2299" i="1"/>
  <c r="H2299" i="1"/>
  <c r="G2299" i="1"/>
  <c r="F2299" i="1"/>
  <c r="E2299" i="1"/>
  <c r="D2299" i="1"/>
  <c r="C2299" i="1"/>
  <c r="B2299" i="1"/>
  <c r="A2299" i="1"/>
  <c r="K2298" i="1"/>
  <c r="I2298" i="1"/>
  <c r="H2298" i="1"/>
  <c r="G2298" i="1"/>
  <c r="F2298" i="1"/>
  <c r="E2298" i="1"/>
  <c r="D2298" i="1"/>
  <c r="C2298" i="1"/>
  <c r="B2298" i="1"/>
  <c r="A2298" i="1"/>
  <c r="K2297" i="1"/>
  <c r="I2297" i="1"/>
  <c r="H2297" i="1"/>
  <c r="G2297" i="1"/>
  <c r="F2297" i="1"/>
  <c r="E2297" i="1"/>
  <c r="D2297" i="1"/>
  <c r="C2297" i="1"/>
  <c r="B2297" i="1"/>
  <c r="A2297" i="1"/>
  <c r="K2296" i="1"/>
  <c r="I2296" i="1"/>
  <c r="H2296" i="1"/>
  <c r="G2296" i="1"/>
  <c r="F2296" i="1"/>
  <c r="E2296" i="1"/>
  <c r="D2296" i="1"/>
  <c r="C2296" i="1"/>
  <c r="B2296" i="1"/>
  <c r="A2296" i="1"/>
  <c r="K2295" i="1"/>
  <c r="I2295" i="1"/>
  <c r="H2295" i="1"/>
  <c r="G2295" i="1"/>
  <c r="F2295" i="1"/>
  <c r="E2295" i="1"/>
  <c r="D2295" i="1"/>
  <c r="C2295" i="1"/>
  <c r="B2295" i="1"/>
  <c r="A2295" i="1"/>
  <c r="K2294" i="1"/>
  <c r="I2294" i="1"/>
  <c r="H2294" i="1"/>
  <c r="G2294" i="1"/>
  <c r="F2294" i="1"/>
  <c r="E2294" i="1"/>
  <c r="D2294" i="1"/>
  <c r="C2294" i="1"/>
  <c r="B2294" i="1"/>
  <c r="A2294" i="1"/>
  <c r="K2293" i="1"/>
  <c r="I2293" i="1"/>
  <c r="H2293" i="1"/>
  <c r="G2293" i="1"/>
  <c r="F2293" i="1"/>
  <c r="E2293" i="1"/>
  <c r="D2293" i="1"/>
  <c r="C2293" i="1"/>
  <c r="B2293" i="1"/>
  <c r="A2293" i="1"/>
  <c r="K2292" i="1"/>
  <c r="I2292" i="1"/>
  <c r="H2292" i="1"/>
  <c r="G2292" i="1"/>
  <c r="F2292" i="1"/>
  <c r="E2292" i="1"/>
  <c r="D2292" i="1"/>
  <c r="C2292" i="1"/>
  <c r="B2292" i="1"/>
  <c r="A2292" i="1"/>
  <c r="K2291" i="1"/>
  <c r="I2291" i="1"/>
  <c r="H2291" i="1"/>
  <c r="G2291" i="1"/>
  <c r="F2291" i="1"/>
  <c r="E2291" i="1"/>
  <c r="D2291" i="1"/>
  <c r="C2291" i="1"/>
  <c r="B2291" i="1"/>
  <c r="A2291" i="1"/>
  <c r="K2290" i="1"/>
  <c r="I2290" i="1"/>
  <c r="H2290" i="1"/>
  <c r="G2290" i="1"/>
  <c r="F2290" i="1"/>
  <c r="E2290" i="1"/>
  <c r="D2290" i="1"/>
  <c r="C2290" i="1"/>
  <c r="B2290" i="1"/>
  <c r="A2290" i="1"/>
  <c r="K2289" i="1"/>
  <c r="I2289" i="1"/>
  <c r="H2289" i="1"/>
  <c r="G2289" i="1"/>
  <c r="F2289" i="1"/>
  <c r="E2289" i="1"/>
  <c r="D2289" i="1"/>
  <c r="C2289" i="1"/>
  <c r="B2289" i="1"/>
  <c r="A2289" i="1"/>
  <c r="K2288" i="1"/>
  <c r="I2288" i="1"/>
  <c r="H2288" i="1"/>
  <c r="G2288" i="1"/>
  <c r="F2288" i="1"/>
  <c r="E2288" i="1"/>
  <c r="D2288" i="1"/>
  <c r="C2288" i="1"/>
  <c r="B2288" i="1"/>
  <c r="A2288" i="1"/>
  <c r="K2287" i="1"/>
  <c r="I2287" i="1"/>
  <c r="H2287" i="1"/>
  <c r="G2287" i="1"/>
  <c r="F2287" i="1"/>
  <c r="E2287" i="1"/>
  <c r="D2287" i="1"/>
  <c r="C2287" i="1"/>
  <c r="B2287" i="1"/>
  <c r="A2287" i="1"/>
  <c r="K2286" i="1"/>
  <c r="J2286" i="1"/>
  <c r="I2286" i="1"/>
  <c r="H2286" i="1"/>
  <c r="G2286" i="1"/>
  <c r="F2286" i="1"/>
  <c r="E2286" i="1"/>
  <c r="D2286" i="1"/>
  <c r="C2286" i="1"/>
  <c r="B2286" i="1"/>
  <c r="A2286" i="1"/>
  <c r="K2285" i="1"/>
  <c r="I2285" i="1"/>
  <c r="H2285" i="1"/>
  <c r="G2285" i="1"/>
  <c r="F2285" i="1"/>
  <c r="E2285" i="1"/>
  <c r="D2285" i="1"/>
  <c r="C2285" i="1"/>
  <c r="B2285" i="1"/>
  <c r="A2285" i="1"/>
  <c r="K2284" i="1"/>
  <c r="I2284" i="1"/>
  <c r="H2284" i="1"/>
  <c r="G2284" i="1"/>
  <c r="F2284" i="1"/>
  <c r="E2284" i="1"/>
  <c r="D2284" i="1"/>
  <c r="C2284" i="1"/>
  <c r="B2284" i="1"/>
  <c r="A2284" i="1"/>
  <c r="K2283" i="1"/>
  <c r="I2283" i="1"/>
  <c r="H2283" i="1"/>
  <c r="G2283" i="1"/>
  <c r="F2283" i="1"/>
  <c r="E2283" i="1"/>
  <c r="D2283" i="1"/>
  <c r="C2283" i="1"/>
  <c r="B2283" i="1"/>
  <c r="A2283" i="1"/>
  <c r="K2282" i="1"/>
  <c r="J2282" i="1"/>
  <c r="I2282" i="1"/>
  <c r="H2282" i="1"/>
  <c r="G2282" i="1"/>
  <c r="F2282" i="1"/>
  <c r="E2282" i="1"/>
  <c r="D2282" i="1"/>
  <c r="C2282" i="1"/>
  <c r="B2282" i="1"/>
  <c r="A2282" i="1"/>
  <c r="K2281" i="1"/>
  <c r="H2281" i="1"/>
  <c r="G2281" i="1"/>
  <c r="F2281" i="1"/>
  <c r="E2281" i="1"/>
  <c r="D2281" i="1"/>
  <c r="C2281" i="1"/>
  <c r="B2281" i="1"/>
  <c r="A2281" i="1"/>
  <c r="K2280" i="1"/>
  <c r="I2280" i="1"/>
  <c r="H2280" i="1"/>
  <c r="G2280" i="1"/>
  <c r="F2280" i="1"/>
  <c r="E2280" i="1"/>
  <c r="D2280" i="1"/>
  <c r="C2280" i="1"/>
  <c r="B2280" i="1"/>
  <c r="A2280" i="1"/>
  <c r="K2279" i="1"/>
  <c r="I2279" i="1"/>
  <c r="H2279" i="1"/>
  <c r="G2279" i="1"/>
  <c r="F2279" i="1"/>
  <c r="E2279" i="1"/>
  <c r="D2279" i="1"/>
  <c r="C2279" i="1"/>
  <c r="B2279" i="1"/>
  <c r="A2279" i="1"/>
  <c r="K2278" i="1"/>
  <c r="I2278" i="1"/>
  <c r="H2278" i="1"/>
  <c r="G2278" i="1"/>
  <c r="F2278" i="1"/>
  <c r="E2278" i="1"/>
  <c r="D2278" i="1"/>
  <c r="C2278" i="1"/>
  <c r="B2278" i="1"/>
  <c r="A2278" i="1"/>
  <c r="K2277" i="1"/>
  <c r="I2277" i="1"/>
  <c r="H2277" i="1"/>
  <c r="G2277" i="1"/>
  <c r="F2277" i="1"/>
  <c r="E2277" i="1"/>
  <c r="D2277" i="1"/>
  <c r="C2277" i="1"/>
  <c r="B2277" i="1"/>
  <c r="A2277" i="1"/>
  <c r="K2276" i="1"/>
  <c r="I2276" i="1"/>
  <c r="H2276" i="1"/>
  <c r="G2276" i="1"/>
  <c r="F2276" i="1"/>
  <c r="E2276" i="1"/>
  <c r="D2276" i="1"/>
  <c r="C2276" i="1"/>
  <c r="B2276" i="1"/>
  <c r="A2276" i="1"/>
  <c r="K2275" i="1"/>
  <c r="J2275" i="1"/>
  <c r="I2275" i="1"/>
  <c r="H2275" i="1"/>
  <c r="G2275" i="1"/>
  <c r="F2275" i="1"/>
  <c r="E2275" i="1"/>
  <c r="D2275" i="1"/>
  <c r="C2275" i="1"/>
  <c r="B2275" i="1"/>
  <c r="A2275" i="1"/>
  <c r="K2274" i="1"/>
  <c r="J2274" i="1"/>
  <c r="I2274" i="1"/>
  <c r="H2274" i="1"/>
  <c r="G2274" i="1"/>
  <c r="F2274" i="1"/>
  <c r="E2274" i="1"/>
  <c r="D2274" i="1"/>
  <c r="C2274" i="1"/>
  <c r="B2274" i="1"/>
  <c r="A2274" i="1"/>
  <c r="K2273" i="1"/>
  <c r="I2273" i="1"/>
  <c r="H2273" i="1"/>
  <c r="G2273" i="1"/>
  <c r="F2273" i="1"/>
  <c r="E2273" i="1"/>
  <c r="D2273" i="1"/>
  <c r="C2273" i="1"/>
  <c r="B2273" i="1"/>
  <c r="A2273" i="1"/>
  <c r="K2272" i="1"/>
  <c r="I2272" i="1"/>
  <c r="H2272" i="1"/>
  <c r="G2272" i="1"/>
  <c r="F2272" i="1"/>
  <c r="E2272" i="1"/>
  <c r="D2272" i="1"/>
  <c r="C2272" i="1"/>
  <c r="B2272" i="1"/>
  <c r="A2272" i="1"/>
  <c r="K2271" i="1"/>
  <c r="I2271" i="1"/>
  <c r="H2271" i="1"/>
  <c r="G2271" i="1"/>
  <c r="F2271" i="1"/>
  <c r="E2271" i="1"/>
  <c r="D2271" i="1"/>
  <c r="C2271" i="1"/>
  <c r="B2271" i="1"/>
  <c r="A2271" i="1"/>
  <c r="K2270" i="1"/>
  <c r="I2270" i="1"/>
  <c r="H2270" i="1"/>
  <c r="G2270" i="1"/>
  <c r="F2270" i="1"/>
  <c r="E2270" i="1"/>
  <c r="D2270" i="1"/>
  <c r="C2270" i="1"/>
  <c r="B2270" i="1"/>
  <c r="A2270" i="1"/>
  <c r="K2269" i="1"/>
  <c r="I2269" i="1"/>
  <c r="H2269" i="1"/>
  <c r="G2269" i="1"/>
  <c r="F2269" i="1"/>
  <c r="E2269" i="1"/>
  <c r="D2269" i="1"/>
  <c r="C2269" i="1"/>
  <c r="B2269" i="1"/>
  <c r="A2269" i="1"/>
  <c r="K2268" i="1"/>
  <c r="I2268" i="1"/>
  <c r="H2268" i="1"/>
  <c r="G2268" i="1"/>
  <c r="F2268" i="1"/>
  <c r="E2268" i="1"/>
  <c r="D2268" i="1"/>
  <c r="C2268" i="1"/>
  <c r="B2268" i="1"/>
  <c r="A2268" i="1"/>
  <c r="K2267" i="1"/>
  <c r="J2267" i="1"/>
  <c r="I2267" i="1"/>
  <c r="H2267" i="1"/>
  <c r="G2267" i="1"/>
  <c r="F2267" i="1"/>
  <c r="E2267" i="1"/>
  <c r="D2267" i="1"/>
  <c r="C2267" i="1"/>
  <c r="B2267" i="1"/>
  <c r="A2267" i="1"/>
  <c r="K2266" i="1"/>
  <c r="J2266" i="1"/>
  <c r="I2266" i="1"/>
  <c r="H2266" i="1"/>
  <c r="G2266" i="1"/>
  <c r="F2266" i="1"/>
  <c r="E2266" i="1"/>
  <c r="D2266" i="1"/>
  <c r="C2266" i="1"/>
  <c r="B2266" i="1"/>
  <c r="A2266" i="1"/>
  <c r="K2265" i="1"/>
  <c r="J2265" i="1"/>
  <c r="I2265" i="1"/>
  <c r="H2265" i="1"/>
  <c r="G2265" i="1"/>
  <c r="F2265" i="1"/>
  <c r="E2265" i="1"/>
  <c r="D2265" i="1"/>
  <c r="C2265" i="1"/>
  <c r="B2265" i="1"/>
  <c r="A2265" i="1"/>
  <c r="K2264" i="1"/>
  <c r="J2264" i="1"/>
  <c r="I2264" i="1"/>
  <c r="H2264" i="1"/>
  <c r="G2264" i="1"/>
  <c r="F2264" i="1"/>
  <c r="E2264" i="1"/>
  <c r="D2264" i="1"/>
  <c r="C2264" i="1"/>
  <c r="B2264" i="1"/>
  <c r="A2264" i="1"/>
  <c r="K2263" i="1"/>
  <c r="J2263" i="1"/>
  <c r="I2263" i="1"/>
  <c r="H2263" i="1"/>
  <c r="G2263" i="1"/>
  <c r="F2263" i="1"/>
  <c r="E2263" i="1"/>
  <c r="D2263" i="1"/>
  <c r="C2263" i="1"/>
  <c r="B2263" i="1"/>
  <c r="A2263" i="1"/>
  <c r="K2262" i="1"/>
  <c r="I2262" i="1"/>
  <c r="H2262" i="1"/>
  <c r="G2262" i="1"/>
  <c r="F2262" i="1"/>
  <c r="E2262" i="1"/>
  <c r="D2262" i="1"/>
  <c r="C2262" i="1"/>
  <c r="B2262" i="1"/>
  <c r="A2262" i="1"/>
  <c r="K2261" i="1"/>
  <c r="I2261" i="1"/>
  <c r="H2261" i="1"/>
  <c r="G2261" i="1"/>
  <c r="F2261" i="1"/>
  <c r="E2261" i="1"/>
  <c r="D2261" i="1"/>
  <c r="C2261" i="1"/>
  <c r="B2261" i="1"/>
  <c r="A2261" i="1"/>
  <c r="K2260" i="1"/>
  <c r="I2260" i="1"/>
  <c r="H2260" i="1"/>
  <c r="G2260" i="1"/>
  <c r="F2260" i="1"/>
  <c r="E2260" i="1"/>
  <c r="D2260" i="1"/>
  <c r="C2260" i="1"/>
  <c r="B2260" i="1"/>
  <c r="A2260" i="1"/>
  <c r="K2259" i="1"/>
  <c r="J2259" i="1"/>
  <c r="I2259" i="1"/>
  <c r="H2259" i="1"/>
  <c r="G2259" i="1"/>
  <c r="F2259" i="1"/>
  <c r="E2259" i="1"/>
  <c r="D2259" i="1"/>
  <c r="C2259" i="1"/>
  <c r="B2259" i="1"/>
  <c r="A2259" i="1"/>
  <c r="K2258" i="1"/>
  <c r="J2258" i="1"/>
  <c r="I2258" i="1"/>
  <c r="H2258" i="1"/>
  <c r="G2258" i="1"/>
  <c r="F2258" i="1"/>
  <c r="E2258" i="1"/>
  <c r="D2258" i="1"/>
  <c r="C2258" i="1"/>
  <c r="B2258" i="1"/>
  <c r="A2258" i="1"/>
  <c r="K2257" i="1"/>
  <c r="I2257" i="1"/>
  <c r="H2257" i="1"/>
  <c r="G2257" i="1"/>
  <c r="F2257" i="1"/>
  <c r="E2257" i="1"/>
  <c r="D2257" i="1"/>
  <c r="C2257" i="1"/>
  <c r="B2257" i="1"/>
  <c r="A2257" i="1"/>
  <c r="K2256" i="1"/>
  <c r="I2256" i="1"/>
  <c r="H2256" i="1"/>
  <c r="G2256" i="1"/>
  <c r="F2256" i="1"/>
  <c r="E2256" i="1"/>
  <c r="D2256" i="1"/>
  <c r="C2256" i="1"/>
  <c r="B2256" i="1"/>
  <c r="A2256" i="1"/>
  <c r="K2255" i="1"/>
  <c r="I2255" i="1"/>
  <c r="H2255" i="1"/>
  <c r="G2255" i="1"/>
  <c r="F2255" i="1"/>
  <c r="E2255" i="1"/>
  <c r="D2255" i="1"/>
  <c r="C2255" i="1"/>
  <c r="B2255" i="1"/>
  <c r="A2255" i="1"/>
  <c r="K2254" i="1"/>
  <c r="I2254" i="1"/>
  <c r="H2254" i="1"/>
  <c r="G2254" i="1"/>
  <c r="F2254" i="1"/>
  <c r="E2254" i="1"/>
  <c r="D2254" i="1"/>
  <c r="C2254" i="1"/>
  <c r="B2254" i="1"/>
  <c r="A2254" i="1"/>
  <c r="K2253" i="1"/>
  <c r="J2253" i="1"/>
  <c r="I2253" i="1"/>
  <c r="H2253" i="1"/>
  <c r="G2253" i="1"/>
  <c r="F2253" i="1"/>
  <c r="E2253" i="1"/>
  <c r="D2253" i="1"/>
  <c r="C2253" i="1"/>
  <c r="B2253" i="1"/>
  <c r="A2253" i="1"/>
  <c r="K2252" i="1"/>
  <c r="J2252" i="1"/>
  <c r="I2252" i="1"/>
  <c r="H2252" i="1"/>
  <c r="G2252" i="1"/>
  <c r="F2252" i="1"/>
  <c r="E2252" i="1"/>
  <c r="D2252" i="1"/>
  <c r="C2252" i="1"/>
  <c r="B2252" i="1"/>
  <c r="A2252" i="1"/>
  <c r="K2251" i="1"/>
  <c r="J2251" i="1"/>
  <c r="I2251" i="1"/>
  <c r="H2251" i="1"/>
  <c r="G2251" i="1"/>
  <c r="F2251" i="1"/>
  <c r="E2251" i="1"/>
  <c r="D2251" i="1"/>
  <c r="C2251" i="1"/>
  <c r="B2251" i="1"/>
  <c r="A2251" i="1"/>
  <c r="K2250" i="1"/>
  <c r="J2250" i="1"/>
  <c r="I2250" i="1"/>
  <c r="H2250" i="1"/>
  <c r="G2250" i="1"/>
  <c r="F2250" i="1"/>
  <c r="E2250" i="1"/>
  <c r="D2250" i="1"/>
  <c r="C2250" i="1"/>
  <c r="B2250" i="1"/>
  <c r="A2250" i="1"/>
  <c r="K2249" i="1"/>
  <c r="J2249" i="1"/>
  <c r="I2249" i="1"/>
  <c r="H2249" i="1"/>
  <c r="G2249" i="1"/>
  <c r="F2249" i="1"/>
  <c r="E2249" i="1"/>
  <c r="D2249" i="1"/>
  <c r="C2249" i="1"/>
  <c r="B2249" i="1"/>
  <c r="A2249" i="1"/>
  <c r="K2248" i="1"/>
  <c r="J2248" i="1"/>
  <c r="I2248" i="1"/>
  <c r="H2248" i="1"/>
  <c r="G2248" i="1"/>
  <c r="F2248" i="1"/>
  <c r="E2248" i="1"/>
  <c r="D2248" i="1"/>
  <c r="C2248" i="1"/>
  <c r="B2248" i="1"/>
  <c r="A2248" i="1"/>
  <c r="K2247" i="1"/>
  <c r="J2247" i="1"/>
  <c r="I2247" i="1"/>
  <c r="H2247" i="1"/>
  <c r="G2247" i="1"/>
  <c r="F2247" i="1"/>
  <c r="E2247" i="1"/>
  <c r="D2247" i="1"/>
  <c r="C2247" i="1"/>
  <c r="B2247" i="1"/>
  <c r="A2247" i="1"/>
  <c r="K2246" i="1"/>
  <c r="J2246" i="1"/>
  <c r="I2246" i="1"/>
  <c r="H2246" i="1"/>
  <c r="G2246" i="1"/>
  <c r="F2246" i="1"/>
  <c r="E2246" i="1"/>
  <c r="D2246" i="1"/>
  <c r="C2246" i="1"/>
  <c r="B2246" i="1"/>
  <c r="A2246" i="1"/>
  <c r="K2245" i="1"/>
  <c r="J2245" i="1"/>
  <c r="I2245" i="1"/>
  <c r="H2245" i="1"/>
  <c r="G2245" i="1"/>
  <c r="F2245" i="1"/>
  <c r="E2245" i="1"/>
  <c r="D2245" i="1"/>
  <c r="C2245" i="1"/>
  <c r="B2245" i="1"/>
  <c r="A2245" i="1"/>
  <c r="K2244" i="1"/>
  <c r="J2244" i="1"/>
  <c r="I2244" i="1"/>
  <c r="H2244" i="1"/>
  <c r="G2244" i="1"/>
  <c r="F2244" i="1"/>
  <c r="E2244" i="1"/>
  <c r="D2244" i="1"/>
  <c r="C2244" i="1"/>
  <c r="B2244" i="1"/>
  <c r="A2244" i="1"/>
  <c r="K2243" i="1"/>
  <c r="J2243" i="1"/>
  <c r="I2243" i="1"/>
  <c r="H2243" i="1"/>
  <c r="G2243" i="1"/>
  <c r="F2243" i="1"/>
  <c r="E2243" i="1"/>
  <c r="D2243" i="1"/>
  <c r="C2243" i="1"/>
  <c r="B2243" i="1"/>
  <c r="A2243" i="1"/>
  <c r="K2242" i="1"/>
  <c r="J2242" i="1"/>
  <c r="I2242" i="1"/>
  <c r="H2242" i="1"/>
  <c r="G2242" i="1"/>
  <c r="F2242" i="1"/>
  <c r="E2242" i="1"/>
  <c r="D2242" i="1"/>
  <c r="C2242" i="1"/>
  <c r="B2242" i="1"/>
  <c r="A2242" i="1"/>
  <c r="K2241" i="1"/>
  <c r="J2241" i="1"/>
  <c r="I2241" i="1"/>
  <c r="H2241" i="1"/>
  <c r="G2241" i="1"/>
  <c r="F2241" i="1"/>
  <c r="E2241" i="1"/>
  <c r="D2241" i="1"/>
  <c r="C2241" i="1"/>
  <c r="B2241" i="1"/>
  <c r="A2241" i="1"/>
  <c r="K2240" i="1"/>
  <c r="J2240" i="1"/>
  <c r="I2240" i="1"/>
  <c r="H2240" i="1"/>
  <c r="G2240" i="1"/>
  <c r="F2240" i="1"/>
  <c r="E2240" i="1"/>
  <c r="D2240" i="1"/>
  <c r="C2240" i="1"/>
  <c r="B2240" i="1"/>
  <c r="A2240" i="1"/>
  <c r="K2239" i="1"/>
  <c r="J2239" i="1"/>
  <c r="I2239" i="1"/>
  <c r="H2239" i="1"/>
  <c r="G2239" i="1"/>
  <c r="F2239" i="1"/>
  <c r="E2239" i="1"/>
  <c r="D2239" i="1"/>
  <c r="C2239" i="1"/>
  <c r="B2239" i="1"/>
  <c r="A2239" i="1"/>
  <c r="K2238" i="1"/>
  <c r="J2238" i="1"/>
  <c r="I2238" i="1"/>
  <c r="H2238" i="1"/>
  <c r="G2238" i="1"/>
  <c r="F2238" i="1"/>
  <c r="E2238" i="1"/>
  <c r="D2238" i="1"/>
  <c r="C2238" i="1"/>
  <c r="B2238" i="1"/>
  <c r="A2238" i="1"/>
  <c r="K2237" i="1"/>
  <c r="J2237" i="1"/>
  <c r="I2237" i="1"/>
  <c r="H2237" i="1"/>
  <c r="G2237" i="1"/>
  <c r="F2237" i="1"/>
  <c r="E2237" i="1"/>
  <c r="D2237" i="1"/>
  <c r="C2237" i="1"/>
  <c r="B2237" i="1"/>
  <c r="A2237" i="1"/>
  <c r="K2236" i="1"/>
  <c r="J2236" i="1"/>
  <c r="I2236" i="1"/>
  <c r="H2236" i="1"/>
  <c r="G2236" i="1"/>
  <c r="F2236" i="1"/>
  <c r="E2236" i="1"/>
  <c r="D2236" i="1"/>
  <c r="C2236" i="1"/>
  <c r="B2236" i="1"/>
  <c r="A2236" i="1"/>
  <c r="K2235" i="1"/>
  <c r="J2235" i="1"/>
  <c r="I2235" i="1"/>
  <c r="H2235" i="1"/>
  <c r="G2235" i="1"/>
  <c r="F2235" i="1"/>
  <c r="E2235" i="1"/>
  <c r="D2235" i="1"/>
  <c r="C2235" i="1"/>
  <c r="B2235" i="1"/>
  <c r="A2235" i="1"/>
  <c r="K2234" i="1"/>
  <c r="J2234" i="1"/>
  <c r="I2234" i="1"/>
  <c r="H2234" i="1"/>
  <c r="G2234" i="1"/>
  <c r="F2234" i="1"/>
  <c r="E2234" i="1"/>
  <c r="D2234" i="1"/>
  <c r="C2234" i="1"/>
  <c r="B2234" i="1"/>
  <c r="A2234" i="1"/>
  <c r="K2233" i="1"/>
  <c r="I2233" i="1"/>
  <c r="H2233" i="1"/>
  <c r="G2233" i="1"/>
  <c r="F2233" i="1"/>
  <c r="E2233" i="1"/>
  <c r="D2233" i="1"/>
  <c r="C2233" i="1"/>
  <c r="B2233" i="1"/>
  <c r="A2233" i="1"/>
  <c r="K2232" i="1"/>
  <c r="I2232" i="1"/>
  <c r="H2232" i="1"/>
  <c r="G2232" i="1"/>
  <c r="F2232" i="1"/>
  <c r="E2232" i="1"/>
  <c r="D2232" i="1"/>
  <c r="C2232" i="1"/>
  <c r="B2232" i="1"/>
  <c r="A2232" i="1"/>
  <c r="K2231" i="1"/>
  <c r="I2231" i="1"/>
  <c r="H2231" i="1"/>
  <c r="G2231" i="1"/>
  <c r="F2231" i="1"/>
  <c r="E2231" i="1"/>
  <c r="D2231" i="1"/>
  <c r="C2231" i="1"/>
  <c r="B2231" i="1"/>
  <c r="A2231" i="1"/>
  <c r="K2230" i="1"/>
  <c r="I2230" i="1"/>
  <c r="H2230" i="1"/>
  <c r="G2230" i="1"/>
  <c r="F2230" i="1"/>
  <c r="E2230" i="1"/>
  <c r="D2230" i="1"/>
  <c r="C2230" i="1"/>
  <c r="B2230" i="1"/>
  <c r="A2230" i="1"/>
  <c r="K2229" i="1"/>
  <c r="I2229" i="1"/>
  <c r="H2229" i="1"/>
  <c r="G2229" i="1"/>
  <c r="F2229" i="1"/>
  <c r="E2229" i="1"/>
  <c r="D2229" i="1"/>
  <c r="C2229" i="1"/>
  <c r="B2229" i="1"/>
  <c r="A2229" i="1"/>
  <c r="K2228" i="1"/>
  <c r="I2228" i="1"/>
  <c r="H2228" i="1"/>
  <c r="G2228" i="1"/>
  <c r="F2228" i="1"/>
  <c r="E2228" i="1"/>
  <c r="D2228" i="1"/>
  <c r="C2228" i="1"/>
  <c r="B2228" i="1"/>
  <c r="A2228" i="1"/>
  <c r="K2227" i="1"/>
  <c r="I2227" i="1"/>
  <c r="H2227" i="1"/>
  <c r="G2227" i="1"/>
  <c r="F2227" i="1"/>
  <c r="E2227" i="1"/>
  <c r="D2227" i="1"/>
  <c r="C2227" i="1"/>
  <c r="B2227" i="1"/>
  <c r="A2227" i="1"/>
  <c r="K2226" i="1"/>
  <c r="J2226" i="1"/>
  <c r="H2226" i="1"/>
  <c r="G2226" i="1"/>
  <c r="F2226" i="1"/>
  <c r="E2226" i="1"/>
  <c r="D2226" i="1"/>
  <c r="C2226" i="1"/>
  <c r="B2226" i="1"/>
  <c r="A2226" i="1"/>
  <c r="K2225" i="1"/>
  <c r="I2225" i="1"/>
  <c r="H2225" i="1"/>
  <c r="G2225" i="1"/>
  <c r="F2225" i="1"/>
  <c r="E2225" i="1"/>
  <c r="D2225" i="1"/>
  <c r="C2225" i="1"/>
  <c r="B2225" i="1"/>
  <c r="A2225" i="1"/>
  <c r="K2224" i="1"/>
  <c r="I2224" i="1"/>
  <c r="H2224" i="1"/>
  <c r="G2224" i="1"/>
  <c r="F2224" i="1"/>
  <c r="E2224" i="1"/>
  <c r="D2224" i="1"/>
  <c r="C2224" i="1"/>
  <c r="B2224" i="1"/>
  <c r="A2224" i="1"/>
  <c r="K2223" i="1"/>
  <c r="I2223" i="1"/>
  <c r="H2223" i="1"/>
  <c r="G2223" i="1"/>
  <c r="F2223" i="1"/>
  <c r="E2223" i="1"/>
  <c r="D2223" i="1"/>
  <c r="C2223" i="1"/>
  <c r="B2223" i="1"/>
  <c r="A2223" i="1"/>
  <c r="K2222" i="1"/>
  <c r="I2222" i="1"/>
  <c r="H2222" i="1"/>
  <c r="G2222" i="1"/>
  <c r="F2222" i="1"/>
  <c r="E2222" i="1"/>
  <c r="D2222" i="1"/>
  <c r="C2222" i="1"/>
  <c r="B2222" i="1"/>
  <c r="A2222" i="1"/>
  <c r="K2221" i="1"/>
  <c r="I2221" i="1"/>
  <c r="H2221" i="1"/>
  <c r="G2221" i="1"/>
  <c r="F2221" i="1"/>
  <c r="E2221" i="1"/>
  <c r="D2221" i="1"/>
  <c r="C2221" i="1"/>
  <c r="B2221" i="1"/>
  <c r="A2221" i="1"/>
  <c r="K2220" i="1"/>
  <c r="I2220" i="1"/>
  <c r="H2220" i="1"/>
  <c r="G2220" i="1"/>
  <c r="F2220" i="1"/>
  <c r="E2220" i="1"/>
  <c r="D2220" i="1"/>
  <c r="C2220" i="1"/>
  <c r="B2220" i="1"/>
  <c r="A2220" i="1"/>
  <c r="K2219" i="1"/>
  <c r="I2219" i="1"/>
  <c r="H2219" i="1"/>
  <c r="G2219" i="1"/>
  <c r="F2219" i="1"/>
  <c r="E2219" i="1"/>
  <c r="D2219" i="1"/>
  <c r="C2219" i="1"/>
  <c r="B2219" i="1"/>
  <c r="A2219" i="1"/>
  <c r="K2218" i="1"/>
  <c r="I2218" i="1"/>
  <c r="H2218" i="1"/>
  <c r="G2218" i="1"/>
  <c r="F2218" i="1"/>
  <c r="E2218" i="1"/>
  <c r="D2218" i="1"/>
  <c r="C2218" i="1"/>
  <c r="B2218" i="1"/>
  <c r="A2218" i="1"/>
  <c r="K2217" i="1"/>
  <c r="I2217" i="1"/>
  <c r="H2217" i="1"/>
  <c r="G2217" i="1"/>
  <c r="F2217" i="1"/>
  <c r="E2217" i="1"/>
  <c r="D2217" i="1"/>
  <c r="C2217" i="1"/>
  <c r="B2217" i="1"/>
  <c r="A2217" i="1"/>
  <c r="K2216" i="1"/>
  <c r="I2216" i="1"/>
  <c r="H2216" i="1"/>
  <c r="G2216" i="1"/>
  <c r="F2216" i="1"/>
  <c r="E2216" i="1"/>
  <c r="D2216" i="1"/>
  <c r="C2216" i="1"/>
  <c r="B2216" i="1"/>
  <c r="A2216" i="1"/>
  <c r="K2215" i="1"/>
  <c r="I2215" i="1"/>
  <c r="H2215" i="1"/>
  <c r="G2215" i="1"/>
  <c r="F2215" i="1"/>
  <c r="E2215" i="1"/>
  <c r="D2215" i="1"/>
  <c r="C2215" i="1"/>
  <c r="B2215" i="1"/>
  <c r="A2215" i="1"/>
  <c r="K2214" i="1"/>
  <c r="I2214" i="1"/>
  <c r="H2214" i="1"/>
  <c r="G2214" i="1"/>
  <c r="F2214" i="1"/>
  <c r="E2214" i="1"/>
  <c r="D2214" i="1"/>
  <c r="C2214" i="1"/>
  <c r="B2214" i="1"/>
  <c r="A2214" i="1"/>
  <c r="K2213" i="1"/>
  <c r="I2213" i="1"/>
  <c r="H2213" i="1"/>
  <c r="G2213" i="1"/>
  <c r="F2213" i="1"/>
  <c r="E2213" i="1"/>
  <c r="D2213" i="1"/>
  <c r="C2213" i="1"/>
  <c r="B2213" i="1"/>
  <c r="A2213" i="1"/>
  <c r="K2212" i="1"/>
  <c r="I2212" i="1"/>
  <c r="H2212" i="1"/>
  <c r="G2212" i="1"/>
  <c r="F2212" i="1"/>
  <c r="E2212" i="1"/>
  <c r="D2212" i="1"/>
  <c r="C2212" i="1"/>
  <c r="B2212" i="1"/>
  <c r="A2212" i="1"/>
  <c r="K2211" i="1"/>
  <c r="I2211" i="1"/>
  <c r="H2211" i="1"/>
  <c r="G2211" i="1"/>
  <c r="F2211" i="1"/>
  <c r="E2211" i="1"/>
  <c r="D2211" i="1"/>
  <c r="C2211" i="1"/>
  <c r="B2211" i="1"/>
  <c r="A2211" i="1"/>
  <c r="K2210" i="1"/>
  <c r="I2210" i="1"/>
  <c r="H2210" i="1"/>
  <c r="G2210" i="1"/>
  <c r="F2210" i="1"/>
  <c r="E2210" i="1"/>
  <c r="D2210" i="1"/>
  <c r="C2210" i="1"/>
  <c r="B2210" i="1"/>
  <c r="A2210" i="1"/>
  <c r="K2209" i="1"/>
  <c r="I2209" i="1"/>
  <c r="H2209" i="1"/>
  <c r="G2209" i="1"/>
  <c r="F2209" i="1"/>
  <c r="E2209" i="1"/>
  <c r="D2209" i="1"/>
  <c r="C2209" i="1"/>
  <c r="B2209" i="1"/>
  <c r="A2209" i="1"/>
  <c r="K2208" i="1"/>
  <c r="I2208" i="1"/>
  <c r="H2208" i="1"/>
  <c r="G2208" i="1"/>
  <c r="F2208" i="1"/>
  <c r="E2208" i="1"/>
  <c r="D2208" i="1"/>
  <c r="C2208" i="1"/>
  <c r="B2208" i="1"/>
  <c r="A2208" i="1"/>
  <c r="K2207" i="1"/>
  <c r="I2207" i="1"/>
  <c r="H2207" i="1"/>
  <c r="G2207" i="1"/>
  <c r="F2207" i="1"/>
  <c r="E2207" i="1"/>
  <c r="D2207" i="1"/>
  <c r="C2207" i="1"/>
  <c r="B2207" i="1"/>
  <c r="A2207" i="1"/>
  <c r="K2206" i="1"/>
  <c r="I2206" i="1"/>
  <c r="H2206" i="1"/>
  <c r="G2206" i="1"/>
  <c r="F2206" i="1"/>
  <c r="E2206" i="1"/>
  <c r="D2206" i="1"/>
  <c r="C2206" i="1"/>
  <c r="B2206" i="1"/>
  <c r="A2206" i="1"/>
  <c r="K2205" i="1"/>
  <c r="I2205" i="1"/>
  <c r="H2205" i="1"/>
  <c r="G2205" i="1"/>
  <c r="F2205" i="1"/>
  <c r="E2205" i="1"/>
  <c r="D2205" i="1"/>
  <c r="C2205" i="1"/>
  <c r="B2205" i="1"/>
  <c r="A2205" i="1"/>
  <c r="K2204" i="1"/>
  <c r="I2204" i="1"/>
  <c r="H2204" i="1"/>
  <c r="G2204" i="1"/>
  <c r="F2204" i="1"/>
  <c r="E2204" i="1"/>
  <c r="D2204" i="1"/>
  <c r="C2204" i="1"/>
  <c r="B2204" i="1"/>
  <c r="A2204" i="1"/>
  <c r="K2203" i="1"/>
  <c r="I2203" i="1"/>
  <c r="H2203" i="1"/>
  <c r="G2203" i="1"/>
  <c r="F2203" i="1"/>
  <c r="E2203" i="1"/>
  <c r="D2203" i="1"/>
  <c r="C2203" i="1"/>
  <c r="B2203" i="1"/>
  <c r="A2203" i="1"/>
  <c r="K2202" i="1"/>
  <c r="J2202" i="1"/>
  <c r="H2202" i="1"/>
  <c r="G2202" i="1"/>
  <c r="F2202" i="1"/>
  <c r="E2202" i="1"/>
  <c r="D2202" i="1"/>
  <c r="C2202" i="1"/>
  <c r="B2202" i="1"/>
  <c r="A2202" i="1"/>
  <c r="K2201" i="1"/>
  <c r="I2201" i="1"/>
  <c r="H2201" i="1"/>
  <c r="G2201" i="1"/>
  <c r="F2201" i="1"/>
  <c r="E2201" i="1"/>
  <c r="D2201" i="1"/>
  <c r="C2201" i="1"/>
  <c r="B2201" i="1"/>
  <c r="A2201" i="1"/>
  <c r="K2200" i="1"/>
  <c r="I2200" i="1"/>
  <c r="H2200" i="1"/>
  <c r="G2200" i="1"/>
  <c r="F2200" i="1"/>
  <c r="E2200" i="1"/>
  <c r="D2200" i="1"/>
  <c r="C2200" i="1"/>
  <c r="B2200" i="1"/>
  <c r="A2200" i="1"/>
  <c r="K2199" i="1"/>
  <c r="I2199" i="1"/>
  <c r="H2199" i="1"/>
  <c r="G2199" i="1"/>
  <c r="F2199" i="1"/>
  <c r="E2199" i="1"/>
  <c r="D2199" i="1"/>
  <c r="C2199" i="1"/>
  <c r="B2199" i="1"/>
  <c r="A2199" i="1"/>
  <c r="K2198" i="1"/>
  <c r="I2198" i="1"/>
  <c r="H2198" i="1"/>
  <c r="G2198" i="1"/>
  <c r="F2198" i="1"/>
  <c r="E2198" i="1"/>
  <c r="D2198" i="1"/>
  <c r="C2198" i="1"/>
  <c r="B2198" i="1"/>
  <c r="A2198" i="1"/>
  <c r="K2197" i="1"/>
  <c r="I2197" i="1"/>
  <c r="H2197" i="1"/>
  <c r="G2197" i="1"/>
  <c r="F2197" i="1"/>
  <c r="E2197" i="1"/>
  <c r="D2197" i="1"/>
  <c r="C2197" i="1"/>
  <c r="B2197" i="1"/>
  <c r="A2197" i="1"/>
  <c r="K2196" i="1"/>
  <c r="I2196" i="1"/>
  <c r="H2196" i="1"/>
  <c r="G2196" i="1"/>
  <c r="F2196" i="1"/>
  <c r="E2196" i="1"/>
  <c r="D2196" i="1"/>
  <c r="C2196" i="1"/>
  <c r="B2196" i="1"/>
  <c r="A2196" i="1"/>
  <c r="K2195" i="1"/>
  <c r="I2195" i="1"/>
  <c r="H2195" i="1"/>
  <c r="G2195" i="1"/>
  <c r="F2195" i="1"/>
  <c r="E2195" i="1"/>
  <c r="D2195" i="1"/>
  <c r="C2195" i="1"/>
  <c r="B2195" i="1"/>
  <c r="A2195" i="1"/>
  <c r="K2194" i="1"/>
  <c r="I2194" i="1"/>
  <c r="H2194" i="1"/>
  <c r="G2194" i="1"/>
  <c r="F2194" i="1"/>
  <c r="E2194" i="1"/>
  <c r="D2194" i="1"/>
  <c r="C2194" i="1"/>
  <c r="B2194" i="1"/>
  <c r="A2194" i="1"/>
  <c r="K2193" i="1"/>
  <c r="I2193" i="1"/>
  <c r="H2193" i="1"/>
  <c r="G2193" i="1"/>
  <c r="F2193" i="1"/>
  <c r="E2193" i="1"/>
  <c r="D2193" i="1"/>
  <c r="C2193" i="1"/>
  <c r="B2193" i="1"/>
  <c r="A2193" i="1"/>
  <c r="K2192" i="1"/>
  <c r="I2192" i="1"/>
  <c r="H2192" i="1"/>
  <c r="G2192" i="1"/>
  <c r="F2192" i="1"/>
  <c r="E2192" i="1"/>
  <c r="D2192" i="1"/>
  <c r="C2192" i="1"/>
  <c r="B2192" i="1"/>
  <c r="A2192" i="1"/>
  <c r="K2191" i="1"/>
  <c r="I2191" i="1"/>
  <c r="H2191" i="1"/>
  <c r="G2191" i="1"/>
  <c r="F2191" i="1"/>
  <c r="E2191" i="1"/>
  <c r="D2191" i="1"/>
  <c r="C2191" i="1"/>
  <c r="B2191" i="1"/>
  <c r="A2191" i="1"/>
  <c r="K2190" i="1"/>
  <c r="I2190" i="1"/>
  <c r="H2190" i="1"/>
  <c r="G2190" i="1"/>
  <c r="F2190" i="1"/>
  <c r="E2190" i="1"/>
  <c r="D2190" i="1"/>
  <c r="C2190" i="1"/>
  <c r="B2190" i="1"/>
  <c r="A2190" i="1"/>
  <c r="K2189" i="1"/>
  <c r="I2189" i="1"/>
  <c r="H2189" i="1"/>
  <c r="G2189" i="1"/>
  <c r="F2189" i="1"/>
  <c r="E2189" i="1"/>
  <c r="D2189" i="1"/>
  <c r="C2189" i="1"/>
  <c r="B2189" i="1"/>
  <c r="A2189" i="1"/>
  <c r="K2188" i="1"/>
  <c r="I2188" i="1"/>
  <c r="H2188" i="1"/>
  <c r="G2188" i="1"/>
  <c r="F2188" i="1"/>
  <c r="E2188" i="1"/>
  <c r="D2188" i="1"/>
  <c r="C2188" i="1"/>
  <c r="B2188" i="1"/>
  <c r="A2188" i="1"/>
  <c r="K2187" i="1"/>
  <c r="I2187" i="1"/>
  <c r="H2187" i="1"/>
  <c r="G2187" i="1"/>
  <c r="F2187" i="1"/>
  <c r="E2187" i="1"/>
  <c r="D2187" i="1"/>
  <c r="C2187" i="1"/>
  <c r="B2187" i="1"/>
  <c r="A2187" i="1"/>
  <c r="K2186" i="1"/>
  <c r="I2186" i="1"/>
  <c r="H2186" i="1"/>
  <c r="G2186" i="1"/>
  <c r="F2186" i="1"/>
  <c r="E2186" i="1"/>
  <c r="D2186" i="1"/>
  <c r="C2186" i="1"/>
  <c r="B2186" i="1"/>
  <c r="A2186" i="1"/>
  <c r="K2185" i="1"/>
  <c r="J2185" i="1"/>
  <c r="H2185" i="1"/>
  <c r="G2185" i="1"/>
  <c r="F2185" i="1"/>
  <c r="E2185" i="1"/>
  <c r="D2185" i="1"/>
  <c r="C2185" i="1"/>
  <c r="B2185" i="1"/>
  <c r="A2185" i="1"/>
  <c r="K2184" i="1"/>
  <c r="I2184" i="1"/>
  <c r="H2184" i="1"/>
  <c r="G2184" i="1"/>
  <c r="F2184" i="1"/>
  <c r="E2184" i="1"/>
  <c r="D2184" i="1"/>
  <c r="C2184" i="1"/>
  <c r="B2184" i="1"/>
  <c r="A2184" i="1"/>
  <c r="K2183" i="1"/>
  <c r="I2183" i="1"/>
  <c r="H2183" i="1"/>
  <c r="G2183" i="1"/>
  <c r="F2183" i="1"/>
  <c r="E2183" i="1"/>
  <c r="D2183" i="1"/>
  <c r="C2183" i="1"/>
  <c r="B2183" i="1"/>
  <c r="A2183" i="1"/>
  <c r="K2182" i="1"/>
  <c r="I2182" i="1"/>
  <c r="H2182" i="1"/>
  <c r="G2182" i="1"/>
  <c r="F2182" i="1"/>
  <c r="E2182" i="1"/>
  <c r="D2182" i="1"/>
  <c r="C2182" i="1"/>
  <c r="B2182" i="1"/>
  <c r="A2182" i="1"/>
  <c r="K2181" i="1"/>
  <c r="I2181" i="1"/>
  <c r="H2181" i="1"/>
  <c r="G2181" i="1"/>
  <c r="F2181" i="1"/>
  <c r="E2181" i="1"/>
  <c r="D2181" i="1"/>
  <c r="C2181" i="1"/>
  <c r="B2181" i="1"/>
  <c r="A2181" i="1"/>
  <c r="K2180" i="1"/>
  <c r="J2180" i="1"/>
  <c r="H2180" i="1"/>
  <c r="G2180" i="1"/>
  <c r="F2180" i="1"/>
  <c r="E2180" i="1"/>
  <c r="D2180" i="1"/>
  <c r="C2180" i="1"/>
  <c r="B2180" i="1"/>
  <c r="A2180" i="1"/>
  <c r="K2179" i="1"/>
  <c r="J2179" i="1"/>
  <c r="I2179" i="1"/>
  <c r="H2179" i="1"/>
  <c r="G2179" i="1"/>
  <c r="F2179" i="1"/>
  <c r="E2179" i="1"/>
  <c r="D2179" i="1"/>
  <c r="C2179" i="1"/>
  <c r="B2179" i="1"/>
  <c r="A2179" i="1"/>
  <c r="K2178" i="1"/>
  <c r="I2178" i="1"/>
  <c r="H2178" i="1"/>
  <c r="G2178" i="1"/>
  <c r="F2178" i="1"/>
  <c r="E2178" i="1"/>
  <c r="D2178" i="1"/>
  <c r="C2178" i="1"/>
  <c r="B2178" i="1"/>
  <c r="A2178" i="1"/>
  <c r="K2177" i="1"/>
  <c r="I2177" i="1"/>
  <c r="H2177" i="1"/>
  <c r="G2177" i="1"/>
  <c r="F2177" i="1"/>
  <c r="E2177" i="1"/>
  <c r="D2177" i="1"/>
  <c r="C2177" i="1"/>
  <c r="B2177" i="1"/>
  <c r="A2177" i="1"/>
  <c r="K2176" i="1"/>
  <c r="I2176" i="1"/>
  <c r="H2176" i="1"/>
  <c r="G2176" i="1"/>
  <c r="F2176" i="1"/>
  <c r="E2176" i="1"/>
  <c r="D2176" i="1"/>
  <c r="C2176" i="1"/>
  <c r="B2176" i="1"/>
  <c r="A2176" i="1"/>
  <c r="K2175" i="1"/>
  <c r="I2175" i="1"/>
  <c r="H2175" i="1"/>
  <c r="G2175" i="1"/>
  <c r="F2175" i="1"/>
  <c r="E2175" i="1"/>
  <c r="D2175" i="1"/>
  <c r="C2175" i="1"/>
  <c r="B2175" i="1"/>
  <c r="A2175" i="1"/>
  <c r="K2174" i="1"/>
  <c r="I2174" i="1"/>
  <c r="H2174" i="1"/>
  <c r="G2174" i="1"/>
  <c r="F2174" i="1"/>
  <c r="E2174" i="1"/>
  <c r="D2174" i="1"/>
  <c r="C2174" i="1"/>
  <c r="B2174" i="1"/>
  <c r="A2174" i="1"/>
  <c r="K2173" i="1"/>
  <c r="I2173" i="1"/>
  <c r="H2173" i="1"/>
  <c r="G2173" i="1"/>
  <c r="F2173" i="1"/>
  <c r="E2173" i="1"/>
  <c r="D2173" i="1"/>
  <c r="C2173" i="1"/>
  <c r="B2173" i="1"/>
  <c r="A2173" i="1"/>
  <c r="K2172" i="1"/>
  <c r="I2172" i="1"/>
  <c r="H2172" i="1"/>
  <c r="G2172" i="1"/>
  <c r="F2172" i="1"/>
  <c r="E2172" i="1"/>
  <c r="D2172" i="1"/>
  <c r="C2172" i="1"/>
  <c r="B2172" i="1"/>
  <c r="A2172" i="1"/>
  <c r="K2171" i="1"/>
  <c r="I2171" i="1"/>
  <c r="H2171" i="1"/>
  <c r="G2171" i="1"/>
  <c r="F2171" i="1"/>
  <c r="E2171" i="1"/>
  <c r="D2171" i="1"/>
  <c r="C2171" i="1"/>
  <c r="B2171" i="1"/>
  <c r="A2171" i="1"/>
  <c r="K2170" i="1"/>
  <c r="I2170" i="1"/>
  <c r="H2170" i="1"/>
  <c r="G2170" i="1"/>
  <c r="F2170" i="1"/>
  <c r="E2170" i="1"/>
  <c r="D2170" i="1"/>
  <c r="C2170" i="1"/>
  <c r="B2170" i="1"/>
  <c r="A2170" i="1"/>
  <c r="K2169" i="1"/>
  <c r="I2169" i="1"/>
  <c r="H2169" i="1"/>
  <c r="G2169" i="1"/>
  <c r="F2169" i="1"/>
  <c r="E2169" i="1"/>
  <c r="D2169" i="1"/>
  <c r="C2169" i="1"/>
  <c r="B2169" i="1"/>
  <c r="A2169" i="1"/>
  <c r="K2168" i="1"/>
  <c r="I2168" i="1"/>
  <c r="H2168" i="1"/>
  <c r="G2168" i="1"/>
  <c r="F2168" i="1"/>
  <c r="E2168" i="1"/>
  <c r="D2168" i="1"/>
  <c r="C2168" i="1"/>
  <c r="B2168" i="1"/>
  <c r="A2168" i="1"/>
  <c r="K2167" i="1"/>
  <c r="I2167" i="1"/>
  <c r="H2167" i="1"/>
  <c r="G2167" i="1"/>
  <c r="F2167" i="1"/>
  <c r="E2167" i="1"/>
  <c r="D2167" i="1"/>
  <c r="C2167" i="1"/>
  <c r="B2167" i="1"/>
  <c r="A2167" i="1"/>
  <c r="K2166" i="1"/>
  <c r="I2166" i="1"/>
  <c r="H2166" i="1"/>
  <c r="G2166" i="1"/>
  <c r="F2166" i="1"/>
  <c r="E2166" i="1"/>
  <c r="D2166" i="1"/>
  <c r="C2166" i="1"/>
  <c r="B2166" i="1"/>
  <c r="A2166" i="1"/>
  <c r="K2165" i="1"/>
  <c r="I2165" i="1"/>
  <c r="H2165" i="1"/>
  <c r="G2165" i="1"/>
  <c r="F2165" i="1"/>
  <c r="E2165" i="1"/>
  <c r="D2165" i="1"/>
  <c r="C2165" i="1"/>
  <c r="B2165" i="1"/>
  <c r="A2165" i="1"/>
  <c r="K2164" i="1"/>
  <c r="I2164" i="1"/>
  <c r="H2164" i="1"/>
  <c r="G2164" i="1"/>
  <c r="F2164" i="1"/>
  <c r="E2164" i="1"/>
  <c r="D2164" i="1"/>
  <c r="C2164" i="1"/>
  <c r="B2164" i="1"/>
  <c r="A2164" i="1"/>
  <c r="K2163" i="1"/>
  <c r="I2163" i="1"/>
  <c r="H2163" i="1"/>
  <c r="G2163" i="1"/>
  <c r="F2163" i="1"/>
  <c r="E2163" i="1"/>
  <c r="D2163" i="1"/>
  <c r="C2163" i="1"/>
  <c r="B2163" i="1"/>
  <c r="A2163" i="1"/>
  <c r="K2162" i="1"/>
  <c r="I2162" i="1"/>
  <c r="H2162" i="1"/>
  <c r="G2162" i="1"/>
  <c r="F2162" i="1"/>
  <c r="E2162" i="1"/>
  <c r="D2162" i="1"/>
  <c r="C2162" i="1"/>
  <c r="B2162" i="1"/>
  <c r="A2162" i="1"/>
  <c r="K2161" i="1"/>
  <c r="I2161" i="1"/>
  <c r="H2161" i="1"/>
  <c r="G2161" i="1"/>
  <c r="F2161" i="1"/>
  <c r="E2161" i="1"/>
  <c r="D2161" i="1"/>
  <c r="C2161" i="1"/>
  <c r="B2161" i="1"/>
  <c r="A2161" i="1"/>
  <c r="K2160" i="1"/>
  <c r="I2160" i="1"/>
  <c r="H2160" i="1"/>
  <c r="G2160" i="1"/>
  <c r="F2160" i="1"/>
  <c r="E2160" i="1"/>
  <c r="D2160" i="1"/>
  <c r="C2160" i="1"/>
  <c r="B2160" i="1"/>
  <c r="A2160" i="1"/>
  <c r="K2159" i="1"/>
  <c r="I2159" i="1"/>
  <c r="H2159" i="1"/>
  <c r="G2159" i="1"/>
  <c r="F2159" i="1"/>
  <c r="E2159" i="1"/>
  <c r="D2159" i="1"/>
  <c r="C2159" i="1"/>
  <c r="B2159" i="1"/>
  <c r="A2159" i="1"/>
  <c r="K2158" i="1"/>
  <c r="I2158" i="1"/>
  <c r="H2158" i="1"/>
  <c r="G2158" i="1"/>
  <c r="F2158" i="1"/>
  <c r="E2158" i="1"/>
  <c r="D2158" i="1"/>
  <c r="C2158" i="1"/>
  <c r="B2158" i="1"/>
  <c r="A2158" i="1"/>
  <c r="K2157" i="1"/>
  <c r="I2157" i="1"/>
  <c r="H2157" i="1"/>
  <c r="G2157" i="1"/>
  <c r="F2157" i="1"/>
  <c r="E2157" i="1"/>
  <c r="D2157" i="1"/>
  <c r="C2157" i="1"/>
  <c r="B2157" i="1"/>
  <c r="A2157" i="1"/>
  <c r="K2156" i="1"/>
  <c r="I2156" i="1"/>
  <c r="H2156" i="1"/>
  <c r="G2156" i="1"/>
  <c r="F2156" i="1"/>
  <c r="E2156" i="1"/>
  <c r="D2156" i="1"/>
  <c r="C2156" i="1"/>
  <c r="B2156" i="1"/>
  <c r="A2156" i="1"/>
  <c r="K2155" i="1"/>
  <c r="I2155" i="1"/>
  <c r="H2155" i="1"/>
  <c r="G2155" i="1"/>
  <c r="F2155" i="1"/>
  <c r="E2155" i="1"/>
  <c r="D2155" i="1"/>
  <c r="C2155" i="1"/>
  <c r="B2155" i="1"/>
  <c r="A2155" i="1"/>
  <c r="K2154" i="1"/>
  <c r="I2154" i="1"/>
  <c r="H2154" i="1"/>
  <c r="G2154" i="1"/>
  <c r="F2154" i="1"/>
  <c r="E2154" i="1"/>
  <c r="D2154" i="1"/>
  <c r="C2154" i="1"/>
  <c r="B2154" i="1"/>
  <c r="A2154" i="1"/>
  <c r="K2153" i="1"/>
  <c r="I2153" i="1"/>
  <c r="H2153" i="1"/>
  <c r="G2153" i="1"/>
  <c r="F2153" i="1"/>
  <c r="E2153" i="1"/>
  <c r="D2153" i="1"/>
  <c r="C2153" i="1"/>
  <c r="B2153" i="1"/>
  <c r="A2153" i="1"/>
  <c r="K2152" i="1"/>
  <c r="I2152" i="1"/>
  <c r="H2152" i="1"/>
  <c r="G2152" i="1"/>
  <c r="F2152" i="1"/>
  <c r="E2152" i="1"/>
  <c r="D2152" i="1"/>
  <c r="C2152" i="1"/>
  <c r="B2152" i="1"/>
  <c r="A2152" i="1"/>
  <c r="K2151" i="1"/>
  <c r="I2151" i="1"/>
  <c r="H2151" i="1"/>
  <c r="G2151" i="1"/>
  <c r="F2151" i="1"/>
  <c r="E2151" i="1"/>
  <c r="D2151" i="1"/>
  <c r="C2151" i="1"/>
  <c r="B2151" i="1"/>
  <c r="A2151" i="1"/>
  <c r="K2150" i="1"/>
  <c r="J2150" i="1"/>
  <c r="I2150" i="1"/>
  <c r="H2150" i="1"/>
  <c r="G2150" i="1"/>
  <c r="F2150" i="1"/>
  <c r="E2150" i="1"/>
  <c r="D2150" i="1"/>
  <c r="C2150" i="1"/>
  <c r="B2150" i="1"/>
  <c r="A2150" i="1"/>
  <c r="K2149" i="1"/>
  <c r="J2149" i="1"/>
  <c r="I2149" i="1"/>
  <c r="H2149" i="1"/>
  <c r="G2149" i="1"/>
  <c r="F2149" i="1"/>
  <c r="E2149" i="1"/>
  <c r="D2149" i="1"/>
  <c r="C2149" i="1"/>
  <c r="B2149" i="1"/>
  <c r="A2149" i="1"/>
  <c r="K2148" i="1"/>
  <c r="J2148" i="1"/>
  <c r="I2148" i="1"/>
  <c r="H2148" i="1"/>
  <c r="G2148" i="1"/>
  <c r="F2148" i="1"/>
  <c r="E2148" i="1"/>
  <c r="D2148" i="1"/>
  <c r="C2148" i="1"/>
  <c r="B2148" i="1"/>
  <c r="A2148" i="1"/>
  <c r="K2147" i="1"/>
  <c r="J2147" i="1"/>
  <c r="I2147" i="1"/>
  <c r="H2147" i="1"/>
  <c r="G2147" i="1"/>
  <c r="F2147" i="1"/>
  <c r="E2147" i="1"/>
  <c r="D2147" i="1"/>
  <c r="C2147" i="1"/>
  <c r="B2147" i="1"/>
  <c r="A2147" i="1"/>
  <c r="K2146" i="1"/>
  <c r="I2146" i="1"/>
  <c r="H2146" i="1"/>
  <c r="G2146" i="1"/>
  <c r="F2146" i="1"/>
  <c r="E2146" i="1"/>
  <c r="D2146" i="1"/>
  <c r="C2146" i="1"/>
  <c r="B2146" i="1"/>
  <c r="A2146" i="1"/>
  <c r="K2145" i="1"/>
  <c r="J2145" i="1"/>
  <c r="H2145" i="1"/>
  <c r="G2145" i="1"/>
  <c r="F2145" i="1"/>
  <c r="E2145" i="1"/>
  <c r="D2145" i="1"/>
  <c r="C2145" i="1"/>
  <c r="B2145" i="1"/>
  <c r="A2145" i="1"/>
  <c r="K2144" i="1"/>
  <c r="I2144" i="1"/>
  <c r="H2144" i="1"/>
  <c r="G2144" i="1"/>
  <c r="F2144" i="1"/>
  <c r="E2144" i="1"/>
  <c r="D2144" i="1"/>
  <c r="C2144" i="1"/>
  <c r="B2144" i="1"/>
  <c r="A2144" i="1"/>
  <c r="K2143" i="1"/>
  <c r="I2143" i="1"/>
  <c r="H2143" i="1"/>
  <c r="G2143" i="1"/>
  <c r="F2143" i="1"/>
  <c r="E2143" i="1"/>
  <c r="D2143" i="1"/>
  <c r="C2143" i="1"/>
  <c r="B2143" i="1"/>
  <c r="A2143" i="1"/>
  <c r="K2142" i="1"/>
  <c r="I2142" i="1"/>
  <c r="H2142" i="1"/>
  <c r="G2142" i="1"/>
  <c r="F2142" i="1"/>
  <c r="E2142" i="1"/>
  <c r="D2142" i="1"/>
  <c r="C2142" i="1"/>
  <c r="B2142" i="1"/>
  <c r="A2142" i="1"/>
  <c r="K2141" i="1"/>
  <c r="I2141" i="1"/>
  <c r="H2141" i="1"/>
  <c r="G2141" i="1"/>
  <c r="F2141" i="1"/>
  <c r="E2141" i="1"/>
  <c r="D2141" i="1"/>
  <c r="C2141" i="1"/>
  <c r="B2141" i="1"/>
  <c r="A2141" i="1"/>
  <c r="K2140" i="1"/>
  <c r="I2140" i="1"/>
  <c r="H2140" i="1"/>
  <c r="G2140" i="1"/>
  <c r="F2140" i="1"/>
  <c r="E2140" i="1"/>
  <c r="D2140" i="1"/>
  <c r="C2140" i="1"/>
  <c r="B2140" i="1"/>
  <c r="A2140" i="1"/>
  <c r="K2139" i="1"/>
  <c r="I2139" i="1"/>
  <c r="H2139" i="1"/>
  <c r="G2139" i="1"/>
  <c r="F2139" i="1"/>
  <c r="E2139" i="1"/>
  <c r="D2139" i="1"/>
  <c r="C2139" i="1"/>
  <c r="B2139" i="1"/>
  <c r="A2139" i="1"/>
  <c r="K2138" i="1"/>
  <c r="I2138" i="1"/>
  <c r="H2138" i="1"/>
  <c r="G2138" i="1"/>
  <c r="F2138" i="1"/>
  <c r="E2138" i="1"/>
  <c r="D2138" i="1"/>
  <c r="C2138" i="1"/>
  <c r="B2138" i="1"/>
  <c r="A2138" i="1"/>
  <c r="K2137" i="1"/>
  <c r="I2137" i="1"/>
  <c r="H2137" i="1"/>
  <c r="G2137" i="1"/>
  <c r="F2137" i="1"/>
  <c r="E2137" i="1"/>
  <c r="D2137" i="1"/>
  <c r="C2137" i="1"/>
  <c r="B2137" i="1"/>
  <c r="A2137" i="1"/>
  <c r="K2136" i="1"/>
  <c r="I2136" i="1"/>
  <c r="H2136" i="1"/>
  <c r="G2136" i="1"/>
  <c r="F2136" i="1"/>
  <c r="E2136" i="1"/>
  <c r="D2136" i="1"/>
  <c r="C2136" i="1"/>
  <c r="B2136" i="1"/>
  <c r="A2136" i="1"/>
  <c r="K2135" i="1"/>
  <c r="I2135" i="1"/>
  <c r="H2135" i="1"/>
  <c r="G2135" i="1"/>
  <c r="F2135" i="1"/>
  <c r="E2135" i="1"/>
  <c r="D2135" i="1"/>
  <c r="C2135" i="1"/>
  <c r="B2135" i="1"/>
  <c r="A2135" i="1"/>
  <c r="K2134" i="1"/>
  <c r="I2134" i="1"/>
  <c r="H2134" i="1"/>
  <c r="G2134" i="1"/>
  <c r="F2134" i="1"/>
  <c r="E2134" i="1"/>
  <c r="D2134" i="1"/>
  <c r="C2134" i="1"/>
  <c r="B2134" i="1"/>
  <c r="A2134" i="1"/>
  <c r="K2133" i="1"/>
  <c r="I2133" i="1"/>
  <c r="H2133" i="1"/>
  <c r="G2133" i="1"/>
  <c r="F2133" i="1"/>
  <c r="E2133" i="1"/>
  <c r="D2133" i="1"/>
  <c r="C2133" i="1"/>
  <c r="B2133" i="1"/>
  <c r="A2133" i="1"/>
  <c r="K2132" i="1"/>
  <c r="I2132" i="1"/>
  <c r="H2132" i="1"/>
  <c r="G2132" i="1"/>
  <c r="F2132" i="1"/>
  <c r="E2132" i="1"/>
  <c r="D2132" i="1"/>
  <c r="C2132" i="1"/>
  <c r="B2132" i="1"/>
  <c r="A2132" i="1"/>
  <c r="K2131" i="1"/>
  <c r="I2131" i="1"/>
  <c r="H2131" i="1"/>
  <c r="G2131" i="1"/>
  <c r="F2131" i="1"/>
  <c r="E2131" i="1"/>
  <c r="D2131" i="1"/>
  <c r="C2131" i="1"/>
  <c r="B2131" i="1"/>
  <c r="A2131" i="1"/>
  <c r="K2130" i="1"/>
  <c r="I2130" i="1"/>
  <c r="H2130" i="1"/>
  <c r="G2130" i="1"/>
  <c r="F2130" i="1"/>
  <c r="E2130" i="1"/>
  <c r="D2130" i="1"/>
  <c r="C2130" i="1"/>
  <c r="B2130" i="1"/>
  <c r="A2130" i="1"/>
  <c r="K2129" i="1"/>
  <c r="I2129" i="1"/>
  <c r="H2129" i="1"/>
  <c r="G2129" i="1"/>
  <c r="F2129" i="1"/>
  <c r="E2129" i="1"/>
  <c r="D2129" i="1"/>
  <c r="C2129" i="1"/>
  <c r="B2129" i="1"/>
  <c r="A2129" i="1"/>
  <c r="K2128" i="1"/>
  <c r="I2128" i="1"/>
  <c r="H2128" i="1"/>
  <c r="G2128" i="1"/>
  <c r="F2128" i="1"/>
  <c r="E2128" i="1"/>
  <c r="D2128" i="1"/>
  <c r="C2128" i="1"/>
  <c r="B2128" i="1"/>
  <c r="A2128" i="1"/>
  <c r="K2127" i="1"/>
  <c r="I2127" i="1"/>
  <c r="H2127" i="1"/>
  <c r="G2127" i="1"/>
  <c r="F2127" i="1"/>
  <c r="E2127" i="1"/>
  <c r="D2127" i="1"/>
  <c r="C2127" i="1"/>
  <c r="B2127" i="1"/>
  <c r="A2127" i="1"/>
  <c r="K2126" i="1"/>
  <c r="I2126" i="1"/>
  <c r="H2126" i="1"/>
  <c r="G2126" i="1"/>
  <c r="F2126" i="1"/>
  <c r="E2126" i="1"/>
  <c r="D2126" i="1"/>
  <c r="C2126" i="1"/>
  <c r="B2126" i="1"/>
  <c r="A2126" i="1"/>
  <c r="K2125" i="1"/>
  <c r="I2125" i="1"/>
  <c r="H2125" i="1"/>
  <c r="G2125" i="1"/>
  <c r="F2125" i="1"/>
  <c r="E2125" i="1"/>
  <c r="D2125" i="1"/>
  <c r="C2125" i="1"/>
  <c r="B2125" i="1"/>
  <c r="A2125" i="1"/>
  <c r="K2124" i="1"/>
  <c r="I2124" i="1"/>
  <c r="H2124" i="1"/>
  <c r="G2124" i="1"/>
  <c r="F2124" i="1"/>
  <c r="E2124" i="1"/>
  <c r="D2124" i="1"/>
  <c r="C2124" i="1"/>
  <c r="B2124" i="1"/>
  <c r="A2124" i="1"/>
  <c r="K2123" i="1"/>
  <c r="I2123" i="1"/>
  <c r="H2123" i="1"/>
  <c r="G2123" i="1"/>
  <c r="F2123" i="1"/>
  <c r="E2123" i="1"/>
  <c r="D2123" i="1"/>
  <c r="C2123" i="1"/>
  <c r="B2123" i="1"/>
  <c r="A2123" i="1"/>
  <c r="K2122" i="1"/>
  <c r="I2122" i="1"/>
  <c r="H2122" i="1"/>
  <c r="G2122" i="1"/>
  <c r="F2122" i="1"/>
  <c r="E2122" i="1"/>
  <c r="D2122" i="1"/>
  <c r="C2122" i="1"/>
  <c r="B2122" i="1"/>
  <c r="A2122" i="1"/>
  <c r="K2121" i="1"/>
  <c r="I2121" i="1"/>
  <c r="H2121" i="1"/>
  <c r="G2121" i="1"/>
  <c r="F2121" i="1"/>
  <c r="E2121" i="1"/>
  <c r="D2121" i="1"/>
  <c r="C2121" i="1"/>
  <c r="B2121" i="1"/>
  <c r="A2121" i="1"/>
  <c r="K2120" i="1"/>
  <c r="I2120" i="1"/>
  <c r="H2120" i="1"/>
  <c r="G2120" i="1"/>
  <c r="F2120" i="1"/>
  <c r="E2120" i="1"/>
  <c r="D2120" i="1"/>
  <c r="C2120" i="1"/>
  <c r="B2120" i="1"/>
  <c r="A2120" i="1"/>
  <c r="K2119" i="1"/>
  <c r="I2119" i="1"/>
  <c r="H2119" i="1"/>
  <c r="G2119" i="1"/>
  <c r="F2119" i="1"/>
  <c r="E2119" i="1"/>
  <c r="D2119" i="1"/>
  <c r="C2119" i="1"/>
  <c r="B2119" i="1"/>
  <c r="A2119" i="1"/>
  <c r="K2118" i="1"/>
  <c r="I2118" i="1"/>
  <c r="H2118" i="1"/>
  <c r="G2118" i="1"/>
  <c r="F2118" i="1"/>
  <c r="E2118" i="1"/>
  <c r="D2118" i="1"/>
  <c r="C2118" i="1"/>
  <c r="B2118" i="1"/>
  <c r="A2118" i="1"/>
  <c r="K2117" i="1"/>
  <c r="I2117" i="1"/>
  <c r="H2117" i="1"/>
  <c r="G2117" i="1"/>
  <c r="F2117" i="1"/>
  <c r="E2117" i="1"/>
  <c r="D2117" i="1"/>
  <c r="C2117" i="1"/>
  <c r="B2117" i="1"/>
  <c r="A2117" i="1"/>
  <c r="K2116" i="1"/>
  <c r="I2116" i="1"/>
  <c r="H2116" i="1"/>
  <c r="G2116" i="1"/>
  <c r="F2116" i="1"/>
  <c r="E2116" i="1"/>
  <c r="D2116" i="1"/>
  <c r="C2116" i="1"/>
  <c r="B2116" i="1"/>
  <c r="A2116" i="1"/>
  <c r="K2115" i="1"/>
  <c r="I2115" i="1"/>
  <c r="H2115" i="1"/>
  <c r="G2115" i="1"/>
  <c r="F2115" i="1"/>
  <c r="E2115" i="1"/>
  <c r="D2115" i="1"/>
  <c r="C2115" i="1"/>
  <c r="B2115" i="1"/>
  <c r="A2115" i="1"/>
  <c r="K2114" i="1"/>
  <c r="J2114" i="1"/>
  <c r="H2114" i="1"/>
  <c r="G2114" i="1"/>
  <c r="F2114" i="1"/>
  <c r="E2114" i="1"/>
  <c r="D2114" i="1"/>
  <c r="C2114" i="1"/>
  <c r="B2114" i="1"/>
  <c r="A2114" i="1"/>
  <c r="K2113" i="1"/>
  <c r="I2113" i="1"/>
  <c r="H2113" i="1"/>
  <c r="G2113" i="1"/>
  <c r="F2113" i="1"/>
  <c r="E2113" i="1"/>
  <c r="D2113" i="1"/>
  <c r="C2113" i="1"/>
  <c r="B2113" i="1"/>
  <c r="A2113" i="1"/>
  <c r="K2112" i="1"/>
  <c r="I2112" i="1"/>
  <c r="H2112" i="1"/>
  <c r="G2112" i="1"/>
  <c r="F2112" i="1"/>
  <c r="E2112" i="1"/>
  <c r="D2112" i="1"/>
  <c r="C2112" i="1"/>
  <c r="B2112" i="1"/>
  <c r="A2112" i="1"/>
  <c r="K2111" i="1"/>
  <c r="I2111" i="1"/>
  <c r="H2111" i="1"/>
  <c r="G2111" i="1"/>
  <c r="F2111" i="1"/>
  <c r="E2111" i="1"/>
  <c r="D2111" i="1"/>
  <c r="C2111" i="1"/>
  <c r="B2111" i="1"/>
  <c r="A2111" i="1"/>
  <c r="K2110" i="1"/>
  <c r="I2110" i="1"/>
  <c r="H2110" i="1"/>
  <c r="G2110" i="1"/>
  <c r="F2110" i="1"/>
  <c r="E2110" i="1"/>
  <c r="D2110" i="1"/>
  <c r="C2110" i="1"/>
  <c r="B2110" i="1"/>
  <c r="A2110" i="1"/>
  <c r="K2109" i="1"/>
  <c r="I2109" i="1"/>
  <c r="H2109" i="1"/>
  <c r="G2109" i="1"/>
  <c r="F2109" i="1"/>
  <c r="E2109" i="1"/>
  <c r="D2109" i="1"/>
  <c r="C2109" i="1"/>
  <c r="B2109" i="1"/>
  <c r="A2109" i="1"/>
  <c r="K2108" i="1"/>
  <c r="I2108" i="1"/>
  <c r="H2108" i="1"/>
  <c r="G2108" i="1"/>
  <c r="F2108" i="1"/>
  <c r="E2108" i="1"/>
  <c r="D2108" i="1"/>
  <c r="C2108" i="1"/>
  <c r="B2108" i="1"/>
  <c r="A2108" i="1"/>
  <c r="K2107" i="1"/>
  <c r="I2107" i="1"/>
  <c r="H2107" i="1"/>
  <c r="G2107" i="1"/>
  <c r="F2107" i="1"/>
  <c r="E2107" i="1"/>
  <c r="D2107" i="1"/>
  <c r="C2107" i="1"/>
  <c r="B2107" i="1"/>
  <c r="A2107" i="1"/>
  <c r="K2106" i="1"/>
  <c r="I2106" i="1"/>
  <c r="H2106" i="1"/>
  <c r="G2106" i="1"/>
  <c r="F2106" i="1"/>
  <c r="E2106" i="1"/>
  <c r="D2106" i="1"/>
  <c r="C2106" i="1"/>
  <c r="B2106" i="1"/>
  <c r="A2106" i="1"/>
  <c r="K2105" i="1"/>
  <c r="I2105" i="1"/>
  <c r="H2105" i="1"/>
  <c r="G2105" i="1"/>
  <c r="F2105" i="1"/>
  <c r="E2105" i="1"/>
  <c r="D2105" i="1"/>
  <c r="C2105" i="1"/>
  <c r="B2105" i="1"/>
  <c r="A2105" i="1"/>
  <c r="K2104" i="1"/>
  <c r="I2104" i="1"/>
  <c r="H2104" i="1"/>
  <c r="G2104" i="1"/>
  <c r="F2104" i="1"/>
  <c r="E2104" i="1"/>
  <c r="D2104" i="1"/>
  <c r="C2104" i="1"/>
  <c r="B2104" i="1"/>
  <c r="A2104" i="1"/>
  <c r="K2103" i="1"/>
  <c r="I2103" i="1"/>
  <c r="H2103" i="1"/>
  <c r="G2103" i="1"/>
  <c r="F2103" i="1"/>
  <c r="E2103" i="1"/>
  <c r="D2103" i="1"/>
  <c r="C2103" i="1"/>
  <c r="B2103" i="1"/>
  <c r="A2103" i="1"/>
  <c r="K2102" i="1"/>
  <c r="I2102" i="1"/>
  <c r="H2102" i="1"/>
  <c r="G2102" i="1"/>
  <c r="F2102" i="1"/>
  <c r="E2102" i="1"/>
  <c r="D2102" i="1"/>
  <c r="C2102" i="1"/>
  <c r="B2102" i="1"/>
  <c r="A2102" i="1"/>
  <c r="K2101" i="1"/>
  <c r="I2101" i="1"/>
  <c r="H2101" i="1"/>
  <c r="G2101" i="1"/>
  <c r="F2101" i="1"/>
  <c r="E2101" i="1"/>
  <c r="D2101" i="1"/>
  <c r="C2101" i="1"/>
  <c r="B2101" i="1"/>
  <c r="A2101" i="1"/>
  <c r="K2100" i="1"/>
  <c r="I2100" i="1"/>
  <c r="H2100" i="1"/>
  <c r="G2100" i="1"/>
  <c r="F2100" i="1"/>
  <c r="E2100" i="1"/>
  <c r="D2100" i="1"/>
  <c r="C2100" i="1"/>
  <c r="B2100" i="1"/>
  <c r="A2100" i="1"/>
  <c r="K2099" i="1"/>
  <c r="I2099" i="1"/>
  <c r="H2099" i="1"/>
  <c r="G2099" i="1"/>
  <c r="F2099" i="1"/>
  <c r="E2099" i="1"/>
  <c r="D2099" i="1"/>
  <c r="C2099" i="1"/>
  <c r="B2099" i="1"/>
  <c r="A2099" i="1"/>
  <c r="K2098" i="1"/>
  <c r="I2098" i="1"/>
  <c r="H2098" i="1"/>
  <c r="G2098" i="1"/>
  <c r="F2098" i="1"/>
  <c r="E2098" i="1"/>
  <c r="D2098" i="1"/>
  <c r="C2098" i="1"/>
  <c r="B2098" i="1"/>
  <c r="A2098" i="1"/>
  <c r="K2097" i="1"/>
  <c r="I2097" i="1"/>
  <c r="H2097" i="1"/>
  <c r="G2097" i="1"/>
  <c r="F2097" i="1"/>
  <c r="E2097" i="1"/>
  <c r="D2097" i="1"/>
  <c r="C2097" i="1"/>
  <c r="B2097" i="1"/>
  <c r="A2097" i="1"/>
  <c r="K2096" i="1"/>
  <c r="I2096" i="1"/>
  <c r="H2096" i="1"/>
  <c r="G2096" i="1"/>
  <c r="F2096" i="1"/>
  <c r="E2096" i="1"/>
  <c r="D2096" i="1"/>
  <c r="C2096" i="1"/>
  <c r="B2096" i="1"/>
  <c r="A2096" i="1"/>
  <c r="K2095" i="1"/>
  <c r="I2095" i="1"/>
  <c r="H2095" i="1"/>
  <c r="G2095" i="1"/>
  <c r="F2095" i="1"/>
  <c r="E2095" i="1"/>
  <c r="D2095" i="1"/>
  <c r="C2095" i="1"/>
  <c r="B2095" i="1"/>
  <c r="A2095" i="1"/>
  <c r="K2094" i="1"/>
  <c r="I2094" i="1"/>
  <c r="H2094" i="1"/>
  <c r="G2094" i="1"/>
  <c r="F2094" i="1"/>
  <c r="E2094" i="1"/>
  <c r="D2094" i="1"/>
  <c r="C2094" i="1"/>
  <c r="B2094" i="1"/>
  <c r="A2094" i="1"/>
  <c r="K2093" i="1"/>
  <c r="I2093" i="1"/>
  <c r="H2093" i="1"/>
  <c r="G2093" i="1"/>
  <c r="F2093" i="1"/>
  <c r="E2093" i="1"/>
  <c r="D2093" i="1"/>
  <c r="C2093" i="1"/>
  <c r="B2093" i="1"/>
  <c r="A2093" i="1"/>
  <c r="K2092" i="1"/>
  <c r="I2092" i="1"/>
  <c r="H2092" i="1"/>
  <c r="G2092" i="1"/>
  <c r="F2092" i="1"/>
  <c r="E2092" i="1"/>
  <c r="D2092" i="1"/>
  <c r="C2092" i="1"/>
  <c r="B2092" i="1"/>
  <c r="A2092" i="1"/>
  <c r="K2091" i="1"/>
  <c r="I2091" i="1"/>
  <c r="H2091" i="1"/>
  <c r="G2091" i="1"/>
  <c r="F2091" i="1"/>
  <c r="E2091" i="1"/>
  <c r="D2091" i="1"/>
  <c r="C2091" i="1"/>
  <c r="B2091" i="1"/>
  <c r="A2091" i="1"/>
  <c r="K2090" i="1"/>
  <c r="I2090" i="1"/>
  <c r="H2090" i="1"/>
  <c r="G2090" i="1"/>
  <c r="F2090" i="1"/>
  <c r="E2090" i="1"/>
  <c r="D2090" i="1"/>
  <c r="C2090" i="1"/>
  <c r="B2090" i="1"/>
  <c r="A2090" i="1"/>
  <c r="K2089" i="1"/>
  <c r="I2089" i="1"/>
  <c r="H2089" i="1"/>
  <c r="G2089" i="1"/>
  <c r="F2089" i="1"/>
  <c r="E2089" i="1"/>
  <c r="D2089" i="1"/>
  <c r="C2089" i="1"/>
  <c r="B2089" i="1"/>
  <c r="A2089" i="1"/>
  <c r="K2088" i="1"/>
  <c r="I2088" i="1"/>
  <c r="H2088" i="1"/>
  <c r="G2088" i="1"/>
  <c r="F2088" i="1"/>
  <c r="E2088" i="1"/>
  <c r="D2088" i="1"/>
  <c r="C2088" i="1"/>
  <c r="B2088" i="1"/>
  <c r="A2088" i="1"/>
  <c r="K2087" i="1"/>
  <c r="I2087" i="1"/>
  <c r="H2087" i="1"/>
  <c r="G2087" i="1"/>
  <c r="F2087" i="1"/>
  <c r="E2087" i="1"/>
  <c r="D2087" i="1"/>
  <c r="C2087" i="1"/>
  <c r="B2087" i="1"/>
  <c r="A2087" i="1"/>
  <c r="K2086" i="1"/>
  <c r="I2086" i="1"/>
  <c r="H2086" i="1"/>
  <c r="G2086" i="1"/>
  <c r="F2086" i="1"/>
  <c r="E2086" i="1"/>
  <c r="D2086" i="1"/>
  <c r="C2086" i="1"/>
  <c r="B2086" i="1"/>
  <c r="A2086" i="1"/>
  <c r="K2085" i="1"/>
  <c r="I2085" i="1"/>
  <c r="H2085" i="1"/>
  <c r="G2085" i="1"/>
  <c r="F2085" i="1"/>
  <c r="E2085" i="1"/>
  <c r="D2085" i="1"/>
  <c r="C2085" i="1"/>
  <c r="B2085" i="1"/>
  <c r="A2085" i="1"/>
  <c r="K2084" i="1"/>
  <c r="I2084" i="1"/>
  <c r="H2084" i="1"/>
  <c r="G2084" i="1"/>
  <c r="F2084" i="1"/>
  <c r="E2084" i="1"/>
  <c r="D2084" i="1"/>
  <c r="C2084" i="1"/>
  <c r="B2084" i="1"/>
  <c r="A2084" i="1"/>
  <c r="K2083" i="1"/>
  <c r="I2083" i="1"/>
  <c r="H2083" i="1"/>
  <c r="G2083" i="1"/>
  <c r="F2083" i="1"/>
  <c r="E2083" i="1"/>
  <c r="D2083" i="1"/>
  <c r="C2083" i="1"/>
  <c r="B2083" i="1"/>
  <c r="A2083" i="1"/>
  <c r="K2082" i="1"/>
  <c r="I2082" i="1"/>
  <c r="H2082" i="1"/>
  <c r="G2082" i="1"/>
  <c r="F2082" i="1"/>
  <c r="E2082" i="1"/>
  <c r="D2082" i="1"/>
  <c r="C2082" i="1"/>
  <c r="B2082" i="1"/>
  <c r="A2082" i="1"/>
  <c r="K2081" i="1"/>
  <c r="I2081" i="1"/>
  <c r="H2081" i="1"/>
  <c r="G2081" i="1"/>
  <c r="F2081" i="1"/>
  <c r="E2081" i="1"/>
  <c r="D2081" i="1"/>
  <c r="C2081" i="1"/>
  <c r="B2081" i="1"/>
  <c r="A2081" i="1"/>
  <c r="K2080" i="1"/>
  <c r="I2080" i="1"/>
  <c r="H2080" i="1"/>
  <c r="G2080" i="1"/>
  <c r="F2080" i="1"/>
  <c r="E2080" i="1"/>
  <c r="D2080" i="1"/>
  <c r="C2080" i="1"/>
  <c r="B2080" i="1"/>
  <c r="A2080" i="1"/>
  <c r="K2079" i="1"/>
  <c r="I2079" i="1"/>
  <c r="H2079" i="1"/>
  <c r="G2079" i="1"/>
  <c r="F2079" i="1"/>
  <c r="E2079" i="1"/>
  <c r="D2079" i="1"/>
  <c r="C2079" i="1"/>
  <c r="B2079" i="1"/>
  <c r="A2079" i="1"/>
  <c r="K2078" i="1"/>
  <c r="I2078" i="1"/>
  <c r="H2078" i="1"/>
  <c r="G2078" i="1"/>
  <c r="F2078" i="1"/>
  <c r="E2078" i="1"/>
  <c r="D2078" i="1"/>
  <c r="C2078" i="1"/>
  <c r="B2078" i="1"/>
  <c r="A2078" i="1"/>
  <c r="K2077" i="1"/>
  <c r="I2077" i="1"/>
  <c r="H2077" i="1"/>
  <c r="G2077" i="1"/>
  <c r="F2077" i="1"/>
  <c r="E2077" i="1"/>
  <c r="D2077" i="1"/>
  <c r="C2077" i="1"/>
  <c r="B2077" i="1"/>
  <c r="A2077" i="1"/>
  <c r="K2076" i="1"/>
  <c r="I2076" i="1"/>
  <c r="H2076" i="1"/>
  <c r="G2076" i="1"/>
  <c r="F2076" i="1"/>
  <c r="E2076" i="1"/>
  <c r="D2076" i="1"/>
  <c r="C2076" i="1"/>
  <c r="B2076" i="1"/>
  <c r="A2076" i="1"/>
  <c r="K2075" i="1"/>
  <c r="I2075" i="1"/>
  <c r="H2075" i="1"/>
  <c r="G2075" i="1"/>
  <c r="F2075" i="1"/>
  <c r="E2075" i="1"/>
  <c r="D2075" i="1"/>
  <c r="C2075" i="1"/>
  <c r="B2075" i="1"/>
  <c r="A2075" i="1"/>
  <c r="K2074" i="1"/>
  <c r="I2074" i="1"/>
  <c r="H2074" i="1"/>
  <c r="G2074" i="1"/>
  <c r="F2074" i="1"/>
  <c r="E2074" i="1"/>
  <c r="D2074" i="1"/>
  <c r="C2074" i="1"/>
  <c r="B2074" i="1"/>
  <c r="A2074" i="1"/>
  <c r="K2073" i="1"/>
  <c r="I2073" i="1"/>
  <c r="H2073" i="1"/>
  <c r="G2073" i="1"/>
  <c r="F2073" i="1"/>
  <c r="E2073" i="1"/>
  <c r="D2073" i="1"/>
  <c r="C2073" i="1"/>
  <c r="B2073" i="1"/>
  <c r="A2073" i="1"/>
  <c r="K2072" i="1"/>
  <c r="I2072" i="1"/>
  <c r="H2072" i="1"/>
  <c r="G2072" i="1"/>
  <c r="F2072" i="1"/>
  <c r="E2072" i="1"/>
  <c r="D2072" i="1"/>
  <c r="C2072" i="1"/>
  <c r="B2072" i="1"/>
  <c r="A2072" i="1"/>
  <c r="K2071" i="1"/>
  <c r="I2071" i="1"/>
  <c r="H2071" i="1"/>
  <c r="G2071" i="1"/>
  <c r="F2071" i="1"/>
  <c r="E2071" i="1"/>
  <c r="D2071" i="1"/>
  <c r="C2071" i="1"/>
  <c r="B2071" i="1"/>
  <c r="A2071" i="1"/>
  <c r="K2070" i="1"/>
  <c r="I2070" i="1"/>
  <c r="H2070" i="1"/>
  <c r="G2070" i="1"/>
  <c r="F2070" i="1"/>
  <c r="E2070" i="1"/>
  <c r="D2070" i="1"/>
  <c r="C2070" i="1"/>
  <c r="B2070" i="1"/>
  <c r="A2070" i="1"/>
  <c r="K2069" i="1"/>
  <c r="I2069" i="1"/>
  <c r="H2069" i="1"/>
  <c r="G2069" i="1"/>
  <c r="F2069" i="1"/>
  <c r="E2069" i="1"/>
  <c r="D2069" i="1"/>
  <c r="C2069" i="1"/>
  <c r="B2069" i="1"/>
  <c r="A2069" i="1"/>
  <c r="K2068" i="1"/>
  <c r="I2068" i="1"/>
  <c r="H2068" i="1"/>
  <c r="G2068" i="1"/>
  <c r="F2068" i="1"/>
  <c r="E2068" i="1"/>
  <c r="D2068" i="1"/>
  <c r="C2068" i="1"/>
  <c r="B2068" i="1"/>
  <c r="A2068" i="1"/>
  <c r="K2067" i="1"/>
  <c r="J2067" i="1"/>
  <c r="H2067" i="1"/>
  <c r="G2067" i="1"/>
  <c r="F2067" i="1"/>
  <c r="E2067" i="1"/>
  <c r="D2067" i="1"/>
  <c r="C2067" i="1"/>
  <c r="B2067" i="1"/>
  <c r="A2067" i="1"/>
  <c r="K2066" i="1"/>
  <c r="I2066" i="1"/>
  <c r="H2066" i="1"/>
  <c r="G2066" i="1"/>
  <c r="F2066" i="1"/>
  <c r="E2066" i="1"/>
  <c r="D2066" i="1"/>
  <c r="C2066" i="1"/>
  <c r="B2066" i="1"/>
  <c r="A2066" i="1"/>
  <c r="K2065" i="1"/>
  <c r="I2065" i="1"/>
  <c r="H2065" i="1"/>
  <c r="G2065" i="1"/>
  <c r="F2065" i="1"/>
  <c r="E2065" i="1"/>
  <c r="D2065" i="1"/>
  <c r="C2065" i="1"/>
  <c r="B2065" i="1"/>
  <c r="A2065" i="1"/>
  <c r="K2064" i="1"/>
  <c r="I2064" i="1"/>
  <c r="H2064" i="1"/>
  <c r="G2064" i="1"/>
  <c r="F2064" i="1"/>
  <c r="E2064" i="1"/>
  <c r="D2064" i="1"/>
  <c r="C2064" i="1"/>
  <c r="B2064" i="1"/>
  <c r="A2064" i="1"/>
  <c r="K2063" i="1"/>
  <c r="I2063" i="1"/>
  <c r="H2063" i="1"/>
  <c r="G2063" i="1"/>
  <c r="F2063" i="1"/>
  <c r="E2063" i="1"/>
  <c r="D2063" i="1"/>
  <c r="C2063" i="1"/>
  <c r="B2063" i="1"/>
  <c r="A2063" i="1"/>
  <c r="K2062" i="1"/>
  <c r="I2062" i="1"/>
  <c r="H2062" i="1"/>
  <c r="G2062" i="1"/>
  <c r="F2062" i="1"/>
  <c r="E2062" i="1"/>
  <c r="D2062" i="1"/>
  <c r="C2062" i="1"/>
  <c r="B2062" i="1"/>
  <c r="A2062" i="1"/>
  <c r="K2061" i="1"/>
  <c r="I2061" i="1"/>
  <c r="H2061" i="1"/>
  <c r="G2061" i="1"/>
  <c r="F2061" i="1"/>
  <c r="E2061" i="1"/>
  <c r="D2061" i="1"/>
  <c r="C2061" i="1"/>
  <c r="B2061" i="1"/>
  <c r="A2061" i="1"/>
  <c r="K2060" i="1"/>
  <c r="I2060" i="1"/>
  <c r="H2060" i="1"/>
  <c r="G2060" i="1"/>
  <c r="F2060" i="1"/>
  <c r="E2060" i="1"/>
  <c r="D2060" i="1"/>
  <c r="C2060" i="1"/>
  <c r="B2060" i="1"/>
  <c r="A2060" i="1"/>
  <c r="K2059" i="1"/>
  <c r="I2059" i="1"/>
  <c r="H2059" i="1"/>
  <c r="G2059" i="1"/>
  <c r="F2059" i="1"/>
  <c r="E2059" i="1"/>
  <c r="D2059" i="1"/>
  <c r="C2059" i="1"/>
  <c r="B2059" i="1"/>
  <c r="A2059" i="1"/>
  <c r="K2058" i="1"/>
  <c r="I2058" i="1"/>
  <c r="H2058" i="1"/>
  <c r="G2058" i="1"/>
  <c r="F2058" i="1"/>
  <c r="E2058" i="1"/>
  <c r="D2058" i="1"/>
  <c r="C2058" i="1"/>
  <c r="B2058" i="1"/>
  <c r="A2058" i="1"/>
  <c r="K2057" i="1"/>
  <c r="I2057" i="1"/>
  <c r="H2057" i="1"/>
  <c r="G2057" i="1"/>
  <c r="F2057" i="1"/>
  <c r="E2057" i="1"/>
  <c r="D2057" i="1"/>
  <c r="C2057" i="1"/>
  <c r="B2057" i="1"/>
  <c r="A2057" i="1"/>
  <c r="K2056" i="1"/>
  <c r="I2056" i="1"/>
  <c r="H2056" i="1"/>
  <c r="G2056" i="1"/>
  <c r="F2056" i="1"/>
  <c r="E2056" i="1"/>
  <c r="D2056" i="1"/>
  <c r="C2056" i="1"/>
  <c r="B2056" i="1"/>
  <c r="A2056" i="1"/>
  <c r="K2055" i="1"/>
  <c r="I2055" i="1"/>
  <c r="H2055" i="1"/>
  <c r="G2055" i="1"/>
  <c r="F2055" i="1"/>
  <c r="E2055" i="1"/>
  <c r="D2055" i="1"/>
  <c r="C2055" i="1"/>
  <c r="B2055" i="1"/>
  <c r="A2055" i="1"/>
  <c r="K2054" i="1"/>
  <c r="I2054" i="1"/>
  <c r="H2054" i="1"/>
  <c r="G2054" i="1"/>
  <c r="F2054" i="1"/>
  <c r="E2054" i="1"/>
  <c r="D2054" i="1"/>
  <c r="C2054" i="1"/>
  <c r="B2054" i="1"/>
  <c r="A2054" i="1"/>
  <c r="K2053" i="1"/>
  <c r="I2053" i="1"/>
  <c r="H2053" i="1"/>
  <c r="G2053" i="1"/>
  <c r="F2053" i="1"/>
  <c r="E2053" i="1"/>
  <c r="D2053" i="1"/>
  <c r="C2053" i="1"/>
  <c r="B2053" i="1"/>
  <c r="A2053" i="1"/>
  <c r="K2052" i="1"/>
  <c r="I2052" i="1"/>
  <c r="H2052" i="1"/>
  <c r="G2052" i="1"/>
  <c r="F2052" i="1"/>
  <c r="E2052" i="1"/>
  <c r="D2052" i="1"/>
  <c r="C2052" i="1"/>
  <c r="B2052" i="1"/>
  <c r="A2052" i="1"/>
  <c r="K2051" i="1"/>
  <c r="I2051" i="1"/>
  <c r="H2051" i="1"/>
  <c r="G2051" i="1"/>
  <c r="F2051" i="1"/>
  <c r="E2051" i="1"/>
  <c r="D2051" i="1"/>
  <c r="C2051" i="1"/>
  <c r="B2051" i="1"/>
  <c r="A2051" i="1"/>
  <c r="K2050" i="1"/>
  <c r="I2050" i="1"/>
  <c r="H2050" i="1"/>
  <c r="G2050" i="1"/>
  <c r="F2050" i="1"/>
  <c r="E2050" i="1"/>
  <c r="D2050" i="1"/>
  <c r="C2050" i="1"/>
  <c r="B2050" i="1"/>
  <c r="A2050" i="1"/>
  <c r="K2049" i="1"/>
  <c r="I2049" i="1"/>
  <c r="H2049" i="1"/>
  <c r="G2049" i="1"/>
  <c r="F2049" i="1"/>
  <c r="E2049" i="1"/>
  <c r="D2049" i="1"/>
  <c r="C2049" i="1"/>
  <c r="B2049" i="1"/>
  <c r="A2049" i="1"/>
  <c r="K2048" i="1"/>
  <c r="I2048" i="1"/>
  <c r="H2048" i="1"/>
  <c r="G2048" i="1"/>
  <c r="F2048" i="1"/>
  <c r="E2048" i="1"/>
  <c r="D2048" i="1"/>
  <c r="C2048" i="1"/>
  <c r="B2048" i="1"/>
  <c r="A2048" i="1"/>
  <c r="K2047" i="1"/>
  <c r="I2047" i="1"/>
  <c r="H2047" i="1"/>
  <c r="G2047" i="1"/>
  <c r="F2047" i="1"/>
  <c r="E2047" i="1"/>
  <c r="D2047" i="1"/>
  <c r="C2047" i="1"/>
  <c r="B2047" i="1"/>
  <c r="A2047" i="1"/>
  <c r="K2046" i="1"/>
  <c r="I2046" i="1"/>
  <c r="H2046" i="1"/>
  <c r="G2046" i="1"/>
  <c r="F2046" i="1"/>
  <c r="E2046" i="1"/>
  <c r="D2046" i="1"/>
  <c r="C2046" i="1"/>
  <c r="B2046" i="1"/>
  <c r="A2046" i="1"/>
  <c r="K2045" i="1"/>
  <c r="I2045" i="1"/>
  <c r="H2045" i="1"/>
  <c r="G2045" i="1"/>
  <c r="F2045" i="1"/>
  <c r="E2045" i="1"/>
  <c r="D2045" i="1"/>
  <c r="C2045" i="1"/>
  <c r="B2045" i="1"/>
  <c r="A2045" i="1"/>
  <c r="K2044" i="1"/>
  <c r="I2044" i="1"/>
  <c r="H2044" i="1"/>
  <c r="G2044" i="1"/>
  <c r="F2044" i="1"/>
  <c r="E2044" i="1"/>
  <c r="D2044" i="1"/>
  <c r="C2044" i="1"/>
  <c r="B2044" i="1"/>
  <c r="A2044" i="1"/>
  <c r="K2043" i="1"/>
  <c r="I2043" i="1"/>
  <c r="H2043" i="1"/>
  <c r="G2043" i="1"/>
  <c r="F2043" i="1"/>
  <c r="E2043" i="1"/>
  <c r="D2043" i="1"/>
  <c r="C2043" i="1"/>
  <c r="B2043" i="1"/>
  <c r="A2043" i="1"/>
  <c r="K2042" i="1"/>
  <c r="I2042" i="1"/>
  <c r="H2042" i="1"/>
  <c r="G2042" i="1"/>
  <c r="F2042" i="1"/>
  <c r="E2042" i="1"/>
  <c r="D2042" i="1"/>
  <c r="C2042" i="1"/>
  <c r="B2042" i="1"/>
  <c r="A2042" i="1"/>
  <c r="K2041" i="1"/>
  <c r="I2041" i="1"/>
  <c r="H2041" i="1"/>
  <c r="G2041" i="1"/>
  <c r="F2041" i="1"/>
  <c r="E2041" i="1"/>
  <c r="D2041" i="1"/>
  <c r="C2041" i="1"/>
  <c r="B2041" i="1"/>
  <c r="A2041" i="1"/>
  <c r="K2040" i="1"/>
  <c r="I2040" i="1"/>
  <c r="H2040" i="1"/>
  <c r="G2040" i="1"/>
  <c r="F2040" i="1"/>
  <c r="E2040" i="1"/>
  <c r="D2040" i="1"/>
  <c r="C2040" i="1"/>
  <c r="B2040" i="1"/>
  <c r="A2040" i="1"/>
  <c r="K2039" i="1"/>
  <c r="I2039" i="1"/>
  <c r="H2039" i="1"/>
  <c r="G2039" i="1"/>
  <c r="F2039" i="1"/>
  <c r="E2039" i="1"/>
  <c r="D2039" i="1"/>
  <c r="C2039" i="1"/>
  <c r="B2039" i="1"/>
  <c r="A2039" i="1"/>
  <c r="K2038" i="1"/>
  <c r="I2038" i="1"/>
  <c r="H2038" i="1"/>
  <c r="G2038" i="1"/>
  <c r="F2038" i="1"/>
  <c r="E2038" i="1"/>
  <c r="D2038" i="1"/>
  <c r="C2038" i="1"/>
  <c r="B2038" i="1"/>
  <c r="A2038" i="1"/>
  <c r="K2037" i="1"/>
  <c r="I2037" i="1"/>
  <c r="H2037" i="1"/>
  <c r="G2037" i="1"/>
  <c r="F2037" i="1"/>
  <c r="E2037" i="1"/>
  <c r="D2037" i="1"/>
  <c r="C2037" i="1"/>
  <c r="B2037" i="1"/>
  <c r="A2037" i="1"/>
  <c r="K2036" i="1"/>
  <c r="I2036" i="1"/>
  <c r="H2036" i="1"/>
  <c r="G2036" i="1"/>
  <c r="F2036" i="1"/>
  <c r="E2036" i="1"/>
  <c r="D2036" i="1"/>
  <c r="C2036" i="1"/>
  <c r="B2036" i="1"/>
  <c r="A2036" i="1"/>
  <c r="K2035" i="1"/>
  <c r="I2035" i="1"/>
  <c r="H2035" i="1"/>
  <c r="G2035" i="1"/>
  <c r="F2035" i="1"/>
  <c r="E2035" i="1"/>
  <c r="D2035" i="1"/>
  <c r="C2035" i="1"/>
  <c r="B2035" i="1"/>
  <c r="A2035" i="1"/>
  <c r="K2034" i="1"/>
  <c r="I2034" i="1"/>
  <c r="H2034" i="1"/>
  <c r="G2034" i="1"/>
  <c r="F2034" i="1"/>
  <c r="E2034" i="1"/>
  <c r="D2034" i="1"/>
  <c r="C2034" i="1"/>
  <c r="B2034" i="1"/>
  <c r="A2034" i="1"/>
  <c r="K2033" i="1"/>
  <c r="I2033" i="1"/>
  <c r="H2033" i="1"/>
  <c r="G2033" i="1"/>
  <c r="F2033" i="1"/>
  <c r="E2033" i="1"/>
  <c r="D2033" i="1"/>
  <c r="C2033" i="1"/>
  <c r="B2033" i="1"/>
  <c r="A2033" i="1"/>
  <c r="K2032" i="1"/>
  <c r="I2032" i="1"/>
  <c r="H2032" i="1"/>
  <c r="G2032" i="1"/>
  <c r="F2032" i="1"/>
  <c r="E2032" i="1"/>
  <c r="D2032" i="1"/>
  <c r="C2032" i="1"/>
  <c r="B2032" i="1"/>
  <c r="A2032" i="1"/>
  <c r="K2031" i="1"/>
  <c r="I2031" i="1"/>
  <c r="H2031" i="1"/>
  <c r="G2031" i="1"/>
  <c r="F2031" i="1"/>
  <c r="E2031" i="1"/>
  <c r="D2031" i="1"/>
  <c r="C2031" i="1"/>
  <c r="B2031" i="1"/>
  <c r="A2031" i="1"/>
  <c r="K2030" i="1"/>
  <c r="I2030" i="1"/>
  <c r="H2030" i="1"/>
  <c r="G2030" i="1"/>
  <c r="F2030" i="1"/>
  <c r="E2030" i="1"/>
  <c r="D2030" i="1"/>
  <c r="C2030" i="1"/>
  <c r="B2030" i="1"/>
  <c r="A2030" i="1"/>
  <c r="K2029" i="1"/>
  <c r="I2029" i="1"/>
  <c r="H2029" i="1"/>
  <c r="G2029" i="1"/>
  <c r="F2029" i="1"/>
  <c r="E2029" i="1"/>
  <c r="D2029" i="1"/>
  <c r="C2029" i="1"/>
  <c r="B2029" i="1"/>
  <c r="A2029" i="1"/>
  <c r="K2028" i="1"/>
  <c r="I2028" i="1"/>
  <c r="H2028" i="1"/>
  <c r="G2028" i="1"/>
  <c r="F2028" i="1"/>
  <c r="E2028" i="1"/>
  <c r="D2028" i="1"/>
  <c r="C2028" i="1"/>
  <c r="B2028" i="1"/>
  <c r="A2028" i="1"/>
  <c r="K2027" i="1"/>
  <c r="I2027" i="1"/>
  <c r="H2027" i="1"/>
  <c r="G2027" i="1"/>
  <c r="F2027" i="1"/>
  <c r="E2027" i="1"/>
  <c r="D2027" i="1"/>
  <c r="C2027" i="1"/>
  <c r="B2027" i="1"/>
  <c r="A2027" i="1"/>
  <c r="K2026" i="1"/>
  <c r="I2026" i="1"/>
  <c r="H2026" i="1"/>
  <c r="G2026" i="1"/>
  <c r="F2026" i="1"/>
  <c r="E2026" i="1"/>
  <c r="D2026" i="1"/>
  <c r="C2026" i="1"/>
  <c r="B2026" i="1"/>
  <c r="A2026" i="1"/>
  <c r="K2025" i="1"/>
  <c r="I2025" i="1"/>
  <c r="H2025" i="1"/>
  <c r="G2025" i="1"/>
  <c r="F2025" i="1"/>
  <c r="E2025" i="1"/>
  <c r="D2025" i="1"/>
  <c r="C2025" i="1"/>
  <c r="B2025" i="1"/>
  <c r="A2025" i="1"/>
  <c r="K2024" i="1"/>
  <c r="I2024" i="1"/>
  <c r="H2024" i="1"/>
  <c r="G2024" i="1"/>
  <c r="F2024" i="1"/>
  <c r="E2024" i="1"/>
  <c r="D2024" i="1"/>
  <c r="C2024" i="1"/>
  <c r="B2024" i="1"/>
  <c r="A2024" i="1"/>
  <c r="K2023" i="1"/>
  <c r="I2023" i="1"/>
  <c r="H2023" i="1"/>
  <c r="G2023" i="1"/>
  <c r="F2023" i="1"/>
  <c r="E2023" i="1"/>
  <c r="D2023" i="1"/>
  <c r="C2023" i="1"/>
  <c r="B2023" i="1"/>
  <c r="A2023" i="1"/>
  <c r="K2022" i="1"/>
  <c r="J2022" i="1"/>
  <c r="I2022" i="1"/>
  <c r="H2022" i="1"/>
  <c r="G2022" i="1"/>
  <c r="F2022" i="1"/>
  <c r="E2022" i="1"/>
  <c r="D2022" i="1"/>
  <c r="C2022" i="1"/>
  <c r="B2022" i="1"/>
  <c r="A2022" i="1"/>
  <c r="K2021" i="1"/>
  <c r="J2021" i="1"/>
  <c r="I2021" i="1"/>
  <c r="H2021" i="1"/>
  <c r="G2021" i="1"/>
  <c r="F2021" i="1"/>
  <c r="E2021" i="1"/>
  <c r="D2021" i="1"/>
  <c r="C2021" i="1"/>
  <c r="B2021" i="1"/>
  <c r="A2021" i="1"/>
  <c r="K2020" i="1"/>
  <c r="J2020" i="1"/>
  <c r="I2020" i="1"/>
  <c r="H2020" i="1"/>
  <c r="G2020" i="1"/>
  <c r="F2020" i="1"/>
  <c r="E2020" i="1"/>
  <c r="D2020" i="1"/>
  <c r="C2020" i="1"/>
  <c r="B2020" i="1"/>
  <c r="A2020" i="1"/>
  <c r="K2019" i="1"/>
  <c r="I2019" i="1"/>
  <c r="H2019" i="1"/>
  <c r="G2019" i="1"/>
  <c r="F2019" i="1"/>
  <c r="E2019" i="1"/>
  <c r="D2019" i="1"/>
  <c r="C2019" i="1"/>
  <c r="B2019" i="1"/>
  <c r="A2019" i="1"/>
  <c r="K2018" i="1"/>
  <c r="I2018" i="1"/>
  <c r="H2018" i="1"/>
  <c r="G2018" i="1"/>
  <c r="F2018" i="1"/>
  <c r="E2018" i="1"/>
  <c r="D2018" i="1"/>
  <c r="C2018" i="1"/>
  <c r="B2018" i="1"/>
  <c r="A2018" i="1"/>
  <c r="K2017" i="1"/>
  <c r="I2017" i="1"/>
  <c r="H2017" i="1"/>
  <c r="G2017" i="1"/>
  <c r="F2017" i="1"/>
  <c r="E2017" i="1"/>
  <c r="D2017" i="1"/>
  <c r="C2017" i="1"/>
  <c r="B2017" i="1"/>
  <c r="A2017" i="1"/>
  <c r="K2016" i="1"/>
  <c r="I2016" i="1"/>
  <c r="H2016" i="1"/>
  <c r="G2016" i="1"/>
  <c r="F2016" i="1"/>
  <c r="E2016" i="1"/>
  <c r="D2016" i="1"/>
  <c r="C2016" i="1"/>
  <c r="B2016" i="1"/>
  <c r="A2016" i="1"/>
  <c r="K2015" i="1"/>
  <c r="I2015" i="1"/>
  <c r="H2015" i="1"/>
  <c r="G2015" i="1"/>
  <c r="F2015" i="1"/>
  <c r="E2015" i="1"/>
  <c r="D2015" i="1"/>
  <c r="C2015" i="1"/>
  <c r="B2015" i="1"/>
  <c r="A2015" i="1"/>
  <c r="K2014" i="1"/>
  <c r="J2014" i="1"/>
  <c r="I2014" i="1"/>
  <c r="H2014" i="1"/>
  <c r="G2014" i="1"/>
  <c r="F2014" i="1"/>
  <c r="E2014" i="1"/>
  <c r="D2014" i="1"/>
  <c r="C2014" i="1"/>
  <c r="B2014" i="1"/>
  <c r="A2014" i="1"/>
  <c r="K2013" i="1"/>
  <c r="J2013" i="1"/>
  <c r="I2013" i="1"/>
  <c r="H2013" i="1"/>
  <c r="G2013" i="1"/>
  <c r="F2013" i="1"/>
  <c r="E2013" i="1"/>
  <c r="D2013" i="1"/>
  <c r="C2013" i="1"/>
  <c r="B2013" i="1"/>
  <c r="A2013" i="1"/>
  <c r="K2012" i="1"/>
  <c r="J2012" i="1"/>
  <c r="I2012" i="1"/>
  <c r="H2012" i="1"/>
  <c r="G2012" i="1"/>
  <c r="F2012" i="1"/>
  <c r="E2012" i="1"/>
  <c r="D2012" i="1"/>
  <c r="C2012" i="1"/>
  <c r="B2012" i="1"/>
  <c r="A2012" i="1"/>
  <c r="K2011" i="1"/>
  <c r="J2011" i="1"/>
  <c r="I2011" i="1"/>
  <c r="H2011" i="1"/>
  <c r="G2011" i="1"/>
  <c r="F2011" i="1"/>
  <c r="E2011" i="1"/>
  <c r="D2011" i="1"/>
  <c r="C2011" i="1"/>
  <c r="B2011" i="1"/>
  <c r="A2011" i="1"/>
  <c r="K2010" i="1"/>
  <c r="J2010" i="1"/>
  <c r="I2010" i="1"/>
  <c r="H2010" i="1"/>
  <c r="G2010" i="1"/>
  <c r="F2010" i="1"/>
  <c r="E2010" i="1"/>
  <c r="D2010" i="1"/>
  <c r="C2010" i="1"/>
  <c r="B2010" i="1"/>
  <c r="A2010" i="1"/>
  <c r="K2009" i="1"/>
  <c r="J2009" i="1"/>
  <c r="I2009" i="1"/>
  <c r="H2009" i="1"/>
  <c r="G2009" i="1"/>
  <c r="F2009" i="1"/>
  <c r="E2009" i="1"/>
  <c r="D2009" i="1"/>
  <c r="C2009" i="1"/>
  <c r="B2009" i="1"/>
  <c r="A2009" i="1"/>
  <c r="K2008" i="1"/>
  <c r="J2008" i="1"/>
  <c r="I2008" i="1"/>
  <c r="H2008" i="1"/>
  <c r="G2008" i="1"/>
  <c r="F2008" i="1"/>
  <c r="E2008" i="1"/>
  <c r="D2008" i="1"/>
  <c r="C2008" i="1"/>
  <c r="B2008" i="1"/>
  <c r="A2008" i="1"/>
  <c r="K2007" i="1"/>
  <c r="J2007" i="1"/>
  <c r="I2007" i="1"/>
  <c r="H2007" i="1"/>
  <c r="G2007" i="1"/>
  <c r="F2007" i="1"/>
  <c r="E2007" i="1"/>
  <c r="D2007" i="1"/>
  <c r="C2007" i="1"/>
  <c r="B2007" i="1"/>
  <c r="A2007" i="1"/>
  <c r="K2006" i="1"/>
  <c r="J2006" i="1"/>
  <c r="I2006" i="1"/>
  <c r="H2006" i="1"/>
  <c r="G2006" i="1"/>
  <c r="F2006" i="1"/>
  <c r="E2006" i="1"/>
  <c r="D2006" i="1"/>
  <c r="C2006" i="1"/>
  <c r="B2006" i="1"/>
  <c r="A2006" i="1"/>
  <c r="K2005" i="1"/>
  <c r="J2005" i="1"/>
  <c r="I2005" i="1"/>
  <c r="H2005" i="1"/>
  <c r="G2005" i="1"/>
  <c r="F2005" i="1"/>
  <c r="E2005" i="1"/>
  <c r="D2005" i="1"/>
  <c r="C2005" i="1"/>
  <c r="B2005" i="1"/>
  <c r="A2005" i="1"/>
  <c r="K2004" i="1"/>
  <c r="J2004" i="1"/>
  <c r="I2004" i="1"/>
  <c r="H2004" i="1"/>
  <c r="G2004" i="1"/>
  <c r="F2004" i="1"/>
  <c r="E2004" i="1"/>
  <c r="D2004" i="1"/>
  <c r="C2004" i="1"/>
  <c r="B2004" i="1"/>
  <c r="A2004" i="1"/>
  <c r="K2003" i="1"/>
  <c r="J2003" i="1"/>
  <c r="I2003" i="1"/>
  <c r="H2003" i="1"/>
  <c r="G2003" i="1"/>
  <c r="F2003" i="1"/>
  <c r="E2003" i="1"/>
  <c r="D2003" i="1"/>
  <c r="C2003" i="1"/>
  <c r="B2003" i="1"/>
  <c r="A2003" i="1"/>
  <c r="K2002" i="1"/>
  <c r="J2002" i="1"/>
  <c r="I2002" i="1"/>
  <c r="H2002" i="1"/>
  <c r="G2002" i="1"/>
  <c r="F2002" i="1"/>
  <c r="E2002" i="1"/>
  <c r="D2002" i="1"/>
  <c r="C2002" i="1"/>
  <c r="B2002" i="1"/>
  <c r="A2002" i="1"/>
  <c r="K2001" i="1"/>
  <c r="J2001" i="1"/>
  <c r="I2001" i="1"/>
  <c r="H2001" i="1"/>
  <c r="G2001" i="1"/>
  <c r="F2001" i="1"/>
  <c r="E2001" i="1"/>
  <c r="D2001" i="1"/>
  <c r="C2001" i="1"/>
  <c r="B2001" i="1"/>
  <c r="A2001" i="1"/>
  <c r="K2000" i="1"/>
  <c r="J2000" i="1"/>
  <c r="I2000" i="1"/>
  <c r="H2000" i="1"/>
  <c r="G2000" i="1"/>
  <c r="F2000" i="1"/>
  <c r="E2000" i="1"/>
  <c r="D2000" i="1"/>
  <c r="C2000" i="1"/>
  <c r="B2000" i="1"/>
  <c r="A2000" i="1"/>
  <c r="K1999" i="1"/>
  <c r="J1999" i="1"/>
  <c r="I1999" i="1"/>
  <c r="H1999" i="1"/>
  <c r="G1999" i="1"/>
  <c r="F1999" i="1"/>
  <c r="E1999" i="1"/>
  <c r="D1999" i="1"/>
  <c r="C1999" i="1"/>
  <c r="B1999" i="1"/>
  <c r="A1999" i="1"/>
  <c r="K1998" i="1"/>
  <c r="J1998" i="1"/>
  <c r="I1998" i="1"/>
  <c r="H1998" i="1"/>
  <c r="G1998" i="1"/>
  <c r="F1998" i="1"/>
  <c r="E1998" i="1"/>
  <c r="D1998" i="1"/>
  <c r="C1998" i="1"/>
  <c r="B1998" i="1"/>
  <c r="A1998" i="1"/>
  <c r="K1997" i="1"/>
  <c r="J1997" i="1"/>
  <c r="I1997" i="1"/>
  <c r="H1997" i="1"/>
  <c r="G1997" i="1"/>
  <c r="F1997" i="1"/>
  <c r="E1997" i="1"/>
  <c r="D1997" i="1"/>
  <c r="C1997" i="1"/>
  <c r="B1997" i="1"/>
  <c r="A1997" i="1"/>
  <c r="K1996" i="1"/>
  <c r="J1996" i="1"/>
  <c r="I1996" i="1"/>
  <c r="H1996" i="1"/>
  <c r="G1996" i="1"/>
  <c r="F1996" i="1"/>
  <c r="E1996" i="1"/>
  <c r="D1996" i="1"/>
  <c r="C1996" i="1"/>
  <c r="B1996" i="1"/>
  <c r="A1996" i="1"/>
  <c r="K1995" i="1"/>
  <c r="I1995" i="1"/>
  <c r="H1995" i="1"/>
  <c r="G1995" i="1"/>
  <c r="F1995" i="1"/>
  <c r="E1995" i="1"/>
  <c r="D1995" i="1"/>
  <c r="C1995" i="1"/>
  <c r="B1995" i="1"/>
  <c r="A1995" i="1"/>
  <c r="K1994" i="1"/>
  <c r="I1994" i="1"/>
  <c r="H1994" i="1"/>
  <c r="G1994" i="1"/>
  <c r="F1994" i="1"/>
  <c r="E1994" i="1"/>
  <c r="D1994" i="1"/>
  <c r="C1994" i="1"/>
  <c r="B1994" i="1"/>
  <c r="A1994" i="1"/>
  <c r="K1993" i="1"/>
  <c r="I1993" i="1"/>
  <c r="H1993" i="1"/>
  <c r="G1993" i="1"/>
  <c r="F1993" i="1"/>
  <c r="E1993" i="1"/>
  <c r="D1993" i="1"/>
  <c r="C1993" i="1"/>
  <c r="B1993" i="1"/>
  <c r="A1993" i="1"/>
  <c r="K1992" i="1"/>
  <c r="I1992" i="1"/>
  <c r="H1992" i="1"/>
  <c r="G1992" i="1"/>
  <c r="F1992" i="1"/>
  <c r="E1992" i="1"/>
  <c r="D1992" i="1"/>
  <c r="C1992" i="1"/>
  <c r="B1992" i="1"/>
  <c r="A1992" i="1"/>
  <c r="K1991" i="1"/>
  <c r="I1991" i="1"/>
  <c r="H1991" i="1"/>
  <c r="G1991" i="1"/>
  <c r="F1991" i="1"/>
  <c r="E1991" i="1"/>
  <c r="D1991" i="1"/>
  <c r="C1991" i="1"/>
  <c r="B1991" i="1"/>
  <c r="A1991" i="1"/>
  <c r="K1990" i="1"/>
  <c r="I1990" i="1"/>
  <c r="H1990" i="1"/>
  <c r="G1990" i="1"/>
  <c r="F1990" i="1"/>
  <c r="E1990" i="1"/>
  <c r="D1990" i="1"/>
  <c r="C1990" i="1"/>
  <c r="B1990" i="1"/>
  <c r="A1990" i="1"/>
  <c r="K1989" i="1"/>
  <c r="I1989" i="1"/>
  <c r="H1989" i="1"/>
  <c r="G1989" i="1"/>
  <c r="F1989" i="1"/>
  <c r="E1989" i="1"/>
  <c r="D1989" i="1"/>
  <c r="C1989" i="1"/>
  <c r="B1989" i="1"/>
  <c r="A1989" i="1"/>
  <c r="K1988" i="1"/>
  <c r="I1988" i="1"/>
  <c r="H1988" i="1"/>
  <c r="G1988" i="1"/>
  <c r="F1988" i="1"/>
  <c r="E1988" i="1"/>
  <c r="D1988" i="1"/>
  <c r="C1988" i="1"/>
  <c r="B1988" i="1"/>
  <c r="A1988" i="1"/>
  <c r="K1987" i="1"/>
  <c r="I1987" i="1"/>
  <c r="H1987" i="1"/>
  <c r="G1987" i="1"/>
  <c r="F1987" i="1"/>
  <c r="E1987" i="1"/>
  <c r="D1987" i="1"/>
  <c r="C1987" i="1"/>
  <c r="B1987" i="1"/>
  <c r="A1987" i="1"/>
  <c r="K1986" i="1"/>
  <c r="I1986" i="1"/>
  <c r="H1986" i="1"/>
  <c r="G1986" i="1"/>
  <c r="F1986" i="1"/>
  <c r="E1986" i="1"/>
  <c r="D1986" i="1"/>
  <c r="C1986" i="1"/>
  <c r="B1986" i="1"/>
  <c r="A1986" i="1"/>
  <c r="K1985" i="1"/>
  <c r="I1985" i="1"/>
  <c r="H1985" i="1"/>
  <c r="G1985" i="1"/>
  <c r="F1985" i="1"/>
  <c r="E1985" i="1"/>
  <c r="D1985" i="1"/>
  <c r="C1985" i="1"/>
  <c r="B1985" i="1"/>
  <c r="A1985" i="1"/>
  <c r="K1984" i="1"/>
  <c r="I1984" i="1"/>
  <c r="H1984" i="1"/>
  <c r="G1984" i="1"/>
  <c r="F1984" i="1"/>
  <c r="E1984" i="1"/>
  <c r="D1984" i="1"/>
  <c r="C1984" i="1"/>
  <c r="B1984" i="1"/>
  <c r="A1984" i="1"/>
  <c r="K1983" i="1"/>
  <c r="I1983" i="1"/>
  <c r="H1983" i="1"/>
  <c r="G1983" i="1"/>
  <c r="F1983" i="1"/>
  <c r="E1983" i="1"/>
  <c r="D1983" i="1"/>
  <c r="C1983" i="1"/>
  <c r="B1983" i="1"/>
  <c r="A1983" i="1"/>
  <c r="K1982" i="1"/>
  <c r="I1982" i="1"/>
  <c r="H1982" i="1"/>
  <c r="G1982" i="1"/>
  <c r="F1982" i="1"/>
  <c r="E1982" i="1"/>
  <c r="D1982" i="1"/>
  <c r="C1982" i="1"/>
  <c r="B1982" i="1"/>
  <c r="A1982" i="1"/>
  <c r="K1981" i="1"/>
  <c r="I1981" i="1"/>
  <c r="H1981" i="1"/>
  <c r="G1981" i="1"/>
  <c r="F1981" i="1"/>
  <c r="E1981" i="1"/>
  <c r="D1981" i="1"/>
  <c r="C1981" i="1"/>
  <c r="B1981" i="1"/>
  <c r="A1981" i="1"/>
  <c r="K1980" i="1"/>
  <c r="I1980" i="1"/>
  <c r="H1980" i="1"/>
  <c r="G1980" i="1"/>
  <c r="F1980" i="1"/>
  <c r="E1980" i="1"/>
  <c r="D1980" i="1"/>
  <c r="C1980" i="1"/>
  <c r="B1980" i="1"/>
  <c r="A1980" i="1"/>
  <c r="K1979" i="1"/>
  <c r="I1979" i="1"/>
  <c r="H1979" i="1"/>
  <c r="G1979" i="1"/>
  <c r="F1979" i="1"/>
  <c r="E1979" i="1"/>
  <c r="D1979" i="1"/>
  <c r="C1979" i="1"/>
  <c r="B1979" i="1"/>
  <c r="A1979" i="1"/>
  <c r="K1978" i="1"/>
  <c r="I1978" i="1"/>
  <c r="H1978" i="1"/>
  <c r="G1978" i="1"/>
  <c r="F1978" i="1"/>
  <c r="E1978" i="1"/>
  <c r="D1978" i="1"/>
  <c r="C1978" i="1"/>
  <c r="B1978" i="1"/>
  <c r="A1978" i="1"/>
  <c r="K1977" i="1"/>
  <c r="I1977" i="1"/>
  <c r="H1977" i="1"/>
  <c r="G1977" i="1"/>
  <c r="F1977" i="1"/>
  <c r="E1977" i="1"/>
  <c r="D1977" i="1"/>
  <c r="C1977" i="1"/>
  <c r="B1977" i="1"/>
  <c r="A1977" i="1"/>
  <c r="K1976" i="1"/>
  <c r="I1976" i="1"/>
  <c r="H1976" i="1"/>
  <c r="G1976" i="1"/>
  <c r="F1976" i="1"/>
  <c r="E1976" i="1"/>
  <c r="D1976" i="1"/>
  <c r="C1976" i="1"/>
  <c r="B1976" i="1"/>
  <c r="A1976" i="1"/>
  <c r="K1975" i="1"/>
  <c r="I1975" i="1"/>
  <c r="H1975" i="1"/>
  <c r="G1975" i="1"/>
  <c r="F1975" i="1"/>
  <c r="E1975" i="1"/>
  <c r="D1975" i="1"/>
  <c r="C1975" i="1"/>
  <c r="B1975" i="1"/>
  <c r="A1975" i="1"/>
  <c r="K1974" i="1"/>
  <c r="I1974" i="1"/>
  <c r="H1974" i="1"/>
  <c r="G1974" i="1"/>
  <c r="F1974" i="1"/>
  <c r="E1974" i="1"/>
  <c r="D1974" i="1"/>
  <c r="C1974" i="1"/>
  <c r="B1974" i="1"/>
  <c r="A1974" i="1"/>
  <c r="K1973" i="1"/>
  <c r="I1973" i="1"/>
  <c r="H1973" i="1"/>
  <c r="G1973" i="1"/>
  <c r="F1973" i="1"/>
  <c r="E1973" i="1"/>
  <c r="D1973" i="1"/>
  <c r="C1973" i="1"/>
  <c r="B1973" i="1"/>
  <c r="A1973" i="1"/>
  <c r="K1972" i="1"/>
  <c r="I1972" i="1"/>
  <c r="H1972" i="1"/>
  <c r="G1972" i="1"/>
  <c r="F1972" i="1"/>
  <c r="E1972" i="1"/>
  <c r="D1972" i="1"/>
  <c r="C1972" i="1"/>
  <c r="B1972" i="1"/>
  <c r="A1972" i="1"/>
  <c r="K1971" i="1"/>
  <c r="I1971" i="1"/>
  <c r="H1971" i="1"/>
  <c r="G1971" i="1"/>
  <c r="F1971" i="1"/>
  <c r="E1971" i="1"/>
  <c r="D1971" i="1"/>
  <c r="C1971" i="1"/>
  <c r="B1971" i="1"/>
  <c r="A1971" i="1"/>
  <c r="K1970" i="1"/>
  <c r="I1970" i="1"/>
  <c r="H1970" i="1"/>
  <c r="G1970" i="1"/>
  <c r="F1970" i="1"/>
  <c r="E1970" i="1"/>
  <c r="D1970" i="1"/>
  <c r="C1970" i="1"/>
  <c r="B1970" i="1"/>
  <c r="A1970" i="1"/>
  <c r="K1969" i="1"/>
  <c r="I1969" i="1"/>
  <c r="H1969" i="1"/>
  <c r="G1969" i="1"/>
  <c r="F1969" i="1"/>
  <c r="E1969" i="1"/>
  <c r="D1969" i="1"/>
  <c r="C1969" i="1"/>
  <c r="B1969" i="1"/>
  <c r="A1969" i="1"/>
  <c r="K1968" i="1"/>
  <c r="I1968" i="1"/>
  <c r="H1968" i="1"/>
  <c r="G1968" i="1"/>
  <c r="F1968" i="1"/>
  <c r="E1968" i="1"/>
  <c r="D1968" i="1"/>
  <c r="C1968" i="1"/>
  <c r="B1968" i="1"/>
  <c r="A1968" i="1"/>
  <c r="K1967" i="1"/>
  <c r="I1967" i="1"/>
  <c r="H1967" i="1"/>
  <c r="G1967" i="1"/>
  <c r="F1967" i="1"/>
  <c r="E1967" i="1"/>
  <c r="D1967" i="1"/>
  <c r="C1967" i="1"/>
  <c r="B1967" i="1"/>
  <c r="A1967" i="1"/>
  <c r="K1966" i="1"/>
  <c r="I1966" i="1"/>
  <c r="H1966" i="1"/>
  <c r="G1966" i="1"/>
  <c r="F1966" i="1"/>
  <c r="E1966" i="1"/>
  <c r="D1966" i="1"/>
  <c r="C1966" i="1"/>
  <c r="B1966" i="1"/>
  <c r="A1966" i="1"/>
  <c r="K1965" i="1"/>
  <c r="I1965" i="1"/>
  <c r="H1965" i="1"/>
  <c r="G1965" i="1"/>
  <c r="F1965" i="1"/>
  <c r="E1965" i="1"/>
  <c r="D1965" i="1"/>
  <c r="C1965" i="1"/>
  <c r="B1965" i="1"/>
  <c r="A1965" i="1"/>
  <c r="K1964" i="1"/>
  <c r="I1964" i="1"/>
  <c r="H1964" i="1"/>
  <c r="G1964" i="1"/>
  <c r="F1964" i="1"/>
  <c r="E1964" i="1"/>
  <c r="D1964" i="1"/>
  <c r="C1964" i="1"/>
  <c r="B1964" i="1"/>
  <c r="A1964" i="1"/>
  <c r="K1963" i="1"/>
  <c r="I1963" i="1"/>
  <c r="H1963" i="1"/>
  <c r="G1963" i="1"/>
  <c r="F1963" i="1"/>
  <c r="E1963" i="1"/>
  <c r="D1963" i="1"/>
  <c r="C1963" i="1"/>
  <c r="B1963" i="1"/>
  <c r="A1963" i="1"/>
  <c r="K1962" i="1"/>
  <c r="I1962" i="1"/>
  <c r="H1962" i="1"/>
  <c r="G1962" i="1"/>
  <c r="F1962" i="1"/>
  <c r="E1962" i="1"/>
  <c r="D1962" i="1"/>
  <c r="C1962" i="1"/>
  <c r="B1962" i="1"/>
  <c r="A1962" i="1"/>
  <c r="K1961" i="1"/>
  <c r="J1961" i="1"/>
  <c r="H1961" i="1"/>
  <c r="G1961" i="1"/>
  <c r="F1961" i="1"/>
  <c r="E1961" i="1"/>
  <c r="D1961" i="1"/>
  <c r="C1961" i="1"/>
  <c r="B1961" i="1"/>
  <c r="A1961" i="1"/>
  <c r="K1960" i="1"/>
  <c r="I1960" i="1"/>
  <c r="H1960" i="1"/>
  <c r="G1960" i="1"/>
  <c r="F1960" i="1"/>
  <c r="E1960" i="1"/>
  <c r="D1960" i="1"/>
  <c r="C1960" i="1"/>
  <c r="B1960" i="1"/>
  <c r="A1960" i="1"/>
  <c r="K1959" i="1"/>
  <c r="J1959" i="1"/>
  <c r="H1959" i="1"/>
  <c r="G1959" i="1"/>
  <c r="F1959" i="1"/>
  <c r="E1959" i="1"/>
  <c r="D1959" i="1"/>
  <c r="C1959" i="1"/>
  <c r="B1959" i="1"/>
  <c r="A1959" i="1"/>
  <c r="K1958" i="1"/>
  <c r="J1958" i="1"/>
  <c r="H1958" i="1"/>
  <c r="G1958" i="1"/>
  <c r="F1958" i="1"/>
  <c r="E1958" i="1"/>
  <c r="D1958" i="1"/>
  <c r="C1958" i="1"/>
  <c r="B1958" i="1"/>
  <c r="A1958" i="1"/>
  <c r="K1957" i="1"/>
  <c r="J1957" i="1"/>
  <c r="H1957" i="1"/>
  <c r="G1957" i="1"/>
  <c r="F1957" i="1"/>
  <c r="E1957" i="1"/>
  <c r="D1957" i="1"/>
  <c r="C1957" i="1"/>
  <c r="B1957" i="1"/>
  <c r="A1957" i="1"/>
  <c r="K1956" i="1"/>
  <c r="J1956" i="1"/>
  <c r="H1956" i="1"/>
  <c r="G1956" i="1"/>
  <c r="F1956" i="1"/>
  <c r="E1956" i="1"/>
  <c r="D1956" i="1"/>
  <c r="C1956" i="1"/>
  <c r="B1956" i="1"/>
  <c r="A1956" i="1"/>
  <c r="K1955" i="1"/>
  <c r="J1955" i="1"/>
  <c r="H1955" i="1"/>
  <c r="G1955" i="1"/>
  <c r="F1955" i="1"/>
  <c r="E1955" i="1"/>
  <c r="D1955" i="1"/>
  <c r="C1955" i="1"/>
  <c r="B1955" i="1"/>
  <c r="A1955" i="1"/>
  <c r="K1954" i="1"/>
  <c r="J1954" i="1"/>
  <c r="H1954" i="1"/>
  <c r="G1954" i="1"/>
  <c r="F1954" i="1"/>
  <c r="E1954" i="1"/>
  <c r="D1954" i="1"/>
  <c r="C1954" i="1"/>
  <c r="B1954" i="1"/>
  <c r="A1954" i="1"/>
  <c r="K1953" i="1"/>
  <c r="J1953" i="1"/>
  <c r="H1953" i="1"/>
  <c r="G1953" i="1"/>
  <c r="F1953" i="1"/>
  <c r="E1953" i="1"/>
  <c r="D1953" i="1"/>
  <c r="C1953" i="1"/>
  <c r="B1953" i="1"/>
  <c r="A1953" i="1"/>
  <c r="K1952" i="1"/>
  <c r="J1952" i="1"/>
  <c r="H1952" i="1"/>
  <c r="G1952" i="1"/>
  <c r="F1952" i="1"/>
  <c r="E1952" i="1"/>
  <c r="D1952" i="1"/>
  <c r="C1952" i="1"/>
  <c r="B1952" i="1"/>
  <c r="A1952" i="1"/>
  <c r="K1951" i="1"/>
  <c r="J1951" i="1"/>
  <c r="H1951" i="1"/>
  <c r="G1951" i="1"/>
  <c r="F1951" i="1"/>
  <c r="E1951" i="1"/>
  <c r="D1951" i="1"/>
  <c r="C1951" i="1"/>
  <c r="B1951" i="1"/>
  <c r="A1951" i="1"/>
  <c r="K1950" i="1"/>
  <c r="J1950" i="1"/>
  <c r="H1950" i="1"/>
  <c r="G1950" i="1"/>
  <c r="F1950" i="1"/>
  <c r="E1950" i="1"/>
  <c r="D1950" i="1"/>
  <c r="C1950" i="1"/>
  <c r="B1950" i="1"/>
  <c r="A1950" i="1"/>
  <c r="K1949" i="1"/>
  <c r="J1949" i="1"/>
  <c r="H1949" i="1"/>
  <c r="G1949" i="1"/>
  <c r="F1949" i="1"/>
  <c r="E1949" i="1"/>
  <c r="D1949" i="1"/>
  <c r="C1949" i="1"/>
  <c r="B1949" i="1"/>
  <c r="A1949" i="1"/>
  <c r="K1948" i="1"/>
  <c r="J1948" i="1"/>
  <c r="H1948" i="1"/>
  <c r="G1948" i="1"/>
  <c r="F1948" i="1"/>
  <c r="E1948" i="1"/>
  <c r="D1948" i="1"/>
  <c r="C1948" i="1"/>
  <c r="B1948" i="1"/>
  <c r="A1948" i="1"/>
  <c r="K1947" i="1"/>
  <c r="J1947" i="1"/>
  <c r="H1947" i="1"/>
  <c r="G1947" i="1"/>
  <c r="F1947" i="1"/>
  <c r="E1947" i="1"/>
  <c r="D1947" i="1"/>
  <c r="C1947" i="1"/>
  <c r="B1947" i="1"/>
  <c r="A1947" i="1"/>
  <c r="K1946" i="1"/>
  <c r="J1946" i="1"/>
  <c r="H1946" i="1"/>
  <c r="G1946" i="1"/>
  <c r="F1946" i="1"/>
  <c r="E1946" i="1"/>
  <c r="D1946" i="1"/>
  <c r="C1946" i="1"/>
  <c r="B1946" i="1"/>
  <c r="A1946" i="1"/>
  <c r="K1945" i="1"/>
  <c r="J1945" i="1"/>
  <c r="H1945" i="1"/>
  <c r="G1945" i="1"/>
  <c r="F1945" i="1"/>
  <c r="E1945" i="1"/>
  <c r="D1945" i="1"/>
  <c r="C1945" i="1"/>
  <c r="B1945" i="1"/>
  <c r="A1945" i="1"/>
  <c r="K1944" i="1"/>
  <c r="J1944" i="1"/>
  <c r="H1944" i="1"/>
  <c r="G1944" i="1"/>
  <c r="F1944" i="1"/>
  <c r="E1944" i="1"/>
  <c r="D1944" i="1"/>
  <c r="C1944" i="1"/>
  <c r="B1944" i="1"/>
  <c r="A1944" i="1"/>
  <c r="K1943" i="1"/>
  <c r="J1943" i="1"/>
  <c r="H1943" i="1"/>
  <c r="G1943" i="1"/>
  <c r="F1943" i="1"/>
  <c r="E1943" i="1"/>
  <c r="D1943" i="1"/>
  <c r="C1943" i="1"/>
  <c r="B1943" i="1"/>
  <c r="A1943" i="1"/>
  <c r="K1942" i="1"/>
  <c r="J1942" i="1"/>
  <c r="H1942" i="1"/>
  <c r="G1942" i="1"/>
  <c r="F1942" i="1"/>
  <c r="E1942" i="1"/>
  <c r="D1942" i="1"/>
  <c r="C1942" i="1"/>
  <c r="B1942" i="1"/>
  <c r="A1942" i="1"/>
  <c r="K1941" i="1"/>
  <c r="J1941" i="1"/>
  <c r="H1941" i="1"/>
  <c r="G1941" i="1"/>
  <c r="F1941" i="1"/>
  <c r="E1941" i="1"/>
  <c r="D1941" i="1"/>
  <c r="C1941" i="1"/>
  <c r="B1941" i="1"/>
  <c r="A1941" i="1"/>
  <c r="K1940" i="1"/>
  <c r="J1940" i="1"/>
  <c r="H1940" i="1"/>
  <c r="G1940" i="1"/>
  <c r="F1940" i="1"/>
  <c r="E1940" i="1"/>
  <c r="D1940" i="1"/>
  <c r="C1940" i="1"/>
  <c r="B1940" i="1"/>
  <c r="A1940" i="1"/>
  <c r="K1939" i="1"/>
  <c r="J1939" i="1"/>
  <c r="H1939" i="1"/>
  <c r="G1939" i="1"/>
  <c r="F1939" i="1"/>
  <c r="E1939" i="1"/>
  <c r="D1939" i="1"/>
  <c r="C1939" i="1"/>
  <c r="B1939" i="1"/>
  <c r="A1939" i="1"/>
  <c r="K1938" i="1"/>
  <c r="J1938" i="1"/>
  <c r="H1938" i="1"/>
  <c r="G1938" i="1"/>
  <c r="F1938" i="1"/>
  <c r="E1938" i="1"/>
  <c r="D1938" i="1"/>
  <c r="C1938" i="1"/>
  <c r="B1938" i="1"/>
  <c r="A1938" i="1"/>
  <c r="K1937" i="1"/>
  <c r="J1937" i="1"/>
  <c r="H1937" i="1"/>
  <c r="G1937" i="1"/>
  <c r="F1937" i="1"/>
  <c r="E1937" i="1"/>
  <c r="D1937" i="1"/>
  <c r="C1937" i="1"/>
  <c r="B1937" i="1"/>
  <c r="A1937" i="1"/>
  <c r="K1936" i="1"/>
  <c r="J1936" i="1"/>
  <c r="H1936" i="1"/>
  <c r="G1936" i="1"/>
  <c r="F1936" i="1"/>
  <c r="E1936" i="1"/>
  <c r="D1936" i="1"/>
  <c r="C1936" i="1"/>
  <c r="B1936" i="1"/>
  <c r="A1936" i="1"/>
  <c r="K1935" i="1"/>
  <c r="J1935" i="1"/>
  <c r="H1935" i="1"/>
  <c r="G1935" i="1"/>
  <c r="F1935" i="1"/>
  <c r="E1935" i="1"/>
  <c r="D1935" i="1"/>
  <c r="C1935" i="1"/>
  <c r="B1935" i="1"/>
  <c r="A1935" i="1"/>
  <c r="K1934" i="1"/>
  <c r="J1934" i="1"/>
  <c r="H1934" i="1"/>
  <c r="G1934" i="1"/>
  <c r="F1934" i="1"/>
  <c r="E1934" i="1"/>
  <c r="D1934" i="1"/>
  <c r="C1934" i="1"/>
  <c r="B1934" i="1"/>
  <c r="A1934" i="1"/>
  <c r="K1933" i="1"/>
  <c r="J1933" i="1"/>
  <c r="I1933" i="1"/>
  <c r="H1933" i="1"/>
  <c r="G1933" i="1"/>
  <c r="F1933" i="1"/>
  <c r="E1933" i="1"/>
  <c r="D1933" i="1"/>
  <c r="C1933" i="1"/>
  <c r="B1933" i="1"/>
  <c r="A1933" i="1"/>
  <c r="K1932" i="1"/>
  <c r="J1932" i="1"/>
  <c r="I1932" i="1"/>
  <c r="H1932" i="1"/>
  <c r="G1932" i="1"/>
  <c r="F1932" i="1"/>
  <c r="E1932" i="1"/>
  <c r="D1932" i="1"/>
  <c r="C1932" i="1"/>
  <c r="B1932" i="1"/>
  <c r="A1932" i="1"/>
  <c r="K1931" i="1"/>
  <c r="J1931" i="1"/>
  <c r="I1931" i="1"/>
  <c r="H1931" i="1"/>
  <c r="G1931" i="1"/>
  <c r="F1931" i="1"/>
  <c r="E1931" i="1"/>
  <c r="D1931" i="1"/>
  <c r="C1931" i="1"/>
  <c r="B1931" i="1"/>
  <c r="A1931" i="1"/>
  <c r="K1930" i="1"/>
  <c r="J1930" i="1"/>
  <c r="I1930" i="1"/>
  <c r="H1930" i="1"/>
  <c r="G1930" i="1"/>
  <c r="F1930" i="1"/>
  <c r="E1930" i="1"/>
  <c r="D1930" i="1"/>
  <c r="C1930" i="1"/>
  <c r="B1930" i="1"/>
  <c r="A1930" i="1"/>
  <c r="K1929" i="1"/>
  <c r="J1929" i="1"/>
  <c r="I1929" i="1"/>
  <c r="H1929" i="1"/>
  <c r="G1929" i="1"/>
  <c r="F1929" i="1"/>
  <c r="E1929" i="1"/>
  <c r="D1929" i="1"/>
  <c r="C1929" i="1"/>
  <c r="B1929" i="1"/>
  <c r="A1929" i="1"/>
  <c r="K1928" i="1"/>
  <c r="J1928" i="1"/>
  <c r="I1928" i="1"/>
  <c r="H1928" i="1"/>
  <c r="G1928" i="1"/>
  <c r="F1928" i="1"/>
  <c r="E1928" i="1"/>
  <c r="D1928" i="1"/>
  <c r="C1928" i="1"/>
  <c r="B1928" i="1"/>
  <c r="A1928" i="1"/>
  <c r="K1927" i="1"/>
  <c r="J1927" i="1"/>
  <c r="I1927" i="1"/>
  <c r="H1927" i="1"/>
  <c r="G1927" i="1"/>
  <c r="F1927" i="1"/>
  <c r="E1927" i="1"/>
  <c r="D1927" i="1"/>
  <c r="C1927" i="1"/>
  <c r="B1927" i="1"/>
  <c r="A1927" i="1"/>
  <c r="K1926" i="1"/>
  <c r="J1926" i="1"/>
  <c r="I1926" i="1"/>
  <c r="H1926" i="1"/>
  <c r="G1926" i="1"/>
  <c r="F1926" i="1"/>
  <c r="E1926" i="1"/>
  <c r="D1926" i="1"/>
  <c r="C1926" i="1"/>
  <c r="B1926" i="1"/>
  <c r="A1926" i="1"/>
  <c r="K1925" i="1"/>
  <c r="J1925" i="1"/>
  <c r="I1925" i="1"/>
  <c r="H1925" i="1"/>
  <c r="G1925" i="1"/>
  <c r="F1925" i="1"/>
  <c r="E1925" i="1"/>
  <c r="D1925" i="1"/>
  <c r="C1925" i="1"/>
  <c r="B1925" i="1"/>
  <c r="A1925" i="1"/>
  <c r="K1924" i="1"/>
  <c r="J1924" i="1"/>
  <c r="I1924" i="1"/>
  <c r="H1924" i="1"/>
  <c r="G1924" i="1"/>
  <c r="F1924" i="1"/>
  <c r="E1924" i="1"/>
  <c r="D1924" i="1"/>
  <c r="C1924" i="1"/>
  <c r="B1924" i="1"/>
  <c r="A1924" i="1"/>
  <c r="K1923" i="1"/>
  <c r="J1923" i="1"/>
  <c r="I1923" i="1"/>
  <c r="H1923" i="1"/>
  <c r="G1923" i="1"/>
  <c r="F1923" i="1"/>
  <c r="E1923" i="1"/>
  <c r="D1923" i="1"/>
  <c r="C1923" i="1"/>
  <c r="B1923" i="1"/>
  <c r="A1923" i="1"/>
  <c r="K1922" i="1"/>
  <c r="J1922" i="1"/>
  <c r="I1922" i="1"/>
  <c r="H1922" i="1"/>
  <c r="G1922" i="1"/>
  <c r="F1922" i="1"/>
  <c r="E1922" i="1"/>
  <c r="D1922" i="1"/>
  <c r="C1922" i="1"/>
  <c r="B1922" i="1"/>
  <c r="A1922" i="1"/>
  <c r="K1921" i="1"/>
  <c r="J1921" i="1"/>
  <c r="H1921" i="1"/>
  <c r="G1921" i="1"/>
  <c r="F1921" i="1"/>
  <c r="E1921" i="1"/>
  <c r="D1921" i="1"/>
  <c r="C1921" i="1"/>
  <c r="B1921" i="1"/>
  <c r="A1921" i="1"/>
  <c r="K1920" i="1"/>
  <c r="J1920" i="1"/>
  <c r="I1920" i="1"/>
  <c r="H1920" i="1"/>
  <c r="G1920" i="1"/>
  <c r="F1920" i="1"/>
  <c r="E1920" i="1"/>
  <c r="D1920" i="1"/>
  <c r="C1920" i="1"/>
  <c r="B1920" i="1"/>
  <c r="A1920" i="1"/>
  <c r="K1919" i="1"/>
  <c r="J1919" i="1"/>
  <c r="I1919" i="1"/>
  <c r="H1919" i="1"/>
  <c r="G1919" i="1"/>
  <c r="F1919" i="1"/>
  <c r="E1919" i="1"/>
  <c r="D1919" i="1"/>
  <c r="C1919" i="1"/>
  <c r="B1919" i="1"/>
  <c r="A1919" i="1"/>
  <c r="K1918" i="1"/>
  <c r="I1918" i="1"/>
  <c r="H1918" i="1"/>
  <c r="G1918" i="1"/>
  <c r="F1918" i="1"/>
  <c r="E1918" i="1"/>
  <c r="D1918" i="1"/>
  <c r="C1918" i="1"/>
  <c r="B1918" i="1"/>
  <c r="A1918" i="1"/>
  <c r="K1917" i="1"/>
  <c r="I1917" i="1"/>
  <c r="H1917" i="1"/>
  <c r="G1917" i="1"/>
  <c r="F1917" i="1"/>
  <c r="E1917" i="1"/>
  <c r="D1917" i="1"/>
  <c r="C1917" i="1"/>
  <c r="B1917" i="1"/>
  <c r="A1917" i="1"/>
  <c r="K1916" i="1"/>
  <c r="I1916" i="1"/>
  <c r="H1916" i="1"/>
  <c r="G1916" i="1"/>
  <c r="F1916" i="1"/>
  <c r="E1916" i="1"/>
  <c r="D1916" i="1"/>
  <c r="C1916" i="1"/>
  <c r="B1916" i="1"/>
  <c r="A1916" i="1"/>
  <c r="K1915" i="1"/>
  <c r="I1915" i="1"/>
  <c r="H1915" i="1"/>
  <c r="G1915" i="1"/>
  <c r="F1915" i="1"/>
  <c r="E1915" i="1"/>
  <c r="D1915" i="1"/>
  <c r="C1915" i="1"/>
  <c r="B1915" i="1"/>
  <c r="A1915" i="1"/>
  <c r="K1914" i="1"/>
  <c r="I1914" i="1"/>
  <c r="H1914" i="1"/>
  <c r="G1914" i="1"/>
  <c r="F1914" i="1"/>
  <c r="E1914" i="1"/>
  <c r="D1914" i="1"/>
  <c r="C1914" i="1"/>
  <c r="B1914" i="1"/>
  <c r="A1914" i="1"/>
  <c r="K1913" i="1"/>
  <c r="I1913" i="1"/>
  <c r="H1913" i="1"/>
  <c r="G1913" i="1"/>
  <c r="F1913" i="1"/>
  <c r="E1913" i="1"/>
  <c r="D1913" i="1"/>
  <c r="C1913" i="1"/>
  <c r="B1913" i="1"/>
  <c r="A1913" i="1"/>
  <c r="K1912" i="1"/>
  <c r="I1912" i="1"/>
  <c r="H1912" i="1"/>
  <c r="G1912" i="1"/>
  <c r="F1912" i="1"/>
  <c r="E1912" i="1"/>
  <c r="D1912" i="1"/>
  <c r="C1912" i="1"/>
  <c r="B1912" i="1"/>
  <c r="A1912" i="1"/>
  <c r="K1911" i="1"/>
  <c r="I1911" i="1"/>
  <c r="H1911" i="1"/>
  <c r="G1911" i="1"/>
  <c r="F1911" i="1"/>
  <c r="E1911" i="1"/>
  <c r="D1911" i="1"/>
  <c r="C1911" i="1"/>
  <c r="B1911" i="1"/>
  <c r="A1911" i="1"/>
  <c r="K1910" i="1"/>
  <c r="J1910" i="1"/>
  <c r="H1910" i="1"/>
  <c r="G1910" i="1"/>
  <c r="F1910" i="1"/>
  <c r="E1910" i="1"/>
  <c r="D1910" i="1"/>
  <c r="C1910" i="1"/>
  <c r="B1910" i="1"/>
  <c r="A1910" i="1"/>
  <c r="K1909" i="1"/>
  <c r="I1909" i="1"/>
  <c r="H1909" i="1"/>
  <c r="G1909" i="1"/>
  <c r="F1909" i="1"/>
  <c r="E1909" i="1"/>
  <c r="D1909" i="1"/>
  <c r="C1909" i="1"/>
  <c r="B1909" i="1"/>
  <c r="A1909" i="1"/>
  <c r="K1908" i="1"/>
  <c r="I1908" i="1"/>
  <c r="H1908" i="1"/>
  <c r="G1908" i="1"/>
  <c r="F1908" i="1"/>
  <c r="E1908" i="1"/>
  <c r="D1908" i="1"/>
  <c r="C1908" i="1"/>
  <c r="B1908" i="1"/>
  <c r="A1908" i="1"/>
  <c r="K1907" i="1"/>
  <c r="J1907" i="1"/>
  <c r="H1907" i="1"/>
  <c r="G1907" i="1"/>
  <c r="F1907" i="1"/>
  <c r="E1907" i="1"/>
  <c r="D1907" i="1"/>
  <c r="C1907" i="1"/>
  <c r="B1907" i="1"/>
  <c r="A1907" i="1"/>
  <c r="K1906" i="1"/>
  <c r="J1906" i="1"/>
  <c r="H1906" i="1"/>
  <c r="G1906" i="1"/>
  <c r="F1906" i="1"/>
  <c r="E1906" i="1"/>
  <c r="D1906" i="1"/>
  <c r="C1906" i="1"/>
  <c r="B1906" i="1"/>
  <c r="A1906" i="1"/>
  <c r="K1905" i="1"/>
  <c r="J1905" i="1"/>
  <c r="H1905" i="1"/>
  <c r="G1905" i="1"/>
  <c r="F1905" i="1"/>
  <c r="E1905" i="1"/>
  <c r="D1905" i="1"/>
  <c r="C1905" i="1"/>
  <c r="B1905" i="1"/>
  <c r="A1905" i="1"/>
  <c r="K1904" i="1"/>
  <c r="J1904" i="1"/>
  <c r="H1904" i="1"/>
  <c r="G1904" i="1"/>
  <c r="F1904" i="1"/>
  <c r="E1904" i="1"/>
  <c r="D1904" i="1"/>
  <c r="C1904" i="1"/>
  <c r="B1904" i="1"/>
  <c r="A1904" i="1"/>
  <c r="K1903" i="1"/>
  <c r="J1903" i="1"/>
  <c r="H1903" i="1"/>
  <c r="G1903" i="1"/>
  <c r="F1903" i="1"/>
  <c r="E1903" i="1"/>
  <c r="D1903" i="1"/>
  <c r="C1903" i="1"/>
  <c r="B1903" i="1"/>
  <c r="A1903" i="1"/>
  <c r="K1902" i="1"/>
  <c r="J1902" i="1"/>
  <c r="H1902" i="1"/>
  <c r="G1902" i="1"/>
  <c r="F1902" i="1"/>
  <c r="E1902" i="1"/>
  <c r="D1902" i="1"/>
  <c r="C1902" i="1"/>
  <c r="B1902" i="1"/>
  <c r="A1902" i="1"/>
  <c r="K1901" i="1"/>
  <c r="J1901" i="1"/>
  <c r="H1901" i="1"/>
  <c r="G1901" i="1"/>
  <c r="F1901" i="1"/>
  <c r="E1901" i="1"/>
  <c r="D1901" i="1"/>
  <c r="C1901" i="1"/>
  <c r="B1901" i="1"/>
  <c r="A1901" i="1"/>
  <c r="K1900" i="1"/>
  <c r="J1900" i="1"/>
  <c r="H1900" i="1"/>
  <c r="G1900" i="1"/>
  <c r="F1900" i="1"/>
  <c r="E1900" i="1"/>
  <c r="D1900" i="1"/>
  <c r="C1900" i="1"/>
  <c r="B1900" i="1"/>
  <c r="A1900" i="1"/>
  <c r="K1899" i="1"/>
  <c r="J1899" i="1"/>
  <c r="H1899" i="1"/>
  <c r="G1899" i="1"/>
  <c r="F1899" i="1"/>
  <c r="E1899" i="1"/>
  <c r="D1899" i="1"/>
  <c r="C1899" i="1"/>
  <c r="B1899" i="1"/>
  <c r="A1899" i="1"/>
  <c r="K1898" i="1"/>
  <c r="J1898" i="1"/>
  <c r="H1898" i="1"/>
  <c r="G1898" i="1"/>
  <c r="F1898" i="1"/>
  <c r="E1898" i="1"/>
  <c r="D1898" i="1"/>
  <c r="C1898" i="1"/>
  <c r="B1898" i="1"/>
  <c r="A1898" i="1"/>
  <c r="K1897" i="1"/>
  <c r="J1897" i="1"/>
  <c r="H1897" i="1"/>
  <c r="G1897" i="1"/>
  <c r="F1897" i="1"/>
  <c r="E1897" i="1"/>
  <c r="D1897" i="1"/>
  <c r="C1897" i="1"/>
  <c r="B1897" i="1"/>
  <c r="A1897" i="1"/>
  <c r="K1896" i="1"/>
  <c r="I1896" i="1"/>
  <c r="H1896" i="1"/>
  <c r="G1896" i="1"/>
  <c r="F1896" i="1"/>
  <c r="E1896" i="1"/>
  <c r="D1896" i="1"/>
  <c r="C1896" i="1"/>
  <c r="B1896" i="1"/>
  <c r="A1896" i="1"/>
  <c r="K1895" i="1"/>
  <c r="I1895" i="1"/>
  <c r="H1895" i="1"/>
  <c r="G1895" i="1"/>
  <c r="F1895" i="1"/>
  <c r="E1895" i="1"/>
  <c r="D1895" i="1"/>
  <c r="C1895" i="1"/>
  <c r="B1895" i="1"/>
  <c r="A1895" i="1"/>
  <c r="K1894" i="1"/>
  <c r="I1894" i="1"/>
  <c r="H1894" i="1"/>
  <c r="G1894" i="1"/>
  <c r="F1894" i="1"/>
  <c r="E1894" i="1"/>
  <c r="D1894" i="1"/>
  <c r="C1894" i="1"/>
  <c r="B1894" i="1"/>
  <c r="A1894" i="1"/>
  <c r="K1893" i="1"/>
  <c r="I1893" i="1"/>
  <c r="H1893" i="1"/>
  <c r="G1893" i="1"/>
  <c r="F1893" i="1"/>
  <c r="E1893" i="1"/>
  <c r="D1893" i="1"/>
  <c r="C1893" i="1"/>
  <c r="B1893" i="1"/>
  <c r="A1893" i="1"/>
  <c r="K1892" i="1"/>
  <c r="I1892" i="1"/>
  <c r="H1892" i="1"/>
  <c r="G1892" i="1"/>
  <c r="F1892" i="1"/>
  <c r="E1892" i="1"/>
  <c r="D1892" i="1"/>
  <c r="C1892" i="1"/>
  <c r="B1892" i="1"/>
  <c r="A1892" i="1"/>
  <c r="K1891" i="1"/>
  <c r="I1891" i="1"/>
  <c r="H1891" i="1"/>
  <c r="G1891" i="1"/>
  <c r="F1891" i="1"/>
  <c r="E1891" i="1"/>
  <c r="D1891" i="1"/>
  <c r="C1891" i="1"/>
  <c r="B1891" i="1"/>
  <c r="A1891" i="1"/>
  <c r="K1890" i="1"/>
  <c r="J1890" i="1"/>
  <c r="I1890" i="1"/>
  <c r="H1890" i="1"/>
  <c r="G1890" i="1"/>
  <c r="F1890" i="1"/>
  <c r="E1890" i="1"/>
  <c r="D1890" i="1"/>
  <c r="C1890" i="1"/>
  <c r="B1890" i="1"/>
  <c r="A1890" i="1"/>
  <c r="K1889" i="1"/>
  <c r="I1889" i="1"/>
  <c r="H1889" i="1"/>
  <c r="G1889" i="1"/>
  <c r="F1889" i="1"/>
  <c r="E1889" i="1"/>
  <c r="D1889" i="1"/>
  <c r="C1889" i="1"/>
  <c r="B1889" i="1"/>
  <c r="A1889" i="1"/>
  <c r="K1888" i="1"/>
  <c r="I1888" i="1"/>
  <c r="H1888" i="1"/>
  <c r="G1888" i="1"/>
  <c r="F1888" i="1"/>
  <c r="E1888" i="1"/>
  <c r="D1888" i="1"/>
  <c r="C1888" i="1"/>
  <c r="B1888" i="1"/>
  <c r="A1888" i="1"/>
  <c r="K1887" i="1"/>
  <c r="I1887" i="1"/>
  <c r="H1887" i="1"/>
  <c r="G1887" i="1"/>
  <c r="F1887" i="1"/>
  <c r="E1887" i="1"/>
  <c r="D1887" i="1"/>
  <c r="C1887" i="1"/>
  <c r="B1887" i="1"/>
  <c r="A1887" i="1"/>
  <c r="K1886" i="1"/>
  <c r="I1886" i="1"/>
  <c r="H1886" i="1"/>
  <c r="G1886" i="1"/>
  <c r="F1886" i="1"/>
  <c r="E1886" i="1"/>
  <c r="D1886" i="1"/>
  <c r="C1886" i="1"/>
  <c r="B1886" i="1"/>
  <c r="A1886" i="1"/>
  <c r="K1885" i="1"/>
  <c r="I1885" i="1"/>
  <c r="H1885" i="1"/>
  <c r="G1885" i="1"/>
  <c r="F1885" i="1"/>
  <c r="E1885" i="1"/>
  <c r="D1885" i="1"/>
  <c r="C1885" i="1"/>
  <c r="B1885" i="1"/>
  <c r="A1885" i="1"/>
  <c r="K1884" i="1"/>
  <c r="I1884" i="1"/>
  <c r="H1884" i="1"/>
  <c r="G1884" i="1"/>
  <c r="F1884" i="1"/>
  <c r="E1884" i="1"/>
  <c r="D1884" i="1"/>
  <c r="C1884" i="1"/>
  <c r="B1884" i="1"/>
  <c r="A1884" i="1"/>
  <c r="K1883" i="1"/>
  <c r="I1883" i="1"/>
  <c r="H1883" i="1"/>
  <c r="G1883" i="1"/>
  <c r="F1883" i="1"/>
  <c r="E1883" i="1"/>
  <c r="D1883" i="1"/>
  <c r="C1883" i="1"/>
  <c r="B1883" i="1"/>
  <c r="A1883" i="1"/>
  <c r="K1882" i="1"/>
  <c r="I1882" i="1"/>
  <c r="H1882" i="1"/>
  <c r="G1882" i="1"/>
  <c r="F1882" i="1"/>
  <c r="E1882" i="1"/>
  <c r="D1882" i="1"/>
  <c r="C1882" i="1"/>
  <c r="B1882" i="1"/>
  <c r="A1882" i="1"/>
  <c r="K1881" i="1"/>
  <c r="I1881" i="1"/>
  <c r="H1881" i="1"/>
  <c r="G1881" i="1"/>
  <c r="F1881" i="1"/>
  <c r="E1881" i="1"/>
  <c r="D1881" i="1"/>
  <c r="C1881" i="1"/>
  <c r="B1881" i="1"/>
  <c r="A1881" i="1"/>
  <c r="K1880" i="1"/>
  <c r="I1880" i="1"/>
  <c r="H1880" i="1"/>
  <c r="G1880" i="1"/>
  <c r="F1880" i="1"/>
  <c r="E1880" i="1"/>
  <c r="D1880" i="1"/>
  <c r="C1880" i="1"/>
  <c r="B1880" i="1"/>
  <c r="A1880" i="1"/>
  <c r="K1879" i="1"/>
  <c r="I1879" i="1"/>
  <c r="H1879" i="1"/>
  <c r="G1879" i="1"/>
  <c r="F1879" i="1"/>
  <c r="E1879" i="1"/>
  <c r="D1879" i="1"/>
  <c r="C1879" i="1"/>
  <c r="B1879" i="1"/>
  <c r="A1879" i="1"/>
  <c r="K1878" i="1"/>
  <c r="I1878" i="1"/>
  <c r="H1878" i="1"/>
  <c r="G1878" i="1"/>
  <c r="F1878" i="1"/>
  <c r="E1878" i="1"/>
  <c r="D1878" i="1"/>
  <c r="C1878" i="1"/>
  <c r="B1878" i="1"/>
  <c r="A1878" i="1"/>
  <c r="K1877" i="1"/>
  <c r="J1877" i="1"/>
  <c r="H1877" i="1"/>
  <c r="G1877" i="1"/>
  <c r="F1877" i="1"/>
  <c r="E1877" i="1"/>
  <c r="D1877" i="1"/>
  <c r="C1877" i="1"/>
  <c r="B1877" i="1"/>
  <c r="A1877" i="1"/>
  <c r="K1876" i="1"/>
  <c r="J1876" i="1"/>
  <c r="H1876" i="1"/>
  <c r="G1876" i="1"/>
  <c r="F1876" i="1"/>
  <c r="E1876" i="1"/>
  <c r="D1876" i="1"/>
  <c r="C1876" i="1"/>
  <c r="B1876" i="1"/>
  <c r="A1876" i="1"/>
  <c r="K1875" i="1"/>
  <c r="J1875" i="1"/>
  <c r="H1875" i="1"/>
  <c r="G1875" i="1"/>
  <c r="F1875" i="1"/>
  <c r="E1875" i="1"/>
  <c r="D1875" i="1"/>
  <c r="C1875" i="1"/>
  <c r="B1875" i="1"/>
  <c r="A1875" i="1"/>
  <c r="K1874" i="1"/>
  <c r="J1874" i="1"/>
  <c r="H1874" i="1"/>
  <c r="G1874" i="1"/>
  <c r="F1874" i="1"/>
  <c r="E1874" i="1"/>
  <c r="D1874" i="1"/>
  <c r="C1874" i="1"/>
  <c r="B1874" i="1"/>
  <c r="A1874" i="1"/>
  <c r="K1873" i="1"/>
  <c r="J1873" i="1"/>
  <c r="H1873" i="1"/>
  <c r="G1873" i="1"/>
  <c r="F1873" i="1"/>
  <c r="E1873" i="1"/>
  <c r="D1873" i="1"/>
  <c r="C1873" i="1"/>
  <c r="B1873" i="1"/>
  <c r="A1873" i="1"/>
  <c r="K1872" i="1"/>
  <c r="J1872" i="1"/>
  <c r="H1872" i="1"/>
  <c r="G1872" i="1"/>
  <c r="F1872" i="1"/>
  <c r="E1872" i="1"/>
  <c r="D1872" i="1"/>
  <c r="C1872" i="1"/>
  <c r="B1872" i="1"/>
  <c r="A1872" i="1"/>
  <c r="K1871" i="1"/>
  <c r="I1871" i="1"/>
  <c r="H1871" i="1"/>
  <c r="G1871" i="1"/>
  <c r="F1871" i="1"/>
  <c r="E1871" i="1"/>
  <c r="D1871" i="1"/>
  <c r="C1871" i="1"/>
  <c r="B1871" i="1"/>
  <c r="A1871" i="1"/>
  <c r="K1870" i="1"/>
  <c r="I1870" i="1"/>
  <c r="H1870" i="1"/>
  <c r="G1870" i="1"/>
  <c r="F1870" i="1"/>
  <c r="E1870" i="1"/>
  <c r="D1870" i="1"/>
  <c r="C1870" i="1"/>
  <c r="B1870" i="1"/>
  <c r="A1870" i="1"/>
  <c r="K1869" i="1"/>
  <c r="J1869" i="1"/>
  <c r="I1869" i="1"/>
  <c r="H1869" i="1"/>
  <c r="G1869" i="1"/>
  <c r="F1869" i="1"/>
  <c r="E1869" i="1"/>
  <c r="D1869" i="1"/>
  <c r="C1869" i="1"/>
  <c r="B1869" i="1"/>
  <c r="A1869" i="1"/>
  <c r="K1868" i="1"/>
  <c r="J1868" i="1"/>
  <c r="I1868" i="1"/>
  <c r="H1868" i="1"/>
  <c r="G1868" i="1"/>
  <c r="F1868" i="1"/>
  <c r="E1868" i="1"/>
  <c r="D1868" i="1"/>
  <c r="C1868" i="1"/>
  <c r="B1868" i="1"/>
  <c r="A1868" i="1"/>
  <c r="K1867" i="1"/>
  <c r="J1867" i="1"/>
  <c r="I1867" i="1"/>
  <c r="H1867" i="1"/>
  <c r="G1867" i="1"/>
  <c r="F1867" i="1"/>
  <c r="E1867" i="1"/>
  <c r="D1867" i="1"/>
  <c r="C1867" i="1"/>
  <c r="B1867" i="1"/>
  <c r="A1867" i="1"/>
  <c r="K1866" i="1"/>
  <c r="J1866" i="1"/>
  <c r="I1866" i="1"/>
  <c r="H1866" i="1"/>
  <c r="G1866" i="1"/>
  <c r="F1866" i="1"/>
  <c r="E1866" i="1"/>
  <c r="D1866" i="1"/>
  <c r="C1866" i="1"/>
  <c r="B1866" i="1"/>
  <c r="A1866" i="1"/>
  <c r="K1865" i="1"/>
  <c r="I1865" i="1"/>
  <c r="H1865" i="1"/>
  <c r="G1865" i="1"/>
  <c r="F1865" i="1"/>
  <c r="E1865" i="1"/>
  <c r="D1865" i="1"/>
  <c r="C1865" i="1"/>
  <c r="B1865" i="1"/>
  <c r="A1865" i="1"/>
  <c r="K1864" i="1"/>
  <c r="I1864" i="1"/>
  <c r="H1864" i="1"/>
  <c r="G1864" i="1"/>
  <c r="F1864" i="1"/>
  <c r="E1864" i="1"/>
  <c r="D1864" i="1"/>
  <c r="C1864" i="1"/>
  <c r="B1864" i="1"/>
  <c r="A1864" i="1"/>
  <c r="K1863" i="1"/>
  <c r="I1863" i="1"/>
  <c r="H1863" i="1"/>
  <c r="G1863" i="1"/>
  <c r="F1863" i="1"/>
  <c r="E1863" i="1"/>
  <c r="D1863" i="1"/>
  <c r="C1863" i="1"/>
  <c r="B1863" i="1"/>
  <c r="A1863" i="1"/>
  <c r="K1862" i="1"/>
  <c r="I1862" i="1"/>
  <c r="H1862" i="1"/>
  <c r="G1862" i="1"/>
  <c r="F1862" i="1"/>
  <c r="E1862" i="1"/>
  <c r="D1862" i="1"/>
  <c r="C1862" i="1"/>
  <c r="B1862" i="1"/>
  <c r="A1862" i="1"/>
  <c r="K1861" i="1"/>
  <c r="I1861" i="1"/>
  <c r="H1861" i="1"/>
  <c r="G1861" i="1"/>
  <c r="F1861" i="1"/>
  <c r="E1861" i="1"/>
  <c r="D1861" i="1"/>
  <c r="C1861" i="1"/>
  <c r="B1861" i="1"/>
  <c r="A1861" i="1"/>
  <c r="K1860" i="1"/>
  <c r="I1860" i="1"/>
  <c r="H1860" i="1"/>
  <c r="G1860" i="1"/>
  <c r="F1860" i="1"/>
  <c r="E1860" i="1"/>
  <c r="D1860" i="1"/>
  <c r="C1860" i="1"/>
  <c r="B1860" i="1"/>
  <c r="A1860" i="1"/>
  <c r="K1859" i="1"/>
  <c r="I1859" i="1"/>
  <c r="H1859" i="1"/>
  <c r="G1859" i="1"/>
  <c r="F1859" i="1"/>
  <c r="E1859" i="1"/>
  <c r="D1859" i="1"/>
  <c r="C1859" i="1"/>
  <c r="B1859" i="1"/>
  <c r="A1859" i="1"/>
  <c r="K1858" i="1"/>
  <c r="I1858" i="1"/>
  <c r="H1858" i="1"/>
  <c r="G1858" i="1"/>
  <c r="F1858" i="1"/>
  <c r="E1858" i="1"/>
  <c r="D1858" i="1"/>
  <c r="C1858" i="1"/>
  <c r="B1858" i="1"/>
  <c r="A1858" i="1"/>
  <c r="K1857" i="1"/>
  <c r="J1857" i="1"/>
  <c r="H1857" i="1"/>
  <c r="G1857" i="1"/>
  <c r="F1857" i="1"/>
  <c r="E1857" i="1"/>
  <c r="D1857" i="1"/>
  <c r="C1857" i="1"/>
  <c r="B1857" i="1"/>
  <c r="A1857" i="1"/>
  <c r="K1856" i="1"/>
  <c r="J1856" i="1"/>
  <c r="H1856" i="1"/>
  <c r="G1856" i="1"/>
  <c r="F1856" i="1"/>
  <c r="E1856" i="1"/>
  <c r="D1856" i="1"/>
  <c r="C1856" i="1"/>
  <c r="B1856" i="1"/>
  <c r="A1856" i="1"/>
  <c r="K1855" i="1"/>
  <c r="J1855" i="1"/>
  <c r="H1855" i="1"/>
  <c r="G1855" i="1"/>
  <c r="F1855" i="1"/>
  <c r="E1855" i="1"/>
  <c r="D1855" i="1"/>
  <c r="C1855" i="1"/>
  <c r="B1855" i="1"/>
  <c r="A1855" i="1"/>
  <c r="K1854" i="1"/>
  <c r="J1854" i="1"/>
  <c r="H1854" i="1"/>
  <c r="G1854" i="1"/>
  <c r="F1854" i="1"/>
  <c r="E1854" i="1"/>
  <c r="D1854" i="1"/>
  <c r="C1854" i="1"/>
  <c r="B1854" i="1"/>
  <c r="A1854" i="1"/>
  <c r="K1853" i="1"/>
  <c r="J1853" i="1"/>
  <c r="H1853" i="1"/>
  <c r="G1853" i="1"/>
  <c r="F1853" i="1"/>
  <c r="E1853" i="1"/>
  <c r="D1853" i="1"/>
  <c r="C1853" i="1"/>
  <c r="B1853" i="1"/>
  <c r="A1853" i="1"/>
  <c r="K1852" i="1"/>
  <c r="J1852" i="1"/>
  <c r="H1852" i="1"/>
  <c r="G1852" i="1"/>
  <c r="F1852" i="1"/>
  <c r="E1852" i="1"/>
  <c r="D1852" i="1"/>
  <c r="C1852" i="1"/>
  <c r="B1852" i="1"/>
  <c r="A1852" i="1"/>
  <c r="K1851" i="1"/>
  <c r="J1851" i="1"/>
  <c r="H1851" i="1"/>
  <c r="G1851" i="1"/>
  <c r="F1851" i="1"/>
  <c r="E1851" i="1"/>
  <c r="D1851" i="1"/>
  <c r="C1851" i="1"/>
  <c r="B1851" i="1"/>
  <c r="A1851" i="1"/>
  <c r="K1850" i="1"/>
  <c r="J1850" i="1"/>
  <c r="H1850" i="1"/>
  <c r="G1850" i="1"/>
  <c r="F1850" i="1"/>
  <c r="E1850" i="1"/>
  <c r="D1850" i="1"/>
  <c r="C1850" i="1"/>
  <c r="B1850" i="1"/>
  <c r="A1850" i="1"/>
  <c r="K1849" i="1"/>
  <c r="J1849" i="1"/>
  <c r="H1849" i="1"/>
  <c r="G1849" i="1"/>
  <c r="F1849" i="1"/>
  <c r="E1849" i="1"/>
  <c r="D1849" i="1"/>
  <c r="C1849" i="1"/>
  <c r="B1849" i="1"/>
  <c r="A1849" i="1"/>
  <c r="K1848" i="1"/>
  <c r="J1848" i="1"/>
  <c r="H1848" i="1"/>
  <c r="G1848" i="1"/>
  <c r="F1848" i="1"/>
  <c r="E1848" i="1"/>
  <c r="D1848" i="1"/>
  <c r="C1848" i="1"/>
  <c r="B1848" i="1"/>
  <c r="A1848" i="1"/>
  <c r="K1847" i="1"/>
  <c r="J1847" i="1"/>
  <c r="H1847" i="1"/>
  <c r="G1847" i="1"/>
  <c r="F1847" i="1"/>
  <c r="E1847" i="1"/>
  <c r="D1847" i="1"/>
  <c r="C1847" i="1"/>
  <c r="B1847" i="1"/>
  <c r="A1847" i="1"/>
  <c r="K1846" i="1"/>
  <c r="J1846" i="1"/>
  <c r="H1846" i="1"/>
  <c r="G1846" i="1"/>
  <c r="F1846" i="1"/>
  <c r="E1846" i="1"/>
  <c r="D1846" i="1"/>
  <c r="C1846" i="1"/>
  <c r="B1846" i="1"/>
  <c r="A1846" i="1"/>
  <c r="K1845" i="1"/>
  <c r="J1845" i="1"/>
  <c r="H1845" i="1"/>
  <c r="G1845" i="1"/>
  <c r="F1845" i="1"/>
  <c r="E1845" i="1"/>
  <c r="D1845" i="1"/>
  <c r="C1845" i="1"/>
  <c r="B1845" i="1"/>
  <c r="A1845" i="1"/>
  <c r="K1844" i="1"/>
  <c r="J1844" i="1"/>
  <c r="H1844" i="1"/>
  <c r="G1844" i="1"/>
  <c r="F1844" i="1"/>
  <c r="E1844" i="1"/>
  <c r="D1844" i="1"/>
  <c r="C1844" i="1"/>
  <c r="B1844" i="1"/>
  <c r="A1844" i="1"/>
  <c r="K1843" i="1"/>
  <c r="J1843" i="1"/>
  <c r="H1843" i="1"/>
  <c r="G1843" i="1"/>
  <c r="F1843" i="1"/>
  <c r="E1843" i="1"/>
  <c r="D1843" i="1"/>
  <c r="C1843" i="1"/>
  <c r="B1843" i="1"/>
  <c r="A1843" i="1"/>
  <c r="K1842" i="1"/>
  <c r="J1842" i="1"/>
  <c r="H1842" i="1"/>
  <c r="G1842" i="1"/>
  <c r="F1842" i="1"/>
  <c r="E1842" i="1"/>
  <c r="D1842" i="1"/>
  <c r="C1842" i="1"/>
  <c r="B1842" i="1"/>
  <c r="A1842" i="1"/>
  <c r="K1841" i="1"/>
  <c r="J1841" i="1"/>
  <c r="H1841" i="1"/>
  <c r="G1841" i="1"/>
  <c r="F1841" i="1"/>
  <c r="E1841" i="1"/>
  <c r="D1841" i="1"/>
  <c r="C1841" i="1"/>
  <c r="B1841" i="1"/>
  <c r="A1841" i="1"/>
  <c r="K1840" i="1"/>
  <c r="J1840" i="1"/>
  <c r="H1840" i="1"/>
  <c r="G1840" i="1"/>
  <c r="F1840" i="1"/>
  <c r="E1840" i="1"/>
  <c r="D1840" i="1"/>
  <c r="C1840" i="1"/>
  <c r="B1840" i="1"/>
  <c r="A1840" i="1"/>
  <c r="K1839" i="1"/>
  <c r="J1839" i="1"/>
  <c r="H1839" i="1"/>
  <c r="G1839" i="1"/>
  <c r="F1839" i="1"/>
  <c r="E1839" i="1"/>
  <c r="D1839" i="1"/>
  <c r="C1839" i="1"/>
  <c r="B1839" i="1"/>
  <c r="A1839" i="1"/>
  <c r="K1838" i="1"/>
  <c r="J1838" i="1"/>
  <c r="H1838" i="1"/>
  <c r="G1838" i="1"/>
  <c r="F1838" i="1"/>
  <c r="E1838" i="1"/>
  <c r="D1838" i="1"/>
  <c r="C1838" i="1"/>
  <c r="B1838" i="1"/>
  <c r="A1838" i="1"/>
  <c r="K1837" i="1"/>
  <c r="J1837" i="1"/>
  <c r="H1837" i="1"/>
  <c r="G1837" i="1"/>
  <c r="F1837" i="1"/>
  <c r="E1837" i="1"/>
  <c r="D1837" i="1"/>
  <c r="C1837" i="1"/>
  <c r="B1837" i="1"/>
  <c r="A1837" i="1"/>
  <c r="K1836" i="1"/>
  <c r="J1836" i="1"/>
  <c r="H1836" i="1"/>
  <c r="G1836" i="1"/>
  <c r="F1836" i="1"/>
  <c r="E1836" i="1"/>
  <c r="D1836" i="1"/>
  <c r="C1836" i="1"/>
  <c r="B1836" i="1"/>
  <c r="A1836" i="1"/>
  <c r="K1835" i="1"/>
  <c r="J1835" i="1"/>
  <c r="H1835" i="1"/>
  <c r="G1835" i="1"/>
  <c r="F1835" i="1"/>
  <c r="E1835" i="1"/>
  <c r="D1835" i="1"/>
  <c r="C1835" i="1"/>
  <c r="B1835" i="1"/>
  <c r="A1835" i="1"/>
  <c r="K1834" i="1"/>
  <c r="J1834" i="1"/>
  <c r="H1834" i="1"/>
  <c r="G1834" i="1"/>
  <c r="F1834" i="1"/>
  <c r="E1834" i="1"/>
  <c r="D1834" i="1"/>
  <c r="C1834" i="1"/>
  <c r="B1834" i="1"/>
  <c r="A1834" i="1"/>
  <c r="K1833" i="1"/>
  <c r="I1833" i="1"/>
  <c r="H1833" i="1"/>
  <c r="G1833" i="1"/>
  <c r="F1833" i="1"/>
  <c r="E1833" i="1"/>
  <c r="D1833" i="1"/>
  <c r="C1833" i="1"/>
  <c r="B1833" i="1"/>
  <c r="A1833" i="1"/>
  <c r="K1832" i="1"/>
  <c r="I1832" i="1"/>
  <c r="H1832" i="1"/>
  <c r="G1832" i="1"/>
  <c r="F1832" i="1"/>
  <c r="E1832" i="1"/>
  <c r="D1832" i="1"/>
  <c r="C1832" i="1"/>
  <c r="B1832" i="1"/>
  <c r="A1832" i="1"/>
  <c r="K1831" i="1"/>
  <c r="I1831" i="1"/>
  <c r="H1831" i="1"/>
  <c r="G1831" i="1"/>
  <c r="F1831" i="1"/>
  <c r="E1831" i="1"/>
  <c r="D1831" i="1"/>
  <c r="C1831" i="1"/>
  <c r="B1831" i="1"/>
  <c r="A1831" i="1"/>
  <c r="K1830" i="1"/>
  <c r="J1830" i="1"/>
  <c r="H1830" i="1"/>
  <c r="G1830" i="1"/>
  <c r="F1830" i="1"/>
  <c r="E1830" i="1"/>
  <c r="D1830" i="1"/>
  <c r="C1830" i="1"/>
  <c r="B1830" i="1"/>
  <c r="A1830" i="1"/>
  <c r="K1829" i="1"/>
  <c r="I1829" i="1"/>
  <c r="H1829" i="1"/>
  <c r="G1829" i="1"/>
  <c r="F1829" i="1"/>
  <c r="E1829" i="1"/>
  <c r="D1829" i="1"/>
  <c r="C1829" i="1"/>
  <c r="B1829" i="1"/>
  <c r="A1829" i="1"/>
  <c r="K1828" i="1"/>
  <c r="I1828" i="1"/>
  <c r="H1828" i="1"/>
  <c r="G1828" i="1"/>
  <c r="F1828" i="1"/>
  <c r="E1828" i="1"/>
  <c r="D1828" i="1"/>
  <c r="C1828" i="1"/>
  <c r="B1828" i="1"/>
  <c r="A1828" i="1"/>
  <c r="K1827" i="1"/>
  <c r="I1827" i="1"/>
  <c r="H1827" i="1"/>
  <c r="G1827" i="1"/>
  <c r="F1827" i="1"/>
  <c r="E1827" i="1"/>
  <c r="D1827" i="1"/>
  <c r="C1827" i="1"/>
  <c r="B1827" i="1"/>
  <c r="A1827" i="1"/>
  <c r="K1826" i="1"/>
  <c r="I1826" i="1"/>
  <c r="H1826" i="1"/>
  <c r="G1826" i="1"/>
  <c r="F1826" i="1"/>
  <c r="E1826" i="1"/>
  <c r="D1826" i="1"/>
  <c r="C1826" i="1"/>
  <c r="B1826" i="1"/>
  <c r="A1826" i="1"/>
  <c r="K1825" i="1"/>
  <c r="J1825" i="1"/>
  <c r="I1825" i="1"/>
  <c r="H1825" i="1"/>
  <c r="G1825" i="1"/>
  <c r="F1825" i="1"/>
  <c r="E1825" i="1"/>
  <c r="D1825" i="1"/>
  <c r="C1825" i="1"/>
  <c r="B1825" i="1"/>
  <c r="A1825" i="1"/>
  <c r="K1824" i="1"/>
  <c r="J1824" i="1"/>
  <c r="I1824" i="1"/>
  <c r="H1824" i="1"/>
  <c r="G1824" i="1"/>
  <c r="F1824" i="1"/>
  <c r="E1824" i="1"/>
  <c r="D1824" i="1"/>
  <c r="C1824" i="1"/>
  <c r="B1824" i="1"/>
  <c r="A1824" i="1"/>
  <c r="K1823" i="1"/>
  <c r="J1823" i="1"/>
  <c r="I1823" i="1"/>
  <c r="H1823" i="1"/>
  <c r="G1823" i="1"/>
  <c r="F1823" i="1"/>
  <c r="E1823" i="1"/>
  <c r="D1823" i="1"/>
  <c r="C1823" i="1"/>
  <c r="B1823" i="1"/>
  <c r="A1823" i="1"/>
  <c r="K1822" i="1"/>
  <c r="J1822" i="1"/>
  <c r="H1822" i="1"/>
  <c r="G1822" i="1"/>
  <c r="F1822" i="1"/>
  <c r="E1822" i="1"/>
  <c r="D1822" i="1"/>
  <c r="C1822" i="1"/>
  <c r="B1822" i="1"/>
  <c r="A1822" i="1"/>
  <c r="K1821" i="1"/>
  <c r="I1821" i="1"/>
  <c r="H1821" i="1"/>
  <c r="G1821" i="1"/>
  <c r="F1821" i="1"/>
  <c r="E1821" i="1"/>
  <c r="D1821" i="1"/>
  <c r="C1821" i="1"/>
  <c r="B1821" i="1"/>
  <c r="A1821" i="1"/>
  <c r="K1820" i="1"/>
  <c r="I1820" i="1"/>
  <c r="H1820" i="1"/>
  <c r="G1820" i="1"/>
  <c r="F1820" i="1"/>
  <c r="E1820" i="1"/>
  <c r="D1820" i="1"/>
  <c r="C1820" i="1"/>
  <c r="B1820" i="1"/>
  <c r="A1820" i="1"/>
  <c r="K1819" i="1"/>
  <c r="J1819" i="1"/>
  <c r="H1819" i="1"/>
  <c r="G1819" i="1"/>
  <c r="F1819" i="1"/>
  <c r="E1819" i="1"/>
  <c r="D1819" i="1"/>
  <c r="C1819" i="1"/>
  <c r="B1819" i="1"/>
  <c r="A1819" i="1"/>
  <c r="K1818" i="1"/>
  <c r="J1818" i="1"/>
  <c r="H1818" i="1"/>
  <c r="G1818" i="1"/>
  <c r="F1818" i="1"/>
  <c r="E1818" i="1"/>
  <c r="D1818" i="1"/>
  <c r="C1818" i="1"/>
  <c r="B1818" i="1"/>
  <c r="A1818" i="1"/>
  <c r="K1817" i="1"/>
  <c r="J1817" i="1"/>
  <c r="H1817" i="1"/>
  <c r="G1817" i="1"/>
  <c r="F1817" i="1"/>
  <c r="E1817" i="1"/>
  <c r="D1817" i="1"/>
  <c r="C1817" i="1"/>
  <c r="B1817" i="1"/>
  <c r="A1817" i="1"/>
  <c r="K1816" i="1"/>
  <c r="J1816" i="1"/>
  <c r="H1816" i="1"/>
  <c r="G1816" i="1"/>
  <c r="F1816" i="1"/>
  <c r="E1816" i="1"/>
  <c r="D1816" i="1"/>
  <c r="C1816" i="1"/>
  <c r="B1816" i="1"/>
  <c r="A1816" i="1"/>
  <c r="K1815" i="1"/>
  <c r="J1815" i="1"/>
  <c r="H1815" i="1"/>
  <c r="G1815" i="1"/>
  <c r="F1815" i="1"/>
  <c r="E1815" i="1"/>
  <c r="D1815" i="1"/>
  <c r="C1815" i="1"/>
  <c r="B1815" i="1"/>
  <c r="A1815" i="1"/>
  <c r="K1814" i="1"/>
  <c r="J1814" i="1"/>
  <c r="H1814" i="1"/>
  <c r="G1814" i="1"/>
  <c r="F1814" i="1"/>
  <c r="E1814" i="1"/>
  <c r="D1814" i="1"/>
  <c r="C1814" i="1"/>
  <c r="B1814" i="1"/>
  <c r="A1814" i="1"/>
  <c r="K1813" i="1"/>
  <c r="J1813" i="1"/>
  <c r="H1813" i="1"/>
  <c r="G1813" i="1"/>
  <c r="F1813" i="1"/>
  <c r="E1813" i="1"/>
  <c r="D1813" i="1"/>
  <c r="C1813" i="1"/>
  <c r="B1813" i="1"/>
  <c r="A1813" i="1"/>
  <c r="K1812" i="1"/>
  <c r="J1812" i="1"/>
  <c r="H1812" i="1"/>
  <c r="G1812" i="1"/>
  <c r="F1812" i="1"/>
  <c r="E1812" i="1"/>
  <c r="D1812" i="1"/>
  <c r="C1812" i="1"/>
  <c r="B1812" i="1"/>
  <c r="A1812" i="1"/>
  <c r="K1811" i="1"/>
  <c r="J1811" i="1"/>
  <c r="H1811" i="1"/>
  <c r="G1811" i="1"/>
  <c r="F1811" i="1"/>
  <c r="E1811" i="1"/>
  <c r="D1811" i="1"/>
  <c r="C1811" i="1"/>
  <c r="B1811" i="1"/>
  <c r="A1811" i="1"/>
  <c r="K1810" i="1"/>
  <c r="J1810" i="1"/>
  <c r="H1810" i="1"/>
  <c r="G1810" i="1"/>
  <c r="F1810" i="1"/>
  <c r="E1810" i="1"/>
  <c r="D1810" i="1"/>
  <c r="C1810" i="1"/>
  <c r="B1810" i="1"/>
  <c r="A1810" i="1"/>
  <c r="K1809" i="1"/>
  <c r="J1809" i="1"/>
  <c r="H1809" i="1"/>
  <c r="G1809" i="1"/>
  <c r="F1809" i="1"/>
  <c r="E1809" i="1"/>
  <c r="D1809" i="1"/>
  <c r="C1809" i="1"/>
  <c r="B1809" i="1"/>
  <c r="A1809" i="1"/>
  <c r="K1808" i="1"/>
  <c r="J1808" i="1"/>
  <c r="H1808" i="1"/>
  <c r="G1808" i="1"/>
  <c r="F1808" i="1"/>
  <c r="E1808" i="1"/>
  <c r="D1808" i="1"/>
  <c r="C1808" i="1"/>
  <c r="B1808" i="1"/>
  <c r="A1808" i="1"/>
  <c r="K1807" i="1"/>
  <c r="J1807" i="1"/>
  <c r="H1807" i="1"/>
  <c r="G1807" i="1"/>
  <c r="F1807" i="1"/>
  <c r="E1807" i="1"/>
  <c r="D1807" i="1"/>
  <c r="C1807" i="1"/>
  <c r="B1807" i="1"/>
  <c r="A1807" i="1"/>
  <c r="K1806" i="1"/>
  <c r="J1806" i="1"/>
  <c r="H1806" i="1"/>
  <c r="G1806" i="1"/>
  <c r="F1806" i="1"/>
  <c r="E1806" i="1"/>
  <c r="D1806" i="1"/>
  <c r="C1806" i="1"/>
  <c r="B1806" i="1"/>
  <c r="A1806" i="1"/>
  <c r="K1805" i="1"/>
  <c r="J1805" i="1"/>
  <c r="H1805" i="1"/>
  <c r="G1805" i="1"/>
  <c r="F1805" i="1"/>
  <c r="E1805" i="1"/>
  <c r="D1805" i="1"/>
  <c r="C1805" i="1"/>
  <c r="B1805" i="1"/>
  <c r="A1805" i="1"/>
  <c r="K1804" i="1"/>
  <c r="J1804" i="1"/>
  <c r="H1804" i="1"/>
  <c r="G1804" i="1"/>
  <c r="F1804" i="1"/>
  <c r="E1804" i="1"/>
  <c r="D1804" i="1"/>
  <c r="C1804" i="1"/>
  <c r="B1804" i="1"/>
  <c r="A1804" i="1"/>
  <c r="K1803" i="1"/>
  <c r="J1803" i="1"/>
  <c r="H1803" i="1"/>
  <c r="G1803" i="1"/>
  <c r="F1803" i="1"/>
  <c r="E1803" i="1"/>
  <c r="D1803" i="1"/>
  <c r="C1803" i="1"/>
  <c r="B1803" i="1"/>
  <c r="A1803" i="1"/>
  <c r="K1802" i="1"/>
  <c r="J1802" i="1"/>
  <c r="H1802" i="1"/>
  <c r="G1802" i="1"/>
  <c r="F1802" i="1"/>
  <c r="E1802" i="1"/>
  <c r="D1802" i="1"/>
  <c r="C1802" i="1"/>
  <c r="B1802" i="1"/>
  <c r="A1802" i="1"/>
  <c r="K1801" i="1"/>
  <c r="J1801" i="1"/>
  <c r="H1801" i="1"/>
  <c r="G1801" i="1"/>
  <c r="F1801" i="1"/>
  <c r="E1801" i="1"/>
  <c r="D1801" i="1"/>
  <c r="C1801" i="1"/>
  <c r="B1801" i="1"/>
  <c r="A1801" i="1"/>
  <c r="K1800" i="1"/>
  <c r="J1800" i="1"/>
  <c r="H1800" i="1"/>
  <c r="G1800" i="1"/>
  <c r="F1800" i="1"/>
  <c r="E1800" i="1"/>
  <c r="D1800" i="1"/>
  <c r="C1800" i="1"/>
  <c r="B1800" i="1"/>
  <c r="A1800" i="1"/>
  <c r="K1799" i="1"/>
  <c r="J1799" i="1"/>
  <c r="H1799" i="1"/>
  <c r="G1799" i="1"/>
  <c r="F1799" i="1"/>
  <c r="E1799" i="1"/>
  <c r="D1799" i="1"/>
  <c r="C1799" i="1"/>
  <c r="B1799" i="1"/>
  <c r="A1799" i="1"/>
  <c r="K1798" i="1"/>
  <c r="J1798" i="1"/>
  <c r="H1798" i="1"/>
  <c r="G1798" i="1"/>
  <c r="F1798" i="1"/>
  <c r="E1798" i="1"/>
  <c r="D1798" i="1"/>
  <c r="C1798" i="1"/>
  <c r="B1798" i="1"/>
  <c r="A1798" i="1"/>
  <c r="K1797" i="1"/>
  <c r="J1797" i="1"/>
  <c r="H1797" i="1"/>
  <c r="G1797" i="1"/>
  <c r="F1797" i="1"/>
  <c r="E1797" i="1"/>
  <c r="D1797" i="1"/>
  <c r="C1797" i="1"/>
  <c r="B1797" i="1"/>
  <c r="A1797" i="1"/>
  <c r="K1796" i="1"/>
  <c r="J1796" i="1"/>
  <c r="H1796" i="1"/>
  <c r="G1796" i="1"/>
  <c r="F1796" i="1"/>
  <c r="E1796" i="1"/>
  <c r="D1796" i="1"/>
  <c r="C1796" i="1"/>
  <c r="B1796" i="1"/>
  <c r="A1796" i="1"/>
  <c r="K1795" i="1"/>
  <c r="J1795" i="1"/>
  <c r="H1795" i="1"/>
  <c r="G1795" i="1"/>
  <c r="F1795" i="1"/>
  <c r="E1795" i="1"/>
  <c r="D1795" i="1"/>
  <c r="C1795" i="1"/>
  <c r="B1795" i="1"/>
  <c r="A1795" i="1"/>
  <c r="K1794" i="1"/>
  <c r="J1794" i="1"/>
  <c r="H1794" i="1"/>
  <c r="G1794" i="1"/>
  <c r="F1794" i="1"/>
  <c r="E1794" i="1"/>
  <c r="D1794" i="1"/>
  <c r="C1794" i="1"/>
  <c r="B1794" i="1"/>
  <c r="A1794" i="1"/>
  <c r="K1793" i="1"/>
  <c r="J1793" i="1"/>
  <c r="H1793" i="1"/>
  <c r="G1793" i="1"/>
  <c r="F1793" i="1"/>
  <c r="E1793" i="1"/>
  <c r="D1793" i="1"/>
  <c r="C1793" i="1"/>
  <c r="B1793" i="1"/>
  <c r="A1793" i="1"/>
  <c r="K1792" i="1"/>
  <c r="I1792" i="1"/>
  <c r="H1792" i="1"/>
  <c r="G1792" i="1"/>
  <c r="F1792" i="1"/>
  <c r="E1792" i="1"/>
  <c r="D1792" i="1"/>
  <c r="C1792" i="1"/>
  <c r="B1792" i="1"/>
  <c r="A1792" i="1"/>
  <c r="K1791" i="1"/>
  <c r="I1791" i="1"/>
  <c r="H1791" i="1"/>
  <c r="G1791" i="1"/>
  <c r="F1791" i="1"/>
  <c r="E1791" i="1"/>
  <c r="D1791" i="1"/>
  <c r="C1791" i="1"/>
  <c r="B1791" i="1"/>
  <c r="A1791" i="1"/>
  <c r="K1790" i="1"/>
  <c r="I1790" i="1"/>
  <c r="H1790" i="1"/>
  <c r="G1790" i="1"/>
  <c r="F1790" i="1"/>
  <c r="E1790" i="1"/>
  <c r="D1790" i="1"/>
  <c r="C1790" i="1"/>
  <c r="B1790" i="1"/>
  <c r="A1790" i="1"/>
  <c r="K1789" i="1"/>
  <c r="I1789" i="1"/>
  <c r="H1789" i="1"/>
  <c r="G1789" i="1"/>
  <c r="F1789" i="1"/>
  <c r="E1789" i="1"/>
  <c r="D1789" i="1"/>
  <c r="C1789" i="1"/>
  <c r="B1789" i="1"/>
  <c r="A1789" i="1"/>
  <c r="K1788" i="1"/>
  <c r="I1788" i="1"/>
  <c r="H1788" i="1"/>
  <c r="G1788" i="1"/>
  <c r="F1788" i="1"/>
  <c r="E1788" i="1"/>
  <c r="D1788" i="1"/>
  <c r="C1788" i="1"/>
  <c r="B1788" i="1"/>
  <c r="A1788" i="1"/>
  <c r="K1787" i="1"/>
  <c r="I1787" i="1"/>
  <c r="H1787" i="1"/>
  <c r="G1787" i="1"/>
  <c r="F1787" i="1"/>
  <c r="E1787" i="1"/>
  <c r="D1787" i="1"/>
  <c r="C1787" i="1"/>
  <c r="B1787" i="1"/>
  <c r="A1787" i="1"/>
  <c r="K1786" i="1"/>
  <c r="J1786" i="1"/>
  <c r="H1786" i="1"/>
  <c r="G1786" i="1"/>
  <c r="F1786" i="1"/>
  <c r="E1786" i="1"/>
  <c r="D1786" i="1"/>
  <c r="C1786" i="1"/>
  <c r="B1786" i="1"/>
  <c r="A1786" i="1"/>
  <c r="K1785" i="1"/>
  <c r="J1785" i="1"/>
  <c r="H1785" i="1"/>
  <c r="G1785" i="1"/>
  <c r="F1785" i="1"/>
  <c r="E1785" i="1"/>
  <c r="D1785" i="1"/>
  <c r="C1785" i="1"/>
  <c r="B1785" i="1"/>
  <c r="A1785" i="1"/>
  <c r="K1784" i="1"/>
  <c r="J1784" i="1"/>
  <c r="H1784" i="1"/>
  <c r="G1784" i="1"/>
  <c r="F1784" i="1"/>
  <c r="E1784" i="1"/>
  <c r="D1784" i="1"/>
  <c r="C1784" i="1"/>
  <c r="B1784" i="1"/>
  <c r="A1784" i="1"/>
  <c r="K1783" i="1"/>
  <c r="J1783" i="1"/>
  <c r="H1783" i="1"/>
  <c r="G1783" i="1"/>
  <c r="F1783" i="1"/>
  <c r="E1783" i="1"/>
  <c r="D1783" i="1"/>
  <c r="C1783" i="1"/>
  <c r="B1783" i="1"/>
  <c r="A1783" i="1"/>
  <c r="K1782" i="1"/>
  <c r="J1782" i="1"/>
  <c r="H1782" i="1"/>
  <c r="G1782" i="1"/>
  <c r="F1782" i="1"/>
  <c r="E1782" i="1"/>
  <c r="D1782" i="1"/>
  <c r="C1782" i="1"/>
  <c r="B1782" i="1"/>
  <c r="A1782" i="1"/>
  <c r="K1781" i="1"/>
  <c r="J1781" i="1"/>
  <c r="H1781" i="1"/>
  <c r="G1781" i="1"/>
  <c r="F1781" i="1"/>
  <c r="E1781" i="1"/>
  <c r="D1781" i="1"/>
  <c r="C1781" i="1"/>
  <c r="B1781" i="1"/>
  <c r="A1781" i="1"/>
  <c r="K1780" i="1"/>
  <c r="J1780" i="1"/>
  <c r="H1780" i="1"/>
  <c r="G1780" i="1"/>
  <c r="F1780" i="1"/>
  <c r="E1780" i="1"/>
  <c r="D1780" i="1"/>
  <c r="C1780" i="1"/>
  <c r="B1780" i="1"/>
  <c r="A1780" i="1"/>
  <c r="K1779" i="1"/>
  <c r="J1779" i="1"/>
  <c r="H1779" i="1"/>
  <c r="G1779" i="1"/>
  <c r="F1779" i="1"/>
  <c r="E1779" i="1"/>
  <c r="D1779" i="1"/>
  <c r="C1779" i="1"/>
  <c r="B1779" i="1"/>
  <c r="A1779" i="1"/>
  <c r="K1778" i="1"/>
  <c r="J1778" i="1"/>
  <c r="H1778" i="1"/>
  <c r="G1778" i="1"/>
  <c r="F1778" i="1"/>
  <c r="E1778" i="1"/>
  <c r="D1778" i="1"/>
  <c r="C1778" i="1"/>
  <c r="B1778" i="1"/>
  <c r="A1778" i="1"/>
  <c r="K1777" i="1"/>
  <c r="J1777" i="1"/>
  <c r="H1777" i="1"/>
  <c r="G1777" i="1"/>
  <c r="F1777" i="1"/>
  <c r="E1777" i="1"/>
  <c r="D1777" i="1"/>
  <c r="C1777" i="1"/>
  <c r="B1777" i="1"/>
  <c r="A1777" i="1"/>
  <c r="K1776" i="1"/>
  <c r="J1776" i="1"/>
  <c r="H1776" i="1"/>
  <c r="G1776" i="1"/>
  <c r="F1776" i="1"/>
  <c r="E1776" i="1"/>
  <c r="D1776" i="1"/>
  <c r="C1776" i="1"/>
  <c r="B1776" i="1"/>
  <c r="A1776" i="1"/>
  <c r="K1775" i="1"/>
  <c r="J1775" i="1"/>
  <c r="H1775" i="1"/>
  <c r="G1775" i="1"/>
  <c r="F1775" i="1"/>
  <c r="E1775" i="1"/>
  <c r="D1775" i="1"/>
  <c r="C1775" i="1"/>
  <c r="B1775" i="1"/>
  <c r="A1775" i="1"/>
  <c r="K1774" i="1"/>
  <c r="J1774" i="1"/>
  <c r="H1774" i="1"/>
  <c r="G1774" i="1"/>
  <c r="F1774" i="1"/>
  <c r="E1774" i="1"/>
  <c r="D1774" i="1"/>
  <c r="C1774" i="1"/>
  <c r="B1774" i="1"/>
  <c r="A1774" i="1"/>
  <c r="K1773" i="1"/>
  <c r="J1773" i="1"/>
  <c r="H1773" i="1"/>
  <c r="G1773" i="1"/>
  <c r="F1773" i="1"/>
  <c r="E1773" i="1"/>
  <c r="D1773" i="1"/>
  <c r="C1773" i="1"/>
  <c r="B1773" i="1"/>
  <c r="A1773" i="1"/>
  <c r="K1772" i="1"/>
  <c r="J1772" i="1"/>
  <c r="H1772" i="1"/>
  <c r="G1772" i="1"/>
  <c r="F1772" i="1"/>
  <c r="E1772" i="1"/>
  <c r="D1772" i="1"/>
  <c r="C1772" i="1"/>
  <c r="B1772" i="1"/>
  <c r="A1772" i="1"/>
  <c r="K1771" i="1"/>
  <c r="J1771" i="1"/>
  <c r="H1771" i="1"/>
  <c r="G1771" i="1"/>
  <c r="F1771" i="1"/>
  <c r="E1771" i="1"/>
  <c r="D1771" i="1"/>
  <c r="C1771" i="1"/>
  <c r="B1771" i="1"/>
  <c r="A1771" i="1"/>
  <c r="K1770" i="1"/>
  <c r="J1770" i="1"/>
  <c r="H1770" i="1"/>
  <c r="G1770" i="1"/>
  <c r="F1770" i="1"/>
  <c r="E1770" i="1"/>
  <c r="D1770" i="1"/>
  <c r="C1770" i="1"/>
  <c r="B1770" i="1"/>
  <c r="A1770" i="1"/>
  <c r="K1769" i="1"/>
  <c r="J1769" i="1"/>
  <c r="H1769" i="1"/>
  <c r="G1769" i="1"/>
  <c r="F1769" i="1"/>
  <c r="E1769" i="1"/>
  <c r="D1769" i="1"/>
  <c r="C1769" i="1"/>
  <c r="B1769" i="1"/>
  <c r="A1769" i="1"/>
  <c r="K1768" i="1"/>
  <c r="J1768" i="1"/>
  <c r="H1768" i="1"/>
  <c r="G1768" i="1"/>
  <c r="F1768" i="1"/>
  <c r="E1768" i="1"/>
  <c r="D1768" i="1"/>
  <c r="C1768" i="1"/>
  <c r="B1768" i="1"/>
  <c r="A1768" i="1"/>
  <c r="K1767" i="1"/>
  <c r="J1767" i="1"/>
  <c r="H1767" i="1"/>
  <c r="G1767" i="1"/>
  <c r="F1767" i="1"/>
  <c r="E1767" i="1"/>
  <c r="D1767" i="1"/>
  <c r="C1767" i="1"/>
  <c r="B1767" i="1"/>
  <c r="A1767" i="1"/>
  <c r="K1766" i="1"/>
  <c r="J1766" i="1"/>
  <c r="H1766" i="1"/>
  <c r="G1766" i="1"/>
  <c r="F1766" i="1"/>
  <c r="E1766" i="1"/>
  <c r="D1766" i="1"/>
  <c r="C1766" i="1"/>
  <c r="B1766" i="1"/>
  <c r="A1766" i="1"/>
  <c r="K1765" i="1"/>
  <c r="J1765" i="1"/>
  <c r="H1765" i="1"/>
  <c r="G1765" i="1"/>
  <c r="F1765" i="1"/>
  <c r="E1765" i="1"/>
  <c r="D1765" i="1"/>
  <c r="C1765" i="1"/>
  <c r="B1765" i="1"/>
  <c r="A1765" i="1"/>
  <c r="K1764" i="1"/>
  <c r="J1764" i="1"/>
  <c r="H1764" i="1"/>
  <c r="G1764" i="1"/>
  <c r="F1764" i="1"/>
  <c r="E1764" i="1"/>
  <c r="D1764" i="1"/>
  <c r="C1764" i="1"/>
  <c r="B1764" i="1"/>
  <c r="A1764" i="1"/>
  <c r="K1763" i="1"/>
  <c r="J1763" i="1"/>
  <c r="H1763" i="1"/>
  <c r="G1763" i="1"/>
  <c r="F1763" i="1"/>
  <c r="E1763" i="1"/>
  <c r="D1763" i="1"/>
  <c r="C1763" i="1"/>
  <c r="B1763" i="1"/>
  <c r="A1763" i="1"/>
  <c r="K1762" i="1"/>
  <c r="J1762" i="1"/>
  <c r="H1762" i="1"/>
  <c r="G1762" i="1"/>
  <c r="F1762" i="1"/>
  <c r="E1762" i="1"/>
  <c r="D1762" i="1"/>
  <c r="C1762" i="1"/>
  <c r="B1762" i="1"/>
  <c r="A1762" i="1"/>
  <c r="K1761" i="1"/>
  <c r="J1761" i="1"/>
  <c r="I1761" i="1"/>
  <c r="H1761" i="1"/>
  <c r="G1761" i="1"/>
  <c r="F1761" i="1"/>
  <c r="E1761" i="1"/>
  <c r="D1761" i="1"/>
  <c r="C1761" i="1"/>
  <c r="B1761" i="1"/>
  <c r="A1761" i="1"/>
  <c r="K1760" i="1"/>
  <c r="J1760" i="1"/>
  <c r="I1760" i="1"/>
  <c r="H1760" i="1"/>
  <c r="G1760" i="1"/>
  <c r="F1760" i="1"/>
  <c r="E1760" i="1"/>
  <c r="D1760" i="1"/>
  <c r="C1760" i="1"/>
  <c r="B1760" i="1"/>
  <c r="A1760" i="1"/>
  <c r="K1759" i="1"/>
  <c r="J1759" i="1"/>
  <c r="I1759" i="1"/>
  <c r="H1759" i="1"/>
  <c r="G1759" i="1"/>
  <c r="F1759" i="1"/>
  <c r="E1759" i="1"/>
  <c r="D1759" i="1"/>
  <c r="C1759" i="1"/>
  <c r="B1759" i="1"/>
  <c r="A1759" i="1"/>
  <c r="K1758" i="1"/>
  <c r="J1758" i="1"/>
  <c r="I1758" i="1"/>
  <c r="H1758" i="1"/>
  <c r="G1758" i="1"/>
  <c r="F1758" i="1"/>
  <c r="E1758" i="1"/>
  <c r="D1758" i="1"/>
  <c r="C1758" i="1"/>
  <c r="B1758" i="1"/>
  <c r="A1758" i="1"/>
  <c r="K1757" i="1"/>
  <c r="J1757" i="1"/>
  <c r="I1757" i="1"/>
  <c r="H1757" i="1"/>
  <c r="G1757" i="1"/>
  <c r="F1757" i="1"/>
  <c r="E1757" i="1"/>
  <c r="D1757" i="1"/>
  <c r="C1757" i="1"/>
  <c r="B1757" i="1"/>
  <c r="A1757" i="1"/>
  <c r="K1756" i="1"/>
  <c r="I1756" i="1"/>
  <c r="H1756" i="1"/>
  <c r="G1756" i="1"/>
  <c r="F1756" i="1"/>
  <c r="E1756" i="1"/>
  <c r="D1756" i="1"/>
  <c r="C1756" i="1"/>
  <c r="B1756" i="1"/>
  <c r="A1756" i="1"/>
  <c r="K1755" i="1"/>
  <c r="J1755" i="1"/>
  <c r="H1755" i="1"/>
  <c r="G1755" i="1"/>
  <c r="F1755" i="1"/>
  <c r="E1755" i="1"/>
  <c r="D1755" i="1"/>
  <c r="C1755" i="1"/>
  <c r="B1755" i="1"/>
  <c r="A1755" i="1"/>
  <c r="K1754" i="1"/>
  <c r="J1754" i="1"/>
  <c r="H1754" i="1"/>
  <c r="G1754" i="1"/>
  <c r="F1754" i="1"/>
  <c r="E1754" i="1"/>
  <c r="D1754" i="1"/>
  <c r="C1754" i="1"/>
  <c r="B1754" i="1"/>
  <c r="A1754" i="1"/>
  <c r="K1753" i="1"/>
  <c r="J1753" i="1"/>
  <c r="H1753" i="1"/>
  <c r="G1753" i="1"/>
  <c r="F1753" i="1"/>
  <c r="E1753" i="1"/>
  <c r="D1753" i="1"/>
  <c r="C1753" i="1"/>
  <c r="B1753" i="1"/>
  <c r="A1753" i="1"/>
  <c r="K1752" i="1"/>
  <c r="J1752" i="1"/>
  <c r="H1752" i="1"/>
  <c r="G1752" i="1"/>
  <c r="F1752" i="1"/>
  <c r="E1752" i="1"/>
  <c r="D1752" i="1"/>
  <c r="C1752" i="1"/>
  <c r="B1752" i="1"/>
  <c r="A1752" i="1"/>
  <c r="K1751" i="1"/>
  <c r="J1751" i="1"/>
  <c r="H1751" i="1"/>
  <c r="G1751" i="1"/>
  <c r="F1751" i="1"/>
  <c r="E1751" i="1"/>
  <c r="D1751" i="1"/>
  <c r="C1751" i="1"/>
  <c r="B1751" i="1"/>
  <c r="A1751" i="1"/>
  <c r="K1750" i="1"/>
  <c r="J1750" i="1"/>
  <c r="H1750" i="1"/>
  <c r="G1750" i="1"/>
  <c r="F1750" i="1"/>
  <c r="E1750" i="1"/>
  <c r="D1750" i="1"/>
  <c r="C1750" i="1"/>
  <c r="B1750" i="1"/>
  <c r="A1750" i="1"/>
  <c r="K1749" i="1"/>
  <c r="J1749" i="1"/>
  <c r="H1749" i="1"/>
  <c r="G1749" i="1"/>
  <c r="F1749" i="1"/>
  <c r="E1749" i="1"/>
  <c r="D1749" i="1"/>
  <c r="C1749" i="1"/>
  <c r="B1749" i="1"/>
  <c r="A1749" i="1"/>
  <c r="K1748" i="1"/>
  <c r="J1748" i="1"/>
  <c r="H1748" i="1"/>
  <c r="G1748" i="1"/>
  <c r="F1748" i="1"/>
  <c r="E1748" i="1"/>
  <c r="D1748" i="1"/>
  <c r="C1748" i="1"/>
  <c r="B1748" i="1"/>
  <c r="A1748" i="1"/>
  <c r="K1747" i="1"/>
  <c r="J1747" i="1"/>
  <c r="H1747" i="1"/>
  <c r="G1747" i="1"/>
  <c r="F1747" i="1"/>
  <c r="E1747" i="1"/>
  <c r="D1747" i="1"/>
  <c r="C1747" i="1"/>
  <c r="B1747" i="1"/>
  <c r="A1747" i="1"/>
  <c r="K1746" i="1"/>
  <c r="J1746" i="1"/>
  <c r="H1746" i="1"/>
  <c r="G1746" i="1"/>
  <c r="F1746" i="1"/>
  <c r="E1746" i="1"/>
  <c r="D1746" i="1"/>
  <c r="C1746" i="1"/>
  <c r="B1746" i="1"/>
  <c r="A1746" i="1"/>
  <c r="K1745" i="1"/>
  <c r="J1745" i="1"/>
  <c r="H1745" i="1"/>
  <c r="G1745" i="1"/>
  <c r="F1745" i="1"/>
  <c r="E1745" i="1"/>
  <c r="D1745" i="1"/>
  <c r="C1745" i="1"/>
  <c r="B1745" i="1"/>
  <c r="A1745" i="1"/>
  <c r="K1744" i="1"/>
  <c r="J1744" i="1"/>
  <c r="H1744" i="1"/>
  <c r="G1744" i="1"/>
  <c r="F1744" i="1"/>
  <c r="E1744" i="1"/>
  <c r="D1744" i="1"/>
  <c r="C1744" i="1"/>
  <c r="B1744" i="1"/>
  <c r="A1744" i="1"/>
  <c r="K1743" i="1"/>
  <c r="J1743" i="1"/>
  <c r="H1743" i="1"/>
  <c r="G1743" i="1"/>
  <c r="F1743" i="1"/>
  <c r="E1743" i="1"/>
  <c r="D1743" i="1"/>
  <c r="C1743" i="1"/>
  <c r="B1743" i="1"/>
  <c r="A1743" i="1"/>
  <c r="K1742" i="1"/>
  <c r="J1742" i="1"/>
  <c r="H1742" i="1"/>
  <c r="G1742" i="1"/>
  <c r="F1742" i="1"/>
  <c r="E1742" i="1"/>
  <c r="D1742" i="1"/>
  <c r="C1742" i="1"/>
  <c r="B1742" i="1"/>
  <c r="A1742" i="1"/>
  <c r="K1741" i="1"/>
  <c r="J1741" i="1"/>
  <c r="H1741" i="1"/>
  <c r="G1741" i="1"/>
  <c r="F1741" i="1"/>
  <c r="E1741" i="1"/>
  <c r="D1741" i="1"/>
  <c r="C1741" i="1"/>
  <c r="B1741" i="1"/>
  <c r="A1741" i="1"/>
  <c r="K1740" i="1"/>
  <c r="J1740" i="1"/>
  <c r="H1740" i="1"/>
  <c r="G1740" i="1"/>
  <c r="F1740" i="1"/>
  <c r="E1740" i="1"/>
  <c r="D1740" i="1"/>
  <c r="C1740" i="1"/>
  <c r="B1740" i="1"/>
  <c r="A1740" i="1"/>
  <c r="K1739" i="1"/>
  <c r="J1739" i="1"/>
  <c r="H1739" i="1"/>
  <c r="G1739" i="1"/>
  <c r="F1739" i="1"/>
  <c r="E1739" i="1"/>
  <c r="D1739" i="1"/>
  <c r="C1739" i="1"/>
  <c r="B1739" i="1"/>
  <c r="A1739" i="1"/>
  <c r="K1738" i="1"/>
  <c r="J1738" i="1"/>
  <c r="H1738" i="1"/>
  <c r="G1738" i="1"/>
  <c r="F1738" i="1"/>
  <c r="E1738" i="1"/>
  <c r="D1738" i="1"/>
  <c r="C1738" i="1"/>
  <c r="B1738" i="1"/>
  <c r="A1738" i="1"/>
  <c r="K1737" i="1"/>
  <c r="J1737" i="1"/>
  <c r="H1737" i="1"/>
  <c r="G1737" i="1"/>
  <c r="F1737" i="1"/>
  <c r="E1737" i="1"/>
  <c r="D1737" i="1"/>
  <c r="C1737" i="1"/>
  <c r="B1737" i="1"/>
  <c r="A1737" i="1"/>
  <c r="K1736" i="1"/>
  <c r="J1736" i="1"/>
  <c r="H1736" i="1"/>
  <c r="G1736" i="1"/>
  <c r="F1736" i="1"/>
  <c r="E1736" i="1"/>
  <c r="D1736" i="1"/>
  <c r="C1736" i="1"/>
  <c r="B1736" i="1"/>
  <c r="A1736" i="1"/>
  <c r="K1735" i="1"/>
  <c r="J1735" i="1"/>
  <c r="H1735" i="1"/>
  <c r="G1735" i="1"/>
  <c r="F1735" i="1"/>
  <c r="E1735" i="1"/>
  <c r="D1735" i="1"/>
  <c r="C1735" i="1"/>
  <c r="B1735" i="1"/>
  <c r="A1735" i="1"/>
  <c r="K1734" i="1"/>
  <c r="J1734" i="1"/>
  <c r="H1734" i="1"/>
  <c r="G1734" i="1"/>
  <c r="F1734" i="1"/>
  <c r="E1734" i="1"/>
  <c r="D1734" i="1"/>
  <c r="C1734" i="1"/>
  <c r="B1734" i="1"/>
  <c r="A1734" i="1"/>
  <c r="K1733" i="1"/>
  <c r="J1733" i="1"/>
  <c r="H1733" i="1"/>
  <c r="G1733" i="1"/>
  <c r="F1733" i="1"/>
  <c r="E1733" i="1"/>
  <c r="D1733" i="1"/>
  <c r="C1733" i="1"/>
  <c r="B1733" i="1"/>
  <c r="A1733" i="1"/>
  <c r="K1732" i="1"/>
  <c r="J1732" i="1"/>
  <c r="H1732" i="1"/>
  <c r="G1732" i="1"/>
  <c r="F1732" i="1"/>
  <c r="E1732" i="1"/>
  <c r="D1732" i="1"/>
  <c r="C1732" i="1"/>
  <c r="B1732" i="1"/>
  <c r="A1732" i="1"/>
  <c r="K1731" i="1"/>
  <c r="J1731" i="1"/>
  <c r="H1731" i="1"/>
  <c r="G1731" i="1"/>
  <c r="F1731" i="1"/>
  <c r="E1731" i="1"/>
  <c r="D1731" i="1"/>
  <c r="C1731" i="1"/>
  <c r="B1731" i="1"/>
  <c r="A1731" i="1"/>
  <c r="K1730" i="1"/>
  <c r="J1730" i="1"/>
  <c r="H1730" i="1"/>
  <c r="G1730" i="1"/>
  <c r="F1730" i="1"/>
  <c r="E1730" i="1"/>
  <c r="D1730" i="1"/>
  <c r="C1730" i="1"/>
  <c r="B1730" i="1"/>
  <c r="A1730" i="1"/>
  <c r="K1729" i="1"/>
  <c r="J1729" i="1"/>
  <c r="H1729" i="1"/>
  <c r="G1729" i="1"/>
  <c r="F1729" i="1"/>
  <c r="E1729" i="1"/>
  <c r="D1729" i="1"/>
  <c r="C1729" i="1"/>
  <c r="B1729" i="1"/>
  <c r="A1729" i="1"/>
  <c r="K1728" i="1"/>
  <c r="J1728" i="1"/>
  <c r="H1728" i="1"/>
  <c r="G1728" i="1"/>
  <c r="F1728" i="1"/>
  <c r="E1728" i="1"/>
  <c r="D1728" i="1"/>
  <c r="C1728" i="1"/>
  <c r="B1728" i="1"/>
  <c r="A1728" i="1"/>
  <c r="K1727" i="1"/>
  <c r="J1727" i="1"/>
  <c r="H1727" i="1"/>
  <c r="G1727" i="1"/>
  <c r="F1727" i="1"/>
  <c r="E1727" i="1"/>
  <c r="D1727" i="1"/>
  <c r="C1727" i="1"/>
  <c r="B1727" i="1"/>
  <c r="A1727" i="1"/>
  <c r="K1726" i="1"/>
  <c r="J1726" i="1"/>
  <c r="H1726" i="1"/>
  <c r="G1726" i="1"/>
  <c r="F1726" i="1"/>
  <c r="E1726" i="1"/>
  <c r="D1726" i="1"/>
  <c r="C1726" i="1"/>
  <c r="B1726" i="1"/>
  <c r="A1726" i="1"/>
  <c r="K1725" i="1"/>
  <c r="J1725" i="1"/>
  <c r="H1725" i="1"/>
  <c r="G1725" i="1"/>
  <c r="F1725" i="1"/>
  <c r="E1725" i="1"/>
  <c r="D1725" i="1"/>
  <c r="C1725" i="1"/>
  <c r="B1725" i="1"/>
  <c r="A1725" i="1"/>
  <c r="K1724" i="1"/>
  <c r="J1724" i="1"/>
  <c r="H1724" i="1"/>
  <c r="G1724" i="1"/>
  <c r="F1724" i="1"/>
  <c r="E1724" i="1"/>
  <c r="D1724" i="1"/>
  <c r="C1724" i="1"/>
  <c r="B1724" i="1"/>
  <c r="A1724" i="1"/>
  <c r="K1723" i="1"/>
  <c r="J1723" i="1"/>
  <c r="H1723" i="1"/>
  <c r="G1723" i="1"/>
  <c r="F1723" i="1"/>
  <c r="E1723" i="1"/>
  <c r="D1723" i="1"/>
  <c r="C1723" i="1"/>
  <c r="B1723" i="1"/>
  <c r="A1723" i="1"/>
  <c r="K1722" i="1"/>
  <c r="J1722" i="1"/>
  <c r="H1722" i="1"/>
  <c r="G1722" i="1"/>
  <c r="F1722" i="1"/>
  <c r="E1722" i="1"/>
  <c r="D1722" i="1"/>
  <c r="C1722" i="1"/>
  <c r="B1722" i="1"/>
  <c r="A1722" i="1"/>
  <c r="K1721" i="1"/>
  <c r="J1721" i="1"/>
  <c r="H1721" i="1"/>
  <c r="G1721" i="1"/>
  <c r="F1721" i="1"/>
  <c r="E1721" i="1"/>
  <c r="D1721" i="1"/>
  <c r="C1721" i="1"/>
  <c r="B1721" i="1"/>
  <c r="A1721" i="1"/>
  <c r="K1720" i="1"/>
  <c r="J1720" i="1"/>
  <c r="H1720" i="1"/>
  <c r="G1720" i="1"/>
  <c r="F1720" i="1"/>
  <c r="E1720" i="1"/>
  <c r="D1720" i="1"/>
  <c r="C1720" i="1"/>
  <c r="B1720" i="1"/>
  <c r="A1720" i="1"/>
  <c r="K1719" i="1"/>
  <c r="J1719" i="1"/>
  <c r="H1719" i="1"/>
  <c r="G1719" i="1"/>
  <c r="F1719" i="1"/>
  <c r="E1719" i="1"/>
  <c r="D1719" i="1"/>
  <c r="C1719" i="1"/>
  <c r="B1719" i="1"/>
  <c r="A1719" i="1"/>
  <c r="K1718" i="1"/>
  <c r="J1718" i="1"/>
  <c r="H1718" i="1"/>
  <c r="G1718" i="1"/>
  <c r="F1718" i="1"/>
  <c r="E1718" i="1"/>
  <c r="D1718" i="1"/>
  <c r="C1718" i="1"/>
  <c r="B1718" i="1"/>
  <c r="A1718" i="1"/>
  <c r="K1717" i="1"/>
  <c r="J1717" i="1"/>
  <c r="H1717" i="1"/>
  <c r="G1717" i="1"/>
  <c r="F1717" i="1"/>
  <c r="E1717" i="1"/>
  <c r="D1717" i="1"/>
  <c r="C1717" i="1"/>
  <c r="B1717" i="1"/>
  <c r="A1717" i="1"/>
  <c r="K1716" i="1"/>
  <c r="J1716" i="1"/>
  <c r="H1716" i="1"/>
  <c r="G1716" i="1"/>
  <c r="F1716" i="1"/>
  <c r="E1716" i="1"/>
  <c r="D1716" i="1"/>
  <c r="C1716" i="1"/>
  <c r="B1716" i="1"/>
  <c r="A1716" i="1"/>
  <c r="K1715" i="1"/>
  <c r="J1715" i="1"/>
  <c r="H1715" i="1"/>
  <c r="G1715" i="1"/>
  <c r="F1715" i="1"/>
  <c r="E1715" i="1"/>
  <c r="D1715" i="1"/>
  <c r="C1715" i="1"/>
  <c r="B1715" i="1"/>
  <c r="A1715" i="1"/>
  <c r="K1714" i="1"/>
  <c r="J1714" i="1"/>
  <c r="H1714" i="1"/>
  <c r="G1714" i="1"/>
  <c r="F1714" i="1"/>
  <c r="E1714" i="1"/>
  <c r="D1714" i="1"/>
  <c r="C1714" i="1"/>
  <c r="B1714" i="1"/>
  <c r="A1714" i="1"/>
  <c r="K1713" i="1"/>
  <c r="J1713" i="1"/>
  <c r="H1713" i="1"/>
  <c r="G1713" i="1"/>
  <c r="F1713" i="1"/>
  <c r="E1713" i="1"/>
  <c r="D1713" i="1"/>
  <c r="C1713" i="1"/>
  <c r="B1713" i="1"/>
  <c r="A1713" i="1"/>
  <c r="K1712" i="1"/>
  <c r="J1712" i="1"/>
  <c r="H1712" i="1"/>
  <c r="G1712" i="1"/>
  <c r="F1712" i="1"/>
  <c r="E1712" i="1"/>
  <c r="D1712" i="1"/>
  <c r="C1712" i="1"/>
  <c r="B1712" i="1"/>
  <c r="A1712" i="1"/>
  <c r="K1711" i="1"/>
  <c r="J1711" i="1"/>
  <c r="H1711" i="1"/>
  <c r="G1711" i="1"/>
  <c r="F1711" i="1"/>
  <c r="E1711" i="1"/>
  <c r="D1711" i="1"/>
  <c r="C1711" i="1"/>
  <c r="B1711" i="1"/>
  <c r="A1711" i="1"/>
  <c r="K1710" i="1"/>
  <c r="J1710" i="1"/>
  <c r="H1710" i="1"/>
  <c r="G1710" i="1"/>
  <c r="F1710" i="1"/>
  <c r="E1710" i="1"/>
  <c r="D1710" i="1"/>
  <c r="C1710" i="1"/>
  <c r="B1710" i="1"/>
  <c r="A1710" i="1"/>
  <c r="K1709" i="1"/>
  <c r="J1709" i="1"/>
  <c r="H1709" i="1"/>
  <c r="G1709" i="1"/>
  <c r="F1709" i="1"/>
  <c r="E1709" i="1"/>
  <c r="D1709" i="1"/>
  <c r="C1709" i="1"/>
  <c r="B1709" i="1"/>
  <c r="A1709" i="1"/>
  <c r="K1708" i="1"/>
  <c r="J1708" i="1"/>
  <c r="H1708" i="1"/>
  <c r="G1708" i="1"/>
  <c r="F1708" i="1"/>
  <c r="E1708" i="1"/>
  <c r="D1708" i="1"/>
  <c r="C1708" i="1"/>
  <c r="B1708" i="1"/>
  <c r="A1708" i="1"/>
  <c r="K1707" i="1"/>
  <c r="J1707" i="1"/>
  <c r="H1707" i="1"/>
  <c r="G1707" i="1"/>
  <c r="F1707" i="1"/>
  <c r="E1707" i="1"/>
  <c r="D1707" i="1"/>
  <c r="C1707" i="1"/>
  <c r="B1707" i="1"/>
  <c r="A1707" i="1"/>
  <c r="K1706" i="1"/>
  <c r="J1706" i="1"/>
  <c r="H1706" i="1"/>
  <c r="G1706" i="1"/>
  <c r="F1706" i="1"/>
  <c r="E1706" i="1"/>
  <c r="D1706" i="1"/>
  <c r="C1706" i="1"/>
  <c r="B1706" i="1"/>
  <c r="A1706" i="1"/>
  <c r="K1705" i="1"/>
  <c r="J1705" i="1"/>
  <c r="H1705" i="1"/>
  <c r="G1705" i="1"/>
  <c r="F1705" i="1"/>
  <c r="E1705" i="1"/>
  <c r="D1705" i="1"/>
  <c r="C1705" i="1"/>
  <c r="B1705" i="1"/>
  <c r="A1705" i="1"/>
  <c r="K1704" i="1"/>
  <c r="J1704" i="1"/>
  <c r="H1704" i="1"/>
  <c r="G1704" i="1"/>
  <c r="F1704" i="1"/>
  <c r="E1704" i="1"/>
  <c r="D1704" i="1"/>
  <c r="C1704" i="1"/>
  <c r="B1704" i="1"/>
  <c r="A1704" i="1"/>
  <c r="K1703" i="1"/>
  <c r="J1703" i="1"/>
  <c r="H1703" i="1"/>
  <c r="G1703" i="1"/>
  <c r="F1703" i="1"/>
  <c r="E1703" i="1"/>
  <c r="D1703" i="1"/>
  <c r="C1703" i="1"/>
  <c r="B1703" i="1"/>
  <c r="A1703" i="1"/>
  <c r="K1702" i="1"/>
  <c r="J1702" i="1"/>
  <c r="H1702" i="1"/>
  <c r="G1702" i="1"/>
  <c r="F1702" i="1"/>
  <c r="E1702" i="1"/>
  <c r="D1702" i="1"/>
  <c r="C1702" i="1"/>
  <c r="B1702" i="1"/>
  <c r="A1702" i="1"/>
  <c r="K1701" i="1"/>
  <c r="J1701" i="1"/>
  <c r="H1701" i="1"/>
  <c r="G1701" i="1"/>
  <c r="F1701" i="1"/>
  <c r="E1701" i="1"/>
  <c r="D1701" i="1"/>
  <c r="C1701" i="1"/>
  <c r="B1701" i="1"/>
  <c r="A1701" i="1"/>
  <c r="K1700" i="1"/>
  <c r="J1700" i="1"/>
  <c r="H1700" i="1"/>
  <c r="G1700" i="1"/>
  <c r="F1700" i="1"/>
  <c r="E1700" i="1"/>
  <c r="D1700" i="1"/>
  <c r="C1700" i="1"/>
  <c r="B1700" i="1"/>
  <c r="A1700" i="1"/>
  <c r="K1699" i="1"/>
  <c r="J1699" i="1"/>
  <c r="H1699" i="1"/>
  <c r="G1699" i="1"/>
  <c r="F1699" i="1"/>
  <c r="E1699" i="1"/>
  <c r="D1699" i="1"/>
  <c r="C1699" i="1"/>
  <c r="B1699" i="1"/>
  <c r="A1699" i="1"/>
  <c r="K1698" i="1"/>
  <c r="J1698" i="1"/>
  <c r="H1698" i="1"/>
  <c r="G1698" i="1"/>
  <c r="F1698" i="1"/>
  <c r="E1698" i="1"/>
  <c r="D1698" i="1"/>
  <c r="C1698" i="1"/>
  <c r="B1698" i="1"/>
  <c r="A1698" i="1"/>
  <c r="K1697" i="1"/>
  <c r="J1697" i="1"/>
  <c r="H1697" i="1"/>
  <c r="G1697" i="1"/>
  <c r="F1697" i="1"/>
  <c r="E1697" i="1"/>
  <c r="D1697" i="1"/>
  <c r="C1697" i="1"/>
  <c r="B1697" i="1"/>
  <c r="A1697" i="1"/>
  <c r="K1696" i="1"/>
  <c r="J1696" i="1"/>
  <c r="H1696" i="1"/>
  <c r="G1696" i="1"/>
  <c r="F1696" i="1"/>
  <c r="E1696" i="1"/>
  <c r="D1696" i="1"/>
  <c r="C1696" i="1"/>
  <c r="B1696" i="1"/>
  <c r="A1696" i="1"/>
  <c r="K1695" i="1"/>
  <c r="J1695" i="1"/>
  <c r="H1695" i="1"/>
  <c r="G1695" i="1"/>
  <c r="F1695" i="1"/>
  <c r="E1695" i="1"/>
  <c r="D1695" i="1"/>
  <c r="C1695" i="1"/>
  <c r="B1695" i="1"/>
  <c r="A1695" i="1"/>
  <c r="K1694" i="1"/>
  <c r="J1694" i="1"/>
  <c r="H1694" i="1"/>
  <c r="G1694" i="1"/>
  <c r="F1694" i="1"/>
  <c r="E1694" i="1"/>
  <c r="D1694" i="1"/>
  <c r="C1694" i="1"/>
  <c r="B1694" i="1"/>
  <c r="A1694" i="1"/>
  <c r="K1693" i="1"/>
  <c r="J1693" i="1"/>
  <c r="H1693" i="1"/>
  <c r="G1693" i="1"/>
  <c r="F1693" i="1"/>
  <c r="E1693" i="1"/>
  <c r="D1693" i="1"/>
  <c r="C1693" i="1"/>
  <c r="B1693" i="1"/>
  <c r="A1693" i="1"/>
  <c r="K1692" i="1"/>
  <c r="J1692" i="1"/>
  <c r="H1692" i="1"/>
  <c r="G1692" i="1"/>
  <c r="F1692" i="1"/>
  <c r="E1692" i="1"/>
  <c r="D1692" i="1"/>
  <c r="C1692" i="1"/>
  <c r="B1692" i="1"/>
  <c r="A1692" i="1"/>
  <c r="K1691" i="1"/>
  <c r="J1691" i="1"/>
  <c r="H1691" i="1"/>
  <c r="G1691" i="1"/>
  <c r="F1691" i="1"/>
  <c r="E1691" i="1"/>
  <c r="D1691" i="1"/>
  <c r="C1691" i="1"/>
  <c r="B1691" i="1"/>
  <c r="A1691" i="1"/>
  <c r="K1690" i="1"/>
  <c r="J1690" i="1"/>
  <c r="H1690" i="1"/>
  <c r="G1690" i="1"/>
  <c r="F1690" i="1"/>
  <c r="E1690" i="1"/>
  <c r="D1690" i="1"/>
  <c r="C1690" i="1"/>
  <c r="B1690" i="1"/>
  <c r="A1690" i="1"/>
  <c r="K1689" i="1"/>
  <c r="J1689" i="1"/>
  <c r="H1689" i="1"/>
  <c r="G1689" i="1"/>
  <c r="F1689" i="1"/>
  <c r="E1689" i="1"/>
  <c r="D1689" i="1"/>
  <c r="C1689" i="1"/>
  <c r="B1689" i="1"/>
  <c r="A1689" i="1"/>
  <c r="K1688" i="1"/>
  <c r="J1688" i="1"/>
  <c r="I1688" i="1"/>
  <c r="H1688" i="1"/>
  <c r="G1688" i="1"/>
  <c r="F1688" i="1"/>
  <c r="E1688" i="1"/>
  <c r="D1688" i="1"/>
  <c r="C1688" i="1"/>
  <c r="B1688" i="1"/>
  <c r="A1688" i="1"/>
  <c r="K1687" i="1"/>
  <c r="J1687" i="1"/>
  <c r="H1687" i="1"/>
  <c r="G1687" i="1"/>
  <c r="F1687" i="1"/>
  <c r="E1687" i="1"/>
  <c r="D1687" i="1"/>
  <c r="C1687" i="1"/>
  <c r="B1687" i="1"/>
  <c r="A1687" i="1"/>
  <c r="K1686" i="1"/>
  <c r="J1686" i="1"/>
  <c r="H1686" i="1"/>
  <c r="G1686" i="1"/>
  <c r="F1686" i="1"/>
  <c r="E1686" i="1"/>
  <c r="D1686" i="1"/>
  <c r="C1686" i="1"/>
  <c r="B1686" i="1"/>
  <c r="A1686" i="1"/>
  <c r="K1685" i="1"/>
  <c r="J1685" i="1"/>
  <c r="H1685" i="1"/>
  <c r="G1685" i="1"/>
  <c r="F1685" i="1"/>
  <c r="E1685" i="1"/>
  <c r="D1685" i="1"/>
  <c r="C1685" i="1"/>
  <c r="B1685" i="1"/>
  <c r="A1685" i="1"/>
  <c r="K1684" i="1"/>
  <c r="J1684" i="1"/>
  <c r="H1684" i="1"/>
  <c r="G1684" i="1"/>
  <c r="F1684" i="1"/>
  <c r="E1684" i="1"/>
  <c r="D1684" i="1"/>
  <c r="C1684" i="1"/>
  <c r="B1684" i="1"/>
  <c r="A1684" i="1"/>
  <c r="K1683" i="1"/>
  <c r="J1683" i="1"/>
  <c r="H1683" i="1"/>
  <c r="G1683" i="1"/>
  <c r="F1683" i="1"/>
  <c r="E1683" i="1"/>
  <c r="D1683" i="1"/>
  <c r="C1683" i="1"/>
  <c r="B1683" i="1"/>
  <c r="A1683" i="1"/>
  <c r="K1682" i="1"/>
  <c r="J1682" i="1"/>
  <c r="H1682" i="1"/>
  <c r="G1682" i="1"/>
  <c r="F1682" i="1"/>
  <c r="E1682" i="1"/>
  <c r="D1682" i="1"/>
  <c r="C1682" i="1"/>
  <c r="B1682" i="1"/>
  <c r="A1682" i="1"/>
  <c r="K1681" i="1"/>
  <c r="J1681" i="1"/>
  <c r="H1681" i="1"/>
  <c r="G1681" i="1"/>
  <c r="F1681" i="1"/>
  <c r="E1681" i="1"/>
  <c r="D1681" i="1"/>
  <c r="C1681" i="1"/>
  <c r="B1681" i="1"/>
  <c r="A1681" i="1"/>
  <c r="K1680" i="1"/>
  <c r="J1680" i="1"/>
  <c r="H1680" i="1"/>
  <c r="G1680" i="1"/>
  <c r="F1680" i="1"/>
  <c r="E1680" i="1"/>
  <c r="D1680" i="1"/>
  <c r="C1680" i="1"/>
  <c r="B1680" i="1"/>
  <c r="A1680" i="1"/>
  <c r="K1679" i="1"/>
  <c r="J1679" i="1"/>
  <c r="H1679" i="1"/>
  <c r="G1679" i="1"/>
  <c r="F1679" i="1"/>
  <c r="E1679" i="1"/>
  <c r="D1679" i="1"/>
  <c r="C1679" i="1"/>
  <c r="B1679" i="1"/>
  <c r="A1679" i="1"/>
  <c r="K1678" i="1"/>
  <c r="J1678" i="1"/>
  <c r="H1678" i="1"/>
  <c r="G1678" i="1"/>
  <c r="F1678" i="1"/>
  <c r="E1678" i="1"/>
  <c r="D1678" i="1"/>
  <c r="C1678" i="1"/>
  <c r="B1678" i="1"/>
  <c r="A1678" i="1"/>
  <c r="K1677" i="1"/>
  <c r="J1677" i="1"/>
  <c r="H1677" i="1"/>
  <c r="G1677" i="1"/>
  <c r="F1677" i="1"/>
  <c r="E1677" i="1"/>
  <c r="D1677" i="1"/>
  <c r="C1677" i="1"/>
  <c r="B1677" i="1"/>
  <c r="A1677" i="1"/>
  <c r="K1676" i="1"/>
  <c r="J1676" i="1"/>
  <c r="H1676" i="1"/>
  <c r="G1676" i="1"/>
  <c r="F1676" i="1"/>
  <c r="E1676" i="1"/>
  <c r="D1676" i="1"/>
  <c r="C1676" i="1"/>
  <c r="B1676" i="1"/>
  <c r="A1676" i="1"/>
  <c r="K1675" i="1"/>
  <c r="J1675" i="1"/>
  <c r="H1675" i="1"/>
  <c r="G1675" i="1"/>
  <c r="F1675" i="1"/>
  <c r="E1675" i="1"/>
  <c r="D1675" i="1"/>
  <c r="C1675" i="1"/>
  <c r="B1675" i="1"/>
  <c r="A1675" i="1"/>
  <c r="K1674" i="1"/>
  <c r="J1674" i="1"/>
  <c r="H1674" i="1"/>
  <c r="G1674" i="1"/>
  <c r="F1674" i="1"/>
  <c r="E1674" i="1"/>
  <c r="D1674" i="1"/>
  <c r="C1674" i="1"/>
  <c r="B1674" i="1"/>
  <c r="A1674" i="1"/>
  <c r="K1673" i="1"/>
  <c r="J1673" i="1"/>
  <c r="H1673" i="1"/>
  <c r="G1673" i="1"/>
  <c r="F1673" i="1"/>
  <c r="E1673" i="1"/>
  <c r="D1673" i="1"/>
  <c r="C1673" i="1"/>
  <c r="B1673" i="1"/>
  <c r="A1673" i="1"/>
  <c r="K1672" i="1"/>
  <c r="J1672" i="1"/>
  <c r="H1672" i="1"/>
  <c r="G1672" i="1"/>
  <c r="F1672" i="1"/>
  <c r="E1672" i="1"/>
  <c r="D1672" i="1"/>
  <c r="C1672" i="1"/>
  <c r="B1672" i="1"/>
  <c r="A1672" i="1"/>
  <c r="K1671" i="1"/>
  <c r="J1671" i="1"/>
  <c r="H1671" i="1"/>
  <c r="G1671" i="1"/>
  <c r="F1671" i="1"/>
  <c r="E1671" i="1"/>
  <c r="D1671" i="1"/>
  <c r="C1671" i="1"/>
  <c r="B1671" i="1"/>
  <c r="A1671" i="1"/>
  <c r="K1670" i="1"/>
  <c r="J1670" i="1"/>
  <c r="H1670" i="1"/>
  <c r="G1670" i="1"/>
  <c r="F1670" i="1"/>
  <c r="E1670" i="1"/>
  <c r="D1670" i="1"/>
  <c r="C1670" i="1"/>
  <c r="B1670" i="1"/>
  <c r="A1670" i="1"/>
  <c r="K1669" i="1"/>
  <c r="J1669" i="1"/>
  <c r="H1669" i="1"/>
  <c r="G1669" i="1"/>
  <c r="F1669" i="1"/>
  <c r="E1669" i="1"/>
  <c r="D1669" i="1"/>
  <c r="C1669" i="1"/>
  <c r="B1669" i="1"/>
  <c r="A1669" i="1"/>
  <c r="K1668" i="1"/>
  <c r="J1668" i="1"/>
  <c r="H1668" i="1"/>
  <c r="G1668" i="1"/>
  <c r="F1668" i="1"/>
  <c r="E1668" i="1"/>
  <c r="D1668" i="1"/>
  <c r="C1668" i="1"/>
  <c r="B1668" i="1"/>
  <c r="A1668" i="1"/>
  <c r="K1667" i="1"/>
  <c r="J1667" i="1"/>
  <c r="H1667" i="1"/>
  <c r="G1667" i="1"/>
  <c r="F1667" i="1"/>
  <c r="E1667" i="1"/>
  <c r="D1667" i="1"/>
  <c r="C1667" i="1"/>
  <c r="B1667" i="1"/>
  <c r="A1667" i="1"/>
  <c r="K1666" i="1"/>
  <c r="J1666" i="1"/>
  <c r="H1666" i="1"/>
  <c r="G1666" i="1"/>
  <c r="F1666" i="1"/>
  <c r="E1666" i="1"/>
  <c r="D1666" i="1"/>
  <c r="C1666" i="1"/>
  <c r="B1666" i="1"/>
  <c r="A1666" i="1"/>
  <c r="K1665" i="1"/>
  <c r="J1665" i="1"/>
  <c r="H1665" i="1"/>
  <c r="G1665" i="1"/>
  <c r="F1665" i="1"/>
  <c r="E1665" i="1"/>
  <c r="D1665" i="1"/>
  <c r="C1665" i="1"/>
  <c r="B1665" i="1"/>
  <c r="A1665" i="1"/>
  <c r="K1664" i="1"/>
  <c r="J1664" i="1"/>
  <c r="H1664" i="1"/>
  <c r="G1664" i="1"/>
  <c r="F1664" i="1"/>
  <c r="E1664" i="1"/>
  <c r="D1664" i="1"/>
  <c r="C1664" i="1"/>
  <c r="B1664" i="1"/>
  <c r="A1664" i="1"/>
  <c r="K1663" i="1"/>
  <c r="J1663" i="1"/>
  <c r="H1663" i="1"/>
  <c r="G1663" i="1"/>
  <c r="F1663" i="1"/>
  <c r="E1663" i="1"/>
  <c r="D1663" i="1"/>
  <c r="C1663" i="1"/>
  <c r="B1663" i="1"/>
  <c r="A1663" i="1"/>
  <c r="K1662" i="1"/>
  <c r="J1662" i="1"/>
  <c r="H1662" i="1"/>
  <c r="G1662" i="1"/>
  <c r="F1662" i="1"/>
  <c r="E1662" i="1"/>
  <c r="D1662" i="1"/>
  <c r="C1662" i="1"/>
  <c r="B1662" i="1"/>
  <c r="A1662" i="1"/>
  <c r="K1661" i="1"/>
  <c r="J1661" i="1"/>
  <c r="H1661" i="1"/>
  <c r="G1661" i="1"/>
  <c r="F1661" i="1"/>
  <c r="E1661" i="1"/>
  <c r="D1661" i="1"/>
  <c r="C1661" i="1"/>
  <c r="B1661" i="1"/>
  <c r="A1661" i="1"/>
  <c r="K1660" i="1"/>
  <c r="J1660" i="1"/>
  <c r="H1660" i="1"/>
  <c r="G1660" i="1"/>
  <c r="F1660" i="1"/>
  <c r="E1660" i="1"/>
  <c r="D1660" i="1"/>
  <c r="C1660" i="1"/>
  <c r="B1660" i="1"/>
  <c r="A1660" i="1"/>
  <c r="K1659" i="1"/>
  <c r="J1659" i="1"/>
  <c r="H1659" i="1"/>
  <c r="G1659" i="1"/>
  <c r="F1659" i="1"/>
  <c r="E1659" i="1"/>
  <c r="D1659" i="1"/>
  <c r="C1659" i="1"/>
  <c r="B1659" i="1"/>
  <c r="A1659" i="1"/>
  <c r="K1658" i="1"/>
  <c r="J1658" i="1"/>
  <c r="H1658" i="1"/>
  <c r="G1658" i="1"/>
  <c r="F1658" i="1"/>
  <c r="E1658" i="1"/>
  <c r="D1658" i="1"/>
  <c r="C1658" i="1"/>
  <c r="B1658" i="1"/>
  <c r="A1658" i="1"/>
  <c r="K1657" i="1"/>
  <c r="J1657" i="1"/>
  <c r="H1657" i="1"/>
  <c r="G1657" i="1"/>
  <c r="F1657" i="1"/>
  <c r="E1657" i="1"/>
  <c r="D1657" i="1"/>
  <c r="C1657" i="1"/>
  <c r="B1657" i="1"/>
  <c r="A1657" i="1"/>
  <c r="K1656" i="1"/>
  <c r="J1656" i="1"/>
  <c r="H1656" i="1"/>
  <c r="G1656" i="1"/>
  <c r="F1656" i="1"/>
  <c r="E1656" i="1"/>
  <c r="D1656" i="1"/>
  <c r="C1656" i="1"/>
  <c r="B1656" i="1"/>
  <c r="A1656" i="1"/>
  <c r="K1655" i="1"/>
  <c r="J1655" i="1"/>
  <c r="H1655" i="1"/>
  <c r="G1655" i="1"/>
  <c r="F1655" i="1"/>
  <c r="E1655" i="1"/>
  <c r="D1655" i="1"/>
  <c r="C1655" i="1"/>
  <c r="B1655" i="1"/>
  <c r="A1655" i="1"/>
  <c r="K1654" i="1"/>
  <c r="J1654" i="1"/>
  <c r="H1654" i="1"/>
  <c r="G1654" i="1"/>
  <c r="F1654" i="1"/>
  <c r="E1654" i="1"/>
  <c r="D1654" i="1"/>
  <c r="C1654" i="1"/>
  <c r="B1654" i="1"/>
  <c r="A1654" i="1"/>
  <c r="K1653" i="1"/>
  <c r="J1653" i="1"/>
  <c r="H1653" i="1"/>
  <c r="G1653" i="1"/>
  <c r="F1653" i="1"/>
  <c r="E1653" i="1"/>
  <c r="D1653" i="1"/>
  <c r="C1653" i="1"/>
  <c r="B1653" i="1"/>
  <c r="A1653" i="1"/>
  <c r="K1652" i="1"/>
  <c r="J1652" i="1"/>
  <c r="H1652" i="1"/>
  <c r="G1652" i="1"/>
  <c r="F1652" i="1"/>
  <c r="E1652" i="1"/>
  <c r="D1652" i="1"/>
  <c r="C1652" i="1"/>
  <c r="B1652" i="1"/>
  <c r="A1652" i="1"/>
  <c r="K1651" i="1"/>
  <c r="J1651" i="1"/>
  <c r="H1651" i="1"/>
  <c r="G1651" i="1"/>
  <c r="F1651" i="1"/>
  <c r="E1651" i="1"/>
  <c r="D1651" i="1"/>
  <c r="C1651" i="1"/>
  <c r="B1651" i="1"/>
  <c r="A1651" i="1"/>
  <c r="K1650" i="1"/>
  <c r="J1650" i="1"/>
  <c r="H1650" i="1"/>
  <c r="G1650" i="1"/>
  <c r="F1650" i="1"/>
  <c r="E1650" i="1"/>
  <c r="D1650" i="1"/>
  <c r="C1650" i="1"/>
  <c r="B1650" i="1"/>
  <c r="A1650" i="1"/>
  <c r="K1649" i="1"/>
  <c r="J1649" i="1"/>
  <c r="H1649" i="1"/>
  <c r="G1649" i="1"/>
  <c r="F1649" i="1"/>
  <c r="E1649" i="1"/>
  <c r="D1649" i="1"/>
  <c r="C1649" i="1"/>
  <c r="B1649" i="1"/>
  <c r="A1649" i="1"/>
  <c r="K1648" i="1"/>
  <c r="J1648" i="1"/>
  <c r="H1648" i="1"/>
  <c r="G1648" i="1"/>
  <c r="F1648" i="1"/>
  <c r="E1648" i="1"/>
  <c r="D1648" i="1"/>
  <c r="C1648" i="1"/>
  <c r="B1648" i="1"/>
  <c r="A1648" i="1"/>
  <c r="K1647" i="1"/>
  <c r="J1647" i="1"/>
  <c r="H1647" i="1"/>
  <c r="G1647" i="1"/>
  <c r="F1647" i="1"/>
  <c r="E1647" i="1"/>
  <c r="D1647" i="1"/>
  <c r="C1647" i="1"/>
  <c r="B1647" i="1"/>
  <c r="A1647" i="1"/>
  <c r="K1646" i="1"/>
  <c r="J1646" i="1"/>
  <c r="H1646" i="1"/>
  <c r="G1646" i="1"/>
  <c r="F1646" i="1"/>
  <c r="E1646" i="1"/>
  <c r="D1646" i="1"/>
  <c r="C1646" i="1"/>
  <c r="B1646" i="1"/>
  <c r="A1646" i="1"/>
  <c r="K1645" i="1"/>
  <c r="J1645" i="1"/>
  <c r="H1645" i="1"/>
  <c r="G1645" i="1"/>
  <c r="F1645" i="1"/>
  <c r="E1645" i="1"/>
  <c r="D1645" i="1"/>
  <c r="C1645" i="1"/>
  <c r="B1645" i="1"/>
  <c r="A1645" i="1"/>
  <c r="K1644" i="1"/>
  <c r="J1644" i="1"/>
  <c r="H1644" i="1"/>
  <c r="G1644" i="1"/>
  <c r="F1644" i="1"/>
  <c r="E1644" i="1"/>
  <c r="D1644" i="1"/>
  <c r="C1644" i="1"/>
  <c r="B1644" i="1"/>
  <c r="A1644" i="1"/>
  <c r="K1643" i="1"/>
  <c r="J1643" i="1"/>
  <c r="H1643" i="1"/>
  <c r="G1643" i="1"/>
  <c r="F1643" i="1"/>
  <c r="E1643" i="1"/>
  <c r="D1643" i="1"/>
  <c r="C1643" i="1"/>
  <c r="B1643" i="1"/>
  <c r="A1643" i="1"/>
  <c r="K1642" i="1"/>
  <c r="J1642" i="1"/>
  <c r="H1642" i="1"/>
  <c r="G1642" i="1"/>
  <c r="F1642" i="1"/>
  <c r="E1642" i="1"/>
  <c r="D1642" i="1"/>
  <c r="C1642" i="1"/>
  <c r="B1642" i="1"/>
  <c r="A1642" i="1"/>
  <c r="K1641" i="1"/>
  <c r="J1641" i="1"/>
  <c r="H1641" i="1"/>
  <c r="G1641" i="1"/>
  <c r="F1641" i="1"/>
  <c r="E1641" i="1"/>
  <c r="D1641" i="1"/>
  <c r="C1641" i="1"/>
  <c r="B1641" i="1"/>
  <c r="A1641" i="1"/>
  <c r="K1640" i="1"/>
  <c r="J1640" i="1"/>
  <c r="H1640" i="1"/>
  <c r="G1640" i="1"/>
  <c r="F1640" i="1"/>
  <c r="E1640" i="1"/>
  <c r="D1640" i="1"/>
  <c r="C1640" i="1"/>
  <c r="B1640" i="1"/>
  <c r="A1640" i="1"/>
  <c r="K1639" i="1"/>
  <c r="J1639" i="1"/>
  <c r="H1639" i="1"/>
  <c r="G1639" i="1"/>
  <c r="F1639" i="1"/>
  <c r="E1639" i="1"/>
  <c r="D1639" i="1"/>
  <c r="C1639" i="1"/>
  <c r="B1639" i="1"/>
  <c r="A1639" i="1"/>
  <c r="K1638" i="1"/>
  <c r="J1638" i="1"/>
  <c r="H1638" i="1"/>
  <c r="G1638" i="1"/>
  <c r="F1638" i="1"/>
  <c r="E1638" i="1"/>
  <c r="D1638" i="1"/>
  <c r="C1638" i="1"/>
  <c r="B1638" i="1"/>
  <c r="A1638" i="1"/>
  <c r="K1637" i="1"/>
  <c r="J1637" i="1"/>
  <c r="H1637" i="1"/>
  <c r="G1637" i="1"/>
  <c r="F1637" i="1"/>
  <c r="E1637" i="1"/>
  <c r="D1637" i="1"/>
  <c r="C1637" i="1"/>
  <c r="B1637" i="1"/>
  <c r="A1637" i="1"/>
  <c r="K1636" i="1"/>
  <c r="J1636" i="1"/>
  <c r="H1636" i="1"/>
  <c r="G1636" i="1"/>
  <c r="F1636" i="1"/>
  <c r="E1636" i="1"/>
  <c r="D1636" i="1"/>
  <c r="C1636" i="1"/>
  <c r="B1636" i="1"/>
  <c r="A1636" i="1"/>
  <c r="K1635" i="1"/>
  <c r="J1635" i="1"/>
  <c r="H1635" i="1"/>
  <c r="G1635" i="1"/>
  <c r="F1635" i="1"/>
  <c r="E1635" i="1"/>
  <c r="D1635" i="1"/>
  <c r="C1635" i="1"/>
  <c r="B1635" i="1"/>
  <c r="A1635" i="1"/>
  <c r="K1634" i="1"/>
  <c r="J1634" i="1"/>
  <c r="H1634" i="1"/>
  <c r="G1634" i="1"/>
  <c r="F1634" i="1"/>
  <c r="E1634" i="1"/>
  <c r="D1634" i="1"/>
  <c r="C1634" i="1"/>
  <c r="B1634" i="1"/>
  <c r="A1634" i="1"/>
  <c r="K1633" i="1"/>
  <c r="J1633" i="1"/>
  <c r="H1633" i="1"/>
  <c r="G1633" i="1"/>
  <c r="F1633" i="1"/>
  <c r="E1633" i="1"/>
  <c r="D1633" i="1"/>
  <c r="C1633" i="1"/>
  <c r="B1633" i="1"/>
  <c r="A1633" i="1"/>
  <c r="K1632" i="1"/>
  <c r="J1632" i="1"/>
  <c r="H1632" i="1"/>
  <c r="G1632" i="1"/>
  <c r="F1632" i="1"/>
  <c r="E1632" i="1"/>
  <c r="D1632" i="1"/>
  <c r="C1632" i="1"/>
  <c r="B1632" i="1"/>
  <c r="A1632" i="1"/>
  <c r="K1631" i="1"/>
  <c r="J1631" i="1"/>
  <c r="H1631" i="1"/>
  <c r="G1631" i="1"/>
  <c r="F1631" i="1"/>
  <c r="E1631" i="1"/>
  <c r="D1631" i="1"/>
  <c r="C1631" i="1"/>
  <c r="B1631" i="1"/>
  <c r="A1631" i="1"/>
  <c r="K1630" i="1"/>
  <c r="J1630" i="1"/>
  <c r="H1630" i="1"/>
  <c r="G1630" i="1"/>
  <c r="F1630" i="1"/>
  <c r="E1630" i="1"/>
  <c r="D1630" i="1"/>
  <c r="C1630" i="1"/>
  <c r="B1630" i="1"/>
  <c r="A1630" i="1"/>
  <c r="K1629" i="1"/>
  <c r="I1629" i="1"/>
  <c r="H1629" i="1"/>
  <c r="G1629" i="1"/>
  <c r="F1629" i="1"/>
  <c r="E1629" i="1"/>
  <c r="D1629" i="1"/>
  <c r="C1629" i="1"/>
  <c r="B1629" i="1"/>
  <c r="A1629" i="1"/>
  <c r="K1628" i="1"/>
  <c r="J1628" i="1"/>
  <c r="I1628" i="1"/>
  <c r="H1628" i="1"/>
  <c r="G1628" i="1"/>
  <c r="F1628" i="1"/>
  <c r="E1628" i="1"/>
  <c r="D1628" i="1"/>
  <c r="C1628" i="1"/>
  <c r="B1628" i="1"/>
  <c r="A1628" i="1"/>
  <c r="K1627" i="1"/>
  <c r="I1627" i="1"/>
  <c r="H1627" i="1"/>
  <c r="G1627" i="1"/>
  <c r="F1627" i="1"/>
  <c r="E1627" i="1"/>
  <c r="D1627" i="1"/>
  <c r="C1627" i="1"/>
  <c r="B1627" i="1"/>
  <c r="A1627" i="1"/>
  <c r="K1626" i="1"/>
  <c r="I1626" i="1"/>
  <c r="H1626" i="1"/>
  <c r="G1626" i="1"/>
  <c r="F1626" i="1"/>
  <c r="E1626" i="1"/>
  <c r="D1626" i="1"/>
  <c r="C1626" i="1"/>
  <c r="B1626" i="1"/>
  <c r="A1626" i="1"/>
  <c r="K1625" i="1"/>
  <c r="I1625" i="1"/>
  <c r="H1625" i="1"/>
  <c r="G1625" i="1"/>
  <c r="F1625" i="1"/>
  <c r="E1625" i="1"/>
  <c r="D1625" i="1"/>
  <c r="C1625" i="1"/>
  <c r="B1625" i="1"/>
  <c r="A1625" i="1"/>
  <c r="K1624" i="1"/>
  <c r="I1624" i="1"/>
  <c r="H1624" i="1"/>
  <c r="G1624" i="1"/>
  <c r="F1624" i="1"/>
  <c r="E1624" i="1"/>
  <c r="D1624" i="1"/>
  <c r="C1624" i="1"/>
  <c r="B1624" i="1"/>
  <c r="A1624" i="1"/>
  <c r="K1623" i="1"/>
  <c r="I1623" i="1"/>
  <c r="H1623" i="1"/>
  <c r="G1623" i="1"/>
  <c r="F1623" i="1"/>
  <c r="E1623" i="1"/>
  <c r="D1623" i="1"/>
  <c r="C1623" i="1"/>
  <c r="B1623" i="1"/>
  <c r="A1623" i="1"/>
  <c r="K1622" i="1"/>
  <c r="J1622" i="1"/>
  <c r="H1622" i="1"/>
  <c r="G1622" i="1"/>
  <c r="F1622" i="1"/>
  <c r="E1622" i="1"/>
  <c r="D1622" i="1"/>
  <c r="C1622" i="1"/>
  <c r="B1622" i="1"/>
  <c r="A1622" i="1"/>
  <c r="K1621" i="1"/>
  <c r="I1621" i="1"/>
  <c r="H1621" i="1"/>
  <c r="G1621" i="1"/>
  <c r="F1621" i="1"/>
  <c r="E1621" i="1"/>
  <c r="D1621" i="1"/>
  <c r="C1621" i="1"/>
  <c r="B1621" i="1"/>
  <c r="A1621" i="1"/>
  <c r="K1620" i="1"/>
  <c r="J1620" i="1"/>
  <c r="I1620" i="1"/>
  <c r="H1620" i="1"/>
  <c r="G1620" i="1"/>
  <c r="F1620" i="1"/>
  <c r="E1620" i="1"/>
  <c r="D1620" i="1"/>
  <c r="C1620" i="1"/>
  <c r="B1620" i="1"/>
  <c r="A1620" i="1"/>
  <c r="K1619" i="1"/>
  <c r="J1619" i="1"/>
  <c r="I1619" i="1"/>
  <c r="H1619" i="1"/>
  <c r="G1619" i="1"/>
  <c r="F1619" i="1"/>
  <c r="E1619" i="1"/>
  <c r="D1619" i="1"/>
  <c r="C1619" i="1"/>
  <c r="B1619" i="1"/>
  <c r="A1619" i="1"/>
  <c r="K1618" i="1"/>
  <c r="I1618" i="1"/>
  <c r="H1618" i="1"/>
  <c r="G1618" i="1"/>
  <c r="F1618" i="1"/>
  <c r="E1618" i="1"/>
  <c r="D1618" i="1"/>
  <c r="C1618" i="1"/>
  <c r="B1618" i="1"/>
  <c r="A1618" i="1"/>
  <c r="K1617" i="1"/>
  <c r="I1617" i="1"/>
  <c r="H1617" i="1"/>
  <c r="G1617" i="1"/>
  <c r="F1617" i="1"/>
  <c r="E1617" i="1"/>
  <c r="D1617" i="1"/>
  <c r="C1617" i="1"/>
  <c r="B1617" i="1"/>
  <c r="A1617" i="1"/>
  <c r="K1616" i="1"/>
  <c r="I1616" i="1"/>
  <c r="H1616" i="1"/>
  <c r="G1616" i="1"/>
  <c r="F1616" i="1"/>
  <c r="E1616" i="1"/>
  <c r="D1616" i="1"/>
  <c r="C1616" i="1"/>
  <c r="B1616" i="1"/>
  <c r="A1616" i="1"/>
  <c r="K1615" i="1"/>
  <c r="I1615" i="1"/>
  <c r="H1615" i="1"/>
  <c r="G1615" i="1"/>
  <c r="F1615" i="1"/>
  <c r="E1615" i="1"/>
  <c r="D1615" i="1"/>
  <c r="C1615" i="1"/>
  <c r="B1615" i="1"/>
  <c r="A1615" i="1"/>
  <c r="K1614" i="1"/>
  <c r="I1614" i="1"/>
  <c r="H1614" i="1"/>
  <c r="G1614" i="1"/>
  <c r="F1614" i="1"/>
  <c r="E1614" i="1"/>
  <c r="D1614" i="1"/>
  <c r="C1614" i="1"/>
  <c r="B1614" i="1"/>
  <c r="A1614" i="1"/>
  <c r="K1613" i="1"/>
  <c r="I1613" i="1"/>
  <c r="H1613" i="1"/>
  <c r="G1613" i="1"/>
  <c r="F1613" i="1"/>
  <c r="E1613" i="1"/>
  <c r="D1613" i="1"/>
  <c r="C1613" i="1"/>
  <c r="B1613" i="1"/>
  <c r="A1613" i="1"/>
  <c r="K1612" i="1"/>
  <c r="I1612" i="1"/>
  <c r="H1612" i="1"/>
  <c r="G1612" i="1"/>
  <c r="F1612" i="1"/>
  <c r="E1612" i="1"/>
  <c r="D1612" i="1"/>
  <c r="C1612" i="1"/>
  <c r="B1612" i="1"/>
  <c r="A1612" i="1"/>
  <c r="K1611" i="1"/>
  <c r="I1611" i="1"/>
  <c r="H1611" i="1"/>
  <c r="G1611" i="1"/>
  <c r="F1611" i="1"/>
  <c r="E1611" i="1"/>
  <c r="D1611" i="1"/>
  <c r="C1611" i="1"/>
  <c r="B1611" i="1"/>
  <c r="A1611" i="1"/>
  <c r="K1610" i="1"/>
  <c r="I1610" i="1"/>
  <c r="H1610" i="1"/>
  <c r="G1610" i="1"/>
  <c r="F1610" i="1"/>
  <c r="E1610" i="1"/>
  <c r="D1610" i="1"/>
  <c r="C1610" i="1"/>
  <c r="B1610" i="1"/>
  <c r="A1610" i="1"/>
  <c r="K1609" i="1"/>
  <c r="J1609" i="1"/>
  <c r="H1609" i="1"/>
  <c r="G1609" i="1"/>
  <c r="F1609" i="1"/>
  <c r="E1609" i="1"/>
  <c r="D1609" i="1"/>
  <c r="C1609" i="1"/>
  <c r="B1609" i="1"/>
  <c r="A1609" i="1"/>
  <c r="K1608" i="1"/>
  <c r="I1608" i="1"/>
  <c r="H1608" i="1"/>
  <c r="G1608" i="1"/>
  <c r="F1608" i="1"/>
  <c r="E1608" i="1"/>
  <c r="D1608" i="1"/>
  <c r="C1608" i="1"/>
  <c r="B1608" i="1"/>
  <c r="A1608" i="1"/>
  <c r="K1607" i="1"/>
  <c r="I1607" i="1"/>
  <c r="H1607" i="1"/>
  <c r="G1607" i="1"/>
  <c r="F1607" i="1"/>
  <c r="E1607" i="1"/>
  <c r="D1607" i="1"/>
  <c r="C1607" i="1"/>
  <c r="B1607" i="1"/>
  <c r="A1607" i="1"/>
  <c r="K1606" i="1"/>
  <c r="I1606" i="1"/>
  <c r="H1606" i="1"/>
  <c r="G1606" i="1"/>
  <c r="F1606" i="1"/>
  <c r="E1606" i="1"/>
  <c r="D1606" i="1"/>
  <c r="C1606" i="1"/>
  <c r="B1606" i="1"/>
  <c r="A1606" i="1"/>
  <c r="K1605" i="1"/>
  <c r="I1605" i="1"/>
  <c r="H1605" i="1"/>
  <c r="G1605" i="1"/>
  <c r="F1605" i="1"/>
  <c r="E1605" i="1"/>
  <c r="D1605" i="1"/>
  <c r="C1605" i="1"/>
  <c r="B1605" i="1"/>
  <c r="A1605" i="1"/>
  <c r="K1604" i="1"/>
  <c r="I1604" i="1"/>
  <c r="H1604" i="1"/>
  <c r="G1604" i="1"/>
  <c r="F1604" i="1"/>
  <c r="E1604" i="1"/>
  <c r="D1604" i="1"/>
  <c r="C1604" i="1"/>
  <c r="B1604" i="1"/>
  <c r="A1604" i="1"/>
  <c r="K1603" i="1"/>
  <c r="I1603" i="1"/>
  <c r="H1603" i="1"/>
  <c r="G1603" i="1"/>
  <c r="F1603" i="1"/>
  <c r="E1603" i="1"/>
  <c r="D1603" i="1"/>
  <c r="C1603" i="1"/>
  <c r="B1603" i="1"/>
  <c r="A1603" i="1"/>
  <c r="K1602" i="1"/>
  <c r="I1602" i="1"/>
  <c r="H1602" i="1"/>
  <c r="G1602" i="1"/>
  <c r="F1602" i="1"/>
  <c r="E1602" i="1"/>
  <c r="D1602" i="1"/>
  <c r="C1602" i="1"/>
  <c r="B1602" i="1"/>
  <c r="A1602" i="1"/>
  <c r="K1601" i="1"/>
  <c r="I1601" i="1"/>
  <c r="H1601" i="1"/>
  <c r="G1601" i="1"/>
  <c r="F1601" i="1"/>
  <c r="E1601" i="1"/>
  <c r="D1601" i="1"/>
  <c r="C1601" i="1"/>
  <c r="B1601" i="1"/>
  <c r="A1601" i="1"/>
  <c r="K1600" i="1"/>
  <c r="I1600" i="1"/>
  <c r="H1600" i="1"/>
  <c r="G1600" i="1"/>
  <c r="F1600" i="1"/>
  <c r="E1600" i="1"/>
  <c r="D1600" i="1"/>
  <c r="C1600" i="1"/>
  <c r="B1600" i="1"/>
  <c r="A1600" i="1"/>
  <c r="K1599" i="1"/>
  <c r="J1599" i="1"/>
  <c r="I1599" i="1"/>
  <c r="H1599" i="1"/>
  <c r="G1599" i="1"/>
  <c r="F1599" i="1"/>
  <c r="E1599" i="1"/>
  <c r="D1599" i="1"/>
  <c r="C1599" i="1"/>
  <c r="B1599" i="1"/>
  <c r="A1599" i="1"/>
  <c r="K1598" i="1"/>
  <c r="J1598" i="1"/>
  <c r="I1598" i="1"/>
  <c r="H1598" i="1"/>
  <c r="G1598" i="1"/>
  <c r="F1598" i="1"/>
  <c r="E1598" i="1"/>
  <c r="D1598" i="1"/>
  <c r="C1598" i="1"/>
  <c r="B1598" i="1"/>
  <c r="A1598" i="1"/>
  <c r="K1597" i="1"/>
  <c r="I1597" i="1"/>
  <c r="H1597" i="1"/>
  <c r="G1597" i="1"/>
  <c r="F1597" i="1"/>
  <c r="E1597" i="1"/>
  <c r="D1597" i="1"/>
  <c r="C1597" i="1"/>
  <c r="B1597" i="1"/>
  <c r="A1597" i="1"/>
  <c r="K1596" i="1"/>
  <c r="I1596" i="1"/>
  <c r="H1596" i="1"/>
  <c r="G1596" i="1"/>
  <c r="F1596" i="1"/>
  <c r="E1596" i="1"/>
  <c r="D1596" i="1"/>
  <c r="C1596" i="1"/>
  <c r="B1596" i="1"/>
  <c r="A1596" i="1"/>
  <c r="K1595" i="1"/>
  <c r="I1595" i="1"/>
  <c r="H1595" i="1"/>
  <c r="G1595" i="1"/>
  <c r="F1595" i="1"/>
  <c r="E1595" i="1"/>
  <c r="D1595" i="1"/>
  <c r="C1595" i="1"/>
  <c r="B1595" i="1"/>
  <c r="A1595" i="1"/>
  <c r="K1594" i="1"/>
  <c r="I1594" i="1"/>
  <c r="H1594" i="1"/>
  <c r="G1594" i="1"/>
  <c r="F1594" i="1"/>
  <c r="E1594" i="1"/>
  <c r="D1594" i="1"/>
  <c r="C1594" i="1"/>
  <c r="B1594" i="1"/>
  <c r="A1594" i="1"/>
  <c r="K1593" i="1"/>
  <c r="I1593" i="1"/>
  <c r="H1593" i="1"/>
  <c r="G1593" i="1"/>
  <c r="F1593" i="1"/>
  <c r="E1593" i="1"/>
  <c r="D1593" i="1"/>
  <c r="C1593" i="1"/>
  <c r="B1593" i="1"/>
  <c r="A1593" i="1"/>
  <c r="K1592" i="1"/>
  <c r="I1592" i="1"/>
  <c r="H1592" i="1"/>
  <c r="G1592" i="1"/>
  <c r="F1592" i="1"/>
  <c r="E1592" i="1"/>
  <c r="D1592" i="1"/>
  <c r="C1592" i="1"/>
  <c r="B1592" i="1"/>
  <c r="A1592" i="1"/>
  <c r="K1591" i="1"/>
  <c r="I1591" i="1"/>
  <c r="H1591" i="1"/>
  <c r="G1591" i="1"/>
  <c r="F1591" i="1"/>
  <c r="E1591" i="1"/>
  <c r="D1591" i="1"/>
  <c r="C1591" i="1"/>
  <c r="B1591" i="1"/>
  <c r="A1591" i="1"/>
  <c r="K1590" i="1"/>
  <c r="I1590" i="1"/>
  <c r="H1590" i="1"/>
  <c r="G1590" i="1"/>
  <c r="F1590" i="1"/>
  <c r="E1590" i="1"/>
  <c r="D1590" i="1"/>
  <c r="C1590" i="1"/>
  <c r="B1590" i="1"/>
  <c r="A1590" i="1"/>
  <c r="K1589" i="1"/>
  <c r="I1589" i="1"/>
  <c r="H1589" i="1"/>
  <c r="G1589" i="1"/>
  <c r="F1589" i="1"/>
  <c r="E1589" i="1"/>
  <c r="D1589" i="1"/>
  <c r="C1589" i="1"/>
  <c r="B1589" i="1"/>
  <c r="A1589" i="1"/>
  <c r="K1588" i="1"/>
  <c r="I1588" i="1"/>
  <c r="H1588" i="1"/>
  <c r="G1588" i="1"/>
  <c r="F1588" i="1"/>
  <c r="E1588" i="1"/>
  <c r="D1588" i="1"/>
  <c r="C1588" i="1"/>
  <c r="B1588" i="1"/>
  <c r="A1588" i="1"/>
  <c r="K1587" i="1"/>
  <c r="I1587" i="1"/>
  <c r="H1587" i="1"/>
  <c r="G1587" i="1"/>
  <c r="F1587" i="1"/>
  <c r="E1587" i="1"/>
  <c r="D1587" i="1"/>
  <c r="C1587" i="1"/>
  <c r="B1587" i="1"/>
  <c r="A1587" i="1"/>
  <c r="K1586" i="1"/>
  <c r="I1586" i="1"/>
  <c r="H1586" i="1"/>
  <c r="G1586" i="1"/>
  <c r="F1586" i="1"/>
  <c r="E1586" i="1"/>
  <c r="D1586" i="1"/>
  <c r="C1586" i="1"/>
  <c r="B1586" i="1"/>
  <c r="A1586" i="1"/>
  <c r="K1585" i="1"/>
  <c r="J1585" i="1"/>
  <c r="I1585" i="1"/>
  <c r="H1585" i="1"/>
  <c r="G1585" i="1"/>
  <c r="F1585" i="1"/>
  <c r="E1585" i="1"/>
  <c r="D1585" i="1"/>
  <c r="C1585" i="1"/>
  <c r="B1585" i="1"/>
  <c r="A1585" i="1"/>
  <c r="K1584" i="1"/>
  <c r="I1584" i="1"/>
  <c r="H1584" i="1"/>
  <c r="G1584" i="1"/>
  <c r="F1584" i="1"/>
  <c r="E1584" i="1"/>
  <c r="D1584" i="1"/>
  <c r="C1584" i="1"/>
  <c r="B1584" i="1"/>
  <c r="A1584" i="1"/>
  <c r="K1583" i="1"/>
  <c r="J1583" i="1"/>
  <c r="I1583" i="1"/>
  <c r="H1583" i="1"/>
  <c r="G1583" i="1"/>
  <c r="F1583" i="1"/>
  <c r="E1583" i="1"/>
  <c r="D1583" i="1"/>
  <c r="C1583" i="1"/>
  <c r="B1583" i="1"/>
  <c r="A1583" i="1"/>
  <c r="K1582" i="1"/>
  <c r="J1582" i="1"/>
  <c r="I1582" i="1"/>
  <c r="H1582" i="1"/>
  <c r="G1582" i="1"/>
  <c r="F1582" i="1"/>
  <c r="E1582" i="1"/>
  <c r="D1582" i="1"/>
  <c r="C1582" i="1"/>
  <c r="B1582" i="1"/>
  <c r="A1582" i="1"/>
  <c r="K1581" i="1"/>
  <c r="J1581" i="1"/>
  <c r="I1581" i="1"/>
  <c r="H1581" i="1"/>
  <c r="G1581" i="1"/>
  <c r="F1581" i="1"/>
  <c r="E1581" i="1"/>
  <c r="D1581" i="1"/>
  <c r="C1581" i="1"/>
  <c r="B1581" i="1"/>
  <c r="A1581" i="1"/>
  <c r="K1580" i="1"/>
  <c r="J1580" i="1"/>
  <c r="I1580" i="1"/>
  <c r="H1580" i="1"/>
  <c r="G1580" i="1"/>
  <c r="F1580" i="1"/>
  <c r="E1580" i="1"/>
  <c r="D1580" i="1"/>
  <c r="C1580" i="1"/>
  <c r="B1580" i="1"/>
  <c r="A1580" i="1"/>
  <c r="K1579" i="1"/>
  <c r="J1579" i="1"/>
  <c r="I1579" i="1"/>
  <c r="H1579" i="1"/>
  <c r="G1579" i="1"/>
  <c r="F1579" i="1"/>
  <c r="E1579" i="1"/>
  <c r="D1579" i="1"/>
  <c r="C1579" i="1"/>
  <c r="B1579" i="1"/>
  <c r="A1579" i="1"/>
  <c r="K1578" i="1"/>
  <c r="H1578" i="1"/>
  <c r="G1578" i="1"/>
  <c r="F1578" i="1"/>
  <c r="E1578" i="1"/>
  <c r="D1578" i="1"/>
  <c r="C1578" i="1"/>
  <c r="B1578" i="1"/>
  <c r="A1578" i="1"/>
  <c r="K1577" i="1"/>
  <c r="H1577" i="1"/>
  <c r="G1577" i="1"/>
  <c r="F1577" i="1"/>
  <c r="E1577" i="1"/>
  <c r="D1577" i="1"/>
  <c r="C1577" i="1"/>
  <c r="B1577" i="1"/>
  <c r="A1577" i="1"/>
  <c r="K1576" i="1"/>
  <c r="I1576" i="1"/>
  <c r="H1576" i="1"/>
  <c r="G1576" i="1"/>
  <c r="F1576" i="1"/>
  <c r="E1576" i="1"/>
  <c r="D1576" i="1"/>
  <c r="C1576" i="1"/>
  <c r="B1576" i="1"/>
  <c r="A1576" i="1"/>
  <c r="K1575" i="1"/>
  <c r="H1575" i="1"/>
  <c r="G1575" i="1"/>
  <c r="F1575" i="1"/>
  <c r="E1575" i="1"/>
  <c r="D1575" i="1"/>
  <c r="C1575" i="1"/>
  <c r="B1575" i="1"/>
  <c r="A1575" i="1"/>
  <c r="K1574" i="1"/>
  <c r="H1574" i="1"/>
  <c r="G1574" i="1"/>
  <c r="F1574" i="1"/>
  <c r="E1574" i="1"/>
  <c r="D1574" i="1"/>
  <c r="C1574" i="1"/>
  <c r="B1574" i="1"/>
  <c r="A1574" i="1"/>
  <c r="K1573" i="1"/>
  <c r="H1573" i="1"/>
  <c r="G1573" i="1"/>
  <c r="F1573" i="1"/>
  <c r="E1573" i="1"/>
  <c r="D1573" i="1"/>
  <c r="C1573" i="1"/>
  <c r="B1573" i="1"/>
  <c r="A1573" i="1"/>
  <c r="K1572" i="1"/>
  <c r="I1572" i="1"/>
  <c r="H1572" i="1"/>
  <c r="G1572" i="1"/>
  <c r="F1572" i="1"/>
  <c r="E1572" i="1"/>
  <c r="D1572" i="1"/>
  <c r="C1572" i="1"/>
  <c r="B1572" i="1"/>
  <c r="A1572" i="1"/>
  <c r="K1571" i="1"/>
  <c r="I1571" i="1"/>
  <c r="H1571" i="1"/>
  <c r="G1571" i="1"/>
  <c r="F1571" i="1"/>
  <c r="E1571" i="1"/>
  <c r="D1571" i="1"/>
  <c r="C1571" i="1"/>
  <c r="B1571" i="1"/>
  <c r="A1571" i="1"/>
  <c r="K1570" i="1"/>
  <c r="I1570" i="1"/>
  <c r="H1570" i="1"/>
  <c r="G1570" i="1"/>
  <c r="F1570" i="1"/>
  <c r="E1570" i="1"/>
  <c r="D1570" i="1"/>
  <c r="C1570" i="1"/>
  <c r="B1570" i="1"/>
  <c r="A1570" i="1"/>
  <c r="K1569" i="1"/>
  <c r="I1569" i="1"/>
  <c r="H1569" i="1"/>
  <c r="G1569" i="1"/>
  <c r="F1569" i="1"/>
  <c r="E1569" i="1"/>
  <c r="D1569" i="1"/>
  <c r="C1569" i="1"/>
  <c r="B1569" i="1"/>
  <c r="A1569" i="1"/>
  <c r="K1568" i="1"/>
  <c r="I1568" i="1"/>
  <c r="H1568" i="1"/>
  <c r="G1568" i="1"/>
  <c r="F1568" i="1"/>
  <c r="E1568" i="1"/>
  <c r="D1568" i="1"/>
  <c r="C1568" i="1"/>
  <c r="B1568" i="1"/>
  <c r="A1568" i="1"/>
  <c r="K1567" i="1"/>
  <c r="I1567" i="1"/>
  <c r="H1567" i="1"/>
  <c r="G1567" i="1"/>
  <c r="F1567" i="1"/>
  <c r="E1567" i="1"/>
  <c r="D1567" i="1"/>
  <c r="C1567" i="1"/>
  <c r="B1567" i="1"/>
  <c r="A1567" i="1"/>
  <c r="K1566" i="1"/>
  <c r="I1566" i="1"/>
  <c r="H1566" i="1"/>
  <c r="G1566" i="1"/>
  <c r="F1566" i="1"/>
  <c r="E1566" i="1"/>
  <c r="D1566" i="1"/>
  <c r="C1566" i="1"/>
  <c r="B1566" i="1"/>
  <c r="A1566" i="1"/>
  <c r="K1565" i="1"/>
  <c r="I1565" i="1"/>
  <c r="H1565" i="1"/>
  <c r="G1565" i="1"/>
  <c r="F1565" i="1"/>
  <c r="E1565" i="1"/>
  <c r="D1565" i="1"/>
  <c r="C1565" i="1"/>
  <c r="B1565" i="1"/>
  <c r="A1565" i="1"/>
  <c r="K1564" i="1"/>
  <c r="I1564" i="1"/>
  <c r="H1564" i="1"/>
  <c r="G1564" i="1"/>
  <c r="F1564" i="1"/>
  <c r="E1564" i="1"/>
  <c r="D1564" i="1"/>
  <c r="C1564" i="1"/>
  <c r="B1564" i="1"/>
  <c r="A1564" i="1"/>
  <c r="K1563" i="1"/>
  <c r="I1563" i="1"/>
  <c r="H1563" i="1"/>
  <c r="G1563" i="1"/>
  <c r="F1563" i="1"/>
  <c r="E1563" i="1"/>
  <c r="D1563" i="1"/>
  <c r="C1563" i="1"/>
  <c r="B1563" i="1"/>
  <c r="A1563" i="1"/>
  <c r="K1562" i="1"/>
  <c r="I1562" i="1"/>
  <c r="H1562" i="1"/>
  <c r="G1562" i="1"/>
  <c r="F1562" i="1"/>
  <c r="E1562" i="1"/>
  <c r="D1562" i="1"/>
  <c r="C1562" i="1"/>
  <c r="B1562" i="1"/>
  <c r="A1562" i="1"/>
  <c r="K1561" i="1"/>
  <c r="I1561" i="1"/>
  <c r="H1561" i="1"/>
  <c r="G1561" i="1"/>
  <c r="F1561" i="1"/>
  <c r="E1561" i="1"/>
  <c r="D1561" i="1"/>
  <c r="C1561" i="1"/>
  <c r="B1561" i="1"/>
  <c r="A1561" i="1"/>
  <c r="K1560" i="1"/>
  <c r="I1560" i="1"/>
  <c r="H1560" i="1"/>
  <c r="G1560" i="1"/>
  <c r="F1560" i="1"/>
  <c r="E1560" i="1"/>
  <c r="D1560" i="1"/>
  <c r="C1560" i="1"/>
  <c r="B1560" i="1"/>
  <c r="A1560" i="1"/>
  <c r="K1559" i="1"/>
  <c r="J1559" i="1"/>
  <c r="H1559" i="1"/>
  <c r="G1559" i="1"/>
  <c r="F1559" i="1"/>
  <c r="E1559" i="1"/>
  <c r="D1559" i="1"/>
  <c r="C1559" i="1"/>
  <c r="B1559" i="1"/>
  <c r="A1559" i="1"/>
  <c r="K1558" i="1"/>
  <c r="I1558" i="1"/>
  <c r="H1558" i="1"/>
  <c r="G1558" i="1"/>
  <c r="F1558" i="1"/>
  <c r="E1558" i="1"/>
  <c r="D1558" i="1"/>
  <c r="C1558" i="1"/>
  <c r="B1558" i="1"/>
  <c r="A1558" i="1"/>
  <c r="K1557" i="1"/>
  <c r="I1557" i="1"/>
  <c r="H1557" i="1"/>
  <c r="G1557" i="1"/>
  <c r="F1557" i="1"/>
  <c r="E1557" i="1"/>
  <c r="D1557" i="1"/>
  <c r="C1557" i="1"/>
  <c r="B1557" i="1"/>
  <c r="A1557" i="1"/>
  <c r="K1556" i="1"/>
  <c r="I1556" i="1"/>
  <c r="H1556" i="1"/>
  <c r="G1556" i="1"/>
  <c r="F1556" i="1"/>
  <c r="E1556" i="1"/>
  <c r="D1556" i="1"/>
  <c r="C1556" i="1"/>
  <c r="B1556" i="1"/>
  <c r="A1556" i="1"/>
  <c r="K1555" i="1"/>
  <c r="I1555" i="1"/>
  <c r="H1555" i="1"/>
  <c r="G1555" i="1"/>
  <c r="F1555" i="1"/>
  <c r="E1555" i="1"/>
  <c r="D1555" i="1"/>
  <c r="C1555" i="1"/>
  <c r="B1555" i="1"/>
  <c r="A1555" i="1"/>
  <c r="K1554" i="1"/>
  <c r="I1554" i="1"/>
  <c r="H1554" i="1"/>
  <c r="G1554" i="1"/>
  <c r="F1554" i="1"/>
  <c r="E1554" i="1"/>
  <c r="D1554" i="1"/>
  <c r="C1554" i="1"/>
  <c r="B1554" i="1"/>
  <c r="A1554" i="1"/>
  <c r="K1553" i="1"/>
  <c r="J1553" i="1"/>
  <c r="H1553" i="1"/>
  <c r="G1553" i="1"/>
  <c r="F1553" i="1"/>
  <c r="E1553" i="1"/>
  <c r="D1553" i="1"/>
  <c r="C1553" i="1"/>
  <c r="B1553" i="1"/>
  <c r="A1553" i="1"/>
  <c r="K1552" i="1"/>
  <c r="J1552" i="1"/>
  <c r="H1552" i="1"/>
  <c r="G1552" i="1"/>
  <c r="F1552" i="1"/>
  <c r="E1552" i="1"/>
  <c r="D1552" i="1"/>
  <c r="C1552" i="1"/>
  <c r="B1552" i="1"/>
  <c r="A1552" i="1"/>
  <c r="K1551" i="1"/>
  <c r="J1551" i="1"/>
  <c r="H1551" i="1"/>
  <c r="G1551" i="1"/>
  <c r="F1551" i="1"/>
  <c r="E1551" i="1"/>
  <c r="D1551" i="1"/>
  <c r="C1551" i="1"/>
  <c r="B1551" i="1"/>
  <c r="A1551" i="1"/>
  <c r="K1550" i="1"/>
  <c r="J1550" i="1"/>
  <c r="H1550" i="1"/>
  <c r="G1550" i="1"/>
  <c r="F1550" i="1"/>
  <c r="E1550" i="1"/>
  <c r="D1550" i="1"/>
  <c r="C1550" i="1"/>
  <c r="B1550" i="1"/>
  <c r="A1550" i="1"/>
  <c r="K1549" i="1"/>
  <c r="J1549" i="1"/>
  <c r="H1549" i="1"/>
  <c r="G1549" i="1"/>
  <c r="F1549" i="1"/>
  <c r="E1549" i="1"/>
  <c r="D1549" i="1"/>
  <c r="C1549" i="1"/>
  <c r="B1549" i="1"/>
  <c r="A1549" i="1"/>
  <c r="K1548" i="1"/>
  <c r="J1548" i="1"/>
  <c r="H1548" i="1"/>
  <c r="G1548" i="1"/>
  <c r="F1548" i="1"/>
  <c r="E1548" i="1"/>
  <c r="D1548" i="1"/>
  <c r="C1548" i="1"/>
  <c r="B1548" i="1"/>
  <c r="A1548" i="1"/>
  <c r="K1547" i="1"/>
  <c r="J1547" i="1"/>
  <c r="H1547" i="1"/>
  <c r="G1547" i="1"/>
  <c r="F1547" i="1"/>
  <c r="E1547" i="1"/>
  <c r="D1547" i="1"/>
  <c r="C1547" i="1"/>
  <c r="B1547" i="1"/>
  <c r="A1547" i="1"/>
  <c r="K1546" i="1"/>
  <c r="J1546" i="1"/>
  <c r="H1546" i="1"/>
  <c r="G1546" i="1"/>
  <c r="F1546" i="1"/>
  <c r="E1546" i="1"/>
  <c r="D1546" i="1"/>
  <c r="C1546" i="1"/>
  <c r="B1546" i="1"/>
  <c r="A1546" i="1"/>
  <c r="K1545" i="1"/>
  <c r="J1545" i="1"/>
  <c r="H1545" i="1"/>
  <c r="G1545" i="1"/>
  <c r="F1545" i="1"/>
  <c r="E1545" i="1"/>
  <c r="D1545" i="1"/>
  <c r="C1545" i="1"/>
  <c r="B1545" i="1"/>
  <c r="A1545" i="1"/>
  <c r="K1544" i="1"/>
  <c r="J1544" i="1"/>
  <c r="H1544" i="1"/>
  <c r="G1544" i="1"/>
  <c r="F1544" i="1"/>
  <c r="E1544" i="1"/>
  <c r="D1544" i="1"/>
  <c r="C1544" i="1"/>
  <c r="B1544" i="1"/>
  <c r="A1544" i="1"/>
  <c r="K1543" i="1"/>
  <c r="J1543" i="1"/>
  <c r="H1543" i="1"/>
  <c r="G1543" i="1"/>
  <c r="F1543" i="1"/>
  <c r="E1543" i="1"/>
  <c r="D1543" i="1"/>
  <c r="C1543" i="1"/>
  <c r="B1543" i="1"/>
  <c r="A1543" i="1"/>
  <c r="K1542" i="1"/>
  <c r="J1542" i="1"/>
  <c r="H1542" i="1"/>
  <c r="G1542" i="1"/>
  <c r="F1542" i="1"/>
  <c r="E1542" i="1"/>
  <c r="D1542" i="1"/>
  <c r="C1542" i="1"/>
  <c r="B1542" i="1"/>
  <c r="A1542" i="1"/>
  <c r="K1541" i="1"/>
  <c r="J1541" i="1"/>
  <c r="H1541" i="1"/>
  <c r="G1541" i="1"/>
  <c r="F1541" i="1"/>
  <c r="E1541" i="1"/>
  <c r="D1541" i="1"/>
  <c r="C1541" i="1"/>
  <c r="B1541" i="1"/>
  <c r="A1541" i="1"/>
  <c r="K1540" i="1"/>
  <c r="I1540" i="1"/>
  <c r="H1540" i="1"/>
  <c r="G1540" i="1"/>
  <c r="F1540" i="1"/>
  <c r="E1540" i="1"/>
  <c r="D1540" i="1"/>
  <c r="C1540" i="1"/>
  <c r="B1540" i="1"/>
  <c r="A1540" i="1"/>
  <c r="K1539" i="1"/>
  <c r="I1539" i="1"/>
  <c r="H1539" i="1"/>
  <c r="G1539" i="1"/>
  <c r="F1539" i="1"/>
  <c r="E1539" i="1"/>
  <c r="D1539" i="1"/>
  <c r="C1539" i="1"/>
  <c r="B1539" i="1"/>
  <c r="A1539" i="1"/>
  <c r="K1538" i="1"/>
  <c r="I1538" i="1"/>
  <c r="H1538" i="1"/>
  <c r="G1538" i="1"/>
  <c r="F1538" i="1"/>
  <c r="E1538" i="1"/>
  <c r="D1538" i="1"/>
  <c r="C1538" i="1"/>
  <c r="B1538" i="1"/>
  <c r="A1538" i="1"/>
  <c r="K1537" i="1"/>
  <c r="I1537" i="1"/>
  <c r="H1537" i="1"/>
  <c r="G1537" i="1"/>
  <c r="F1537" i="1"/>
  <c r="E1537" i="1"/>
  <c r="D1537" i="1"/>
  <c r="C1537" i="1"/>
  <c r="B1537" i="1"/>
  <c r="A1537" i="1"/>
  <c r="K1536" i="1"/>
  <c r="J1536" i="1"/>
  <c r="H1536" i="1"/>
  <c r="G1536" i="1"/>
  <c r="F1536" i="1"/>
  <c r="E1536" i="1"/>
  <c r="D1536" i="1"/>
  <c r="C1536" i="1"/>
  <c r="B1536" i="1"/>
  <c r="A1536" i="1"/>
  <c r="K1535" i="1"/>
  <c r="J1535" i="1"/>
  <c r="H1535" i="1"/>
  <c r="G1535" i="1"/>
  <c r="F1535" i="1"/>
  <c r="E1535" i="1"/>
  <c r="D1535" i="1"/>
  <c r="C1535" i="1"/>
  <c r="B1535" i="1"/>
  <c r="A1535" i="1"/>
  <c r="K1534" i="1"/>
  <c r="J1534" i="1"/>
  <c r="H1534" i="1"/>
  <c r="G1534" i="1"/>
  <c r="F1534" i="1"/>
  <c r="E1534" i="1"/>
  <c r="D1534" i="1"/>
  <c r="C1534" i="1"/>
  <c r="B1534" i="1"/>
  <c r="A1534" i="1"/>
  <c r="K1533" i="1"/>
  <c r="I1533" i="1"/>
  <c r="H1533" i="1"/>
  <c r="G1533" i="1"/>
  <c r="F1533" i="1"/>
  <c r="E1533" i="1"/>
  <c r="D1533" i="1"/>
  <c r="C1533" i="1"/>
  <c r="B1533" i="1"/>
  <c r="A1533" i="1"/>
  <c r="K1532" i="1"/>
  <c r="J1532" i="1"/>
  <c r="I1532" i="1"/>
  <c r="H1532" i="1"/>
  <c r="G1532" i="1"/>
  <c r="F1532" i="1"/>
  <c r="E1532" i="1"/>
  <c r="D1532" i="1"/>
  <c r="C1532" i="1"/>
  <c r="B1532" i="1"/>
  <c r="A1532" i="1"/>
  <c r="K1531" i="1"/>
  <c r="J1531" i="1"/>
  <c r="I1531" i="1"/>
  <c r="H1531" i="1"/>
  <c r="G1531" i="1"/>
  <c r="F1531" i="1"/>
  <c r="E1531" i="1"/>
  <c r="D1531" i="1"/>
  <c r="C1531" i="1"/>
  <c r="B1531" i="1"/>
  <c r="A1531" i="1"/>
  <c r="K1530" i="1"/>
  <c r="J1530" i="1"/>
  <c r="I1530" i="1"/>
  <c r="H1530" i="1"/>
  <c r="G1530" i="1"/>
  <c r="F1530" i="1"/>
  <c r="E1530" i="1"/>
  <c r="D1530" i="1"/>
  <c r="C1530" i="1"/>
  <c r="B1530" i="1"/>
  <c r="A1530" i="1"/>
  <c r="K1529" i="1"/>
  <c r="J1529" i="1"/>
  <c r="I1529" i="1"/>
  <c r="H1529" i="1"/>
  <c r="G1529" i="1"/>
  <c r="F1529" i="1"/>
  <c r="E1529" i="1"/>
  <c r="D1529" i="1"/>
  <c r="C1529" i="1"/>
  <c r="B1529" i="1"/>
  <c r="A1529" i="1"/>
  <c r="K1528" i="1"/>
  <c r="I1528" i="1"/>
  <c r="H1528" i="1"/>
  <c r="G1528" i="1"/>
  <c r="F1528" i="1"/>
  <c r="E1528" i="1"/>
  <c r="D1528" i="1"/>
  <c r="C1528" i="1"/>
  <c r="B1528" i="1"/>
  <c r="A1528" i="1"/>
  <c r="K1527" i="1"/>
  <c r="I1527" i="1"/>
  <c r="H1527" i="1"/>
  <c r="G1527" i="1"/>
  <c r="F1527" i="1"/>
  <c r="E1527" i="1"/>
  <c r="D1527" i="1"/>
  <c r="C1527" i="1"/>
  <c r="B1527" i="1"/>
  <c r="A1527" i="1"/>
  <c r="K1526" i="1"/>
  <c r="J1526" i="1"/>
  <c r="I1526" i="1"/>
  <c r="H1526" i="1"/>
  <c r="G1526" i="1"/>
  <c r="F1526" i="1"/>
  <c r="E1526" i="1"/>
  <c r="D1526" i="1"/>
  <c r="C1526" i="1"/>
  <c r="B1526" i="1"/>
  <c r="A1526" i="1"/>
  <c r="K1525" i="1"/>
  <c r="I1525" i="1"/>
  <c r="H1525" i="1"/>
  <c r="G1525" i="1"/>
  <c r="F1525" i="1"/>
  <c r="E1525" i="1"/>
  <c r="D1525" i="1"/>
  <c r="C1525" i="1"/>
  <c r="B1525" i="1"/>
  <c r="A1525" i="1"/>
  <c r="K1524" i="1"/>
  <c r="I1524" i="1"/>
  <c r="H1524" i="1"/>
  <c r="G1524" i="1"/>
  <c r="F1524" i="1"/>
  <c r="E1524" i="1"/>
  <c r="D1524" i="1"/>
  <c r="C1524" i="1"/>
  <c r="B1524" i="1"/>
  <c r="A1524" i="1"/>
  <c r="K1523" i="1"/>
  <c r="I1523" i="1"/>
  <c r="H1523" i="1"/>
  <c r="G1523" i="1"/>
  <c r="F1523" i="1"/>
  <c r="E1523" i="1"/>
  <c r="D1523" i="1"/>
  <c r="C1523" i="1"/>
  <c r="B1523" i="1"/>
  <c r="A1523" i="1"/>
  <c r="K1522" i="1"/>
  <c r="I1522" i="1"/>
  <c r="H1522" i="1"/>
  <c r="G1522" i="1"/>
  <c r="F1522" i="1"/>
  <c r="E1522" i="1"/>
  <c r="D1522" i="1"/>
  <c r="C1522" i="1"/>
  <c r="B1522" i="1"/>
  <c r="A1522" i="1"/>
  <c r="K1521" i="1"/>
  <c r="I1521" i="1"/>
  <c r="H1521" i="1"/>
  <c r="G1521" i="1"/>
  <c r="F1521" i="1"/>
  <c r="E1521" i="1"/>
  <c r="D1521" i="1"/>
  <c r="C1521" i="1"/>
  <c r="B1521" i="1"/>
  <c r="A1521" i="1"/>
  <c r="K1520" i="1"/>
  <c r="I1520" i="1"/>
  <c r="H1520" i="1"/>
  <c r="G1520" i="1"/>
  <c r="F1520" i="1"/>
  <c r="E1520" i="1"/>
  <c r="D1520" i="1"/>
  <c r="C1520" i="1"/>
  <c r="B1520" i="1"/>
  <c r="A1520" i="1"/>
  <c r="K1519" i="1"/>
  <c r="I1519" i="1"/>
  <c r="H1519" i="1"/>
  <c r="G1519" i="1"/>
  <c r="F1519" i="1"/>
  <c r="E1519" i="1"/>
  <c r="D1519" i="1"/>
  <c r="C1519" i="1"/>
  <c r="B1519" i="1"/>
  <c r="A1519" i="1"/>
  <c r="K1518" i="1"/>
  <c r="I1518" i="1"/>
  <c r="H1518" i="1"/>
  <c r="G1518" i="1"/>
  <c r="F1518" i="1"/>
  <c r="E1518" i="1"/>
  <c r="D1518" i="1"/>
  <c r="C1518" i="1"/>
  <c r="B1518" i="1"/>
  <c r="A1518" i="1"/>
  <c r="K1517" i="1"/>
  <c r="I1517" i="1"/>
  <c r="H1517" i="1"/>
  <c r="G1517" i="1"/>
  <c r="F1517" i="1"/>
  <c r="E1517" i="1"/>
  <c r="D1517" i="1"/>
  <c r="C1517" i="1"/>
  <c r="B1517" i="1"/>
  <c r="A1517" i="1"/>
  <c r="K1516" i="1"/>
  <c r="I1516" i="1"/>
  <c r="H1516" i="1"/>
  <c r="G1516" i="1"/>
  <c r="F1516" i="1"/>
  <c r="E1516" i="1"/>
  <c r="D1516" i="1"/>
  <c r="C1516" i="1"/>
  <c r="B1516" i="1"/>
  <c r="A1516" i="1"/>
  <c r="K1515" i="1"/>
  <c r="I1515" i="1"/>
  <c r="H1515" i="1"/>
  <c r="G1515" i="1"/>
  <c r="F1515" i="1"/>
  <c r="E1515" i="1"/>
  <c r="D1515" i="1"/>
  <c r="C1515" i="1"/>
  <c r="B1515" i="1"/>
  <c r="A1515" i="1"/>
  <c r="K1514" i="1"/>
  <c r="J1514" i="1"/>
  <c r="I1514" i="1"/>
  <c r="H1514" i="1"/>
  <c r="G1514" i="1"/>
  <c r="F1514" i="1"/>
  <c r="E1514" i="1"/>
  <c r="D1514" i="1"/>
  <c r="C1514" i="1"/>
  <c r="B1514" i="1"/>
  <c r="A1514" i="1"/>
  <c r="K1513" i="1"/>
  <c r="I1513" i="1"/>
  <c r="H1513" i="1"/>
  <c r="G1513" i="1"/>
  <c r="F1513" i="1"/>
  <c r="E1513" i="1"/>
  <c r="D1513" i="1"/>
  <c r="C1513" i="1"/>
  <c r="B1513" i="1"/>
  <c r="A1513" i="1"/>
  <c r="K1512" i="1"/>
  <c r="I1512" i="1"/>
  <c r="H1512" i="1"/>
  <c r="G1512" i="1"/>
  <c r="F1512" i="1"/>
  <c r="E1512" i="1"/>
  <c r="D1512" i="1"/>
  <c r="C1512" i="1"/>
  <c r="B1512" i="1"/>
  <c r="A1512" i="1"/>
  <c r="K1511" i="1"/>
  <c r="I1511" i="1"/>
  <c r="H1511" i="1"/>
  <c r="G1511" i="1"/>
  <c r="F1511" i="1"/>
  <c r="E1511" i="1"/>
  <c r="D1511" i="1"/>
  <c r="C1511" i="1"/>
  <c r="B1511" i="1"/>
  <c r="A1511" i="1"/>
  <c r="K1510" i="1"/>
  <c r="I1510" i="1"/>
  <c r="H1510" i="1"/>
  <c r="G1510" i="1"/>
  <c r="F1510" i="1"/>
  <c r="E1510" i="1"/>
  <c r="D1510" i="1"/>
  <c r="C1510" i="1"/>
  <c r="B1510" i="1"/>
  <c r="A1510" i="1"/>
  <c r="K1509" i="1"/>
  <c r="J1509" i="1"/>
  <c r="H1509" i="1"/>
  <c r="G1509" i="1"/>
  <c r="F1509" i="1"/>
  <c r="E1509" i="1"/>
  <c r="D1509" i="1"/>
  <c r="C1509" i="1"/>
  <c r="B1509" i="1"/>
  <c r="A1509" i="1"/>
  <c r="K1508" i="1"/>
  <c r="I1508" i="1"/>
  <c r="H1508" i="1"/>
  <c r="G1508" i="1"/>
  <c r="F1508" i="1"/>
  <c r="E1508" i="1"/>
  <c r="D1508" i="1"/>
  <c r="C1508" i="1"/>
  <c r="B1508" i="1"/>
  <c r="A1508" i="1"/>
  <c r="K1507" i="1"/>
  <c r="J1507" i="1"/>
  <c r="H1507" i="1"/>
  <c r="G1507" i="1"/>
  <c r="F1507" i="1"/>
  <c r="E1507" i="1"/>
  <c r="D1507" i="1"/>
  <c r="C1507" i="1"/>
  <c r="B1507" i="1"/>
  <c r="A1507" i="1"/>
  <c r="K1506" i="1"/>
  <c r="I1506" i="1"/>
  <c r="H1506" i="1"/>
  <c r="G1506" i="1"/>
  <c r="F1506" i="1"/>
  <c r="E1506" i="1"/>
  <c r="D1506" i="1"/>
  <c r="C1506" i="1"/>
  <c r="B1506" i="1"/>
  <c r="A1506" i="1"/>
  <c r="K1505" i="1"/>
  <c r="I1505" i="1"/>
  <c r="H1505" i="1"/>
  <c r="G1505" i="1"/>
  <c r="F1505" i="1"/>
  <c r="E1505" i="1"/>
  <c r="D1505" i="1"/>
  <c r="C1505" i="1"/>
  <c r="B1505" i="1"/>
  <c r="A1505" i="1"/>
  <c r="K1504" i="1"/>
  <c r="I1504" i="1"/>
  <c r="H1504" i="1"/>
  <c r="G1504" i="1"/>
  <c r="F1504" i="1"/>
  <c r="E1504" i="1"/>
  <c r="D1504" i="1"/>
  <c r="C1504" i="1"/>
  <c r="B1504" i="1"/>
  <c r="A1504" i="1"/>
  <c r="K1503" i="1"/>
  <c r="I1503" i="1"/>
  <c r="H1503" i="1"/>
  <c r="G1503" i="1"/>
  <c r="F1503" i="1"/>
  <c r="E1503" i="1"/>
  <c r="D1503" i="1"/>
  <c r="C1503" i="1"/>
  <c r="B1503" i="1"/>
  <c r="A1503" i="1"/>
  <c r="K1502" i="1"/>
  <c r="I1502" i="1"/>
  <c r="H1502" i="1"/>
  <c r="G1502" i="1"/>
  <c r="F1502" i="1"/>
  <c r="E1502" i="1"/>
  <c r="D1502" i="1"/>
  <c r="C1502" i="1"/>
  <c r="B1502" i="1"/>
  <c r="A1502" i="1"/>
  <c r="K1501" i="1"/>
  <c r="I1501" i="1"/>
  <c r="H1501" i="1"/>
  <c r="G1501" i="1"/>
  <c r="F1501" i="1"/>
  <c r="E1501" i="1"/>
  <c r="D1501" i="1"/>
  <c r="C1501" i="1"/>
  <c r="B1501" i="1"/>
  <c r="A1501" i="1"/>
  <c r="K1500" i="1"/>
  <c r="I1500" i="1"/>
  <c r="H1500" i="1"/>
  <c r="G1500" i="1"/>
  <c r="F1500" i="1"/>
  <c r="E1500" i="1"/>
  <c r="D1500" i="1"/>
  <c r="C1500" i="1"/>
  <c r="B1500" i="1"/>
  <c r="A1500" i="1"/>
  <c r="K1499" i="1"/>
  <c r="I1499" i="1"/>
  <c r="H1499" i="1"/>
  <c r="G1499" i="1"/>
  <c r="F1499" i="1"/>
  <c r="E1499" i="1"/>
  <c r="D1499" i="1"/>
  <c r="C1499" i="1"/>
  <c r="B1499" i="1"/>
  <c r="A1499" i="1"/>
  <c r="K1498" i="1"/>
  <c r="I1498" i="1"/>
  <c r="H1498" i="1"/>
  <c r="G1498" i="1"/>
  <c r="F1498" i="1"/>
  <c r="E1498" i="1"/>
  <c r="D1498" i="1"/>
  <c r="C1498" i="1"/>
  <c r="B1498" i="1"/>
  <c r="A1498" i="1"/>
  <c r="K1497" i="1"/>
  <c r="I1497" i="1"/>
  <c r="H1497" i="1"/>
  <c r="G1497" i="1"/>
  <c r="F1497" i="1"/>
  <c r="E1497" i="1"/>
  <c r="D1497" i="1"/>
  <c r="C1497" i="1"/>
  <c r="B1497" i="1"/>
  <c r="A1497" i="1"/>
  <c r="K1496" i="1"/>
  <c r="I1496" i="1"/>
  <c r="H1496" i="1"/>
  <c r="G1496" i="1"/>
  <c r="F1496" i="1"/>
  <c r="E1496" i="1"/>
  <c r="D1496" i="1"/>
  <c r="C1496" i="1"/>
  <c r="B1496" i="1"/>
  <c r="A1496" i="1"/>
  <c r="K1495" i="1"/>
  <c r="I1495" i="1"/>
  <c r="H1495" i="1"/>
  <c r="G1495" i="1"/>
  <c r="F1495" i="1"/>
  <c r="E1495" i="1"/>
  <c r="D1495" i="1"/>
  <c r="C1495" i="1"/>
  <c r="B1495" i="1"/>
  <c r="A1495" i="1"/>
  <c r="K1494" i="1"/>
  <c r="I1494" i="1"/>
  <c r="H1494" i="1"/>
  <c r="G1494" i="1"/>
  <c r="F1494" i="1"/>
  <c r="E1494" i="1"/>
  <c r="D1494" i="1"/>
  <c r="C1494" i="1"/>
  <c r="B1494" i="1"/>
  <c r="A1494" i="1"/>
  <c r="K1493" i="1"/>
  <c r="I1493" i="1"/>
  <c r="H1493" i="1"/>
  <c r="G1493" i="1"/>
  <c r="F1493" i="1"/>
  <c r="E1493" i="1"/>
  <c r="D1493" i="1"/>
  <c r="C1493" i="1"/>
  <c r="B1493" i="1"/>
  <c r="A1493" i="1"/>
  <c r="K1492" i="1"/>
  <c r="I1492" i="1"/>
  <c r="H1492" i="1"/>
  <c r="G1492" i="1"/>
  <c r="F1492" i="1"/>
  <c r="E1492" i="1"/>
  <c r="D1492" i="1"/>
  <c r="C1492" i="1"/>
  <c r="B1492" i="1"/>
  <c r="A1492" i="1"/>
  <c r="K1491" i="1"/>
  <c r="I1491" i="1"/>
  <c r="H1491" i="1"/>
  <c r="G1491" i="1"/>
  <c r="F1491" i="1"/>
  <c r="E1491" i="1"/>
  <c r="D1491" i="1"/>
  <c r="C1491" i="1"/>
  <c r="B1491" i="1"/>
  <c r="A1491" i="1"/>
  <c r="K1490" i="1"/>
  <c r="I1490" i="1"/>
  <c r="H1490" i="1"/>
  <c r="G1490" i="1"/>
  <c r="F1490" i="1"/>
  <c r="E1490" i="1"/>
  <c r="D1490" i="1"/>
  <c r="C1490" i="1"/>
  <c r="B1490" i="1"/>
  <c r="A1490" i="1"/>
  <c r="K1489" i="1"/>
  <c r="I1489" i="1"/>
  <c r="H1489" i="1"/>
  <c r="G1489" i="1"/>
  <c r="F1489" i="1"/>
  <c r="E1489" i="1"/>
  <c r="D1489" i="1"/>
  <c r="C1489" i="1"/>
  <c r="B1489" i="1"/>
  <c r="A1489" i="1"/>
  <c r="K1488" i="1"/>
  <c r="I1488" i="1"/>
  <c r="H1488" i="1"/>
  <c r="G1488" i="1"/>
  <c r="F1488" i="1"/>
  <c r="E1488" i="1"/>
  <c r="D1488" i="1"/>
  <c r="C1488" i="1"/>
  <c r="B1488" i="1"/>
  <c r="A1488" i="1"/>
  <c r="K1487" i="1"/>
  <c r="I1487" i="1"/>
  <c r="H1487" i="1"/>
  <c r="G1487" i="1"/>
  <c r="F1487" i="1"/>
  <c r="E1487" i="1"/>
  <c r="D1487" i="1"/>
  <c r="C1487" i="1"/>
  <c r="B1487" i="1"/>
  <c r="A1487" i="1"/>
  <c r="K1486" i="1"/>
  <c r="I1486" i="1"/>
  <c r="H1486" i="1"/>
  <c r="G1486" i="1"/>
  <c r="F1486" i="1"/>
  <c r="E1486" i="1"/>
  <c r="D1486" i="1"/>
  <c r="C1486" i="1"/>
  <c r="B1486" i="1"/>
  <c r="A1486" i="1"/>
  <c r="K1485" i="1"/>
  <c r="I1485" i="1"/>
  <c r="H1485" i="1"/>
  <c r="G1485" i="1"/>
  <c r="F1485" i="1"/>
  <c r="E1485" i="1"/>
  <c r="D1485" i="1"/>
  <c r="C1485" i="1"/>
  <c r="B1485" i="1"/>
  <c r="A1485" i="1"/>
  <c r="K1484" i="1"/>
  <c r="J1484" i="1"/>
  <c r="H1484" i="1"/>
  <c r="G1484" i="1"/>
  <c r="F1484" i="1"/>
  <c r="E1484" i="1"/>
  <c r="D1484" i="1"/>
  <c r="C1484" i="1"/>
  <c r="B1484" i="1"/>
  <c r="A1484" i="1"/>
  <c r="K1483" i="1"/>
  <c r="I1483" i="1"/>
  <c r="H1483" i="1"/>
  <c r="G1483" i="1"/>
  <c r="F1483" i="1"/>
  <c r="E1483" i="1"/>
  <c r="D1483" i="1"/>
  <c r="C1483" i="1"/>
  <c r="B1483" i="1"/>
  <c r="A1483" i="1"/>
  <c r="K1482" i="1"/>
  <c r="J1482" i="1"/>
  <c r="I1482" i="1"/>
  <c r="H1482" i="1"/>
  <c r="G1482" i="1"/>
  <c r="F1482" i="1"/>
  <c r="E1482" i="1"/>
  <c r="D1482" i="1"/>
  <c r="C1482" i="1"/>
  <c r="B1482" i="1"/>
  <c r="A1482" i="1"/>
  <c r="K1481" i="1"/>
  <c r="J1481" i="1"/>
  <c r="I1481" i="1"/>
  <c r="H1481" i="1"/>
  <c r="G1481" i="1"/>
  <c r="F1481" i="1"/>
  <c r="E1481" i="1"/>
  <c r="D1481" i="1"/>
  <c r="C1481" i="1"/>
  <c r="B1481" i="1"/>
  <c r="A1481" i="1"/>
  <c r="K1480" i="1"/>
  <c r="J1480" i="1"/>
  <c r="H1480" i="1"/>
  <c r="G1480" i="1"/>
  <c r="F1480" i="1"/>
  <c r="E1480" i="1"/>
  <c r="D1480" i="1"/>
  <c r="C1480" i="1"/>
  <c r="B1480" i="1"/>
  <c r="A1480" i="1"/>
  <c r="K1479" i="1"/>
  <c r="J1479" i="1"/>
  <c r="H1479" i="1"/>
  <c r="G1479" i="1"/>
  <c r="F1479" i="1"/>
  <c r="E1479" i="1"/>
  <c r="D1479" i="1"/>
  <c r="C1479" i="1"/>
  <c r="B1479" i="1"/>
  <c r="A1479" i="1"/>
  <c r="K1478" i="1"/>
  <c r="J1478" i="1"/>
  <c r="I1478" i="1"/>
  <c r="H1478" i="1"/>
  <c r="G1478" i="1"/>
  <c r="F1478" i="1"/>
  <c r="E1478" i="1"/>
  <c r="D1478" i="1"/>
  <c r="C1478" i="1"/>
  <c r="B1478" i="1"/>
  <c r="A1478" i="1"/>
  <c r="K1477" i="1"/>
  <c r="J1477" i="1"/>
  <c r="I1477" i="1"/>
  <c r="H1477" i="1"/>
  <c r="G1477" i="1"/>
  <c r="F1477" i="1"/>
  <c r="E1477" i="1"/>
  <c r="D1477" i="1"/>
  <c r="C1477" i="1"/>
  <c r="B1477" i="1"/>
  <c r="A1477" i="1"/>
  <c r="K1476" i="1"/>
  <c r="J1476" i="1"/>
  <c r="I1476" i="1"/>
  <c r="H1476" i="1"/>
  <c r="G1476" i="1"/>
  <c r="F1476" i="1"/>
  <c r="E1476" i="1"/>
  <c r="D1476" i="1"/>
  <c r="C1476" i="1"/>
  <c r="B1476" i="1"/>
  <c r="A1476" i="1"/>
  <c r="K1475" i="1"/>
  <c r="J1475" i="1"/>
  <c r="H1475" i="1"/>
  <c r="G1475" i="1"/>
  <c r="F1475" i="1"/>
  <c r="E1475" i="1"/>
  <c r="D1475" i="1"/>
  <c r="C1475" i="1"/>
  <c r="B1475" i="1"/>
  <c r="A1475" i="1"/>
  <c r="K1474" i="1"/>
  <c r="J1474" i="1"/>
  <c r="I1474" i="1"/>
  <c r="H1474" i="1"/>
  <c r="G1474" i="1"/>
  <c r="F1474" i="1"/>
  <c r="E1474" i="1"/>
  <c r="D1474" i="1"/>
  <c r="C1474" i="1"/>
  <c r="B1474" i="1"/>
  <c r="A1474" i="1"/>
  <c r="K1473" i="1"/>
  <c r="J1473" i="1"/>
  <c r="I1473" i="1"/>
  <c r="H1473" i="1"/>
  <c r="G1473" i="1"/>
  <c r="F1473" i="1"/>
  <c r="E1473" i="1"/>
  <c r="D1473" i="1"/>
  <c r="C1473" i="1"/>
  <c r="B1473" i="1"/>
  <c r="A1473" i="1"/>
  <c r="K1472" i="1"/>
  <c r="J1472" i="1"/>
  <c r="I1472" i="1"/>
  <c r="H1472" i="1"/>
  <c r="G1472" i="1"/>
  <c r="F1472" i="1"/>
  <c r="E1472" i="1"/>
  <c r="D1472" i="1"/>
  <c r="C1472" i="1"/>
  <c r="B1472" i="1"/>
  <c r="A1472" i="1"/>
  <c r="K1471" i="1"/>
  <c r="J1471" i="1"/>
  <c r="I1471" i="1"/>
  <c r="H1471" i="1"/>
  <c r="G1471" i="1"/>
  <c r="F1471" i="1"/>
  <c r="E1471" i="1"/>
  <c r="D1471" i="1"/>
  <c r="C1471" i="1"/>
  <c r="B1471" i="1"/>
  <c r="A1471" i="1"/>
  <c r="K1470" i="1"/>
  <c r="J1470" i="1"/>
  <c r="I1470" i="1"/>
  <c r="H1470" i="1"/>
  <c r="G1470" i="1"/>
  <c r="F1470" i="1"/>
  <c r="E1470" i="1"/>
  <c r="D1470" i="1"/>
  <c r="C1470" i="1"/>
  <c r="B1470" i="1"/>
  <c r="A1470" i="1"/>
  <c r="K1469" i="1"/>
  <c r="J1469" i="1"/>
  <c r="I1469" i="1"/>
  <c r="H1469" i="1"/>
  <c r="G1469" i="1"/>
  <c r="F1469" i="1"/>
  <c r="E1469" i="1"/>
  <c r="D1469" i="1"/>
  <c r="C1469" i="1"/>
  <c r="B1469" i="1"/>
  <c r="A1469" i="1"/>
  <c r="K1468" i="1"/>
  <c r="J1468" i="1"/>
  <c r="I1468" i="1"/>
  <c r="H1468" i="1"/>
  <c r="G1468" i="1"/>
  <c r="F1468" i="1"/>
  <c r="E1468" i="1"/>
  <c r="D1468" i="1"/>
  <c r="C1468" i="1"/>
  <c r="B1468" i="1"/>
  <c r="A1468" i="1"/>
  <c r="K1467" i="1"/>
  <c r="J1467" i="1"/>
  <c r="I1467" i="1"/>
  <c r="H1467" i="1"/>
  <c r="G1467" i="1"/>
  <c r="F1467" i="1"/>
  <c r="E1467" i="1"/>
  <c r="D1467" i="1"/>
  <c r="C1467" i="1"/>
  <c r="B1467" i="1"/>
  <c r="A1467" i="1"/>
  <c r="K1466" i="1"/>
  <c r="J1466" i="1"/>
  <c r="I1466" i="1"/>
  <c r="H1466" i="1"/>
  <c r="G1466" i="1"/>
  <c r="F1466" i="1"/>
  <c r="E1466" i="1"/>
  <c r="D1466" i="1"/>
  <c r="C1466" i="1"/>
  <c r="B1466" i="1"/>
  <c r="A1466" i="1"/>
  <c r="K1465" i="1"/>
  <c r="J1465" i="1"/>
  <c r="I1465" i="1"/>
  <c r="H1465" i="1"/>
  <c r="G1465" i="1"/>
  <c r="F1465" i="1"/>
  <c r="E1465" i="1"/>
  <c r="D1465" i="1"/>
  <c r="C1465" i="1"/>
  <c r="B1465" i="1"/>
  <c r="A1465" i="1"/>
  <c r="K1464" i="1"/>
  <c r="J1464" i="1"/>
  <c r="I1464" i="1"/>
  <c r="H1464" i="1"/>
  <c r="G1464" i="1"/>
  <c r="F1464" i="1"/>
  <c r="E1464" i="1"/>
  <c r="D1464" i="1"/>
  <c r="C1464" i="1"/>
  <c r="B1464" i="1"/>
  <c r="A1464" i="1"/>
  <c r="K1463" i="1"/>
  <c r="J1463" i="1"/>
  <c r="I1463" i="1"/>
  <c r="H1463" i="1"/>
  <c r="G1463" i="1"/>
  <c r="F1463" i="1"/>
  <c r="E1463" i="1"/>
  <c r="D1463" i="1"/>
  <c r="C1463" i="1"/>
  <c r="B1463" i="1"/>
  <c r="A1463" i="1"/>
  <c r="K1462" i="1"/>
  <c r="J1462" i="1"/>
  <c r="I1462" i="1"/>
  <c r="H1462" i="1"/>
  <c r="G1462" i="1"/>
  <c r="F1462" i="1"/>
  <c r="E1462" i="1"/>
  <c r="D1462" i="1"/>
  <c r="C1462" i="1"/>
  <c r="B1462" i="1"/>
  <c r="A1462" i="1"/>
  <c r="K1461" i="1"/>
  <c r="J1461" i="1"/>
  <c r="I1461" i="1"/>
  <c r="H1461" i="1"/>
  <c r="G1461" i="1"/>
  <c r="F1461" i="1"/>
  <c r="E1461" i="1"/>
  <c r="D1461" i="1"/>
  <c r="C1461" i="1"/>
  <c r="B1461" i="1"/>
  <c r="A1461" i="1"/>
  <c r="K1460" i="1"/>
  <c r="J1460" i="1"/>
  <c r="I1460" i="1"/>
  <c r="H1460" i="1"/>
  <c r="G1460" i="1"/>
  <c r="F1460" i="1"/>
  <c r="E1460" i="1"/>
  <c r="D1460" i="1"/>
  <c r="C1460" i="1"/>
  <c r="B1460" i="1"/>
  <c r="A1460" i="1"/>
  <c r="K1459" i="1"/>
  <c r="J1459" i="1"/>
  <c r="I1459" i="1"/>
  <c r="H1459" i="1"/>
  <c r="G1459" i="1"/>
  <c r="F1459" i="1"/>
  <c r="E1459" i="1"/>
  <c r="D1459" i="1"/>
  <c r="C1459" i="1"/>
  <c r="B1459" i="1"/>
  <c r="A1459" i="1"/>
  <c r="K1458" i="1"/>
  <c r="J1458" i="1"/>
  <c r="I1458" i="1"/>
  <c r="H1458" i="1"/>
  <c r="G1458" i="1"/>
  <c r="F1458" i="1"/>
  <c r="E1458" i="1"/>
  <c r="D1458" i="1"/>
  <c r="C1458" i="1"/>
  <c r="B1458" i="1"/>
  <c r="A1458" i="1"/>
  <c r="K1457" i="1"/>
  <c r="J1457" i="1"/>
  <c r="I1457" i="1"/>
  <c r="H1457" i="1"/>
  <c r="G1457" i="1"/>
  <c r="F1457" i="1"/>
  <c r="E1457" i="1"/>
  <c r="D1457" i="1"/>
  <c r="C1457" i="1"/>
  <c r="B1457" i="1"/>
  <c r="A1457" i="1"/>
  <c r="K1456" i="1"/>
  <c r="I1456" i="1"/>
  <c r="H1456" i="1"/>
  <c r="G1456" i="1"/>
  <c r="F1456" i="1"/>
  <c r="E1456" i="1"/>
  <c r="D1456" i="1"/>
  <c r="C1456" i="1"/>
  <c r="B1456" i="1"/>
  <c r="A1456" i="1"/>
  <c r="K1455" i="1"/>
  <c r="I1455" i="1"/>
  <c r="H1455" i="1"/>
  <c r="G1455" i="1"/>
  <c r="F1455" i="1"/>
  <c r="E1455" i="1"/>
  <c r="D1455" i="1"/>
  <c r="C1455" i="1"/>
  <c r="B1455" i="1"/>
  <c r="A1455" i="1"/>
  <c r="K1454" i="1"/>
  <c r="I1454" i="1"/>
  <c r="H1454" i="1"/>
  <c r="G1454" i="1"/>
  <c r="F1454" i="1"/>
  <c r="E1454" i="1"/>
  <c r="D1454" i="1"/>
  <c r="C1454" i="1"/>
  <c r="B1454" i="1"/>
  <c r="A1454" i="1"/>
  <c r="K1453" i="1"/>
  <c r="I1453" i="1"/>
  <c r="H1453" i="1"/>
  <c r="G1453" i="1"/>
  <c r="F1453" i="1"/>
  <c r="E1453" i="1"/>
  <c r="D1453" i="1"/>
  <c r="C1453" i="1"/>
  <c r="B1453" i="1"/>
  <c r="A1453" i="1"/>
  <c r="K1452" i="1"/>
  <c r="I1452" i="1"/>
  <c r="H1452" i="1"/>
  <c r="G1452" i="1"/>
  <c r="F1452" i="1"/>
  <c r="E1452" i="1"/>
  <c r="D1452" i="1"/>
  <c r="C1452" i="1"/>
  <c r="B1452" i="1"/>
  <c r="A1452" i="1"/>
  <c r="K1451" i="1"/>
  <c r="I1451" i="1"/>
  <c r="H1451" i="1"/>
  <c r="G1451" i="1"/>
  <c r="F1451" i="1"/>
  <c r="E1451" i="1"/>
  <c r="D1451" i="1"/>
  <c r="C1451" i="1"/>
  <c r="B1451" i="1"/>
  <c r="A1451" i="1"/>
  <c r="K1450" i="1"/>
  <c r="I1450" i="1"/>
  <c r="H1450" i="1"/>
  <c r="G1450" i="1"/>
  <c r="F1450" i="1"/>
  <c r="E1450" i="1"/>
  <c r="D1450" i="1"/>
  <c r="C1450" i="1"/>
  <c r="B1450" i="1"/>
  <c r="A1450" i="1"/>
  <c r="K1449" i="1"/>
  <c r="I1449" i="1"/>
  <c r="H1449" i="1"/>
  <c r="G1449" i="1"/>
  <c r="F1449" i="1"/>
  <c r="E1449" i="1"/>
  <c r="D1449" i="1"/>
  <c r="C1449" i="1"/>
  <c r="B1449" i="1"/>
  <c r="A1449" i="1"/>
  <c r="K1448" i="1"/>
  <c r="I1448" i="1"/>
  <c r="H1448" i="1"/>
  <c r="G1448" i="1"/>
  <c r="F1448" i="1"/>
  <c r="E1448" i="1"/>
  <c r="D1448" i="1"/>
  <c r="C1448" i="1"/>
  <c r="B1448" i="1"/>
  <c r="A1448" i="1"/>
  <c r="K1447" i="1"/>
  <c r="I1447" i="1"/>
  <c r="H1447" i="1"/>
  <c r="G1447" i="1"/>
  <c r="F1447" i="1"/>
  <c r="E1447" i="1"/>
  <c r="D1447" i="1"/>
  <c r="C1447" i="1"/>
  <c r="B1447" i="1"/>
  <c r="A1447" i="1"/>
  <c r="K1446" i="1"/>
  <c r="I1446" i="1"/>
  <c r="H1446" i="1"/>
  <c r="G1446" i="1"/>
  <c r="F1446" i="1"/>
  <c r="E1446" i="1"/>
  <c r="D1446" i="1"/>
  <c r="C1446" i="1"/>
  <c r="B1446" i="1"/>
  <c r="A1446" i="1"/>
  <c r="K1445" i="1"/>
  <c r="J1445" i="1"/>
  <c r="I1445" i="1"/>
  <c r="H1445" i="1"/>
  <c r="G1445" i="1"/>
  <c r="F1445" i="1"/>
  <c r="E1445" i="1"/>
  <c r="D1445" i="1"/>
  <c r="C1445" i="1"/>
  <c r="B1445" i="1"/>
  <c r="A1445" i="1"/>
  <c r="K1444" i="1"/>
  <c r="J1444" i="1"/>
  <c r="I1444" i="1"/>
  <c r="H1444" i="1"/>
  <c r="G1444" i="1"/>
  <c r="F1444" i="1"/>
  <c r="E1444" i="1"/>
  <c r="D1444" i="1"/>
  <c r="C1444" i="1"/>
  <c r="B1444" i="1"/>
  <c r="A1444" i="1"/>
  <c r="K1443" i="1"/>
  <c r="I1443" i="1"/>
  <c r="H1443" i="1"/>
  <c r="G1443" i="1"/>
  <c r="F1443" i="1"/>
  <c r="E1443" i="1"/>
  <c r="D1443" i="1"/>
  <c r="C1443" i="1"/>
  <c r="B1443" i="1"/>
  <c r="A1443" i="1"/>
  <c r="K1442" i="1"/>
  <c r="I1442" i="1"/>
  <c r="H1442" i="1"/>
  <c r="G1442" i="1"/>
  <c r="F1442" i="1"/>
  <c r="E1442" i="1"/>
  <c r="D1442" i="1"/>
  <c r="C1442" i="1"/>
  <c r="B1442" i="1"/>
  <c r="A1442" i="1"/>
  <c r="K1441" i="1"/>
  <c r="I1441" i="1"/>
  <c r="H1441" i="1"/>
  <c r="G1441" i="1"/>
  <c r="F1441" i="1"/>
  <c r="E1441" i="1"/>
  <c r="D1441" i="1"/>
  <c r="C1441" i="1"/>
  <c r="B1441" i="1"/>
  <c r="A1441" i="1"/>
  <c r="K1440" i="1"/>
  <c r="I1440" i="1"/>
  <c r="H1440" i="1"/>
  <c r="G1440" i="1"/>
  <c r="F1440" i="1"/>
  <c r="E1440" i="1"/>
  <c r="D1440" i="1"/>
  <c r="C1440" i="1"/>
  <c r="B1440" i="1"/>
  <c r="A1440" i="1"/>
  <c r="K1439" i="1"/>
  <c r="I1439" i="1"/>
  <c r="H1439" i="1"/>
  <c r="G1439" i="1"/>
  <c r="F1439" i="1"/>
  <c r="E1439" i="1"/>
  <c r="D1439" i="1"/>
  <c r="C1439" i="1"/>
  <c r="B1439" i="1"/>
  <c r="A1439" i="1"/>
  <c r="K1438" i="1"/>
  <c r="I1438" i="1"/>
  <c r="H1438" i="1"/>
  <c r="G1438" i="1"/>
  <c r="F1438" i="1"/>
  <c r="E1438" i="1"/>
  <c r="D1438" i="1"/>
  <c r="C1438" i="1"/>
  <c r="B1438" i="1"/>
  <c r="A1438" i="1"/>
  <c r="K1437" i="1"/>
  <c r="I1437" i="1"/>
  <c r="H1437" i="1"/>
  <c r="G1437" i="1"/>
  <c r="F1437" i="1"/>
  <c r="E1437" i="1"/>
  <c r="D1437" i="1"/>
  <c r="C1437" i="1"/>
  <c r="B1437" i="1"/>
  <c r="A1437" i="1"/>
  <c r="K1436" i="1"/>
  <c r="I1436" i="1"/>
  <c r="H1436" i="1"/>
  <c r="G1436" i="1"/>
  <c r="F1436" i="1"/>
  <c r="E1436" i="1"/>
  <c r="D1436" i="1"/>
  <c r="C1436" i="1"/>
  <c r="B1436" i="1"/>
  <c r="A1436" i="1"/>
  <c r="K1435" i="1"/>
  <c r="I1435" i="1"/>
  <c r="H1435" i="1"/>
  <c r="G1435" i="1"/>
  <c r="F1435" i="1"/>
  <c r="E1435" i="1"/>
  <c r="D1435" i="1"/>
  <c r="C1435" i="1"/>
  <c r="B1435" i="1"/>
  <c r="A1435" i="1"/>
  <c r="K1434" i="1"/>
  <c r="I1434" i="1"/>
  <c r="H1434" i="1"/>
  <c r="G1434" i="1"/>
  <c r="F1434" i="1"/>
  <c r="E1434" i="1"/>
  <c r="D1434" i="1"/>
  <c r="C1434" i="1"/>
  <c r="B1434" i="1"/>
  <c r="A1434" i="1"/>
  <c r="K1433" i="1"/>
  <c r="I1433" i="1"/>
  <c r="H1433" i="1"/>
  <c r="G1433" i="1"/>
  <c r="F1433" i="1"/>
  <c r="E1433" i="1"/>
  <c r="D1433" i="1"/>
  <c r="C1433" i="1"/>
  <c r="B1433" i="1"/>
  <c r="A1433" i="1"/>
  <c r="K1432" i="1"/>
  <c r="I1432" i="1"/>
  <c r="H1432" i="1"/>
  <c r="G1432" i="1"/>
  <c r="F1432" i="1"/>
  <c r="E1432" i="1"/>
  <c r="D1432" i="1"/>
  <c r="C1432" i="1"/>
  <c r="B1432" i="1"/>
  <c r="A1432" i="1"/>
  <c r="K1431" i="1"/>
  <c r="J1431" i="1"/>
  <c r="I1431" i="1"/>
  <c r="H1431" i="1"/>
  <c r="G1431" i="1"/>
  <c r="F1431" i="1"/>
  <c r="E1431" i="1"/>
  <c r="D1431" i="1"/>
  <c r="C1431" i="1"/>
  <c r="B1431" i="1"/>
  <c r="A1431" i="1"/>
  <c r="K1430" i="1"/>
  <c r="J1430" i="1"/>
  <c r="I1430" i="1"/>
  <c r="H1430" i="1"/>
  <c r="G1430" i="1"/>
  <c r="F1430" i="1"/>
  <c r="E1430" i="1"/>
  <c r="D1430" i="1"/>
  <c r="C1430" i="1"/>
  <c r="B1430" i="1"/>
  <c r="A1430" i="1"/>
  <c r="K1429" i="1"/>
  <c r="J1429" i="1"/>
  <c r="I1429" i="1"/>
  <c r="H1429" i="1"/>
  <c r="G1429" i="1"/>
  <c r="F1429" i="1"/>
  <c r="E1429" i="1"/>
  <c r="D1429" i="1"/>
  <c r="C1429" i="1"/>
  <c r="B1429" i="1"/>
  <c r="A1429" i="1"/>
  <c r="K1428" i="1"/>
  <c r="I1428" i="1"/>
  <c r="H1428" i="1"/>
  <c r="G1428" i="1"/>
  <c r="F1428" i="1"/>
  <c r="E1428" i="1"/>
  <c r="D1428" i="1"/>
  <c r="C1428" i="1"/>
  <c r="B1428" i="1"/>
  <c r="A1428" i="1"/>
  <c r="K1427" i="1"/>
  <c r="I1427" i="1"/>
  <c r="H1427" i="1"/>
  <c r="G1427" i="1"/>
  <c r="F1427" i="1"/>
  <c r="E1427" i="1"/>
  <c r="D1427" i="1"/>
  <c r="C1427" i="1"/>
  <c r="B1427" i="1"/>
  <c r="A1427" i="1"/>
  <c r="K1426" i="1"/>
  <c r="I1426" i="1"/>
  <c r="H1426" i="1"/>
  <c r="G1426" i="1"/>
  <c r="F1426" i="1"/>
  <c r="E1426" i="1"/>
  <c r="D1426" i="1"/>
  <c r="C1426" i="1"/>
  <c r="B1426" i="1"/>
  <c r="A1426" i="1"/>
  <c r="K1425" i="1"/>
  <c r="I1425" i="1"/>
  <c r="H1425" i="1"/>
  <c r="G1425" i="1"/>
  <c r="F1425" i="1"/>
  <c r="E1425" i="1"/>
  <c r="D1425" i="1"/>
  <c r="C1425" i="1"/>
  <c r="B1425" i="1"/>
  <c r="A1425" i="1"/>
  <c r="K1424" i="1"/>
  <c r="I1424" i="1"/>
  <c r="H1424" i="1"/>
  <c r="G1424" i="1"/>
  <c r="F1424" i="1"/>
  <c r="E1424" i="1"/>
  <c r="D1424" i="1"/>
  <c r="C1424" i="1"/>
  <c r="B1424" i="1"/>
  <c r="A1424" i="1"/>
  <c r="K1423" i="1"/>
  <c r="J1423" i="1"/>
  <c r="I1423" i="1"/>
  <c r="H1423" i="1"/>
  <c r="G1423" i="1"/>
  <c r="F1423" i="1"/>
  <c r="E1423" i="1"/>
  <c r="D1423" i="1"/>
  <c r="C1423" i="1"/>
  <c r="B1423" i="1"/>
  <c r="A1423" i="1"/>
  <c r="K1422" i="1"/>
  <c r="J1422" i="1"/>
  <c r="I1422" i="1"/>
  <c r="H1422" i="1"/>
  <c r="G1422" i="1"/>
  <c r="F1422" i="1"/>
  <c r="E1422" i="1"/>
  <c r="D1422" i="1"/>
  <c r="C1422" i="1"/>
  <c r="B1422" i="1"/>
  <c r="A1422" i="1"/>
  <c r="K1421" i="1"/>
  <c r="J1421" i="1"/>
  <c r="I1421" i="1"/>
  <c r="H1421" i="1"/>
  <c r="G1421" i="1"/>
  <c r="F1421" i="1"/>
  <c r="E1421" i="1"/>
  <c r="D1421" i="1"/>
  <c r="C1421" i="1"/>
  <c r="B1421" i="1"/>
  <c r="A1421" i="1"/>
  <c r="K1420" i="1"/>
  <c r="I1420" i="1"/>
  <c r="H1420" i="1"/>
  <c r="G1420" i="1"/>
  <c r="F1420" i="1"/>
  <c r="E1420" i="1"/>
  <c r="D1420" i="1"/>
  <c r="C1420" i="1"/>
  <c r="B1420" i="1"/>
  <c r="A1420" i="1"/>
  <c r="K1419" i="1"/>
  <c r="I1419" i="1"/>
  <c r="H1419" i="1"/>
  <c r="G1419" i="1"/>
  <c r="F1419" i="1"/>
  <c r="E1419" i="1"/>
  <c r="D1419" i="1"/>
  <c r="C1419" i="1"/>
  <c r="B1419" i="1"/>
  <c r="A1419" i="1"/>
  <c r="K1418" i="1"/>
  <c r="I1418" i="1"/>
  <c r="H1418" i="1"/>
  <c r="G1418" i="1"/>
  <c r="F1418" i="1"/>
  <c r="E1418" i="1"/>
  <c r="D1418" i="1"/>
  <c r="C1418" i="1"/>
  <c r="B1418" i="1"/>
  <c r="A1418" i="1"/>
  <c r="K1417" i="1"/>
  <c r="I1417" i="1"/>
  <c r="H1417" i="1"/>
  <c r="G1417" i="1"/>
  <c r="F1417" i="1"/>
  <c r="E1417" i="1"/>
  <c r="D1417" i="1"/>
  <c r="C1417" i="1"/>
  <c r="B1417" i="1"/>
  <c r="A1417" i="1"/>
  <c r="K1416" i="1"/>
  <c r="I1416" i="1"/>
  <c r="H1416" i="1"/>
  <c r="G1416" i="1"/>
  <c r="F1416" i="1"/>
  <c r="E1416" i="1"/>
  <c r="D1416" i="1"/>
  <c r="C1416" i="1"/>
  <c r="B1416" i="1"/>
  <c r="A1416" i="1"/>
  <c r="K1415" i="1"/>
  <c r="I1415" i="1"/>
  <c r="H1415" i="1"/>
  <c r="G1415" i="1"/>
  <c r="F1415" i="1"/>
  <c r="E1415" i="1"/>
  <c r="D1415" i="1"/>
  <c r="C1415" i="1"/>
  <c r="B1415" i="1"/>
  <c r="A1415" i="1"/>
  <c r="K1414" i="1"/>
  <c r="I1414" i="1"/>
  <c r="H1414" i="1"/>
  <c r="G1414" i="1"/>
  <c r="F1414" i="1"/>
  <c r="E1414" i="1"/>
  <c r="D1414" i="1"/>
  <c r="C1414" i="1"/>
  <c r="B1414" i="1"/>
  <c r="A1414" i="1"/>
  <c r="K1413" i="1"/>
  <c r="I1413" i="1"/>
  <c r="H1413" i="1"/>
  <c r="G1413" i="1"/>
  <c r="F1413" i="1"/>
  <c r="E1413" i="1"/>
  <c r="D1413" i="1"/>
  <c r="C1413" i="1"/>
  <c r="B1413" i="1"/>
  <c r="A1413" i="1"/>
  <c r="K1412" i="1"/>
  <c r="I1412" i="1"/>
  <c r="H1412" i="1"/>
  <c r="G1412" i="1"/>
  <c r="F1412" i="1"/>
  <c r="E1412" i="1"/>
  <c r="D1412" i="1"/>
  <c r="C1412" i="1"/>
  <c r="B1412" i="1"/>
  <c r="A1412" i="1"/>
  <c r="K1411" i="1"/>
  <c r="I1411" i="1"/>
  <c r="H1411" i="1"/>
  <c r="G1411" i="1"/>
  <c r="F1411" i="1"/>
  <c r="E1411" i="1"/>
  <c r="D1411" i="1"/>
  <c r="C1411" i="1"/>
  <c r="B1411" i="1"/>
  <c r="A1411" i="1"/>
  <c r="K1410" i="1"/>
  <c r="I1410" i="1"/>
  <c r="H1410" i="1"/>
  <c r="G1410" i="1"/>
  <c r="F1410" i="1"/>
  <c r="E1410" i="1"/>
  <c r="D1410" i="1"/>
  <c r="C1410" i="1"/>
  <c r="B1410" i="1"/>
  <c r="A1410" i="1"/>
  <c r="K1409" i="1"/>
  <c r="I1409" i="1"/>
  <c r="H1409" i="1"/>
  <c r="G1409" i="1"/>
  <c r="F1409" i="1"/>
  <c r="E1409" i="1"/>
  <c r="D1409" i="1"/>
  <c r="C1409" i="1"/>
  <c r="B1409" i="1"/>
  <c r="A1409" i="1"/>
  <c r="K1408" i="1"/>
  <c r="I1408" i="1"/>
  <c r="H1408" i="1"/>
  <c r="G1408" i="1"/>
  <c r="F1408" i="1"/>
  <c r="E1408" i="1"/>
  <c r="D1408" i="1"/>
  <c r="C1408" i="1"/>
  <c r="B1408" i="1"/>
  <c r="A1408" i="1"/>
  <c r="K1407" i="1"/>
  <c r="I1407" i="1"/>
  <c r="H1407" i="1"/>
  <c r="G1407" i="1"/>
  <c r="F1407" i="1"/>
  <c r="E1407" i="1"/>
  <c r="D1407" i="1"/>
  <c r="C1407" i="1"/>
  <c r="B1407" i="1"/>
  <c r="A1407" i="1"/>
  <c r="K1406" i="1"/>
  <c r="I1406" i="1"/>
  <c r="H1406" i="1"/>
  <c r="G1406" i="1"/>
  <c r="F1406" i="1"/>
  <c r="E1406" i="1"/>
  <c r="D1406" i="1"/>
  <c r="C1406" i="1"/>
  <c r="B1406" i="1"/>
  <c r="A1406" i="1"/>
  <c r="K1405" i="1"/>
  <c r="I1405" i="1"/>
  <c r="H1405" i="1"/>
  <c r="G1405" i="1"/>
  <c r="F1405" i="1"/>
  <c r="E1405" i="1"/>
  <c r="D1405" i="1"/>
  <c r="C1405" i="1"/>
  <c r="B1405" i="1"/>
  <c r="A1405" i="1"/>
  <c r="K1404" i="1"/>
  <c r="I1404" i="1"/>
  <c r="H1404" i="1"/>
  <c r="G1404" i="1"/>
  <c r="F1404" i="1"/>
  <c r="E1404" i="1"/>
  <c r="D1404" i="1"/>
  <c r="C1404" i="1"/>
  <c r="B1404" i="1"/>
  <c r="A1404" i="1"/>
  <c r="K1403" i="1"/>
  <c r="J1403" i="1"/>
  <c r="I1403" i="1"/>
  <c r="H1403" i="1"/>
  <c r="G1403" i="1"/>
  <c r="F1403" i="1"/>
  <c r="E1403" i="1"/>
  <c r="D1403" i="1"/>
  <c r="C1403" i="1"/>
  <c r="B1403" i="1"/>
  <c r="A1403" i="1"/>
  <c r="K1402" i="1"/>
  <c r="I1402" i="1"/>
  <c r="H1402" i="1"/>
  <c r="G1402" i="1"/>
  <c r="F1402" i="1"/>
  <c r="E1402" i="1"/>
  <c r="D1402" i="1"/>
  <c r="C1402" i="1"/>
  <c r="B1402" i="1"/>
  <c r="A1402" i="1"/>
  <c r="K1401" i="1"/>
  <c r="I1401" i="1"/>
  <c r="H1401" i="1"/>
  <c r="G1401" i="1"/>
  <c r="F1401" i="1"/>
  <c r="E1401" i="1"/>
  <c r="D1401" i="1"/>
  <c r="C1401" i="1"/>
  <c r="B1401" i="1"/>
  <c r="A1401" i="1"/>
  <c r="K1400" i="1"/>
  <c r="I1400" i="1"/>
  <c r="H1400" i="1"/>
  <c r="G1400" i="1"/>
  <c r="F1400" i="1"/>
  <c r="E1400" i="1"/>
  <c r="D1400" i="1"/>
  <c r="C1400" i="1"/>
  <c r="B1400" i="1"/>
  <c r="A1400" i="1"/>
  <c r="K1399" i="1"/>
  <c r="I1399" i="1"/>
  <c r="H1399" i="1"/>
  <c r="G1399" i="1"/>
  <c r="F1399" i="1"/>
  <c r="E1399" i="1"/>
  <c r="D1399" i="1"/>
  <c r="C1399" i="1"/>
  <c r="B1399" i="1"/>
  <c r="A1399" i="1"/>
  <c r="K1398" i="1"/>
  <c r="I1398" i="1"/>
  <c r="H1398" i="1"/>
  <c r="G1398" i="1"/>
  <c r="F1398" i="1"/>
  <c r="E1398" i="1"/>
  <c r="D1398" i="1"/>
  <c r="C1398" i="1"/>
  <c r="B1398" i="1"/>
  <c r="A1398" i="1"/>
  <c r="K1397" i="1"/>
  <c r="I1397" i="1"/>
  <c r="H1397" i="1"/>
  <c r="G1397" i="1"/>
  <c r="F1397" i="1"/>
  <c r="E1397" i="1"/>
  <c r="D1397" i="1"/>
  <c r="C1397" i="1"/>
  <c r="B1397" i="1"/>
  <c r="A1397" i="1"/>
  <c r="K1396" i="1"/>
  <c r="J1396" i="1"/>
  <c r="I1396" i="1"/>
  <c r="H1396" i="1"/>
  <c r="G1396" i="1"/>
  <c r="F1396" i="1"/>
  <c r="E1396" i="1"/>
  <c r="D1396" i="1"/>
  <c r="C1396" i="1"/>
  <c r="B1396" i="1"/>
  <c r="A1396" i="1"/>
  <c r="K1395" i="1"/>
  <c r="J1395" i="1"/>
  <c r="I1395" i="1"/>
  <c r="H1395" i="1"/>
  <c r="G1395" i="1"/>
  <c r="F1395" i="1"/>
  <c r="E1395" i="1"/>
  <c r="D1395" i="1"/>
  <c r="C1395" i="1"/>
  <c r="B1395" i="1"/>
  <c r="A1395" i="1"/>
  <c r="K1394" i="1"/>
  <c r="J1394" i="1"/>
  <c r="I1394" i="1"/>
  <c r="H1394" i="1"/>
  <c r="G1394" i="1"/>
  <c r="F1394" i="1"/>
  <c r="E1394" i="1"/>
  <c r="D1394" i="1"/>
  <c r="C1394" i="1"/>
  <c r="B1394" i="1"/>
  <c r="A1394" i="1"/>
  <c r="K1393" i="1"/>
  <c r="I1393" i="1"/>
  <c r="H1393" i="1"/>
  <c r="G1393" i="1"/>
  <c r="F1393" i="1"/>
  <c r="E1393" i="1"/>
  <c r="D1393" i="1"/>
  <c r="C1393" i="1"/>
  <c r="B1393" i="1"/>
  <c r="A1393" i="1"/>
  <c r="K1392" i="1"/>
  <c r="I1392" i="1"/>
  <c r="H1392" i="1"/>
  <c r="G1392" i="1"/>
  <c r="F1392" i="1"/>
  <c r="E1392" i="1"/>
  <c r="D1392" i="1"/>
  <c r="C1392" i="1"/>
  <c r="B1392" i="1"/>
  <c r="A1392" i="1"/>
  <c r="K1391" i="1"/>
  <c r="I1391" i="1"/>
  <c r="H1391" i="1"/>
  <c r="G1391" i="1"/>
  <c r="F1391" i="1"/>
  <c r="E1391" i="1"/>
  <c r="D1391" i="1"/>
  <c r="C1391" i="1"/>
  <c r="B1391" i="1"/>
  <c r="A1391" i="1"/>
  <c r="K1390" i="1"/>
  <c r="I1390" i="1"/>
  <c r="H1390" i="1"/>
  <c r="G1390" i="1"/>
  <c r="F1390" i="1"/>
  <c r="E1390" i="1"/>
  <c r="D1390" i="1"/>
  <c r="C1390" i="1"/>
  <c r="B1390" i="1"/>
  <c r="A1390" i="1"/>
  <c r="K1389" i="1"/>
  <c r="I1389" i="1"/>
  <c r="H1389" i="1"/>
  <c r="G1389" i="1"/>
  <c r="F1389" i="1"/>
  <c r="E1389" i="1"/>
  <c r="D1389" i="1"/>
  <c r="C1389" i="1"/>
  <c r="B1389" i="1"/>
  <c r="A1389" i="1"/>
  <c r="K1388" i="1"/>
  <c r="J1388" i="1"/>
  <c r="I1388" i="1"/>
  <c r="H1388" i="1"/>
  <c r="G1388" i="1"/>
  <c r="F1388" i="1"/>
  <c r="E1388" i="1"/>
  <c r="D1388" i="1"/>
  <c r="C1388" i="1"/>
  <c r="B1388" i="1"/>
  <c r="A1388" i="1"/>
  <c r="K1387" i="1"/>
  <c r="J1387" i="1"/>
  <c r="I1387" i="1"/>
  <c r="H1387" i="1"/>
  <c r="G1387" i="1"/>
  <c r="F1387" i="1"/>
  <c r="E1387" i="1"/>
  <c r="D1387" i="1"/>
  <c r="C1387" i="1"/>
  <c r="B1387" i="1"/>
  <c r="A1387" i="1"/>
  <c r="K1386" i="1"/>
  <c r="J1386" i="1"/>
  <c r="I1386" i="1"/>
  <c r="H1386" i="1"/>
  <c r="G1386" i="1"/>
  <c r="F1386" i="1"/>
  <c r="E1386" i="1"/>
  <c r="D1386" i="1"/>
  <c r="C1386" i="1"/>
  <c r="B1386" i="1"/>
  <c r="A1386" i="1"/>
  <c r="K1385" i="1"/>
  <c r="J1385" i="1"/>
  <c r="I1385" i="1"/>
  <c r="H1385" i="1"/>
  <c r="G1385" i="1"/>
  <c r="F1385" i="1"/>
  <c r="E1385" i="1"/>
  <c r="D1385" i="1"/>
  <c r="C1385" i="1"/>
  <c r="B1385" i="1"/>
  <c r="A1385" i="1"/>
  <c r="K1384" i="1"/>
  <c r="J1384" i="1"/>
  <c r="I1384" i="1"/>
  <c r="H1384" i="1"/>
  <c r="G1384" i="1"/>
  <c r="F1384" i="1"/>
  <c r="E1384" i="1"/>
  <c r="D1384" i="1"/>
  <c r="C1384" i="1"/>
  <c r="B1384" i="1"/>
  <c r="A1384" i="1"/>
  <c r="K1383" i="1"/>
  <c r="J1383" i="1"/>
  <c r="I1383" i="1"/>
  <c r="H1383" i="1"/>
  <c r="G1383" i="1"/>
  <c r="F1383" i="1"/>
  <c r="E1383" i="1"/>
  <c r="D1383" i="1"/>
  <c r="C1383" i="1"/>
  <c r="B1383" i="1"/>
  <c r="A1383" i="1"/>
  <c r="K1382" i="1"/>
  <c r="I1382" i="1"/>
  <c r="H1382" i="1"/>
  <c r="G1382" i="1"/>
  <c r="F1382" i="1"/>
  <c r="E1382" i="1"/>
  <c r="D1382" i="1"/>
  <c r="C1382" i="1"/>
  <c r="B1382" i="1"/>
  <c r="A1382" i="1"/>
  <c r="K1381" i="1"/>
  <c r="I1381" i="1"/>
  <c r="H1381" i="1"/>
  <c r="G1381" i="1"/>
  <c r="F1381" i="1"/>
  <c r="E1381" i="1"/>
  <c r="D1381" i="1"/>
  <c r="C1381" i="1"/>
  <c r="B1381" i="1"/>
  <c r="A1381" i="1"/>
  <c r="K1380" i="1"/>
  <c r="I1380" i="1"/>
  <c r="H1380" i="1"/>
  <c r="G1380" i="1"/>
  <c r="F1380" i="1"/>
  <c r="E1380" i="1"/>
  <c r="D1380" i="1"/>
  <c r="C1380" i="1"/>
  <c r="B1380" i="1"/>
  <c r="A1380" i="1"/>
  <c r="K1379" i="1"/>
  <c r="I1379" i="1"/>
  <c r="H1379" i="1"/>
  <c r="G1379" i="1"/>
  <c r="F1379" i="1"/>
  <c r="E1379" i="1"/>
  <c r="D1379" i="1"/>
  <c r="C1379" i="1"/>
  <c r="B1379" i="1"/>
  <c r="A1379" i="1"/>
  <c r="K1378" i="1"/>
  <c r="I1378" i="1"/>
  <c r="H1378" i="1"/>
  <c r="G1378" i="1"/>
  <c r="F1378" i="1"/>
  <c r="E1378" i="1"/>
  <c r="D1378" i="1"/>
  <c r="C1378" i="1"/>
  <c r="B1378" i="1"/>
  <c r="A1378" i="1"/>
  <c r="K1377" i="1"/>
  <c r="I1377" i="1"/>
  <c r="H1377" i="1"/>
  <c r="G1377" i="1"/>
  <c r="F1377" i="1"/>
  <c r="E1377" i="1"/>
  <c r="D1377" i="1"/>
  <c r="C1377" i="1"/>
  <c r="B1377" i="1"/>
  <c r="A1377" i="1"/>
  <c r="K1376" i="1"/>
  <c r="I1376" i="1"/>
  <c r="H1376" i="1"/>
  <c r="G1376" i="1"/>
  <c r="F1376" i="1"/>
  <c r="E1376" i="1"/>
  <c r="D1376" i="1"/>
  <c r="C1376" i="1"/>
  <c r="B1376" i="1"/>
  <c r="A1376" i="1"/>
  <c r="K1375" i="1"/>
  <c r="I1375" i="1"/>
  <c r="H1375" i="1"/>
  <c r="G1375" i="1"/>
  <c r="F1375" i="1"/>
  <c r="E1375" i="1"/>
  <c r="D1375" i="1"/>
  <c r="C1375" i="1"/>
  <c r="B1375" i="1"/>
  <c r="A1375" i="1"/>
  <c r="K1374" i="1"/>
  <c r="J1374" i="1"/>
  <c r="I1374" i="1"/>
  <c r="H1374" i="1"/>
  <c r="G1374" i="1"/>
  <c r="F1374" i="1"/>
  <c r="E1374" i="1"/>
  <c r="D1374" i="1"/>
  <c r="C1374" i="1"/>
  <c r="B1374" i="1"/>
  <c r="A1374" i="1"/>
  <c r="K1373" i="1"/>
  <c r="I1373" i="1"/>
  <c r="H1373" i="1"/>
  <c r="G1373" i="1"/>
  <c r="F1373" i="1"/>
  <c r="E1373" i="1"/>
  <c r="D1373" i="1"/>
  <c r="C1373" i="1"/>
  <c r="B1373" i="1"/>
  <c r="A1373" i="1"/>
  <c r="K1372" i="1"/>
  <c r="I1372" i="1"/>
  <c r="H1372" i="1"/>
  <c r="G1372" i="1"/>
  <c r="F1372" i="1"/>
  <c r="E1372" i="1"/>
  <c r="D1372" i="1"/>
  <c r="C1372" i="1"/>
  <c r="B1372" i="1"/>
  <c r="A1372" i="1"/>
  <c r="K1371" i="1"/>
  <c r="J1371" i="1"/>
  <c r="I1371" i="1"/>
  <c r="H1371" i="1"/>
  <c r="G1371" i="1"/>
  <c r="F1371" i="1"/>
  <c r="E1371" i="1"/>
  <c r="D1371" i="1"/>
  <c r="C1371" i="1"/>
  <c r="B1371" i="1"/>
  <c r="A1371" i="1"/>
  <c r="K1370" i="1"/>
  <c r="I1370" i="1"/>
  <c r="H1370" i="1"/>
  <c r="G1370" i="1"/>
  <c r="F1370" i="1"/>
  <c r="E1370" i="1"/>
  <c r="D1370" i="1"/>
  <c r="C1370" i="1"/>
  <c r="B1370" i="1"/>
  <c r="A1370" i="1"/>
  <c r="K1369" i="1"/>
  <c r="J1369" i="1"/>
  <c r="I1369" i="1"/>
  <c r="H1369" i="1"/>
  <c r="G1369" i="1"/>
  <c r="F1369" i="1"/>
  <c r="E1369" i="1"/>
  <c r="D1369" i="1"/>
  <c r="C1369" i="1"/>
  <c r="B1369" i="1"/>
  <c r="A1369" i="1"/>
  <c r="K1368" i="1"/>
  <c r="I1368" i="1"/>
  <c r="H1368" i="1"/>
  <c r="G1368" i="1"/>
  <c r="F1368" i="1"/>
  <c r="E1368" i="1"/>
  <c r="D1368" i="1"/>
  <c r="C1368" i="1"/>
  <c r="B1368" i="1"/>
  <c r="A1368" i="1"/>
  <c r="K1367" i="1"/>
  <c r="I1367" i="1"/>
  <c r="H1367" i="1"/>
  <c r="G1367" i="1"/>
  <c r="F1367" i="1"/>
  <c r="E1367" i="1"/>
  <c r="D1367" i="1"/>
  <c r="C1367" i="1"/>
  <c r="B1367" i="1"/>
  <c r="A1367" i="1"/>
  <c r="K1366" i="1"/>
  <c r="I1366" i="1"/>
  <c r="H1366" i="1"/>
  <c r="G1366" i="1"/>
  <c r="F1366" i="1"/>
  <c r="E1366" i="1"/>
  <c r="D1366" i="1"/>
  <c r="C1366" i="1"/>
  <c r="B1366" i="1"/>
  <c r="A1366" i="1"/>
  <c r="K1365" i="1"/>
  <c r="I1365" i="1"/>
  <c r="H1365" i="1"/>
  <c r="G1365" i="1"/>
  <c r="F1365" i="1"/>
  <c r="E1365" i="1"/>
  <c r="D1365" i="1"/>
  <c r="C1365" i="1"/>
  <c r="B1365" i="1"/>
  <c r="A1365" i="1"/>
  <c r="K1364" i="1"/>
  <c r="I1364" i="1"/>
  <c r="H1364" i="1"/>
  <c r="G1364" i="1"/>
  <c r="F1364" i="1"/>
  <c r="E1364" i="1"/>
  <c r="D1364" i="1"/>
  <c r="C1364" i="1"/>
  <c r="B1364" i="1"/>
  <c r="A1364" i="1"/>
  <c r="K1363" i="1"/>
  <c r="I1363" i="1"/>
  <c r="H1363" i="1"/>
  <c r="G1363" i="1"/>
  <c r="F1363" i="1"/>
  <c r="E1363" i="1"/>
  <c r="D1363" i="1"/>
  <c r="C1363" i="1"/>
  <c r="B1363" i="1"/>
  <c r="A1363" i="1"/>
  <c r="K1362" i="1"/>
  <c r="I1362" i="1"/>
  <c r="H1362" i="1"/>
  <c r="G1362" i="1"/>
  <c r="F1362" i="1"/>
  <c r="E1362" i="1"/>
  <c r="D1362" i="1"/>
  <c r="C1362" i="1"/>
  <c r="B1362" i="1"/>
  <c r="A1362" i="1"/>
  <c r="K1361" i="1"/>
  <c r="I1361" i="1"/>
  <c r="H1361" i="1"/>
  <c r="G1361" i="1"/>
  <c r="F1361" i="1"/>
  <c r="E1361" i="1"/>
  <c r="D1361" i="1"/>
  <c r="C1361" i="1"/>
  <c r="B1361" i="1"/>
  <c r="A1361" i="1"/>
  <c r="K1360" i="1"/>
  <c r="I1360" i="1"/>
  <c r="H1360" i="1"/>
  <c r="G1360" i="1"/>
  <c r="F1360" i="1"/>
  <c r="E1360" i="1"/>
  <c r="D1360" i="1"/>
  <c r="C1360" i="1"/>
  <c r="B1360" i="1"/>
  <c r="A1360" i="1"/>
  <c r="K1359" i="1"/>
  <c r="I1359" i="1"/>
  <c r="H1359" i="1"/>
  <c r="G1359" i="1"/>
  <c r="F1359" i="1"/>
  <c r="E1359" i="1"/>
  <c r="D1359" i="1"/>
  <c r="C1359" i="1"/>
  <c r="B1359" i="1"/>
  <c r="A1359" i="1"/>
  <c r="K1358" i="1"/>
  <c r="I1358" i="1"/>
  <c r="H1358" i="1"/>
  <c r="G1358" i="1"/>
  <c r="F1358" i="1"/>
  <c r="E1358" i="1"/>
  <c r="D1358" i="1"/>
  <c r="C1358" i="1"/>
  <c r="B1358" i="1"/>
  <c r="A1358" i="1"/>
  <c r="K1357" i="1"/>
  <c r="J1357" i="1"/>
  <c r="I1357" i="1"/>
  <c r="H1357" i="1"/>
  <c r="G1357" i="1"/>
  <c r="F1357" i="1"/>
  <c r="E1357" i="1"/>
  <c r="D1357" i="1"/>
  <c r="C1357" i="1"/>
  <c r="B1357" i="1"/>
  <c r="A1357" i="1"/>
  <c r="K1356" i="1"/>
  <c r="J1356" i="1"/>
  <c r="I1356" i="1"/>
  <c r="H1356" i="1"/>
  <c r="G1356" i="1"/>
  <c r="F1356" i="1"/>
  <c r="E1356" i="1"/>
  <c r="D1356" i="1"/>
  <c r="C1356" i="1"/>
  <c r="B1356" i="1"/>
  <c r="A1356" i="1"/>
  <c r="K1355" i="1"/>
  <c r="J1355" i="1"/>
  <c r="I1355" i="1"/>
  <c r="H1355" i="1"/>
  <c r="G1355" i="1"/>
  <c r="F1355" i="1"/>
  <c r="E1355" i="1"/>
  <c r="D1355" i="1"/>
  <c r="C1355" i="1"/>
  <c r="B1355" i="1"/>
  <c r="A1355" i="1"/>
  <c r="K1354" i="1"/>
  <c r="J1354" i="1"/>
  <c r="I1354" i="1"/>
  <c r="H1354" i="1"/>
  <c r="G1354" i="1"/>
  <c r="F1354" i="1"/>
  <c r="E1354" i="1"/>
  <c r="D1354" i="1"/>
  <c r="C1354" i="1"/>
  <c r="B1354" i="1"/>
  <c r="A1354" i="1"/>
  <c r="K1353" i="1"/>
  <c r="I1353" i="1"/>
  <c r="H1353" i="1"/>
  <c r="G1353" i="1"/>
  <c r="F1353" i="1"/>
  <c r="E1353" i="1"/>
  <c r="D1353" i="1"/>
  <c r="C1353" i="1"/>
  <c r="B1353" i="1"/>
  <c r="A1353" i="1"/>
  <c r="K1352" i="1"/>
  <c r="I1352" i="1"/>
  <c r="H1352" i="1"/>
  <c r="G1352" i="1"/>
  <c r="F1352" i="1"/>
  <c r="E1352" i="1"/>
  <c r="D1352" i="1"/>
  <c r="C1352" i="1"/>
  <c r="B1352" i="1"/>
  <c r="A1352" i="1"/>
  <c r="K1351" i="1"/>
  <c r="I1351" i="1"/>
  <c r="H1351" i="1"/>
  <c r="G1351" i="1"/>
  <c r="F1351" i="1"/>
  <c r="E1351" i="1"/>
  <c r="D1351" i="1"/>
  <c r="C1351" i="1"/>
  <c r="B1351" i="1"/>
  <c r="A1351" i="1"/>
  <c r="K1350" i="1"/>
  <c r="I1350" i="1"/>
  <c r="H1350" i="1"/>
  <c r="G1350" i="1"/>
  <c r="F1350" i="1"/>
  <c r="E1350" i="1"/>
  <c r="D1350" i="1"/>
  <c r="C1350" i="1"/>
  <c r="B1350" i="1"/>
  <c r="A1350" i="1"/>
  <c r="K1349" i="1"/>
  <c r="I1349" i="1"/>
  <c r="H1349" i="1"/>
  <c r="G1349" i="1"/>
  <c r="F1349" i="1"/>
  <c r="E1349" i="1"/>
  <c r="D1349" i="1"/>
  <c r="C1349" i="1"/>
  <c r="B1349" i="1"/>
  <c r="A1349" i="1"/>
  <c r="K1348" i="1"/>
  <c r="I1348" i="1"/>
  <c r="H1348" i="1"/>
  <c r="G1348" i="1"/>
  <c r="F1348" i="1"/>
  <c r="E1348" i="1"/>
  <c r="D1348" i="1"/>
  <c r="C1348" i="1"/>
  <c r="B1348" i="1"/>
  <c r="A1348" i="1"/>
  <c r="K1347" i="1"/>
  <c r="J1347" i="1"/>
  <c r="I1347" i="1"/>
  <c r="H1347" i="1"/>
  <c r="G1347" i="1"/>
  <c r="F1347" i="1"/>
  <c r="E1347" i="1"/>
  <c r="D1347" i="1"/>
  <c r="C1347" i="1"/>
  <c r="B1347" i="1"/>
  <c r="A1347" i="1"/>
  <c r="K1346" i="1"/>
  <c r="J1346" i="1"/>
  <c r="I1346" i="1"/>
  <c r="H1346" i="1"/>
  <c r="G1346" i="1"/>
  <c r="F1346" i="1"/>
  <c r="E1346" i="1"/>
  <c r="D1346" i="1"/>
  <c r="C1346" i="1"/>
  <c r="B1346" i="1"/>
  <c r="A1346" i="1"/>
  <c r="K1345" i="1"/>
  <c r="J1345" i="1"/>
  <c r="I1345" i="1"/>
  <c r="H1345" i="1"/>
  <c r="G1345" i="1"/>
  <c r="F1345" i="1"/>
  <c r="E1345" i="1"/>
  <c r="D1345" i="1"/>
  <c r="C1345" i="1"/>
  <c r="B1345" i="1"/>
  <c r="A1345" i="1"/>
  <c r="K1344" i="1"/>
  <c r="I1344" i="1"/>
  <c r="H1344" i="1"/>
  <c r="G1344" i="1"/>
  <c r="F1344" i="1"/>
  <c r="E1344" i="1"/>
  <c r="D1344" i="1"/>
  <c r="C1344" i="1"/>
  <c r="B1344" i="1"/>
  <c r="A1344" i="1"/>
  <c r="K1343" i="1"/>
  <c r="I1343" i="1"/>
  <c r="H1343" i="1"/>
  <c r="G1343" i="1"/>
  <c r="F1343" i="1"/>
  <c r="E1343" i="1"/>
  <c r="D1343" i="1"/>
  <c r="C1343" i="1"/>
  <c r="B1343" i="1"/>
  <c r="A1343" i="1"/>
  <c r="K1342" i="1"/>
  <c r="I1342" i="1"/>
  <c r="H1342" i="1"/>
  <c r="G1342" i="1"/>
  <c r="F1342" i="1"/>
  <c r="E1342" i="1"/>
  <c r="D1342" i="1"/>
  <c r="C1342" i="1"/>
  <c r="B1342" i="1"/>
  <c r="A1342" i="1"/>
  <c r="K1341" i="1"/>
  <c r="I1341" i="1"/>
  <c r="H1341" i="1"/>
  <c r="G1341" i="1"/>
  <c r="F1341" i="1"/>
  <c r="E1341" i="1"/>
  <c r="D1341" i="1"/>
  <c r="C1341" i="1"/>
  <c r="B1341" i="1"/>
  <c r="A1341" i="1"/>
  <c r="K1340" i="1"/>
  <c r="J1340" i="1"/>
  <c r="H1340" i="1"/>
  <c r="G1340" i="1"/>
  <c r="F1340" i="1"/>
  <c r="E1340" i="1"/>
  <c r="D1340" i="1"/>
  <c r="C1340" i="1"/>
  <c r="B1340" i="1"/>
  <c r="A1340" i="1"/>
  <c r="K1339" i="1"/>
  <c r="J1339" i="1"/>
  <c r="I1339" i="1"/>
  <c r="H1339" i="1"/>
  <c r="G1339" i="1"/>
  <c r="F1339" i="1"/>
  <c r="E1339" i="1"/>
  <c r="D1339" i="1"/>
  <c r="C1339" i="1"/>
  <c r="B1339" i="1"/>
  <c r="A1339" i="1"/>
  <c r="K1338" i="1"/>
  <c r="J1338" i="1"/>
  <c r="I1338" i="1"/>
  <c r="H1338" i="1"/>
  <c r="G1338" i="1"/>
  <c r="F1338" i="1"/>
  <c r="E1338" i="1"/>
  <c r="D1338" i="1"/>
  <c r="C1338" i="1"/>
  <c r="B1338" i="1"/>
  <c r="A1338" i="1"/>
  <c r="K1337" i="1"/>
  <c r="J1337" i="1"/>
  <c r="I1337" i="1"/>
  <c r="H1337" i="1"/>
  <c r="G1337" i="1"/>
  <c r="F1337" i="1"/>
  <c r="E1337" i="1"/>
  <c r="D1337" i="1"/>
  <c r="C1337" i="1"/>
  <c r="B1337" i="1"/>
  <c r="A1337" i="1"/>
  <c r="K1336" i="1"/>
  <c r="J1336" i="1"/>
  <c r="I1336" i="1"/>
  <c r="H1336" i="1"/>
  <c r="G1336" i="1"/>
  <c r="F1336" i="1"/>
  <c r="E1336" i="1"/>
  <c r="D1336" i="1"/>
  <c r="C1336" i="1"/>
  <c r="B1336" i="1"/>
  <c r="A1336" i="1"/>
  <c r="K1335" i="1"/>
  <c r="J1335" i="1"/>
  <c r="I1335" i="1"/>
  <c r="H1335" i="1"/>
  <c r="G1335" i="1"/>
  <c r="F1335" i="1"/>
  <c r="E1335" i="1"/>
  <c r="D1335" i="1"/>
  <c r="C1335" i="1"/>
  <c r="B1335" i="1"/>
  <c r="A1335" i="1"/>
  <c r="K1334" i="1"/>
  <c r="J1334" i="1"/>
  <c r="I1334" i="1"/>
  <c r="H1334" i="1"/>
  <c r="G1334" i="1"/>
  <c r="F1334" i="1"/>
  <c r="E1334" i="1"/>
  <c r="D1334" i="1"/>
  <c r="C1334" i="1"/>
  <c r="B1334" i="1"/>
  <c r="A1334" i="1"/>
  <c r="K1333" i="1"/>
  <c r="J1333" i="1"/>
  <c r="I1333" i="1"/>
  <c r="H1333" i="1"/>
  <c r="G1333" i="1"/>
  <c r="F1333" i="1"/>
  <c r="E1333" i="1"/>
  <c r="D1333" i="1"/>
  <c r="C1333" i="1"/>
  <c r="B1333" i="1"/>
  <c r="A1333" i="1"/>
  <c r="K1332" i="1"/>
  <c r="J1332" i="1"/>
  <c r="I1332" i="1"/>
  <c r="H1332" i="1"/>
  <c r="G1332" i="1"/>
  <c r="F1332" i="1"/>
  <c r="E1332" i="1"/>
  <c r="D1332" i="1"/>
  <c r="C1332" i="1"/>
  <c r="B1332" i="1"/>
  <c r="A1332" i="1"/>
  <c r="K1331" i="1"/>
  <c r="J1331" i="1"/>
  <c r="I1331" i="1"/>
  <c r="H1331" i="1"/>
  <c r="G1331" i="1"/>
  <c r="F1331" i="1"/>
  <c r="E1331" i="1"/>
  <c r="D1331" i="1"/>
  <c r="C1331" i="1"/>
  <c r="B1331" i="1"/>
  <c r="A1331" i="1"/>
  <c r="K1330" i="1"/>
  <c r="J1330" i="1"/>
  <c r="I1330" i="1"/>
  <c r="H1330" i="1"/>
  <c r="G1330" i="1"/>
  <c r="F1330" i="1"/>
  <c r="E1330" i="1"/>
  <c r="D1330" i="1"/>
  <c r="C1330" i="1"/>
  <c r="B1330" i="1"/>
  <c r="A1330" i="1"/>
  <c r="K1329" i="1"/>
  <c r="J1329" i="1"/>
  <c r="I1329" i="1"/>
  <c r="H1329" i="1"/>
  <c r="G1329" i="1"/>
  <c r="F1329" i="1"/>
  <c r="E1329" i="1"/>
  <c r="D1329" i="1"/>
  <c r="C1329" i="1"/>
  <c r="B1329" i="1"/>
  <c r="A1329" i="1"/>
  <c r="K1328" i="1"/>
  <c r="J1328" i="1"/>
  <c r="I1328" i="1"/>
  <c r="H1328" i="1"/>
  <c r="G1328" i="1"/>
  <c r="F1328" i="1"/>
  <c r="E1328" i="1"/>
  <c r="D1328" i="1"/>
  <c r="C1328" i="1"/>
  <c r="B1328" i="1"/>
  <c r="A1328" i="1"/>
  <c r="K1327" i="1"/>
  <c r="J1327" i="1"/>
  <c r="I1327" i="1"/>
  <c r="H1327" i="1"/>
  <c r="G1327" i="1"/>
  <c r="F1327" i="1"/>
  <c r="E1327" i="1"/>
  <c r="D1327" i="1"/>
  <c r="C1327" i="1"/>
  <c r="B1327" i="1"/>
  <c r="A1327" i="1"/>
  <c r="K1326" i="1"/>
  <c r="J1326" i="1"/>
  <c r="I1326" i="1"/>
  <c r="H1326" i="1"/>
  <c r="G1326" i="1"/>
  <c r="F1326" i="1"/>
  <c r="E1326" i="1"/>
  <c r="D1326" i="1"/>
  <c r="C1326" i="1"/>
  <c r="B1326" i="1"/>
  <c r="A1326" i="1"/>
  <c r="K1325" i="1"/>
  <c r="J1325" i="1"/>
  <c r="I1325" i="1"/>
  <c r="H1325" i="1"/>
  <c r="G1325" i="1"/>
  <c r="F1325" i="1"/>
  <c r="E1325" i="1"/>
  <c r="D1325" i="1"/>
  <c r="C1325" i="1"/>
  <c r="B1325" i="1"/>
  <c r="A1325" i="1"/>
  <c r="K1324" i="1"/>
  <c r="J1324" i="1"/>
  <c r="I1324" i="1"/>
  <c r="H1324" i="1"/>
  <c r="G1324" i="1"/>
  <c r="F1324" i="1"/>
  <c r="E1324" i="1"/>
  <c r="D1324" i="1"/>
  <c r="C1324" i="1"/>
  <c r="B1324" i="1"/>
  <c r="A1324" i="1"/>
  <c r="K1323" i="1"/>
  <c r="J1323" i="1"/>
  <c r="I1323" i="1"/>
  <c r="H1323" i="1"/>
  <c r="G1323" i="1"/>
  <c r="F1323" i="1"/>
  <c r="E1323" i="1"/>
  <c r="D1323" i="1"/>
  <c r="C1323" i="1"/>
  <c r="B1323" i="1"/>
  <c r="A1323" i="1"/>
  <c r="K1322" i="1"/>
  <c r="J1322" i="1"/>
  <c r="I1322" i="1"/>
  <c r="H1322" i="1"/>
  <c r="G1322" i="1"/>
  <c r="F1322" i="1"/>
  <c r="E1322" i="1"/>
  <c r="D1322" i="1"/>
  <c r="C1322" i="1"/>
  <c r="B1322" i="1"/>
  <c r="A1322" i="1"/>
  <c r="K1321" i="1"/>
  <c r="J1321" i="1"/>
  <c r="I1321" i="1"/>
  <c r="H1321" i="1"/>
  <c r="G1321" i="1"/>
  <c r="F1321" i="1"/>
  <c r="E1321" i="1"/>
  <c r="D1321" i="1"/>
  <c r="C1321" i="1"/>
  <c r="B1321" i="1"/>
  <c r="A1321" i="1"/>
  <c r="K1320" i="1"/>
  <c r="J1320" i="1"/>
  <c r="I1320" i="1"/>
  <c r="H1320" i="1"/>
  <c r="G1320" i="1"/>
  <c r="F1320" i="1"/>
  <c r="E1320" i="1"/>
  <c r="D1320" i="1"/>
  <c r="C1320" i="1"/>
  <c r="B1320" i="1"/>
  <c r="A1320" i="1"/>
  <c r="K1319" i="1"/>
  <c r="J1319" i="1"/>
  <c r="I1319" i="1"/>
  <c r="H1319" i="1"/>
  <c r="G1319" i="1"/>
  <c r="F1319" i="1"/>
  <c r="E1319" i="1"/>
  <c r="D1319" i="1"/>
  <c r="C1319" i="1"/>
  <c r="B1319" i="1"/>
  <c r="A1319" i="1"/>
  <c r="K1318" i="1"/>
  <c r="J1318" i="1"/>
  <c r="I1318" i="1"/>
  <c r="H1318" i="1"/>
  <c r="G1318" i="1"/>
  <c r="F1318" i="1"/>
  <c r="E1318" i="1"/>
  <c r="D1318" i="1"/>
  <c r="C1318" i="1"/>
  <c r="B1318" i="1"/>
  <c r="A1318" i="1"/>
  <c r="K1317" i="1"/>
  <c r="J1317" i="1"/>
  <c r="I1317" i="1"/>
  <c r="H1317" i="1"/>
  <c r="G1317" i="1"/>
  <c r="F1317" i="1"/>
  <c r="E1317" i="1"/>
  <c r="D1317" i="1"/>
  <c r="C1317" i="1"/>
  <c r="B1317" i="1"/>
  <c r="A1317" i="1"/>
  <c r="K1316" i="1"/>
  <c r="J1316" i="1"/>
  <c r="I1316" i="1"/>
  <c r="H1316" i="1"/>
  <c r="G1316" i="1"/>
  <c r="F1316" i="1"/>
  <c r="E1316" i="1"/>
  <c r="D1316" i="1"/>
  <c r="C1316" i="1"/>
  <c r="B1316" i="1"/>
  <c r="A1316" i="1"/>
  <c r="K1315" i="1"/>
  <c r="J1315" i="1"/>
  <c r="I1315" i="1"/>
  <c r="H1315" i="1"/>
  <c r="G1315" i="1"/>
  <c r="F1315" i="1"/>
  <c r="E1315" i="1"/>
  <c r="D1315" i="1"/>
  <c r="C1315" i="1"/>
  <c r="B1315" i="1"/>
  <c r="A1315" i="1"/>
  <c r="K1314" i="1"/>
  <c r="J1314" i="1"/>
  <c r="I1314" i="1"/>
  <c r="H1314" i="1"/>
  <c r="G1314" i="1"/>
  <c r="F1314" i="1"/>
  <c r="E1314" i="1"/>
  <c r="D1314" i="1"/>
  <c r="C1314" i="1"/>
  <c r="B1314" i="1"/>
  <c r="A1314" i="1"/>
  <c r="K1313" i="1"/>
  <c r="J1313" i="1"/>
  <c r="I1313" i="1"/>
  <c r="H1313" i="1"/>
  <c r="G1313" i="1"/>
  <c r="F1313" i="1"/>
  <c r="E1313" i="1"/>
  <c r="D1313" i="1"/>
  <c r="C1313" i="1"/>
  <c r="B1313" i="1"/>
  <c r="A1313" i="1"/>
  <c r="K1312" i="1"/>
  <c r="J1312" i="1"/>
  <c r="I1312" i="1"/>
  <c r="H1312" i="1"/>
  <c r="G1312" i="1"/>
  <c r="F1312" i="1"/>
  <c r="E1312" i="1"/>
  <c r="D1312" i="1"/>
  <c r="C1312" i="1"/>
  <c r="B1312" i="1"/>
  <c r="A1312" i="1"/>
  <c r="K1311" i="1"/>
  <c r="J1311" i="1"/>
  <c r="I1311" i="1"/>
  <c r="H1311" i="1"/>
  <c r="G1311" i="1"/>
  <c r="F1311" i="1"/>
  <c r="E1311" i="1"/>
  <c r="D1311" i="1"/>
  <c r="C1311" i="1"/>
  <c r="B1311" i="1"/>
  <c r="A1311" i="1"/>
  <c r="K1310" i="1"/>
  <c r="J1310" i="1"/>
  <c r="I1310" i="1"/>
  <c r="H1310" i="1"/>
  <c r="G1310" i="1"/>
  <c r="F1310" i="1"/>
  <c r="E1310" i="1"/>
  <c r="D1310" i="1"/>
  <c r="C1310" i="1"/>
  <c r="B1310" i="1"/>
  <c r="A1310" i="1"/>
  <c r="K1309" i="1"/>
  <c r="J1309" i="1"/>
  <c r="I1309" i="1"/>
  <c r="H1309" i="1"/>
  <c r="G1309" i="1"/>
  <c r="F1309" i="1"/>
  <c r="E1309" i="1"/>
  <c r="D1309" i="1"/>
  <c r="C1309" i="1"/>
  <c r="B1309" i="1"/>
  <c r="A1309" i="1"/>
  <c r="K1308" i="1"/>
  <c r="J1308" i="1"/>
  <c r="I1308" i="1"/>
  <c r="H1308" i="1"/>
  <c r="G1308" i="1"/>
  <c r="F1308" i="1"/>
  <c r="E1308" i="1"/>
  <c r="D1308" i="1"/>
  <c r="C1308" i="1"/>
  <c r="B1308" i="1"/>
  <c r="A1308" i="1"/>
  <c r="K1307" i="1"/>
  <c r="J1307" i="1"/>
  <c r="I1307" i="1"/>
  <c r="H1307" i="1"/>
  <c r="G1307" i="1"/>
  <c r="F1307" i="1"/>
  <c r="E1307" i="1"/>
  <c r="D1307" i="1"/>
  <c r="C1307" i="1"/>
  <c r="B1307" i="1"/>
  <c r="A1307" i="1"/>
  <c r="K1306" i="1"/>
  <c r="J1306" i="1"/>
  <c r="I1306" i="1"/>
  <c r="H1306" i="1"/>
  <c r="G1306" i="1"/>
  <c r="F1306" i="1"/>
  <c r="E1306" i="1"/>
  <c r="D1306" i="1"/>
  <c r="C1306" i="1"/>
  <c r="B1306" i="1"/>
  <c r="A1306" i="1"/>
  <c r="K1305" i="1"/>
  <c r="J1305" i="1"/>
  <c r="I1305" i="1"/>
  <c r="H1305" i="1"/>
  <c r="G1305" i="1"/>
  <c r="F1305" i="1"/>
  <c r="E1305" i="1"/>
  <c r="D1305" i="1"/>
  <c r="C1305" i="1"/>
  <c r="B1305" i="1"/>
  <c r="A1305" i="1"/>
  <c r="K1304" i="1"/>
  <c r="J1304" i="1"/>
  <c r="I1304" i="1"/>
  <c r="H1304" i="1"/>
  <c r="G1304" i="1"/>
  <c r="F1304" i="1"/>
  <c r="E1304" i="1"/>
  <c r="D1304" i="1"/>
  <c r="C1304" i="1"/>
  <c r="B1304" i="1"/>
  <c r="A1304" i="1"/>
  <c r="K1303" i="1"/>
  <c r="J1303" i="1"/>
  <c r="I1303" i="1"/>
  <c r="H1303" i="1"/>
  <c r="G1303" i="1"/>
  <c r="F1303" i="1"/>
  <c r="E1303" i="1"/>
  <c r="D1303" i="1"/>
  <c r="C1303" i="1"/>
  <c r="B1303" i="1"/>
  <c r="A1303" i="1"/>
  <c r="K1302" i="1"/>
  <c r="J1302" i="1"/>
  <c r="I1302" i="1"/>
  <c r="H1302" i="1"/>
  <c r="G1302" i="1"/>
  <c r="F1302" i="1"/>
  <c r="E1302" i="1"/>
  <c r="D1302" i="1"/>
  <c r="C1302" i="1"/>
  <c r="B1302" i="1"/>
  <c r="A1302" i="1"/>
  <c r="K1301" i="1"/>
  <c r="J1301" i="1"/>
  <c r="I1301" i="1"/>
  <c r="H1301" i="1"/>
  <c r="G1301" i="1"/>
  <c r="F1301" i="1"/>
  <c r="E1301" i="1"/>
  <c r="D1301" i="1"/>
  <c r="C1301" i="1"/>
  <c r="B1301" i="1"/>
  <c r="A1301" i="1"/>
  <c r="K1300" i="1"/>
  <c r="J1300" i="1"/>
  <c r="I1300" i="1"/>
  <c r="H1300" i="1"/>
  <c r="G1300" i="1"/>
  <c r="F1300" i="1"/>
  <c r="E1300" i="1"/>
  <c r="D1300" i="1"/>
  <c r="C1300" i="1"/>
  <c r="B1300" i="1"/>
  <c r="A1300" i="1"/>
  <c r="K1299" i="1"/>
  <c r="J1299" i="1"/>
  <c r="I1299" i="1"/>
  <c r="H1299" i="1"/>
  <c r="G1299" i="1"/>
  <c r="F1299" i="1"/>
  <c r="E1299" i="1"/>
  <c r="D1299" i="1"/>
  <c r="C1299" i="1"/>
  <c r="B1299" i="1"/>
  <c r="A1299" i="1"/>
  <c r="K1298" i="1"/>
  <c r="J1298" i="1"/>
  <c r="I1298" i="1"/>
  <c r="H1298" i="1"/>
  <c r="G1298" i="1"/>
  <c r="F1298" i="1"/>
  <c r="E1298" i="1"/>
  <c r="D1298" i="1"/>
  <c r="C1298" i="1"/>
  <c r="B1298" i="1"/>
  <c r="A1298" i="1"/>
  <c r="K1297" i="1"/>
  <c r="J1297" i="1"/>
  <c r="I1297" i="1"/>
  <c r="H1297" i="1"/>
  <c r="G1297" i="1"/>
  <c r="F1297" i="1"/>
  <c r="E1297" i="1"/>
  <c r="D1297" i="1"/>
  <c r="C1297" i="1"/>
  <c r="B1297" i="1"/>
  <c r="A1297" i="1"/>
  <c r="K1296" i="1"/>
  <c r="J1296" i="1"/>
  <c r="I1296" i="1"/>
  <c r="H1296" i="1"/>
  <c r="G1296" i="1"/>
  <c r="F1296" i="1"/>
  <c r="E1296" i="1"/>
  <c r="D1296" i="1"/>
  <c r="C1296" i="1"/>
  <c r="B1296" i="1"/>
  <c r="A1296" i="1"/>
  <c r="K1295" i="1"/>
  <c r="J1295" i="1"/>
  <c r="I1295" i="1"/>
  <c r="H1295" i="1"/>
  <c r="G1295" i="1"/>
  <c r="F1295" i="1"/>
  <c r="E1295" i="1"/>
  <c r="D1295" i="1"/>
  <c r="C1295" i="1"/>
  <c r="B1295" i="1"/>
  <c r="A1295" i="1"/>
  <c r="K1294" i="1"/>
  <c r="J1294" i="1"/>
  <c r="I1294" i="1"/>
  <c r="H1294" i="1"/>
  <c r="G1294" i="1"/>
  <c r="F1294" i="1"/>
  <c r="E1294" i="1"/>
  <c r="D1294" i="1"/>
  <c r="C1294" i="1"/>
  <c r="B1294" i="1"/>
  <c r="A1294" i="1"/>
  <c r="K1293" i="1"/>
  <c r="J1293" i="1"/>
  <c r="I1293" i="1"/>
  <c r="H1293" i="1"/>
  <c r="G1293" i="1"/>
  <c r="F1293" i="1"/>
  <c r="E1293" i="1"/>
  <c r="D1293" i="1"/>
  <c r="C1293" i="1"/>
  <c r="B1293" i="1"/>
  <c r="A1293" i="1"/>
  <c r="K1292" i="1"/>
  <c r="J1292" i="1"/>
  <c r="I1292" i="1"/>
  <c r="H1292" i="1"/>
  <c r="G1292" i="1"/>
  <c r="F1292" i="1"/>
  <c r="E1292" i="1"/>
  <c r="D1292" i="1"/>
  <c r="C1292" i="1"/>
  <c r="B1292" i="1"/>
  <c r="A1292" i="1"/>
  <c r="K1291" i="1"/>
  <c r="J1291" i="1"/>
  <c r="I1291" i="1"/>
  <c r="H1291" i="1"/>
  <c r="G1291" i="1"/>
  <c r="F1291" i="1"/>
  <c r="E1291" i="1"/>
  <c r="D1291" i="1"/>
  <c r="C1291" i="1"/>
  <c r="B1291" i="1"/>
  <c r="A1291" i="1"/>
  <c r="K1290" i="1"/>
  <c r="J1290" i="1"/>
  <c r="I1290" i="1"/>
  <c r="H1290" i="1"/>
  <c r="G1290" i="1"/>
  <c r="F1290" i="1"/>
  <c r="E1290" i="1"/>
  <c r="D1290" i="1"/>
  <c r="C1290" i="1"/>
  <c r="B1290" i="1"/>
  <c r="A1290" i="1"/>
  <c r="K1289" i="1"/>
  <c r="J1289" i="1"/>
  <c r="I1289" i="1"/>
  <c r="H1289" i="1"/>
  <c r="G1289" i="1"/>
  <c r="F1289" i="1"/>
  <c r="E1289" i="1"/>
  <c r="D1289" i="1"/>
  <c r="C1289" i="1"/>
  <c r="B1289" i="1"/>
  <c r="A1289" i="1"/>
  <c r="K1288" i="1"/>
  <c r="J1288" i="1"/>
  <c r="I1288" i="1"/>
  <c r="H1288" i="1"/>
  <c r="G1288" i="1"/>
  <c r="F1288" i="1"/>
  <c r="E1288" i="1"/>
  <c r="D1288" i="1"/>
  <c r="C1288" i="1"/>
  <c r="B1288" i="1"/>
  <c r="A1288" i="1"/>
  <c r="K1287" i="1"/>
  <c r="J1287" i="1"/>
  <c r="I1287" i="1"/>
  <c r="H1287" i="1"/>
  <c r="G1287" i="1"/>
  <c r="F1287" i="1"/>
  <c r="E1287" i="1"/>
  <c r="D1287" i="1"/>
  <c r="C1287" i="1"/>
  <c r="B1287" i="1"/>
  <c r="A1287" i="1"/>
  <c r="K1286" i="1"/>
  <c r="J1286" i="1"/>
  <c r="I1286" i="1"/>
  <c r="H1286" i="1"/>
  <c r="G1286" i="1"/>
  <c r="F1286" i="1"/>
  <c r="E1286" i="1"/>
  <c r="D1286" i="1"/>
  <c r="C1286" i="1"/>
  <c r="B1286" i="1"/>
  <c r="A1286" i="1"/>
  <c r="K1285" i="1"/>
  <c r="J1285" i="1"/>
  <c r="I1285" i="1"/>
  <c r="H1285" i="1"/>
  <c r="G1285" i="1"/>
  <c r="F1285" i="1"/>
  <c r="E1285" i="1"/>
  <c r="D1285" i="1"/>
  <c r="C1285" i="1"/>
  <c r="B1285" i="1"/>
  <c r="A1285" i="1"/>
  <c r="K1284" i="1"/>
  <c r="J1284" i="1"/>
  <c r="I1284" i="1"/>
  <c r="H1284" i="1"/>
  <c r="G1284" i="1"/>
  <c r="F1284" i="1"/>
  <c r="E1284" i="1"/>
  <c r="D1284" i="1"/>
  <c r="C1284" i="1"/>
  <c r="B1284" i="1"/>
  <c r="A1284" i="1"/>
  <c r="K1283" i="1"/>
  <c r="J1283" i="1"/>
  <c r="I1283" i="1"/>
  <c r="H1283" i="1"/>
  <c r="G1283" i="1"/>
  <c r="F1283" i="1"/>
  <c r="E1283" i="1"/>
  <c r="D1283" i="1"/>
  <c r="C1283" i="1"/>
  <c r="B1283" i="1"/>
  <c r="A1283" i="1"/>
  <c r="K1282" i="1"/>
  <c r="J1282" i="1"/>
  <c r="I1282" i="1"/>
  <c r="H1282" i="1"/>
  <c r="G1282" i="1"/>
  <c r="F1282" i="1"/>
  <c r="E1282" i="1"/>
  <c r="D1282" i="1"/>
  <c r="C1282" i="1"/>
  <c r="B1282" i="1"/>
  <c r="A1282" i="1"/>
  <c r="K1281" i="1"/>
  <c r="J1281" i="1"/>
  <c r="I1281" i="1"/>
  <c r="H1281" i="1"/>
  <c r="G1281" i="1"/>
  <c r="F1281" i="1"/>
  <c r="E1281" i="1"/>
  <c r="D1281" i="1"/>
  <c r="C1281" i="1"/>
  <c r="B1281" i="1"/>
  <c r="A1281" i="1"/>
  <c r="K1280" i="1"/>
  <c r="J1280" i="1"/>
  <c r="I1280" i="1"/>
  <c r="H1280" i="1"/>
  <c r="G1280" i="1"/>
  <c r="F1280" i="1"/>
  <c r="E1280" i="1"/>
  <c r="D1280" i="1"/>
  <c r="C1280" i="1"/>
  <c r="B1280" i="1"/>
  <c r="A1280" i="1"/>
  <c r="K1279" i="1"/>
  <c r="J1279" i="1"/>
  <c r="I1279" i="1"/>
  <c r="H1279" i="1"/>
  <c r="G1279" i="1"/>
  <c r="F1279" i="1"/>
  <c r="E1279" i="1"/>
  <c r="D1279" i="1"/>
  <c r="C1279" i="1"/>
  <c r="B1279" i="1"/>
  <c r="A1279" i="1"/>
  <c r="K1278" i="1"/>
  <c r="J1278" i="1"/>
  <c r="I1278" i="1"/>
  <c r="H1278" i="1"/>
  <c r="G1278" i="1"/>
  <c r="F1278" i="1"/>
  <c r="E1278" i="1"/>
  <c r="D1278" i="1"/>
  <c r="C1278" i="1"/>
  <c r="B1278" i="1"/>
  <c r="A1278" i="1"/>
  <c r="K1277" i="1"/>
  <c r="J1277" i="1"/>
  <c r="I1277" i="1"/>
  <c r="H1277" i="1"/>
  <c r="G1277" i="1"/>
  <c r="F1277" i="1"/>
  <c r="E1277" i="1"/>
  <c r="D1277" i="1"/>
  <c r="C1277" i="1"/>
  <c r="B1277" i="1"/>
  <c r="A1277" i="1"/>
  <c r="K1276" i="1"/>
  <c r="J1276" i="1"/>
  <c r="I1276" i="1"/>
  <c r="H1276" i="1"/>
  <c r="G1276" i="1"/>
  <c r="F1276" i="1"/>
  <c r="E1276" i="1"/>
  <c r="D1276" i="1"/>
  <c r="C1276" i="1"/>
  <c r="B1276" i="1"/>
  <c r="A1276" i="1"/>
  <c r="K1275" i="1"/>
  <c r="I1275" i="1"/>
  <c r="H1275" i="1"/>
  <c r="G1275" i="1"/>
  <c r="F1275" i="1"/>
  <c r="E1275" i="1"/>
  <c r="D1275" i="1"/>
  <c r="C1275" i="1"/>
  <c r="B1275" i="1"/>
  <c r="A1275" i="1"/>
  <c r="K1274" i="1"/>
  <c r="I1274" i="1"/>
  <c r="H1274" i="1"/>
  <c r="G1274" i="1"/>
  <c r="F1274" i="1"/>
  <c r="E1274" i="1"/>
  <c r="D1274" i="1"/>
  <c r="C1274" i="1"/>
  <c r="B1274" i="1"/>
  <c r="A1274" i="1"/>
  <c r="K1273" i="1"/>
  <c r="I1273" i="1"/>
  <c r="H1273" i="1"/>
  <c r="G1273" i="1"/>
  <c r="F1273" i="1"/>
  <c r="E1273" i="1"/>
  <c r="D1273" i="1"/>
  <c r="C1273" i="1"/>
  <c r="B1273" i="1"/>
  <c r="A1273" i="1"/>
  <c r="K1272" i="1"/>
  <c r="I1272" i="1"/>
  <c r="H1272" i="1"/>
  <c r="G1272" i="1"/>
  <c r="F1272" i="1"/>
  <c r="E1272" i="1"/>
  <c r="D1272" i="1"/>
  <c r="C1272" i="1"/>
  <c r="B1272" i="1"/>
  <c r="A1272" i="1"/>
  <c r="K1271" i="1"/>
  <c r="I1271" i="1"/>
  <c r="H1271" i="1"/>
  <c r="G1271" i="1"/>
  <c r="F1271" i="1"/>
  <c r="E1271" i="1"/>
  <c r="D1271" i="1"/>
  <c r="C1271" i="1"/>
  <c r="B1271" i="1"/>
  <c r="A1271" i="1"/>
  <c r="K1270" i="1"/>
  <c r="I1270" i="1"/>
  <c r="H1270" i="1"/>
  <c r="G1270" i="1"/>
  <c r="F1270" i="1"/>
  <c r="E1270" i="1"/>
  <c r="D1270" i="1"/>
  <c r="C1270" i="1"/>
  <c r="B1270" i="1"/>
  <c r="A1270" i="1"/>
  <c r="K1269" i="1"/>
  <c r="I1269" i="1"/>
  <c r="H1269" i="1"/>
  <c r="G1269" i="1"/>
  <c r="F1269" i="1"/>
  <c r="E1269" i="1"/>
  <c r="D1269" i="1"/>
  <c r="C1269" i="1"/>
  <c r="B1269" i="1"/>
  <c r="A1269" i="1"/>
  <c r="K1268" i="1"/>
  <c r="I1268" i="1"/>
  <c r="H1268" i="1"/>
  <c r="G1268" i="1"/>
  <c r="F1268" i="1"/>
  <c r="E1268" i="1"/>
  <c r="D1268" i="1"/>
  <c r="C1268" i="1"/>
  <c r="B1268" i="1"/>
  <c r="A1268" i="1"/>
  <c r="K1267" i="1"/>
  <c r="I1267" i="1"/>
  <c r="H1267" i="1"/>
  <c r="G1267" i="1"/>
  <c r="F1267" i="1"/>
  <c r="E1267" i="1"/>
  <c r="D1267" i="1"/>
  <c r="C1267" i="1"/>
  <c r="B1267" i="1"/>
  <c r="A1267" i="1"/>
  <c r="K1266" i="1"/>
  <c r="I1266" i="1"/>
  <c r="H1266" i="1"/>
  <c r="G1266" i="1"/>
  <c r="F1266" i="1"/>
  <c r="E1266" i="1"/>
  <c r="D1266" i="1"/>
  <c r="C1266" i="1"/>
  <c r="B1266" i="1"/>
  <c r="A1266" i="1"/>
  <c r="K1265" i="1"/>
  <c r="I1265" i="1"/>
  <c r="H1265" i="1"/>
  <c r="G1265" i="1"/>
  <c r="F1265" i="1"/>
  <c r="E1265" i="1"/>
  <c r="D1265" i="1"/>
  <c r="C1265" i="1"/>
  <c r="B1265" i="1"/>
  <c r="A1265" i="1"/>
  <c r="K1264" i="1"/>
  <c r="I1264" i="1"/>
  <c r="H1264" i="1"/>
  <c r="G1264" i="1"/>
  <c r="F1264" i="1"/>
  <c r="E1264" i="1"/>
  <c r="D1264" i="1"/>
  <c r="C1264" i="1"/>
  <c r="B1264" i="1"/>
  <c r="A1264" i="1"/>
  <c r="K1263" i="1"/>
  <c r="J1263" i="1"/>
  <c r="H1263" i="1"/>
  <c r="G1263" i="1"/>
  <c r="F1263" i="1"/>
  <c r="E1263" i="1"/>
  <c r="D1263" i="1"/>
  <c r="C1263" i="1"/>
  <c r="B1263" i="1"/>
  <c r="A1263" i="1"/>
  <c r="K1262" i="1"/>
  <c r="J1262" i="1"/>
  <c r="H1262" i="1"/>
  <c r="G1262" i="1"/>
  <c r="F1262" i="1"/>
  <c r="E1262" i="1"/>
  <c r="D1262" i="1"/>
  <c r="C1262" i="1"/>
  <c r="B1262" i="1"/>
  <c r="A1262" i="1"/>
  <c r="K1261" i="1"/>
  <c r="J1261" i="1"/>
  <c r="H1261" i="1"/>
  <c r="G1261" i="1"/>
  <c r="F1261" i="1"/>
  <c r="E1261" i="1"/>
  <c r="D1261" i="1"/>
  <c r="C1261" i="1"/>
  <c r="B1261" i="1"/>
  <c r="A1261" i="1"/>
  <c r="K1260" i="1"/>
  <c r="I1260" i="1"/>
  <c r="H1260" i="1"/>
  <c r="G1260" i="1"/>
  <c r="F1260" i="1"/>
  <c r="E1260" i="1"/>
  <c r="D1260" i="1"/>
  <c r="C1260" i="1"/>
  <c r="B1260" i="1"/>
  <c r="A1260" i="1"/>
  <c r="K1259" i="1"/>
  <c r="I1259" i="1"/>
  <c r="H1259" i="1"/>
  <c r="G1259" i="1"/>
  <c r="F1259" i="1"/>
  <c r="E1259" i="1"/>
  <c r="D1259" i="1"/>
  <c r="C1259" i="1"/>
  <c r="B1259" i="1"/>
  <c r="A1259" i="1"/>
  <c r="K1258" i="1"/>
  <c r="I1258" i="1"/>
  <c r="H1258" i="1"/>
  <c r="G1258" i="1"/>
  <c r="F1258" i="1"/>
  <c r="E1258" i="1"/>
  <c r="D1258" i="1"/>
  <c r="C1258" i="1"/>
  <c r="B1258" i="1"/>
  <c r="A1258" i="1"/>
  <c r="K1257" i="1"/>
  <c r="I1257" i="1"/>
  <c r="H1257" i="1"/>
  <c r="G1257" i="1"/>
  <c r="F1257" i="1"/>
  <c r="E1257" i="1"/>
  <c r="D1257" i="1"/>
  <c r="C1257" i="1"/>
  <c r="B1257" i="1"/>
  <c r="A1257" i="1"/>
  <c r="K1256" i="1"/>
  <c r="I1256" i="1"/>
  <c r="H1256" i="1"/>
  <c r="G1256" i="1"/>
  <c r="F1256" i="1"/>
  <c r="E1256" i="1"/>
  <c r="D1256" i="1"/>
  <c r="C1256" i="1"/>
  <c r="B1256" i="1"/>
  <c r="A1256" i="1"/>
  <c r="K1255" i="1"/>
  <c r="I1255" i="1"/>
  <c r="H1255" i="1"/>
  <c r="G1255" i="1"/>
  <c r="F1255" i="1"/>
  <c r="E1255" i="1"/>
  <c r="D1255" i="1"/>
  <c r="C1255" i="1"/>
  <c r="B1255" i="1"/>
  <c r="A1255" i="1"/>
  <c r="K1254" i="1"/>
  <c r="I1254" i="1"/>
  <c r="H1254" i="1"/>
  <c r="G1254" i="1"/>
  <c r="F1254" i="1"/>
  <c r="E1254" i="1"/>
  <c r="D1254" i="1"/>
  <c r="C1254" i="1"/>
  <c r="B1254" i="1"/>
  <c r="A1254" i="1"/>
  <c r="K1253" i="1"/>
  <c r="I1253" i="1"/>
  <c r="H1253" i="1"/>
  <c r="G1253" i="1"/>
  <c r="F1253" i="1"/>
  <c r="E1253" i="1"/>
  <c r="D1253" i="1"/>
  <c r="C1253" i="1"/>
  <c r="B1253" i="1"/>
  <c r="A1253" i="1"/>
  <c r="K1252" i="1"/>
  <c r="I1252" i="1"/>
  <c r="H1252" i="1"/>
  <c r="G1252" i="1"/>
  <c r="F1252" i="1"/>
  <c r="E1252" i="1"/>
  <c r="D1252" i="1"/>
  <c r="C1252" i="1"/>
  <c r="B1252" i="1"/>
  <c r="A1252" i="1"/>
  <c r="K1251" i="1"/>
  <c r="I1251" i="1"/>
  <c r="H1251" i="1"/>
  <c r="G1251" i="1"/>
  <c r="F1251" i="1"/>
  <c r="E1251" i="1"/>
  <c r="D1251" i="1"/>
  <c r="C1251" i="1"/>
  <c r="B1251" i="1"/>
  <c r="A1251" i="1"/>
  <c r="K1250" i="1"/>
  <c r="I1250" i="1"/>
  <c r="H1250" i="1"/>
  <c r="G1250" i="1"/>
  <c r="F1250" i="1"/>
  <c r="E1250" i="1"/>
  <c r="D1250" i="1"/>
  <c r="C1250" i="1"/>
  <c r="B1250" i="1"/>
  <c r="A1250" i="1"/>
  <c r="K1249" i="1"/>
  <c r="J1249" i="1"/>
  <c r="H1249" i="1"/>
  <c r="G1249" i="1"/>
  <c r="F1249" i="1"/>
  <c r="E1249" i="1"/>
  <c r="D1249" i="1"/>
  <c r="C1249" i="1"/>
  <c r="B1249" i="1"/>
  <c r="A1249" i="1"/>
  <c r="K1248" i="1"/>
  <c r="I1248" i="1"/>
  <c r="H1248" i="1"/>
  <c r="G1248" i="1"/>
  <c r="F1248" i="1"/>
  <c r="E1248" i="1"/>
  <c r="D1248" i="1"/>
  <c r="C1248" i="1"/>
  <c r="B1248" i="1"/>
  <c r="A1248" i="1"/>
  <c r="K1247" i="1"/>
  <c r="J1247" i="1"/>
  <c r="H1247" i="1"/>
  <c r="G1247" i="1"/>
  <c r="F1247" i="1"/>
  <c r="E1247" i="1"/>
  <c r="D1247" i="1"/>
  <c r="C1247" i="1"/>
  <c r="B1247" i="1"/>
  <c r="A1247" i="1"/>
  <c r="K1246" i="1"/>
  <c r="J1246" i="1"/>
  <c r="H1246" i="1"/>
  <c r="G1246" i="1"/>
  <c r="F1246" i="1"/>
  <c r="E1246" i="1"/>
  <c r="D1246" i="1"/>
  <c r="C1246" i="1"/>
  <c r="B1246" i="1"/>
  <c r="A1246" i="1"/>
  <c r="K1245" i="1"/>
  <c r="I1245" i="1"/>
  <c r="H1245" i="1"/>
  <c r="G1245" i="1"/>
  <c r="F1245" i="1"/>
  <c r="E1245" i="1"/>
  <c r="D1245" i="1"/>
  <c r="C1245" i="1"/>
  <c r="B1245" i="1"/>
  <c r="A1245" i="1"/>
  <c r="K1244" i="1"/>
  <c r="I1244" i="1"/>
  <c r="H1244" i="1"/>
  <c r="G1244" i="1"/>
  <c r="F1244" i="1"/>
  <c r="E1244" i="1"/>
  <c r="D1244" i="1"/>
  <c r="C1244" i="1"/>
  <c r="B1244" i="1"/>
  <c r="A1244" i="1"/>
  <c r="K1243" i="1"/>
  <c r="I1243" i="1"/>
  <c r="H1243" i="1"/>
  <c r="G1243" i="1"/>
  <c r="F1243" i="1"/>
  <c r="E1243" i="1"/>
  <c r="D1243" i="1"/>
  <c r="C1243" i="1"/>
  <c r="B1243" i="1"/>
  <c r="A1243" i="1"/>
  <c r="K1242" i="1"/>
  <c r="I1242" i="1"/>
  <c r="H1242" i="1"/>
  <c r="G1242" i="1"/>
  <c r="F1242" i="1"/>
  <c r="E1242" i="1"/>
  <c r="D1242" i="1"/>
  <c r="C1242" i="1"/>
  <c r="B1242" i="1"/>
  <c r="A1242" i="1"/>
  <c r="K1241" i="1"/>
  <c r="I1241" i="1"/>
  <c r="H1241" i="1"/>
  <c r="G1241" i="1"/>
  <c r="F1241" i="1"/>
  <c r="E1241" i="1"/>
  <c r="D1241" i="1"/>
  <c r="C1241" i="1"/>
  <c r="B1241" i="1"/>
  <c r="A1241" i="1"/>
  <c r="K1240" i="1"/>
  <c r="I1240" i="1"/>
  <c r="H1240" i="1"/>
  <c r="G1240" i="1"/>
  <c r="F1240" i="1"/>
  <c r="E1240" i="1"/>
  <c r="D1240" i="1"/>
  <c r="C1240" i="1"/>
  <c r="B1240" i="1"/>
  <c r="A1240" i="1"/>
  <c r="K1239" i="1"/>
  <c r="I1239" i="1"/>
  <c r="H1239" i="1"/>
  <c r="G1239" i="1"/>
  <c r="F1239" i="1"/>
  <c r="E1239" i="1"/>
  <c r="D1239" i="1"/>
  <c r="C1239" i="1"/>
  <c r="B1239" i="1"/>
  <c r="A1239" i="1"/>
  <c r="K1238" i="1"/>
  <c r="I1238" i="1"/>
  <c r="H1238" i="1"/>
  <c r="G1238" i="1"/>
  <c r="F1238" i="1"/>
  <c r="E1238" i="1"/>
  <c r="D1238" i="1"/>
  <c r="C1238" i="1"/>
  <c r="B1238" i="1"/>
  <c r="A1238" i="1"/>
  <c r="K1237" i="1"/>
  <c r="I1237" i="1"/>
  <c r="H1237" i="1"/>
  <c r="G1237" i="1"/>
  <c r="F1237" i="1"/>
  <c r="E1237" i="1"/>
  <c r="D1237" i="1"/>
  <c r="C1237" i="1"/>
  <c r="B1237" i="1"/>
  <c r="A1237" i="1"/>
  <c r="K1236" i="1"/>
  <c r="I1236" i="1"/>
  <c r="H1236" i="1"/>
  <c r="G1236" i="1"/>
  <c r="F1236" i="1"/>
  <c r="E1236" i="1"/>
  <c r="D1236" i="1"/>
  <c r="C1236" i="1"/>
  <c r="B1236" i="1"/>
  <c r="A1236" i="1"/>
  <c r="K1235" i="1"/>
  <c r="I1235" i="1"/>
  <c r="H1235" i="1"/>
  <c r="G1235" i="1"/>
  <c r="F1235" i="1"/>
  <c r="E1235" i="1"/>
  <c r="D1235" i="1"/>
  <c r="C1235" i="1"/>
  <c r="B1235" i="1"/>
  <c r="A1235" i="1"/>
  <c r="K1234" i="1"/>
  <c r="I1234" i="1"/>
  <c r="H1234" i="1"/>
  <c r="G1234" i="1"/>
  <c r="F1234" i="1"/>
  <c r="E1234" i="1"/>
  <c r="D1234" i="1"/>
  <c r="C1234" i="1"/>
  <c r="B1234" i="1"/>
  <c r="A1234" i="1"/>
  <c r="K1233" i="1"/>
  <c r="I1233" i="1"/>
  <c r="H1233" i="1"/>
  <c r="G1233" i="1"/>
  <c r="F1233" i="1"/>
  <c r="E1233" i="1"/>
  <c r="D1233" i="1"/>
  <c r="C1233" i="1"/>
  <c r="B1233" i="1"/>
  <c r="A1233" i="1"/>
  <c r="K1232" i="1"/>
  <c r="I1232" i="1"/>
  <c r="H1232" i="1"/>
  <c r="G1232" i="1"/>
  <c r="F1232" i="1"/>
  <c r="E1232" i="1"/>
  <c r="D1232" i="1"/>
  <c r="C1232" i="1"/>
  <c r="B1232" i="1"/>
  <c r="A1232" i="1"/>
  <c r="K1231" i="1"/>
  <c r="I1231" i="1"/>
  <c r="H1231" i="1"/>
  <c r="G1231" i="1"/>
  <c r="F1231" i="1"/>
  <c r="E1231" i="1"/>
  <c r="D1231" i="1"/>
  <c r="C1231" i="1"/>
  <c r="B1231" i="1"/>
  <c r="A1231" i="1"/>
  <c r="K1230" i="1"/>
  <c r="I1230" i="1"/>
  <c r="H1230" i="1"/>
  <c r="G1230" i="1"/>
  <c r="F1230" i="1"/>
  <c r="E1230" i="1"/>
  <c r="D1230" i="1"/>
  <c r="C1230" i="1"/>
  <c r="B1230" i="1"/>
  <c r="A1230" i="1"/>
  <c r="K1229" i="1"/>
  <c r="I1229" i="1"/>
  <c r="H1229" i="1"/>
  <c r="G1229" i="1"/>
  <c r="F1229" i="1"/>
  <c r="E1229" i="1"/>
  <c r="D1229" i="1"/>
  <c r="C1229" i="1"/>
  <c r="B1229" i="1"/>
  <c r="A1229" i="1"/>
  <c r="K1228" i="1"/>
  <c r="I1228" i="1"/>
  <c r="H1228" i="1"/>
  <c r="G1228" i="1"/>
  <c r="F1228" i="1"/>
  <c r="E1228" i="1"/>
  <c r="D1228" i="1"/>
  <c r="C1228" i="1"/>
  <c r="B1228" i="1"/>
  <c r="A1228" i="1"/>
  <c r="K1227" i="1"/>
  <c r="I1227" i="1"/>
  <c r="H1227" i="1"/>
  <c r="G1227" i="1"/>
  <c r="F1227" i="1"/>
  <c r="E1227" i="1"/>
  <c r="D1227" i="1"/>
  <c r="C1227" i="1"/>
  <c r="B1227" i="1"/>
  <c r="A1227" i="1"/>
  <c r="K1226" i="1"/>
  <c r="I1226" i="1"/>
  <c r="H1226" i="1"/>
  <c r="G1226" i="1"/>
  <c r="F1226" i="1"/>
  <c r="E1226" i="1"/>
  <c r="D1226" i="1"/>
  <c r="C1226" i="1"/>
  <c r="B1226" i="1"/>
  <c r="A1226" i="1"/>
  <c r="K1225" i="1"/>
  <c r="I1225" i="1"/>
  <c r="H1225" i="1"/>
  <c r="G1225" i="1"/>
  <c r="F1225" i="1"/>
  <c r="E1225" i="1"/>
  <c r="D1225" i="1"/>
  <c r="C1225" i="1"/>
  <c r="B1225" i="1"/>
  <c r="A1225" i="1"/>
  <c r="K1224" i="1"/>
  <c r="I1224" i="1"/>
  <c r="H1224" i="1"/>
  <c r="G1224" i="1"/>
  <c r="F1224" i="1"/>
  <c r="E1224" i="1"/>
  <c r="D1224" i="1"/>
  <c r="C1224" i="1"/>
  <c r="B1224" i="1"/>
  <c r="A1224" i="1"/>
  <c r="K1223" i="1"/>
  <c r="I1223" i="1"/>
  <c r="H1223" i="1"/>
  <c r="G1223" i="1"/>
  <c r="F1223" i="1"/>
  <c r="E1223" i="1"/>
  <c r="D1223" i="1"/>
  <c r="C1223" i="1"/>
  <c r="B1223" i="1"/>
  <c r="A1223" i="1"/>
  <c r="K1222" i="1"/>
  <c r="I1222" i="1"/>
  <c r="H1222" i="1"/>
  <c r="G1222" i="1"/>
  <c r="F1222" i="1"/>
  <c r="E1222" i="1"/>
  <c r="D1222" i="1"/>
  <c r="C1222" i="1"/>
  <c r="B1222" i="1"/>
  <c r="A1222" i="1"/>
  <c r="K1221" i="1"/>
  <c r="I1221" i="1"/>
  <c r="H1221" i="1"/>
  <c r="G1221" i="1"/>
  <c r="F1221" i="1"/>
  <c r="E1221" i="1"/>
  <c r="D1221" i="1"/>
  <c r="C1221" i="1"/>
  <c r="B1221" i="1"/>
  <c r="A1221" i="1"/>
  <c r="K1220" i="1"/>
  <c r="I1220" i="1"/>
  <c r="H1220" i="1"/>
  <c r="G1220" i="1"/>
  <c r="F1220" i="1"/>
  <c r="E1220" i="1"/>
  <c r="D1220" i="1"/>
  <c r="C1220" i="1"/>
  <c r="B1220" i="1"/>
  <c r="A1220" i="1"/>
  <c r="K1219" i="1"/>
  <c r="I1219" i="1"/>
  <c r="H1219" i="1"/>
  <c r="G1219" i="1"/>
  <c r="F1219" i="1"/>
  <c r="E1219" i="1"/>
  <c r="D1219" i="1"/>
  <c r="C1219" i="1"/>
  <c r="B1219" i="1"/>
  <c r="A1219" i="1"/>
  <c r="K1218" i="1"/>
  <c r="I1218" i="1"/>
  <c r="H1218" i="1"/>
  <c r="G1218" i="1"/>
  <c r="F1218" i="1"/>
  <c r="E1218" i="1"/>
  <c r="D1218" i="1"/>
  <c r="C1218" i="1"/>
  <c r="B1218" i="1"/>
  <c r="A1218" i="1"/>
  <c r="K1217" i="1"/>
  <c r="I1217" i="1"/>
  <c r="H1217" i="1"/>
  <c r="G1217" i="1"/>
  <c r="F1217" i="1"/>
  <c r="E1217" i="1"/>
  <c r="D1217" i="1"/>
  <c r="C1217" i="1"/>
  <c r="B1217" i="1"/>
  <c r="A1217" i="1"/>
  <c r="K1216" i="1"/>
  <c r="I1216" i="1"/>
  <c r="H1216" i="1"/>
  <c r="G1216" i="1"/>
  <c r="F1216" i="1"/>
  <c r="E1216" i="1"/>
  <c r="D1216" i="1"/>
  <c r="C1216" i="1"/>
  <c r="B1216" i="1"/>
  <c r="A1216" i="1"/>
  <c r="K1215" i="1"/>
  <c r="I1215" i="1"/>
  <c r="H1215" i="1"/>
  <c r="G1215" i="1"/>
  <c r="F1215" i="1"/>
  <c r="E1215" i="1"/>
  <c r="D1215" i="1"/>
  <c r="C1215" i="1"/>
  <c r="B1215" i="1"/>
  <c r="A1215" i="1"/>
  <c r="K1214" i="1"/>
  <c r="I1214" i="1"/>
  <c r="H1214" i="1"/>
  <c r="G1214" i="1"/>
  <c r="F1214" i="1"/>
  <c r="E1214" i="1"/>
  <c r="D1214" i="1"/>
  <c r="C1214" i="1"/>
  <c r="B1214" i="1"/>
  <c r="A1214" i="1"/>
  <c r="K1213" i="1"/>
  <c r="I1213" i="1"/>
  <c r="H1213" i="1"/>
  <c r="G1213" i="1"/>
  <c r="F1213" i="1"/>
  <c r="E1213" i="1"/>
  <c r="D1213" i="1"/>
  <c r="C1213" i="1"/>
  <c r="B1213" i="1"/>
  <c r="A1213" i="1"/>
  <c r="K1212" i="1"/>
  <c r="I1212" i="1"/>
  <c r="H1212" i="1"/>
  <c r="G1212" i="1"/>
  <c r="F1212" i="1"/>
  <c r="E1212" i="1"/>
  <c r="D1212" i="1"/>
  <c r="C1212" i="1"/>
  <c r="B1212" i="1"/>
  <c r="A1212" i="1"/>
  <c r="K1211" i="1"/>
  <c r="I1211" i="1"/>
  <c r="H1211" i="1"/>
  <c r="G1211" i="1"/>
  <c r="F1211" i="1"/>
  <c r="E1211" i="1"/>
  <c r="D1211" i="1"/>
  <c r="C1211" i="1"/>
  <c r="B1211" i="1"/>
  <c r="A1211" i="1"/>
  <c r="K1210" i="1"/>
  <c r="I1210" i="1"/>
  <c r="H1210" i="1"/>
  <c r="G1210" i="1"/>
  <c r="F1210" i="1"/>
  <c r="E1210" i="1"/>
  <c r="D1210" i="1"/>
  <c r="C1210" i="1"/>
  <c r="B1210" i="1"/>
  <c r="A1210" i="1"/>
  <c r="K1209" i="1"/>
  <c r="I1209" i="1"/>
  <c r="H1209" i="1"/>
  <c r="G1209" i="1"/>
  <c r="F1209" i="1"/>
  <c r="E1209" i="1"/>
  <c r="D1209" i="1"/>
  <c r="C1209" i="1"/>
  <c r="B1209" i="1"/>
  <c r="A1209" i="1"/>
  <c r="K1208" i="1"/>
  <c r="I1208" i="1"/>
  <c r="H1208" i="1"/>
  <c r="G1208" i="1"/>
  <c r="F1208" i="1"/>
  <c r="E1208" i="1"/>
  <c r="D1208" i="1"/>
  <c r="C1208" i="1"/>
  <c r="B1208" i="1"/>
  <c r="A1208" i="1"/>
  <c r="K1207" i="1"/>
  <c r="I1207" i="1"/>
  <c r="H1207" i="1"/>
  <c r="G1207" i="1"/>
  <c r="F1207" i="1"/>
  <c r="E1207" i="1"/>
  <c r="D1207" i="1"/>
  <c r="C1207" i="1"/>
  <c r="B1207" i="1"/>
  <c r="A1207" i="1"/>
  <c r="K1206" i="1"/>
  <c r="I1206" i="1"/>
  <c r="H1206" i="1"/>
  <c r="G1206" i="1"/>
  <c r="F1206" i="1"/>
  <c r="E1206" i="1"/>
  <c r="D1206" i="1"/>
  <c r="C1206" i="1"/>
  <c r="B1206" i="1"/>
  <c r="A1206" i="1"/>
  <c r="K1205" i="1"/>
  <c r="I1205" i="1"/>
  <c r="H1205" i="1"/>
  <c r="G1205" i="1"/>
  <c r="F1205" i="1"/>
  <c r="E1205" i="1"/>
  <c r="D1205" i="1"/>
  <c r="C1205" i="1"/>
  <c r="B1205" i="1"/>
  <c r="A1205" i="1"/>
  <c r="K1204" i="1"/>
  <c r="J1204" i="1"/>
  <c r="I1204" i="1"/>
  <c r="H1204" i="1"/>
  <c r="G1204" i="1"/>
  <c r="F1204" i="1"/>
  <c r="E1204" i="1"/>
  <c r="D1204" i="1"/>
  <c r="C1204" i="1"/>
  <c r="B1204" i="1"/>
  <c r="A1204" i="1"/>
  <c r="K1203" i="1"/>
  <c r="J1203" i="1"/>
  <c r="I1203" i="1"/>
  <c r="H1203" i="1"/>
  <c r="G1203" i="1"/>
  <c r="F1203" i="1"/>
  <c r="E1203" i="1"/>
  <c r="D1203" i="1"/>
  <c r="C1203" i="1"/>
  <c r="B1203" i="1"/>
  <c r="A1203" i="1"/>
  <c r="K1202" i="1"/>
  <c r="J1202" i="1"/>
  <c r="I1202" i="1"/>
  <c r="H1202" i="1"/>
  <c r="G1202" i="1"/>
  <c r="F1202" i="1"/>
  <c r="E1202" i="1"/>
  <c r="D1202" i="1"/>
  <c r="C1202" i="1"/>
  <c r="B1202" i="1"/>
  <c r="A1202" i="1"/>
  <c r="K1201" i="1"/>
  <c r="J1201" i="1"/>
  <c r="I1201" i="1"/>
  <c r="H1201" i="1"/>
  <c r="G1201" i="1"/>
  <c r="F1201" i="1"/>
  <c r="E1201" i="1"/>
  <c r="D1201" i="1"/>
  <c r="C1201" i="1"/>
  <c r="B1201" i="1"/>
  <c r="A1201" i="1"/>
  <c r="K1200" i="1"/>
  <c r="I1200" i="1"/>
  <c r="H1200" i="1"/>
  <c r="G1200" i="1"/>
  <c r="F1200" i="1"/>
  <c r="E1200" i="1"/>
  <c r="D1200" i="1"/>
  <c r="C1200" i="1"/>
  <c r="B1200" i="1"/>
  <c r="A1200" i="1"/>
  <c r="K1199" i="1"/>
  <c r="I1199" i="1"/>
  <c r="H1199" i="1"/>
  <c r="G1199" i="1"/>
  <c r="F1199" i="1"/>
  <c r="E1199" i="1"/>
  <c r="D1199" i="1"/>
  <c r="C1199" i="1"/>
  <c r="B1199" i="1"/>
  <c r="A1199" i="1"/>
  <c r="K1198" i="1"/>
  <c r="I1198" i="1"/>
  <c r="H1198" i="1"/>
  <c r="G1198" i="1"/>
  <c r="F1198" i="1"/>
  <c r="E1198" i="1"/>
  <c r="D1198" i="1"/>
  <c r="C1198" i="1"/>
  <c r="B1198" i="1"/>
  <c r="A1198" i="1"/>
  <c r="K1197" i="1"/>
  <c r="I1197" i="1"/>
  <c r="H1197" i="1"/>
  <c r="G1197" i="1"/>
  <c r="F1197" i="1"/>
  <c r="E1197" i="1"/>
  <c r="D1197" i="1"/>
  <c r="C1197" i="1"/>
  <c r="B1197" i="1"/>
  <c r="A1197" i="1"/>
  <c r="K1196" i="1"/>
  <c r="I1196" i="1"/>
  <c r="H1196" i="1"/>
  <c r="G1196" i="1"/>
  <c r="F1196" i="1"/>
  <c r="E1196" i="1"/>
  <c r="D1196" i="1"/>
  <c r="C1196" i="1"/>
  <c r="B1196" i="1"/>
  <c r="A1196" i="1"/>
  <c r="K1195" i="1"/>
  <c r="I1195" i="1"/>
  <c r="H1195" i="1"/>
  <c r="G1195" i="1"/>
  <c r="F1195" i="1"/>
  <c r="E1195" i="1"/>
  <c r="D1195" i="1"/>
  <c r="C1195" i="1"/>
  <c r="B1195" i="1"/>
  <c r="A1195" i="1"/>
  <c r="K1194" i="1"/>
  <c r="J1194" i="1"/>
  <c r="I1194" i="1"/>
  <c r="H1194" i="1"/>
  <c r="G1194" i="1"/>
  <c r="F1194" i="1"/>
  <c r="E1194" i="1"/>
  <c r="D1194" i="1"/>
  <c r="C1194" i="1"/>
  <c r="B1194" i="1"/>
  <c r="A1194" i="1"/>
  <c r="K1193" i="1"/>
  <c r="J1193" i="1"/>
  <c r="I1193" i="1"/>
  <c r="H1193" i="1"/>
  <c r="G1193" i="1"/>
  <c r="F1193" i="1"/>
  <c r="E1193" i="1"/>
  <c r="D1193" i="1"/>
  <c r="C1193" i="1"/>
  <c r="B1193" i="1"/>
  <c r="A1193" i="1"/>
  <c r="K1192" i="1"/>
  <c r="J1192" i="1"/>
  <c r="I1192" i="1"/>
  <c r="H1192" i="1"/>
  <c r="G1192" i="1"/>
  <c r="F1192" i="1"/>
  <c r="E1192" i="1"/>
  <c r="D1192" i="1"/>
  <c r="C1192" i="1"/>
  <c r="B1192" i="1"/>
  <c r="A1192" i="1"/>
  <c r="K1191" i="1"/>
  <c r="J1191" i="1"/>
  <c r="I1191" i="1"/>
  <c r="H1191" i="1"/>
  <c r="G1191" i="1"/>
  <c r="F1191" i="1"/>
  <c r="E1191" i="1"/>
  <c r="D1191" i="1"/>
  <c r="C1191" i="1"/>
  <c r="B1191" i="1"/>
  <c r="A1191" i="1"/>
  <c r="K1190" i="1"/>
  <c r="J1190" i="1"/>
  <c r="I1190" i="1"/>
  <c r="H1190" i="1"/>
  <c r="G1190" i="1"/>
  <c r="F1190" i="1"/>
  <c r="E1190" i="1"/>
  <c r="D1190" i="1"/>
  <c r="C1190" i="1"/>
  <c r="B1190" i="1"/>
  <c r="A1190" i="1"/>
  <c r="K1189" i="1"/>
  <c r="J1189" i="1"/>
  <c r="I1189" i="1"/>
  <c r="H1189" i="1"/>
  <c r="G1189" i="1"/>
  <c r="F1189" i="1"/>
  <c r="E1189" i="1"/>
  <c r="D1189" i="1"/>
  <c r="C1189" i="1"/>
  <c r="B1189" i="1"/>
  <c r="A1189" i="1"/>
  <c r="K1188" i="1"/>
  <c r="J1188" i="1"/>
  <c r="I1188" i="1"/>
  <c r="H1188" i="1"/>
  <c r="G1188" i="1"/>
  <c r="F1188" i="1"/>
  <c r="E1188" i="1"/>
  <c r="D1188" i="1"/>
  <c r="C1188" i="1"/>
  <c r="B1188" i="1"/>
  <c r="A1188" i="1"/>
  <c r="K1187" i="1"/>
  <c r="J1187" i="1"/>
  <c r="I1187" i="1"/>
  <c r="H1187" i="1"/>
  <c r="G1187" i="1"/>
  <c r="F1187" i="1"/>
  <c r="E1187" i="1"/>
  <c r="D1187" i="1"/>
  <c r="C1187" i="1"/>
  <c r="B1187" i="1"/>
  <c r="A1187" i="1"/>
  <c r="K1186" i="1"/>
  <c r="J1186" i="1"/>
  <c r="I1186" i="1"/>
  <c r="H1186" i="1"/>
  <c r="G1186" i="1"/>
  <c r="F1186" i="1"/>
  <c r="E1186" i="1"/>
  <c r="D1186" i="1"/>
  <c r="C1186" i="1"/>
  <c r="B1186" i="1"/>
  <c r="A1186" i="1"/>
  <c r="K1185" i="1"/>
  <c r="J1185" i="1"/>
  <c r="I1185" i="1"/>
  <c r="H1185" i="1"/>
  <c r="G1185" i="1"/>
  <c r="F1185" i="1"/>
  <c r="E1185" i="1"/>
  <c r="D1185" i="1"/>
  <c r="C1185" i="1"/>
  <c r="B1185" i="1"/>
  <c r="A1185" i="1"/>
  <c r="K1184" i="1"/>
  <c r="J1184" i="1"/>
  <c r="I1184" i="1"/>
  <c r="H1184" i="1"/>
  <c r="G1184" i="1"/>
  <c r="F1184" i="1"/>
  <c r="E1184" i="1"/>
  <c r="D1184" i="1"/>
  <c r="C1184" i="1"/>
  <c r="B1184" i="1"/>
  <c r="A1184" i="1"/>
  <c r="K1183" i="1"/>
  <c r="J1183" i="1"/>
  <c r="I1183" i="1"/>
  <c r="H1183" i="1"/>
  <c r="G1183" i="1"/>
  <c r="F1183" i="1"/>
  <c r="E1183" i="1"/>
  <c r="D1183" i="1"/>
  <c r="C1183" i="1"/>
  <c r="B1183" i="1"/>
  <c r="A1183" i="1"/>
  <c r="K1182" i="1"/>
  <c r="J1182" i="1"/>
  <c r="I1182" i="1"/>
  <c r="H1182" i="1"/>
  <c r="G1182" i="1"/>
  <c r="F1182" i="1"/>
  <c r="E1182" i="1"/>
  <c r="D1182" i="1"/>
  <c r="C1182" i="1"/>
  <c r="B1182" i="1"/>
  <c r="A1182" i="1"/>
  <c r="K1181" i="1"/>
  <c r="J1181" i="1"/>
  <c r="I1181" i="1"/>
  <c r="H1181" i="1"/>
  <c r="G1181" i="1"/>
  <c r="F1181" i="1"/>
  <c r="E1181" i="1"/>
  <c r="D1181" i="1"/>
  <c r="C1181" i="1"/>
  <c r="B1181" i="1"/>
  <c r="A1181" i="1"/>
  <c r="K1180" i="1"/>
  <c r="J1180" i="1"/>
  <c r="I1180" i="1"/>
  <c r="H1180" i="1"/>
  <c r="G1180" i="1"/>
  <c r="F1180" i="1"/>
  <c r="E1180" i="1"/>
  <c r="D1180" i="1"/>
  <c r="C1180" i="1"/>
  <c r="B1180" i="1"/>
  <c r="A1180" i="1"/>
  <c r="K1179" i="1"/>
  <c r="J1179" i="1"/>
  <c r="I1179" i="1"/>
  <c r="H1179" i="1"/>
  <c r="G1179" i="1"/>
  <c r="F1179" i="1"/>
  <c r="E1179" i="1"/>
  <c r="D1179" i="1"/>
  <c r="C1179" i="1"/>
  <c r="B1179" i="1"/>
  <c r="A1179" i="1"/>
  <c r="K1178" i="1"/>
  <c r="J1178" i="1"/>
  <c r="I1178" i="1"/>
  <c r="H1178" i="1"/>
  <c r="G1178" i="1"/>
  <c r="F1178" i="1"/>
  <c r="E1178" i="1"/>
  <c r="D1178" i="1"/>
  <c r="C1178" i="1"/>
  <c r="B1178" i="1"/>
  <c r="A1178" i="1"/>
  <c r="K1177" i="1"/>
  <c r="J1177" i="1"/>
  <c r="I1177" i="1"/>
  <c r="H1177" i="1"/>
  <c r="G1177" i="1"/>
  <c r="F1177" i="1"/>
  <c r="E1177" i="1"/>
  <c r="D1177" i="1"/>
  <c r="C1177" i="1"/>
  <c r="B1177" i="1"/>
  <c r="A1177" i="1"/>
  <c r="K1176" i="1"/>
  <c r="J1176" i="1"/>
  <c r="I1176" i="1"/>
  <c r="H1176" i="1"/>
  <c r="G1176" i="1"/>
  <c r="F1176" i="1"/>
  <c r="E1176" i="1"/>
  <c r="D1176" i="1"/>
  <c r="C1176" i="1"/>
  <c r="B1176" i="1"/>
  <c r="A1176" i="1"/>
  <c r="K1175" i="1"/>
  <c r="J1175" i="1"/>
  <c r="I1175" i="1"/>
  <c r="H1175" i="1"/>
  <c r="G1175" i="1"/>
  <c r="F1175" i="1"/>
  <c r="E1175" i="1"/>
  <c r="D1175" i="1"/>
  <c r="C1175" i="1"/>
  <c r="B1175" i="1"/>
  <c r="A1175" i="1"/>
  <c r="K1174" i="1"/>
  <c r="I1174" i="1"/>
  <c r="H1174" i="1"/>
  <c r="G1174" i="1"/>
  <c r="F1174" i="1"/>
  <c r="E1174" i="1"/>
  <c r="D1174" i="1"/>
  <c r="C1174" i="1"/>
  <c r="B1174" i="1"/>
  <c r="A1174" i="1"/>
  <c r="K1173" i="1"/>
  <c r="I1173" i="1"/>
  <c r="H1173" i="1"/>
  <c r="G1173" i="1"/>
  <c r="F1173" i="1"/>
  <c r="E1173" i="1"/>
  <c r="D1173" i="1"/>
  <c r="C1173" i="1"/>
  <c r="B1173" i="1"/>
  <c r="A1173" i="1"/>
  <c r="K1172" i="1"/>
  <c r="I1172" i="1"/>
  <c r="H1172" i="1"/>
  <c r="G1172" i="1"/>
  <c r="F1172" i="1"/>
  <c r="E1172" i="1"/>
  <c r="D1172" i="1"/>
  <c r="C1172" i="1"/>
  <c r="B1172" i="1"/>
  <c r="A1172" i="1"/>
  <c r="K1171" i="1"/>
  <c r="I1171" i="1"/>
  <c r="H1171" i="1"/>
  <c r="G1171" i="1"/>
  <c r="F1171" i="1"/>
  <c r="E1171" i="1"/>
  <c r="D1171" i="1"/>
  <c r="C1171" i="1"/>
  <c r="B1171" i="1"/>
  <c r="A1171" i="1"/>
  <c r="K1170" i="1"/>
  <c r="I1170" i="1"/>
  <c r="H1170" i="1"/>
  <c r="G1170" i="1"/>
  <c r="F1170" i="1"/>
  <c r="E1170" i="1"/>
  <c r="D1170" i="1"/>
  <c r="C1170" i="1"/>
  <c r="B1170" i="1"/>
  <c r="A1170" i="1"/>
  <c r="K1169" i="1"/>
  <c r="I1169" i="1"/>
  <c r="H1169" i="1"/>
  <c r="G1169" i="1"/>
  <c r="F1169" i="1"/>
  <c r="E1169" i="1"/>
  <c r="D1169" i="1"/>
  <c r="C1169" i="1"/>
  <c r="B1169" i="1"/>
  <c r="A1169" i="1"/>
  <c r="K1168" i="1"/>
  <c r="J1168" i="1"/>
  <c r="I1168" i="1"/>
  <c r="H1168" i="1"/>
  <c r="G1168" i="1"/>
  <c r="F1168" i="1"/>
  <c r="E1168" i="1"/>
  <c r="D1168" i="1"/>
  <c r="C1168" i="1"/>
  <c r="B1168" i="1"/>
  <c r="A1168" i="1"/>
  <c r="K1167" i="1"/>
  <c r="J1167" i="1"/>
  <c r="I1167" i="1"/>
  <c r="H1167" i="1"/>
  <c r="G1167" i="1"/>
  <c r="F1167" i="1"/>
  <c r="E1167" i="1"/>
  <c r="D1167" i="1"/>
  <c r="C1167" i="1"/>
  <c r="B1167" i="1"/>
  <c r="A1167" i="1"/>
  <c r="K1166" i="1"/>
  <c r="J1166" i="1"/>
  <c r="I1166" i="1"/>
  <c r="H1166" i="1"/>
  <c r="G1166" i="1"/>
  <c r="F1166" i="1"/>
  <c r="E1166" i="1"/>
  <c r="D1166" i="1"/>
  <c r="C1166" i="1"/>
  <c r="B1166" i="1"/>
  <c r="A1166" i="1"/>
  <c r="K1165" i="1"/>
  <c r="J1165" i="1"/>
  <c r="I1165" i="1"/>
  <c r="H1165" i="1"/>
  <c r="G1165" i="1"/>
  <c r="F1165" i="1"/>
  <c r="E1165" i="1"/>
  <c r="D1165" i="1"/>
  <c r="C1165" i="1"/>
  <c r="B1165" i="1"/>
  <c r="A1165" i="1"/>
  <c r="K1164" i="1"/>
  <c r="J1164" i="1"/>
  <c r="H1164" i="1"/>
  <c r="G1164" i="1"/>
  <c r="F1164" i="1"/>
  <c r="E1164" i="1"/>
  <c r="D1164" i="1"/>
  <c r="C1164" i="1"/>
  <c r="B1164" i="1"/>
  <c r="A1164" i="1"/>
  <c r="K1163" i="1"/>
  <c r="I1163" i="1"/>
  <c r="H1163" i="1"/>
  <c r="G1163" i="1"/>
  <c r="F1163" i="1"/>
  <c r="E1163" i="1"/>
  <c r="D1163" i="1"/>
  <c r="C1163" i="1"/>
  <c r="B1163" i="1"/>
  <c r="A1163" i="1"/>
  <c r="K1162" i="1"/>
  <c r="J1162" i="1"/>
  <c r="H1162" i="1"/>
  <c r="G1162" i="1"/>
  <c r="F1162" i="1"/>
  <c r="E1162" i="1"/>
  <c r="D1162" i="1"/>
  <c r="C1162" i="1"/>
  <c r="B1162" i="1"/>
  <c r="A1162" i="1"/>
  <c r="K1161" i="1"/>
  <c r="I1161" i="1"/>
  <c r="H1161" i="1"/>
  <c r="G1161" i="1"/>
  <c r="F1161" i="1"/>
  <c r="E1161" i="1"/>
  <c r="D1161" i="1"/>
  <c r="C1161" i="1"/>
  <c r="B1161" i="1"/>
  <c r="A1161" i="1"/>
  <c r="K1160" i="1"/>
  <c r="I1160" i="1"/>
  <c r="H1160" i="1"/>
  <c r="G1160" i="1"/>
  <c r="F1160" i="1"/>
  <c r="E1160" i="1"/>
  <c r="D1160" i="1"/>
  <c r="C1160" i="1"/>
  <c r="B1160" i="1"/>
  <c r="A1160" i="1"/>
  <c r="K1159" i="1"/>
  <c r="I1159" i="1"/>
  <c r="H1159" i="1"/>
  <c r="G1159" i="1"/>
  <c r="F1159" i="1"/>
  <c r="E1159" i="1"/>
  <c r="D1159" i="1"/>
  <c r="C1159" i="1"/>
  <c r="B1159" i="1"/>
  <c r="A1159" i="1"/>
  <c r="K1158" i="1"/>
  <c r="I1158" i="1"/>
  <c r="H1158" i="1"/>
  <c r="G1158" i="1"/>
  <c r="F1158" i="1"/>
  <c r="E1158" i="1"/>
  <c r="D1158" i="1"/>
  <c r="C1158" i="1"/>
  <c r="B1158" i="1"/>
  <c r="A1158" i="1"/>
  <c r="K1157" i="1"/>
  <c r="I1157" i="1"/>
  <c r="H1157" i="1"/>
  <c r="G1157" i="1"/>
  <c r="F1157" i="1"/>
  <c r="E1157" i="1"/>
  <c r="D1157" i="1"/>
  <c r="C1157" i="1"/>
  <c r="B1157" i="1"/>
  <c r="A1157" i="1"/>
  <c r="K1156" i="1"/>
  <c r="J1156" i="1"/>
  <c r="H1156" i="1"/>
  <c r="G1156" i="1"/>
  <c r="F1156" i="1"/>
  <c r="E1156" i="1"/>
  <c r="D1156" i="1"/>
  <c r="C1156" i="1"/>
  <c r="B1156" i="1"/>
  <c r="A1156" i="1"/>
  <c r="K1155" i="1"/>
  <c r="I1155" i="1"/>
  <c r="H1155" i="1"/>
  <c r="G1155" i="1"/>
  <c r="F1155" i="1"/>
  <c r="E1155" i="1"/>
  <c r="D1155" i="1"/>
  <c r="C1155" i="1"/>
  <c r="B1155" i="1"/>
  <c r="A1155" i="1"/>
  <c r="K1154" i="1"/>
  <c r="I1154" i="1"/>
  <c r="H1154" i="1"/>
  <c r="G1154" i="1"/>
  <c r="F1154" i="1"/>
  <c r="E1154" i="1"/>
  <c r="D1154" i="1"/>
  <c r="C1154" i="1"/>
  <c r="B1154" i="1"/>
  <c r="A1154" i="1"/>
  <c r="K1153" i="1"/>
  <c r="I1153" i="1"/>
  <c r="H1153" i="1"/>
  <c r="G1153" i="1"/>
  <c r="F1153" i="1"/>
  <c r="E1153" i="1"/>
  <c r="D1153" i="1"/>
  <c r="C1153" i="1"/>
  <c r="B1153" i="1"/>
  <c r="A1153" i="1"/>
  <c r="K1152" i="1"/>
  <c r="I1152" i="1"/>
  <c r="H1152" i="1"/>
  <c r="G1152" i="1"/>
  <c r="F1152" i="1"/>
  <c r="E1152" i="1"/>
  <c r="D1152" i="1"/>
  <c r="C1152" i="1"/>
  <c r="B1152" i="1"/>
  <c r="A1152" i="1"/>
  <c r="K1151" i="1"/>
  <c r="I1151" i="1"/>
  <c r="H1151" i="1"/>
  <c r="G1151" i="1"/>
  <c r="F1151" i="1"/>
  <c r="E1151" i="1"/>
  <c r="D1151" i="1"/>
  <c r="C1151" i="1"/>
  <c r="B1151" i="1"/>
  <c r="A1151" i="1"/>
  <c r="K1150" i="1"/>
  <c r="I1150" i="1"/>
  <c r="H1150" i="1"/>
  <c r="G1150" i="1"/>
  <c r="F1150" i="1"/>
  <c r="E1150" i="1"/>
  <c r="D1150" i="1"/>
  <c r="C1150" i="1"/>
  <c r="B1150" i="1"/>
  <c r="A1150" i="1"/>
  <c r="K1149" i="1"/>
  <c r="I1149" i="1"/>
  <c r="H1149" i="1"/>
  <c r="G1149" i="1"/>
  <c r="F1149" i="1"/>
  <c r="E1149" i="1"/>
  <c r="D1149" i="1"/>
  <c r="C1149" i="1"/>
  <c r="B1149" i="1"/>
  <c r="A1149" i="1"/>
  <c r="K1148" i="1"/>
  <c r="I1148" i="1"/>
  <c r="H1148" i="1"/>
  <c r="G1148" i="1"/>
  <c r="F1148" i="1"/>
  <c r="E1148" i="1"/>
  <c r="D1148" i="1"/>
  <c r="C1148" i="1"/>
  <c r="B1148" i="1"/>
  <c r="A1148" i="1"/>
  <c r="K1147" i="1"/>
  <c r="I1147" i="1"/>
  <c r="H1147" i="1"/>
  <c r="G1147" i="1"/>
  <c r="F1147" i="1"/>
  <c r="E1147" i="1"/>
  <c r="D1147" i="1"/>
  <c r="C1147" i="1"/>
  <c r="B1147" i="1"/>
  <c r="A1147" i="1"/>
  <c r="K1146" i="1"/>
  <c r="I1146" i="1"/>
  <c r="H1146" i="1"/>
  <c r="G1146" i="1"/>
  <c r="F1146" i="1"/>
  <c r="E1146" i="1"/>
  <c r="D1146" i="1"/>
  <c r="C1146" i="1"/>
  <c r="B1146" i="1"/>
  <c r="A1146" i="1"/>
  <c r="K1145" i="1"/>
  <c r="I1145" i="1"/>
  <c r="H1145" i="1"/>
  <c r="G1145" i="1"/>
  <c r="F1145" i="1"/>
  <c r="E1145" i="1"/>
  <c r="D1145" i="1"/>
  <c r="C1145" i="1"/>
  <c r="B1145" i="1"/>
  <c r="A1145" i="1"/>
  <c r="K1144" i="1"/>
  <c r="I1144" i="1"/>
  <c r="H1144" i="1"/>
  <c r="G1144" i="1"/>
  <c r="F1144" i="1"/>
  <c r="E1144" i="1"/>
  <c r="D1144" i="1"/>
  <c r="C1144" i="1"/>
  <c r="B1144" i="1"/>
  <c r="A1144" i="1"/>
  <c r="K1143" i="1"/>
  <c r="I1143" i="1"/>
  <c r="H1143" i="1"/>
  <c r="G1143" i="1"/>
  <c r="F1143" i="1"/>
  <c r="E1143" i="1"/>
  <c r="D1143" i="1"/>
  <c r="C1143" i="1"/>
  <c r="B1143" i="1"/>
  <c r="A1143" i="1"/>
  <c r="K1142" i="1"/>
  <c r="I1142" i="1"/>
  <c r="H1142" i="1"/>
  <c r="G1142" i="1"/>
  <c r="F1142" i="1"/>
  <c r="E1142" i="1"/>
  <c r="D1142" i="1"/>
  <c r="C1142" i="1"/>
  <c r="B1142" i="1"/>
  <c r="A1142" i="1"/>
  <c r="K1141" i="1"/>
  <c r="I1141" i="1"/>
  <c r="H1141" i="1"/>
  <c r="G1141" i="1"/>
  <c r="F1141" i="1"/>
  <c r="E1141" i="1"/>
  <c r="D1141" i="1"/>
  <c r="C1141" i="1"/>
  <c r="B1141" i="1"/>
  <c r="A1141" i="1"/>
  <c r="K1140" i="1"/>
  <c r="I1140" i="1"/>
  <c r="H1140" i="1"/>
  <c r="G1140" i="1"/>
  <c r="F1140" i="1"/>
  <c r="E1140" i="1"/>
  <c r="D1140" i="1"/>
  <c r="C1140" i="1"/>
  <c r="B1140" i="1"/>
  <c r="A1140" i="1"/>
  <c r="K1139" i="1"/>
  <c r="I1139" i="1"/>
  <c r="H1139" i="1"/>
  <c r="G1139" i="1"/>
  <c r="F1139" i="1"/>
  <c r="E1139" i="1"/>
  <c r="D1139" i="1"/>
  <c r="C1139" i="1"/>
  <c r="B1139" i="1"/>
  <c r="A1139" i="1"/>
  <c r="K1138" i="1"/>
  <c r="I1138" i="1"/>
  <c r="H1138" i="1"/>
  <c r="G1138" i="1"/>
  <c r="F1138" i="1"/>
  <c r="E1138" i="1"/>
  <c r="D1138" i="1"/>
  <c r="C1138" i="1"/>
  <c r="B1138" i="1"/>
  <c r="A1138" i="1"/>
  <c r="K1137" i="1"/>
  <c r="I1137" i="1"/>
  <c r="H1137" i="1"/>
  <c r="G1137" i="1"/>
  <c r="F1137" i="1"/>
  <c r="E1137" i="1"/>
  <c r="D1137" i="1"/>
  <c r="C1137" i="1"/>
  <c r="B1137" i="1"/>
  <c r="A1137" i="1"/>
  <c r="K1136" i="1"/>
  <c r="J1136" i="1"/>
  <c r="I1136" i="1"/>
  <c r="H1136" i="1"/>
  <c r="G1136" i="1"/>
  <c r="F1136" i="1"/>
  <c r="E1136" i="1"/>
  <c r="D1136" i="1"/>
  <c r="C1136" i="1"/>
  <c r="B1136" i="1"/>
  <c r="A1136" i="1"/>
  <c r="K1135" i="1"/>
  <c r="I1135" i="1"/>
  <c r="H1135" i="1"/>
  <c r="G1135" i="1"/>
  <c r="F1135" i="1"/>
  <c r="E1135" i="1"/>
  <c r="D1135" i="1"/>
  <c r="C1135" i="1"/>
  <c r="B1135" i="1"/>
  <c r="A1135" i="1"/>
  <c r="K1134" i="1"/>
  <c r="I1134" i="1"/>
  <c r="H1134" i="1"/>
  <c r="G1134" i="1"/>
  <c r="F1134" i="1"/>
  <c r="E1134" i="1"/>
  <c r="D1134" i="1"/>
  <c r="C1134" i="1"/>
  <c r="B1134" i="1"/>
  <c r="A1134" i="1"/>
  <c r="K1133" i="1"/>
  <c r="I1133" i="1"/>
  <c r="H1133" i="1"/>
  <c r="G1133" i="1"/>
  <c r="F1133" i="1"/>
  <c r="E1133" i="1"/>
  <c r="D1133" i="1"/>
  <c r="C1133" i="1"/>
  <c r="B1133" i="1"/>
  <c r="A1133" i="1"/>
  <c r="K1132" i="1"/>
  <c r="I1132" i="1"/>
  <c r="H1132" i="1"/>
  <c r="G1132" i="1"/>
  <c r="F1132" i="1"/>
  <c r="E1132" i="1"/>
  <c r="D1132" i="1"/>
  <c r="C1132" i="1"/>
  <c r="B1132" i="1"/>
  <c r="A1132" i="1"/>
  <c r="K1131" i="1"/>
  <c r="I1131" i="1"/>
  <c r="H1131" i="1"/>
  <c r="G1131" i="1"/>
  <c r="F1131" i="1"/>
  <c r="E1131" i="1"/>
  <c r="D1131" i="1"/>
  <c r="C1131" i="1"/>
  <c r="B1131" i="1"/>
  <c r="A1131" i="1"/>
  <c r="K1130" i="1"/>
  <c r="I1130" i="1"/>
  <c r="H1130" i="1"/>
  <c r="G1130" i="1"/>
  <c r="F1130" i="1"/>
  <c r="E1130" i="1"/>
  <c r="D1130" i="1"/>
  <c r="C1130" i="1"/>
  <c r="B1130" i="1"/>
  <c r="A1130" i="1"/>
  <c r="K1129" i="1"/>
  <c r="I1129" i="1"/>
  <c r="H1129" i="1"/>
  <c r="G1129" i="1"/>
  <c r="F1129" i="1"/>
  <c r="E1129" i="1"/>
  <c r="D1129" i="1"/>
  <c r="C1129" i="1"/>
  <c r="B1129" i="1"/>
  <c r="A1129" i="1"/>
  <c r="K1128" i="1"/>
  <c r="I1128" i="1"/>
  <c r="H1128" i="1"/>
  <c r="G1128" i="1"/>
  <c r="F1128" i="1"/>
  <c r="E1128" i="1"/>
  <c r="D1128" i="1"/>
  <c r="C1128" i="1"/>
  <c r="B1128" i="1"/>
  <c r="A1128" i="1"/>
  <c r="K1127" i="1"/>
  <c r="I1127" i="1"/>
  <c r="H1127" i="1"/>
  <c r="G1127" i="1"/>
  <c r="F1127" i="1"/>
  <c r="E1127" i="1"/>
  <c r="D1127" i="1"/>
  <c r="C1127" i="1"/>
  <c r="B1127" i="1"/>
  <c r="A1127" i="1"/>
  <c r="K1126" i="1"/>
  <c r="I1126" i="1"/>
  <c r="H1126" i="1"/>
  <c r="G1126" i="1"/>
  <c r="F1126" i="1"/>
  <c r="E1126" i="1"/>
  <c r="D1126" i="1"/>
  <c r="C1126" i="1"/>
  <c r="B1126" i="1"/>
  <c r="A1126" i="1"/>
  <c r="K1125" i="1"/>
  <c r="J1125" i="1"/>
  <c r="I1125" i="1"/>
  <c r="H1125" i="1"/>
  <c r="G1125" i="1"/>
  <c r="F1125" i="1"/>
  <c r="E1125" i="1"/>
  <c r="D1125" i="1"/>
  <c r="C1125" i="1"/>
  <c r="B1125" i="1"/>
  <c r="A1125" i="1"/>
  <c r="K1124" i="1"/>
  <c r="I1124" i="1"/>
  <c r="H1124" i="1"/>
  <c r="G1124" i="1"/>
  <c r="F1124" i="1"/>
  <c r="E1124" i="1"/>
  <c r="D1124" i="1"/>
  <c r="C1124" i="1"/>
  <c r="B1124" i="1"/>
  <c r="A1124" i="1"/>
  <c r="K1123" i="1"/>
  <c r="I1123" i="1"/>
  <c r="H1123" i="1"/>
  <c r="G1123" i="1"/>
  <c r="F1123" i="1"/>
  <c r="E1123" i="1"/>
  <c r="D1123" i="1"/>
  <c r="C1123" i="1"/>
  <c r="B1123" i="1"/>
  <c r="A1123" i="1"/>
  <c r="K1122" i="1"/>
  <c r="I1122" i="1"/>
  <c r="H1122" i="1"/>
  <c r="G1122" i="1"/>
  <c r="F1122" i="1"/>
  <c r="E1122" i="1"/>
  <c r="D1122" i="1"/>
  <c r="C1122" i="1"/>
  <c r="B1122" i="1"/>
  <c r="A1122" i="1"/>
  <c r="K1121" i="1"/>
  <c r="I1121" i="1"/>
  <c r="H1121" i="1"/>
  <c r="G1121" i="1"/>
  <c r="F1121" i="1"/>
  <c r="E1121" i="1"/>
  <c r="D1121" i="1"/>
  <c r="C1121" i="1"/>
  <c r="B1121" i="1"/>
  <c r="A1121" i="1"/>
  <c r="K1120" i="1"/>
  <c r="J1120" i="1"/>
  <c r="I1120" i="1"/>
  <c r="H1120" i="1"/>
  <c r="G1120" i="1"/>
  <c r="F1120" i="1"/>
  <c r="E1120" i="1"/>
  <c r="D1120" i="1"/>
  <c r="C1120" i="1"/>
  <c r="B1120" i="1"/>
  <c r="A1120" i="1"/>
  <c r="K1119" i="1"/>
  <c r="I1119" i="1"/>
  <c r="H1119" i="1"/>
  <c r="G1119" i="1"/>
  <c r="F1119" i="1"/>
  <c r="E1119" i="1"/>
  <c r="D1119" i="1"/>
  <c r="C1119" i="1"/>
  <c r="B1119" i="1"/>
  <c r="A1119" i="1"/>
  <c r="K1118" i="1"/>
  <c r="I1118" i="1"/>
  <c r="H1118" i="1"/>
  <c r="G1118" i="1"/>
  <c r="F1118" i="1"/>
  <c r="E1118" i="1"/>
  <c r="D1118" i="1"/>
  <c r="C1118" i="1"/>
  <c r="B1118" i="1"/>
  <c r="A1118" i="1"/>
  <c r="K1117" i="1"/>
  <c r="I1117" i="1"/>
  <c r="H1117" i="1"/>
  <c r="G1117" i="1"/>
  <c r="F1117" i="1"/>
  <c r="E1117" i="1"/>
  <c r="D1117" i="1"/>
  <c r="C1117" i="1"/>
  <c r="B1117" i="1"/>
  <c r="A1117" i="1"/>
  <c r="K1116" i="1"/>
  <c r="J1116" i="1"/>
  <c r="H1116" i="1"/>
  <c r="G1116" i="1"/>
  <c r="F1116" i="1"/>
  <c r="E1116" i="1"/>
  <c r="D1116" i="1"/>
  <c r="C1116" i="1"/>
  <c r="B1116" i="1"/>
  <c r="A1116" i="1"/>
  <c r="K1115" i="1"/>
  <c r="J1115" i="1"/>
  <c r="H1115" i="1"/>
  <c r="G1115" i="1"/>
  <c r="F1115" i="1"/>
  <c r="E1115" i="1"/>
  <c r="D1115" i="1"/>
  <c r="C1115" i="1"/>
  <c r="B1115" i="1"/>
  <c r="A1115" i="1"/>
  <c r="K1114" i="1"/>
  <c r="J1114" i="1"/>
  <c r="H1114" i="1"/>
  <c r="G1114" i="1"/>
  <c r="F1114" i="1"/>
  <c r="E1114" i="1"/>
  <c r="D1114" i="1"/>
  <c r="C1114" i="1"/>
  <c r="B1114" i="1"/>
  <c r="A1114" i="1"/>
  <c r="K1113" i="1"/>
  <c r="J1113" i="1"/>
  <c r="H1113" i="1"/>
  <c r="G1113" i="1"/>
  <c r="F1113" i="1"/>
  <c r="E1113" i="1"/>
  <c r="D1113" i="1"/>
  <c r="C1113" i="1"/>
  <c r="B1113" i="1"/>
  <c r="A1113" i="1"/>
  <c r="K1112" i="1"/>
  <c r="J1112" i="1"/>
  <c r="H1112" i="1"/>
  <c r="G1112" i="1"/>
  <c r="F1112" i="1"/>
  <c r="E1112" i="1"/>
  <c r="D1112" i="1"/>
  <c r="C1112" i="1"/>
  <c r="B1112" i="1"/>
  <c r="A1112" i="1"/>
  <c r="K1111" i="1"/>
  <c r="J1111" i="1"/>
  <c r="H1111" i="1"/>
  <c r="G1111" i="1"/>
  <c r="F1111" i="1"/>
  <c r="E1111" i="1"/>
  <c r="D1111" i="1"/>
  <c r="C1111" i="1"/>
  <c r="B1111" i="1"/>
  <c r="A1111" i="1"/>
  <c r="K1110" i="1"/>
  <c r="J1110" i="1"/>
  <c r="H1110" i="1"/>
  <c r="G1110" i="1"/>
  <c r="F1110" i="1"/>
  <c r="E1110" i="1"/>
  <c r="D1110" i="1"/>
  <c r="C1110" i="1"/>
  <c r="B1110" i="1"/>
  <c r="A1110" i="1"/>
  <c r="K1109" i="1"/>
  <c r="J1109" i="1"/>
  <c r="H1109" i="1"/>
  <c r="G1109" i="1"/>
  <c r="F1109" i="1"/>
  <c r="E1109" i="1"/>
  <c r="D1109" i="1"/>
  <c r="C1109" i="1"/>
  <c r="B1109" i="1"/>
  <c r="A1109" i="1"/>
  <c r="K1108" i="1"/>
  <c r="J1108" i="1"/>
  <c r="H1108" i="1"/>
  <c r="G1108" i="1"/>
  <c r="F1108" i="1"/>
  <c r="E1108" i="1"/>
  <c r="D1108" i="1"/>
  <c r="C1108" i="1"/>
  <c r="B1108" i="1"/>
  <c r="A1108" i="1"/>
  <c r="K1107" i="1"/>
  <c r="J1107" i="1"/>
  <c r="H1107" i="1"/>
  <c r="G1107" i="1"/>
  <c r="F1107" i="1"/>
  <c r="E1107" i="1"/>
  <c r="D1107" i="1"/>
  <c r="C1107" i="1"/>
  <c r="B1107" i="1"/>
  <c r="A1107" i="1"/>
  <c r="K1106" i="1"/>
  <c r="I1106" i="1"/>
  <c r="H1106" i="1"/>
  <c r="G1106" i="1"/>
  <c r="F1106" i="1"/>
  <c r="E1106" i="1"/>
  <c r="D1106" i="1"/>
  <c r="C1106" i="1"/>
  <c r="B1106" i="1"/>
  <c r="A1106" i="1"/>
  <c r="K1105" i="1"/>
  <c r="I1105" i="1"/>
  <c r="H1105" i="1"/>
  <c r="G1105" i="1"/>
  <c r="F1105" i="1"/>
  <c r="E1105" i="1"/>
  <c r="D1105" i="1"/>
  <c r="C1105" i="1"/>
  <c r="B1105" i="1"/>
  <c r="A1105" i="1"/>
  <c r="K1104" i="1"/>
  <c r="I1104" i="1"/>
  <c r="H1104" i="1"/>
  <c r="G1104" i="1"/>
  <c r="F1104" i="1"/>
  <c r="E1104" i="1"/>
  <c r="D1104" i="1"/>
  <c r="C1104" i="1"/>
  <c r="B1104" i="1"/>
  <c r="A1104" i="1"/>
  <c r="K1103" i="1"/>
  <c r="I1103" i="1"/>
  <c r="H1103" i="1"/>
  <c r="G1103" i="1"/>
  <c r="F1103" i="1"/>
  <c r="E1103" i="1"/>
  <c r="D1103" i="1"/>
  <c r="C1103" i="1"/>
  <c r="B1103" i="1"/>
  <c r="A1103" i="1"/>
  <c r="K1102" i="1"/>
  <c r="I1102" i="1"/>
  <c r="H1102" i="1"/>
  <c r="G1102" i="1"/>
  <c r="F1102" i="1"/>
  <c r="E1102" i="1"/>
  <c r="D1102" i="1"/>
  <c r="C1102" i="1"/>
  <c r="B1102" i="1"/>
  <c r="A1102" i="1"/>
  <c r="K1101" i="1"/>
  <c r="J1101" i="1"/>
  <c r="I1101" i="1"/>
  <c r="H1101" i="1"/>
  <c r="G1101" i="1"/>
  <c r="F1101" i="1"/>
  <c r="E1101" i="1"/>
  <c r="D1101" i="1"/>
  <c r="C1101" i="1"/>
  <c r="B1101" i="1"/>
  <c r="A1101" i="1"/>
  <c r="K1100" i="1"/>
  <c r="I1100" i="1"/>
  <c r="H1100" i="1"/>
  <c r="G1100" i="1"/>
  <c r="F1100" i="1"/>
  <c r="E1100" i="1"/>
  <c r="D1100" i="1"/>
  <c r="C1100" i="1"/>
  <c r="B1100" i="1"/>
  <c r="A1100" i="1"/>
  <c r="K1099" i="1"/>
  <c r="I1099" i="1"/>
  <c r="H1099" i="1"/>
  <c r="G1099" i="1"/>
  <c r="F1099" i="1"/>
  <c r="E1099" i="1"/>
  <c r="D1099" i="1"/>
  <c r="C1099" i="1"/>
  <c r="B1099" i="1"/>
  <c r="A1099" i="1"/>
  <c r="K1098" i="1"/>
  <c r="J1098" i="1"/>
  <c r="I1098" i="1"/>
  <c r="H1098" i="1"/>
  <c r="G1098" i="1"/>
  <c r="F1098" i="1"/>
  <c r="E1098" i="1"/>
  <c r="D1098" i="1"/>
  <c r="C1098" i="1"/>
  <c r="B1098" i="1"/>
  <c r="A1098" i="1"/>
  <c r="K1097" i="1"/>
  <c r="I1097" i="1"/>
  <c r="H1097" i="1"/>
  <c r="G1097" i="1"/>
  <c r="F1097" i="1"/>
  <c r="E1097" i="1"/>
  <c r="D1097" i="1"/>
  <c r="C1097" i="1"/>
  <c r="B1097" i="1"/>
  <c r="A1097" i="1"/>
  <c r="K1096" i="1"/>
  <c r="I1096" i="1"/>
  <c r="H1096" i="1"/>
  <c r="G1096" i="1"/>
  <c r="F1096" i="1"/>
  <c r="E1096" i="1"/>
  <c r="D1096" i="1"/>
  <c r="C1096" i="1"/>
  <c r="B1096" i="1"/>
  <c r="A1096" i="1"/>
  <c r="K1095" i="1"/>
  <c r="J1095" i="1"/>
  <c r="I1095" i="1"/>
  <c r="H1095" i="1"/>
  <c r="G1095" i="1"/>
  <c r="F1095" i="1"/>
  <c r="E1095" i="1"/>
  <c r="D1095" i="1"/>
  <c r="C1095" i="1"/>
  <c r="B1095" i="1"/>
  <c r="A1095" i="1"/>
  <c r="K1094" i="1"/>
  <c r="I1094" i="1"/>
  <c r="H1094" i="1"/>
  <c r="G1094" i="1"/>
  <c r="F1094" i="1"/>
  <c r="E1094" i="1"/>
  <c r="D1094" i="1"/>
  <c r="C1094" i="1"/>
  <c r="B1094" i="1"/>
  <c r="A1094" i="1"/>
  <c r="K1093" i="1"/>
  <c r="J1093" i="1"/>
  <c r="I1093" i="1"/>
  <c r="H1093" i="1"/>
  <c r="G1093" i="1"/>
  <c r="F1093" i="1"/>
  <c r="E1093" i="1"/>
  <c r="D1093" i="1"/>
  <c r="C1093" i="1"/>
  <c r="B1093" i="1"/>
  <c r="A1093" i="1"/>
  <c r="K1092" i="1"/>
  <c r="J1092" i="1"/>
  <c r="H1092" i="1"/>
  <c r="G1092" i="1"/>
  <c r="F1092" i="1"/>
  <c r="E1092" i="1"/>
  <c r="D1092" i="1"/>
  <c r="C1092" i="1"/>
  <c r="B1092" i="1"/>
  <c r="A1092" i="1"/>
  <c r="K1091" i="1"/>
  <c r="J1091" i="1"/>
  <c r="I1091" i="1"/>
  <c r="H1091" i="1"/>
  <c r="G1091" i="1"/>
  <c r="F1091" i="1"/>
  <c r="E1091" i="1"/>
  <c r="D1091" i="1"/>
  <c r="C1091" i="1"/>
  <c r="B1091" i="1"/>
  <c r="A1091" i="1"/>
  <c r="K1090" i="1"/>
  <c r="J1090" i="1"/>
  <c r="I1090" i="1"/>
  <c r="H1090" i="1"/>
  <c r="G1090" i="1"/>
  <c r="F1090" i="1"/>
  <c r="E1090" i="1"/>
  <c r="D1090" i="1"/>
  <c r="C1090" i="1"/>
  <c r="B1090" i="1"/>
  <c r="A1090" i="1"/>
  <c r="K1089" i="1"/>
  <c r="J1089" i="1"/>
  <c r="I1089" i="1"/>
  <c r="H1089" i="1"/>
  <c r="G1089" i="1"/>
  <c r="F1089" i="1"/>
  <c r="E1089" i="1"/>
  <c r="D1089" i="1"/>
  <c r="C1089" i="1"/>
  <c r="B1089" i="1"/>
  <c r="A1089" i="1"/>
  <c r="K1088" i="1"/>
  <c r="I1088" i="1"/>
  <c r="H1088" i="1"/>
  <c r="G1088" i="1"/>
  <c r="F1088" i="1"/>
  <c r="E1088" i="1"/>
  <c r="D1088" i="1"/>
  <c r="C1088" i="1"/>
  <c r="B1088" i="1"/>
  <c r="A1088" i="1"/>
  <c r="K1087" i="1"/>
  <c r="I1087" i="1"/>
  <c r="H1087" i="1"/>
  <c r="G1087" i="1"/>
  <c r="F1087" i="1"/>
  <c r="E1087" i="1"/>
  <c r="D1087" i="1"/>
  <c r="C1087" i="1"/>
  <c r="B1087" i="1"/>
  <c r="A1087" i="1"/>
  <c r="K1086" i="1"/>
  <c r="I1086" i="1"/>
  <c r="H1086" i="1"/>
  <c r="G1086" i="1"/>
  <c r="F1086" i="1"/>
  <c r="E1086" i="1"/>
  <c r="D1086" i="1"/>
  <c r="C1086" i="1"/>
  <c r="B1086" i="1"/>
  <c r="A1086" i="1"/>
  <c r="K1085" i="1"/>
  <c r="I1085" i="1"/>
  <c r="H1085" i="1"/>
  <c r="G1085" i="1"/>
  <c r="F1085" i="1"/>
  <c r="E1085" i="1"/>
  <c r="D1085" i="1"/>
  <c r="C1085" i="1"/>
  <c r="B1085" i="1"/>
  <c r="A1085" i="1"/>
  <c r="K1084" i="1"/>
  <c r="I1084" i="1"/>
  <c r="H1084" i="1"/>
  <c r="G1084" i="1"/>
  <c r="F1084" i="1"/>
  <c r="E1084" i="1"/>
  <c r="D1084" i="1"/>
  <c r="C1084" i="1"/>
  <c r="B1084" i="1"/>
  <c r="A1084" i="1"/>
  <c r="K1083" i="1"/>
  <c r="I1083" i="1"/>
  <c r="H1083" i="1"/>
  <c r="G1083" i="1"/>
  <c r="F1083" i="1"/>
  <c r="E1083" i="1"/>
  <c r="D1083" i="1"/>
  <c r="C1083" i="1"/>
  <c r="B1083" i="1"/>
  <c r="A1083" i="1"/>
  <c r="K1082" i="1"/>
  <c r="J1082" i="1"/>
  <c r="I1082" i="1"/>
  <c r="H1082" i="1"/>
  <c r="G1082" i="1"/>
  <c r="F1082" i="1"/>
  <c r="E1082" i="1"/>
  <c r="D1082" i="1"/>
  <c r="C1082" i="1"/>
  <c r="B1082" i="1"/>
  <c r="A1082" i="1"/>
  <c r="K1081" i="1"/>
  <c r="I1081" i="1"/>
  <c r="H1081" i="1"/>
  <c r="G1081" i="1"/>
  <c r="F1081" i="1"/>
  <c r="E1081" i="1"/>
  <c r="D1081" i="1"/>
  <c r="C1081" i="1"/>
  <c r="B1081" i="1"/>
  <c r="A1081" i="1"/>
  <c r="K1080" i="1"/>
  <c r="J1080" i="1"/>
  <c r="I1080" i="1"/>
  <c r="H1080" i="1"/>
  <c r="G1080" i="1"/>
  <c r="F1080" i="1"/>
  <c r="E1080" i="1"/>
  <c r="D1080" i="1"/>
  <c r="C1080" i="1"/>
  <c r="B1080" i="1"/>
  <c r="A1080" i="1"/>
  <c r="K1079" i="1"/>
  <c r="I1079" i="1"/>
  <c r="H1079" i="1"/>
  <c r="G1079" i="1"/>
  <c r="F1079" i="1"/>
  <c r="E1079" i="1"/>
  <c r="D1079" i="1"/>
  <c r="C1079" i="1"/>
  <c r="B1079" i="1"/>
  <c r="A1079" i="1"/>
  <c r="K1078" i="1"/>
  <c r="I1078" i="1"/>
  <c r="H1078" i="1"/>
  <c r="G1078" i="1"/>
  <c r="F1078" i="1"/>
  <c r="E1078" i="1"/>
  <c r="D1078" i="1"/>
  <c r="C1078" i="1"/>
  <c r="B1078" i="1"/>
  <c r="A1078" i="1"/>
  <c r="K1077" i="1"/>
  <c r="I1077" i="1"/>
  <c r="H1077" i="1"/>
  <c r="G1077" i="1"/>
  <c r="F1077" i="1"/>
  <c r="E1077" i="1"/>
  <c r="D1077" i="1"/>
  <c r="C1077" i="1"/>
  <c r="B1077" i="1"/>
  <c r="A1077" i="1"/>
  <c r="K1076" i="1"/>
  <c r="I1076" i="1"/>
  <c r="H1076" i="1"/>
  <c r="G1076" i="1"/>
  <c r="F1076" i="1"/>
  <c r="E1076" i="1"/>
  <c r="D1076" i="1"/>
  <c r="C1076" i="1"/>
  <c r="B1076" i="1"/>
  <c r="A1076" i="1"/>
  <c r="K1075" i="1"/>
  <c r="I1075" i="1"/>
  <c r="H1075" i="1"/>
  <c r="G1075" i="1"/>
  <c r="F1075" i="1"/>
  <c r="E1075" i="1"/>
  <c r="D1075" i="1"/>
  <c r="C1075" i="1"/>
  <c r="B1075" i="1"/>
  <c r="A1075" i="1"/>
  <c r="K1074" i="1"/>
  <c r="I1074" i="1"/>
  <c r="H1074" i="1"/>
  <c r="G1074" i="1"/>
  <c r="F1074" i="1"/>
  <c r="E1074" i="1"/>
  <c r="D1074" i="1"/>
  <c r="C1074" i="1"/>
  <c r="B1074" i="1"/>
  <c r="A1074" i="1"/>
  <c r="K1073" i="1"/>
  <c r="I1073" i="1"/>
  <c r="H1073" i="1"/>
  <c r="G1073" i="1"/>
  <c r="F1073" i="1"/>
  <c r="E1073" i="1"/>
  <c r="D1073" i="1"/>
  <c r="C1073" i="1"/>
  <c r="B1073" i="1"/>
  <c r="A1073" i="1"/>
  <c r="K1072" i="1"/>
  <c r="I1072" i="1"/>
  <c r="H1072" i="1"/>
  <c r="G1072" i="1"/>
  <c r="F1072" i="1"/>
  <c r="E1072" i="1"/>
  <c r="D1072" i="1"/>
  <c r="C1072" i="1"/>
  <c r="B1072" i="1"/>
  <c r="A1072" i="1"/>
  <c r="K1071" i="1"/>
  <c r="I1071" i="1"/>
  <c r="H1071" i="1"/>
  <c r="G1071" i="1"/>
  <c r="F1071" i="1"/>
  <c r="E1071" i="1"/>
  <c r="D1071" i="1"/>
  <c r="C1071" i="1"/>
  <c r="B1071" i="1"/>
  <c r="A1071" i="1"/>
  <c r="K1070" i="1"/>
  <c r="I1070" i="1"/>
  <c r="H1070" i="1"/>
  <c r="G1070" i="1"/>
  <c r="F1070" i="1"/>
  <c r="E1070" i="1"/>
  <c r="D1070" i="1"/>
  <c r="C1070" i="1"/>
  <c r="B1070" i="1"/>
  <c r="A1070" i="1"/>
  <c r="K1069" i="1"/>
  <c r="I1069" i="1"/>
  <c r="H1069" i="1"/>
  <c r="G1069" i="1"/>
  <c r="F1069" i="1"/>
  <c r="E1069" i="1"/>
  <c r="D1069" i="1"/>
  <c r="C1069" i="1"/>
  <c r="B1069" i="1"/>
  <c r="A1069" i="1"/>
  <c r="K1068" i="1"/>
  <c r="I1068" i="1"/>
  <c r="H1068" i="1"/>
  <c r="G1068" i="1"/>
  <c r="F1068" i="1"/>
  <c r="E1068" i="1"/>
  <c r="D1068" i="1"/>
  <c r="C1068" i="1"/>
  <c r="B1068" i="1"/>
  <c r="A1068" i="1"/>
  <c r="K1067" i="1"/>
  <c r="J1067" i="1"/>
  <c r="I1067" i="1"/>
  <c r="H1067" i="1"/>
  <c r="G1067" i="1"/>
  <c r="F1067" i="1"/>
  <c r="E1067" i="1"/>
  <c r="D1067" i="1"/>
  <c r="C1067" i="1"/>
  <c r="B1067" i="1"/>
  <c r="A1067" i="1"/>
  <c r="K1066" i="1"/>
  <c r="I1066" i="1"/>
  <c r="H1066" i="1"/>
  <c r="G1066" i="1"/>
  <c r="F1066" i="1"/>
  <c r="E1066" i="1"/>
  <c r="D1066" i="1"/>
  <c r="C1066" i="1"/>
  <c r="B1066" i="1"/>
  <c r="A1066" i="1"/>
  <c r="K1065" i="1"/>
  <c r="I1065" i="1"/>
  <c r="H1065" i="1"/>
  <c r="G1065" i="1"/>
  <c r="F1065" i="1"/>
  <c r="E1065" i="1"/>
  <c r="D1065" i="1"/>
  <c r="C1065" i="1"/>
  <c r="B1065" i="1"/>
  <c r="A1065" i="1"/>
  <c r="K1064" i="1"/>
  <c r="J1064" i="1"/>
  <c r="I1064" i="1"/>
  <c r="H1064" i="1"/>
  <c r="G1064" i="1"/>
  <c r="F1064" i="1"/>
  <c r="E1064" i="1"/>
  <c r="D1064" i="1"/>
  <c r="C1064" i="1"/>
  <c r="B1064" i="1"/>
  <c r="A1064" i="1"/>
  <c r="K1063" i="1"/>
  <c r="J1063" i="1"/>
  <c r="I1063" i="1"/>
  <c r="H1063" i="1"/>
  <c r="G1063" i="1"/>
  <c r="F1063" i="1"/>
  <c r="E1063" i="1"/>
  <c r="D1063" i="1"/>
  <c r="C1063" i="1"/>
  <c r="B1063" i="1"/>
  <c r="A1063" i="1"/>
  <c r="K1062" i="1"/>
  <c r="I1062" i="1"/>
  <c r="H1062" i="1"/>
  <c r="G1062" i="1"/>
  <c r="F1062" i="1"/>
  <c r="E1062" i="1"/>
  <c r="D1062" i="1"/>
  <c r="C1062" i="1"/>
  <c r="B1062" i="1"/>
  <c r="A1062" i="1"/>
  <c r="K1061" i="1"/>
  <c r="I1061" i="1"/>
  <c r="H1061" i="1"/>
  <c r="G1061" i="1"/>
  <c r="F1061" i="1"/>
  <c r="E1061" i="1"/>
  <c r="D1061" i="1"/>
  <c r="C1061" i="1"/>
  <c r="B1061" i="1"/>
  <c r="A1061" i="1"/>
  <c r="K1060" i="1"/>
  <c r="J1060" i="1"/>
  <c r="I1060" i="1"/>
  <c r="H1060" i="1"/>
  <c r="G1060" i="1"/>
  <c r="F1060" i="1"/>
  <c r="E1060" i="1"/>
  <c r="D1060" i="1"/>
  <c r="C1060" i="1"/>
  <c r="B1060" i="1"/>
  <c r="A1060" i="1"/>
  <c r="K1059" i="1"/>
  <c r="I1059" i="1"/>
  <c r="H1059" i="1"/>
  <c r="G1059" i="1"/>
  <c r="F1059" i="1"/>
  <c r="E1059" i="1"/>
  <c r="D1059" i="1"/>
  <c r="C1059" i="1"/>
  <c r="B1059" i="1"/>
  <c r="A1059" i="1"/>
  <c r="K1058" i="1"/>
  <c r="I1058" i="1"/>
  <c r="H1058" i="1"/>
  <c r="G1058" i="1"/>
  <c r="F1058" i="1"/>
  <c r="E1058" i="1"/>
  <c r="D1058" i="1"/>
  <c r="C1058" i="1"/>
  <c r="B1058" i="1"/>
  <c r="A1058" i="1"/>
  <c r="K1057" i="1"/>
  <c r="J1057" i="1"/>
  <c r="I1057" i="1"/>
  <c r="H1057" i="1"/>
  <c r="G1057" i="1"/>
  <c r="F1057" i="1"/>
  <c r="E1057" i="1"/>
  <c r="D1057" i="1"/>
  <c r="C1057" i="1"/>
  <c r="B1057" i="1"/>
  <c r="A1057" i="1"/>
  <c r="K1056" i="1"/>
  <c r="I1056" i="1"/>
  <c r="H1056" i="1"/>
  <c r="G1056" i="1"/>
  <c r="F1056" i="1"/>
  <c r="E1056" i="1"/>
  <c r="D1056" i="1"/>
  <c r="C1056" i="1"/>
  <c r="B1056" i="1"/>
  <c r="A1056" i="1"/>
  <c r="K1055" i="1"/>
  <c r="I1055" i="1"/>
  <c r="H1055" i="1"/>
  <c r="G1055" i="1"/>
  <c r="F1055" i="1"/>
  <c r="E1055" i="1"/>
  <c r="D1055" i="1"/>
  <c r="C1055" i="1"/>
  <c r="B1055" i="1"/>
  <c r="A1055" i="1"/>
  <c r="K1054" i="1"/>
  <c r="I1054" i="1"/>
  <c r="H1054" i="1"/>
  <c r="G1054" i="1"/>
  <c r="F1054" i="1"/>
  <c r="E1054" i="1"/>
  <c r="D1054" i="1"/>
  <c r="C1054" i="1"/>
  <c r="B1054" i="1"/>
  <c r="A1054" i="1"/>
  <c r="K1053" i="1"/>
  <c r="I1053" i="1"/>
  <c r="H1053" i="1"/>
  <c r="G1053" i="1"/>
  <c r="F1053" i="1"/>
  <c r="E1053" i="1"/>
  <c r="D1053" i="1"/>
  <c r="C1053" i="1"/>
  <c r="B1053" i="1"/>
  <c r="A1053" i="1"/>
  <c r="K1052" i="1"/>
  <c r="J1052" i="1"/>
  <c r="I1052" i="1"/>
  <c r="H1052" i="1"/>
  <c r="G1052" i="1"/>
  <c r="F1052" i="1"/>
  <c r="E1052" i="1"/>
  <c r="D1052" i="1"/>
  <c r="C1052" i="1"/>
  <c r="B1052" i="1"/>
  <c r="A1052" i="1"/>
  <c r="K1051" i="1"/>
  <c r="I1051" i="1"/>
  <c r="H1051" i="1"/>
  <c r="G1051" i="1"/>
  <c r="F1051" i="1"/>
  <c r="E1051" i="1"/>
  <c r="D1051" i="1"/>
  <c r="C1051" i="1"/>
  <c r="B1051" i="1"/>
  <c r="A1051" i="1"/>
  <c r="K1050" i="1"/>
  <c r="J1050" i="1"/>
  <c r="I1050" i="1"/>
  <c r="H1050" i="1"/>
  <c r="G1050" i="1"/>
  <c r="F1050" i="1"/>
  <c r="E1050" i="1"/>
  <c r="D1050" i="1"/>
  <c r="C1050" i="1"/>
  <c r="B1050" i="1"/>
  <c r="A1050" i="1"/>
  <c r="K1049" i="1"/>
  <c r="I1049" i="1"/>
  <c r="H1049" i="1"/>
  <c r="G1049" i="1"/>
  <c r="F1049" i="1"/>
  <c r="E1049" i="1"/>
  <c r="D1049" i="1"/>
  <c r="C1049" i="1"/>
  <c r="B1049" i="1"/>
  <c r="A1049" i="1"/>
  <c r="K1048" i="1"/>
  <c r="J1048" i="1"/>
  <c r="I1048" i="1"/>
  <c r="H1048" i="1"/>
  <c r="G1048" i="1"/>
  <c r="F1048" i="1"/>
  <c r="E1048" i="1"/>
  <c r="D1048" i="1"/>
  <c r="C1048" i="1"/>
  <c r="B1048" i="1"/>
  <c r="A1048" i="1"/>
  <c r="K1047" i="1"/>
  <c r="I1047" i="1"/>
  <c r="H1047" i="1"/>
  <c r="G1047" i="1"/>
  <c r="F1047" i="1"/>
  <c r="E1047" i="1"/>
  <c r="D1047" i="1"/>
  <c r="C1047" i="1"/>
  <c r="B1047" i="1"/>
  <c r="A1047" i="1"/>
  <c r="K1046" i="1"/>
  <c r="I1046" i="1"/>
  <c r="H1046" i="1"/>
  <c r="G1046" i="1"/>
  <c r="F1046" i="1"/>
  <c r="E1046" i="1"/>
  <c r="D1046" i="1"/>
  <c r="C1046" i="1"/>
  <c r="B1046" i="1"/>
  <c r="A1046" i="1"/>
  <c r="K1045" i="1"/>
  <c r="I1045" i="1"/>
  <c r="H1045" i="1"/>
  <c r="G1045" i="1"/>
  <c r="F1045" i="1"/>
  <c r="E1045" i="1"/>
  <c r="D1045" i="1"/>
  <c r="C1045" i="1"/>
  <c r="B1045" i="1"/>
  <c r="A1045" i="1"/>
  <c r="K1044" i="1"/>
  <c r="I1044" i="1"/>
  <c r="H1044" i="1"/>
  <c r="G1044" i="1"/>
  <c r="F1044" i="1"/>
  <c r="E1044" i="1"/>
  <c r="D1044" i="1"/>
  <c r="C1044" i="1"/>
  <c r="B1044" i="1"/>
  <c r="A1044" i="1"/>
  <c r="K1043" i="1"/>
  <c r="I1043" i="1"/>
  <c r="H1043" i="1"/>
  <c r="G1043" i="1"/>
  <c r="F1043" i="1"/>
  <c r="E1043" i="1"/>
  <c r="D1043" i="1"/>
  <c r="C1043" i="1"/>
  <c r="B1043" i="1"/>
  <c r="A1043" i="1"/>
  <c r="K1042" i="1"/>
  <c r="I1042" i="1"/>
  <c r="H1042" i="1"/>
  <c r="G1042" i="1"/>
  <c r="F1042" i="1"/>
  <c r="E1042" i="1"/>
  <c r="D1042" i="1"/>
  <c r="C1042" i="1"/>
  <c r="B1042" i="1"/>
  <c r="A1042" i="1"/>
  <c r="K1041" i="1"/>
  <c r="I1041" i="1"/>
  <c r="H1041" i="1"/>
  <c r="G1041" i="1"/>
  <c r="F1041" i="1"/>
  <c r="E1041" i="1"/>
  <c r="D1041" i="1"/>
  <c r="C1041" i="1"/>
  <c r="B1041" i="1"/>
  <c r="A1041" i="1"/>
  <c r="K1040" i="1"/>
  <c r="I1040" i="1"/>
  <c r="H1040" i="1"/>
  <c r="G1040" i="1"/>
  <c r="F1040" i="1"/>
  <c r="E1040" i="1"/>
  <c r="D1040" i="1"/>
  <c r="C1040" i="1"/>
  <c r="B1040" i="1"/>
  <c r="A1040" i="1"/>
  <c r="K1039" i="1"/>
  <c r="I1039" i="1"/>
  <c r="H1039" i="1"/>
  <c r="G1039" i="1"/>
  <c r="F1039" i="1"/>
  <c r="E1039" i="1"/>
  <c r="D1039" i="1"/>
  <c r="C1039" i="1"/>
  <c r="B1039" i="1"/>
  <c r="A1039" i="1"/>
  <c r="K1038" i="1"/>
  <c r="J1038" i="1"/>
  <c r="I1038" i="1"/>
  <c r="H1038" i="1"/>
  <c r="G1038" i="1"/>
  <c r="F1038" i="1"/>
  <c r="E1038" i="1"/>
  <c r="D1038" i="1"/>
  <c r="C1038" i="1"/>
  <c r="B1038" i="1"/>
  <c r="A1038" i="1"/>
  <c r="K1037" i="1"/>
  <c r="I1037" i="1"/>
  <c r="H1037" i="1"/>
  <c r="G1037" i="1"/>
  <c r="F1037" i="1"/>
  <c r="E1037" i="1"/>
  <c r="D1037" i="1"/>
  <c r="C1037" i="1"/>
  <c r="B1037" i="1"/>
  <c r="A1037" i="1"/>
  <c r="K1036" i="1"/>
  <c r="I1036" i="1"/>
  <c r="H1036" i="1"/>
  <c r="G1036" i="1"/>
  <c r="F1036" i="1"/>
  <c r="E1036" i="1"/>
  <c r="D1036" i="1"/>
  <c r="C1036" i="1"/>
  <c r="B1036" i="1"/>
  <c r="A1036" i="1"/>
  <c r="K1035" i="1"/>
  <c r="J1035" i="1"/>
  <c r="H1035" i="1"/>
  <c r="G1035" i="1"/>
  <c r="F1035" i="1"/>
  <c r="E1035" i="1"/>
  <c r="D1035" i="1"/>
  <c r="C1035" i="1"/>
  <c r="B1035" i="1"/>
  <c r="A1035" i="1"/>
  <c r="K1034" i="1"/>
  <c r="I1034" i="1"/>
  <c r="H1034" i="1"/>
  <c r="G1034" i="1"/>
  <c r="F1034" i="1"/>
  <c r="E1034" i="1"/>
  <c r="D1034" i="1"/>
  <c r="C1034" i="1"/>
  <c r="B1034" i="1"/>
  <c r="A1034" i="1"/>
  <c r="K1033" i="1"/>
  <c r="I1033" i="1"/>
  <c r="H1033" i="1"/>
  <c r="G1033" i="1"/>
  <c r="F1033" i="1"/>
  <c r="E1033" i="1"/>
  <c r="D1033" i="1"/>
  <c r="C1033" i="1"/>
  <c r="B1033" i="1"/>
  <c r="A1033" i="1"/>
  <c r="K1032" i="1"/>
  <c r="I1032" i="1"/>
  <c r="H1032" i="1"/>
  <c r="G1032" i="1"/>
  <c r="F1032" i="1"/>
  <c r="E1032" i="1"/>
  <c r="D1032" i="1"/>
  <c r="C1032" i="1"/>
  <c r="B1032" i="1"/>
  <c r="A1032" i="1"/>
  <c r="K1031" i="1"/>
  <c r="J1031" i="1"/>
  <c r="I1031" i="1"/>
  <c r="H1031" i="1"/>
  <c r="G1031" i="1"/>
  <c r="F1031" i="1"/>
  <c r="E1031" i="1"/>
  <c r="D1031" i="1"/>
  <c r="C1031" i="1"/>
  <c r="B1031" i="1"/>
  <c r="A1031" i="1"/>
  <c r="K1030" i="1"/>
  <c r="I1030" i="1"/>
  <c r="H1030" i="1"/>
  <c r="G1030" i="1"/>
  <c r="F1030" i="1"/>
  <c r="E1030" i="1"/>
  <c r="D1030" i="1"/>
  <c r="C1030" i="1"/>
  <c r="B1030" i="1"/>
  <c r="A1030" i="1"/>
  <c r="K1029" i="1"/>
  <c r="I1029" i="1"/>
  <c r="H1029" i="1"/>
  <c r="G1029" i="1"/>
  <c r="F1029" i="1"/>
  <c r="E1029" i="1"/>
  <c r="D1029" i="1"/>
  <c r="C1029" i="1"/>
  <c r="B1029" i="1"/>
  <c r="A1029" i="1"/>
  <c r="K1028" i="1"/>
  <c r="I1028" i="1"/>
  <c r="H1028" i="1"/>
  <c r="G1028" i="1"/>
  <c r="F1028" i="1"/>
  <c r="E1028" i="1"/>
  <c r="D1028" i="1"/>
  <c r="C1028" i="1"/>
  <c r="B1028" i="1"/>
  <c r="A1028" i="1"/>
  <c r="K1027" i="1"/>
  <c r="J1027" i="1"/>
  <c r="H1027" i="1"/>
  <c r="G1027" i="1"/>
  <c r="F1027" i="1"/>
  <c r="E1027" i="1"/>
  <c r="D1027" i="1"/>
  <c r="C1027" i="1"/>
  <c r="B1027" i="1"/>
  <c r="A1027" i="1"/>
  <c r="K1026" i="1"/>
  <c r="J1026" i="1"/>
  <c r="I1026" i="1"/>
  <c r="H1026" i="1"/>
  <c r="G1026" i="1"/>
  <c r="F1026" i="1"/>
  <c r="E1026" i="1"/>
  <c r="D1026" i="1"/>
  <c r="C1026" i="1"/>
  <c r="B1026" i="1"/>
  <c r="A1026" i="1"/>
  <c r="K1025" i="1"/>
  <c r="J1025" i="1"/>
  <c r="I1025" i="1"/>
  <c r="H1025" i="1"/>
  <c r="G1025" i="1"/>
  <c r="F1025" i="1"/>
  <c r="E1025" i="1"/>
  <c r="D1025" i="1"/>
  <c r="C1025" i="1"/>
  <c r="B1025" i="1"/>
  <c r="A1025" i="1"/>
  <c r="K1024" i="1"/>
  <c r="J1024" i="1"/>
  <c r="I1024" i="1"/>
  <c r="H1024" i="1"/>
  <c r="G1024" i="1"/>
  <c r="F1024" i="1"/>
  <c r="E1024" i="1"/>
  <c r="D1024" i="1"/>
  <c r="C1024" i="1"/>
  <c r="B1024" i="1"/>
  <c r="A1024" i="1"/>
  <c r="K1023" i="1"/>
  <c r="I1023" i="1"/>
  <c r="H1023" i="1"/>
  <c r="G1023" i="1"/>
  <c r="F1023" i="1"/>
  <c r="E1023" i="1"/>
  <c r="D1023" i="1"/>
  <c r="C1023" i="1"/>
  <c r="B1023" i="1"/>
  <c r="A1023" i="1"/>
  <c r="K1022" i="1"/>
  <c r="I1022" i="1"/>
  <c r="H1022" i="1"/>
  <c r="G1022" i="1"/>
  <c r="F1022" i="1"/>
  <c r="E1022" i="1"/>
  <c r="D1022" i="1"/>
  <c r="C1022" i="1"/>
  <c r="B1022" i="1"/>
  <c r="A1022" i="1"/>
  <c r="K1021" i="1"/>
  <c r="J1021" i="1"/>
  <c r="I1021" i="1"/>
  <c r="H1021" i="1"/>
  <c r="G1021" i="1"/>
  <c r="F1021" i="1"/>
  <c r="E1021" i="1"/>
  <c r="D1021" i="1"/>
  <c r="C1021" i="1"/>
  <c r="B1021" i="1"/>
  <c r="A1021" i="1"/>
  <c r="K1020" i="1"/>
  <c r="J1020" i="1"/>
  <c r="I1020" i="1"/>
  <c r="H1020" i="1"/>
  <c r="G1020" i="1"/>
  <c r="F1020" i="1"/>
  <c r="E1020" i="1"/>
  <c r="D1020" i="1"/>
  <c r="C1020" i="1"/>
  <c r="B1020" i="1"/>
  <c r="A1020" i="1"/>
  <c r="K1019" i="1"/>
  <c r="I1019" i="1"/>
  <c r="H1019" i="1"/>
  <c r="G1019" i="1"/>
  <c r="F1019" i="1"/>
  <c r="E1019" i="1"/>
  <c r="D1019" i="1"/>
  <c r="C1019" i="1"/>
  <c r="B1019" i="1"/>
  <c r="A1019" i="1"/>
  <c r="K1018" i="1"/>
  <c r="I1018" i="1"/>
  <c r="H1018" i="1"/>
  <c r="G1018" i="1"/>
  <c r="F1018" i="1"/>
  <c r="E1018" i="1"/>
  <c r="D1018" i="1"/>
  <c r="C1018" i="1"/>
  <c r="B1018" i="1"/>
  <c r="A1018" i="1"/>
  <c r="K1017" i="1"/>
  <c r="I1017" i="1"/>
  <c r="H1017" i="1"/>
  <c r="G1017" i="1"/>
  <c r="F1017" i="1"/>
  <c r="E1017" i="1"/>
  <c r="D1017" i="1"/>
  <c r="C1017" i="1"/>
  <c r="B1017" i="1"/>
  <c r="A1017" i="1"/>
  <c r="K1016" i="1"/>
  <c r="J1016" i="1"/>
  <c r="I1016" i="1"/>
  <c r="H1016" i="1"/>
  <c r="G1016" i="1"/>
  <c r="F1016" i="1"/>
  <c r="E1016" i="1"/>
  <c r="D1016" i="1"/>
  <c r="C1016" i="1"/>
  <c r="B1016" i="1"/>
  <c r="A1016" i="1"/>
  <c r="K1015" i="1"/>
  <c r="J1015" i="1"/>
  <c r="I1015" i="1"/>
  <c r="H1015" i="1"/>
  <c r="G1015" i="1"/>
  <c r="F1015" i="1"/>
  <c r="E1015" i="1"/>
  <c r="D1015" i="1"/>
  <c r="C1015" i="1"/>
  <c r="B1015" i="1"/>
  <c r="A1015" i="1"/>
  <c r="K1014" i="1"/>
  <c r="I1014" i="1"/>
  <c r="H1014" i="1"/>
  <c r="G1014" i="1"/>
  <c r="F1014" i="1"/>
  <c r="E1014" i="1"/>
  <c r="D1014" i="1"/>
  <c r="C1014" i="1"/>
  <c r="B1014" i="1"/>
  <c r="A1014" i="1"/>
  <c r="K1013" i="1"/>
  <c r="I1013" i="1"/>
  <c r="H1013" i="1"/>
  <c r="G1013" i="1"/>
  <c r="F1013" i="1"/>
  <c r="E1013" i="1"/>
  <c r="D1013" i="1"/>
  <c r="C1013" i="1"/>
  <c r="B1013" i="1"/>
  <c r="A1013" i="1"/>
  <c r="K1012" i="1"/>
  <c r="I1012" i="1"/>
  <c r="H1012" i="1"/>
  <c r="G1012" i="1"/>
  <c r="F1012" i="1"/>
  <c r="E1012" i="1"/>
  <c r="D1012" i="1"/>
  <c r="C1012" i="1"/>
  <c r="B1012" i="1"/>
  <c r="A1012" i="1"/>
  <c r="K1011" i="1"/>
  <c r="I1011" i="1"/>
  <c r="H1011" i="1"/>
  <c r="G1011" i="1"/>
  <c r="F1011" i="1"/>
  <c r="E1011" i="1"/>
  <c r="D1011" i="1"/>
  <c r="C1011" i="1"/>
  <c r="B1011" i="1"/>
  <c r="A1011" i="1"/>
  <c r="K1010" i="1"/>
  <c r="I1010" i="1"/>
  <c r="H1010" i="1"/>
  <c r="G1010" i="1"/>
  <c r="F1010" i="1"/>
  <c r="E1010" i="1"/>
  <c r="D1010" i="1"/>
  <c r="C1010" i="1"/>
  <c r="B1010" i="1"/>
  <c r="A1010" i="1"/>
  <c r="K1009" i="1"/>
  <c r="I1009" i="1"/>
  <c r="H1009" i="1"/>
  <c r="G1009" i="1"/>
  <c r="F1009" i="1"/>
  <c r="E1009" i="1"/>
  <c r="D1009" i="1"/>
  <c r="C1009" i="1"/>
  <c r="B1009" i="1"/>
  <c r="A1009" i="1"/>
  <c r="K1008" i="1"/>
  <c r="I1008" i="1"/>
  <c r="H1008" i="1"/>
  <c r="G1008" i="1"/>
  <c r="F1008" i="1"/>
  <c r="E1008" i="1"/>
  <c r="D1008" i="1"/>
  <c r="C1008" i="1"/>
  <c r="B1008" i="1"/>
  <c r="A1008" i="1"/>
  <c r="K1007" i="1"/>
  <c r="I1007" i="1"/>
  <c r="H1007" i="1"/>
  <c r="G1007" i="1"/>
  <c r="F1007" i="1"/>
  <c r="E1007" i="1"/>
  <c r="D1007" i="1"/>
  <c r="C1007" i="1"/>
  <c r="B1007" i="1"/>
  <c r="A1007" i="1"/>
  <c r="K1006" i="1"/>
  <c r="I1006" i="1"/>
  <c r="H1006" i="1"/>
  <c r="G1006" i="1"/>
  <c r="F1006" i="1"/>
  <c r="E1006" i="1"/>
  <c r="D1006" i="1"/>
  <c r="C1006" i="1"/>
  <c r="B1006" i="1"/>
  <c r="A1006" i="1"/>
  <c r="K1005" i="1"/>
  <c r="I1005" i="1"/>
  <c r="H1005" i="1"/>
  <c r="G1005" i="1"/>
  <c r="F1005" i="1"/>
  <c r="E1005" i="1"/>
  <c r="D1005" i="1"/>
  <c r="C1005" i="1"/>
  <c r="B1005" i="1"/>
  <c r="A1005" i="1"/>
  <c r="K1004" i="1"/>
  <c r="I1004" i="1"/>
  <c r="H1004" i="1"/>
  <c r="G1004" i="1"/>
  <c r="F1004" i="1"/>
  <c r="E1004" i="1"/>
  <c r="D1004" i="1"/>
  <c r="C1004" i="1"/>
  <c r="B1004" i="1"/>
  <c r="A1004" i="1"/>
  <c r="K1003" i="1"/>
  <c r="I1003" i="1"/>
  <c r="H1003" i="1"/>
  <c r="G1003" i="1"/>
  <c r="F1003" i="1"/>
  <c r="E1003" i="1"/>
  <c r="D1003" i="1"/>
  <c r="C1003" i="1"/>
  <c r="B1003" i="1"/>
  <c r="A1003" i="1"/>
  <c r="K1002" i="1"/>
  <c r="I1002" i="1"/>
  <c r="H1002" i="1"/>
  <c r="G1002" i="1"/>
  <c r="F1002" i="1"/>
  <c r="E1002" i="1"/>
  <c r="D1002" i="1"/>
  <c r="C1002" i="1"/>
  <c r="B1002" i="1"/>
  <c r="A1002" i="1"/>
  <c r="K1001" i="1"/>
  <c r="I1001" i="1"/>
  <c r="H1001" i="1"/>
  <c r="G1001" i="1"/>
  <c r="F1001" i="1"/>
  <c r="E1001" i="1"/>
  <c r="D1001" i="1"/>
  <c r="C1001" i="1"/>
  <c r="B1001" i="1"/>
  <c r="A1001" i="1"/>
  <c r="K1000" i="1"/>
  <c r="I1000" i="1"/>
  <c r="H1000" i="1"/>
  <c r="G1000" i="1"/>
  <c r="F1000" i="1"/>
  <c r="E1000" i="1"/>
  <c r="D1000" i="1"/>
  <c r="C1000" i="1"/>
  <c r="B1000" i="1"/>
  <c r="A1000" i="1"/>
  <c r="K999" i="1"/>
  <c r="I999" i="1"/>
  <c r="H999" i="1"/>
  <c r="G999" i="1"/>
  <c r="F999" i="1"/>
  <c r="E999" i="1"/>
  <c r="D999" i="1"/>
  <c r="C999" i="1"/>
  <c r="B999" i="1"/>
  <c r="A999" i="1"/>
  <c r="K998" i="1"/>
  <c r="I998" i="1"/>
  <c r="H998" i="1"/>
  <c r="G998" i="1"/>
  <c r="F998" i="1"/>
  <c r="E998" i="1"/>
  <c r="D998" i="1"/>
  <c r="C998" i="1"/>
  <c r="B998" i="1"/>
  <c r="A998" i="1"/>
  <c r="K997" i="1"/>
  <c r="I997" i="1"/>
  <c r="H997" i="1"/>
  <c r="G997" i="1"/>
  <c r="F997" i="1"/>
  <c r="E997" i="1"/>
  <c r="D997" i="1"/>
  <c r="C997" i="1"/>
  <c r="B997" i="1"/>
  <c r="A997" i="1"/>
  <c r="K996" i="1"/>
  <c r="I996" i="1"/>
  <c r="H996" i="1"/>
  <c r="G996" i="1"/>
  <c r="F996" i="1"/>
  <c r="E996" i="1"/>
  <c r="D996" i="1"/>
  <c r="C996" i="1"/>
  <c r="B996" i="1"/>
  <c r="A996" i="1"/>
  <c r="K995" i="1"/>
  <c r="I995" i="1"/>
  <c r="H995" i="1"/>
  <c r="G995" i="1"/>
  <c r="F995" i="1"/>
  <c r="E995" i="1"/>
  <c r="D995" i="1"/>
  <c r="C995" i="1"/>
  <c r="B995" i="1"/>
  <c r="A995" i="1"/>
  <c r="K994" i="1"/>
  <c r="I994" i="1"/>
  <c r="H994" i="1"/>
  <c r="G994" i="1"/>
  <c r="F994" i="1"/>
  <c r="E994" i="1"/>
  <c r="D994" i="1"/>
  <c r="C994" i="1"/>
  <c r="B994" i="1"/>
  <c r="A994" i="1"/>
  <c r="K993" i="1"/>
  <c r="I993" i="1"/>
  <c r="H993" i="1"/>
  <c r="G993" i="1"/>
  <c r="F993" i="1"/>
  <c r="E993" i="1"/>
  <c r="D993" i="1"/>
  <c r="C993" i="1"/>
  <c r="B993" i="1"/>
  <c r="A993" i="1"/>
  <c r="K992" i="1"/>
  <c r="I992" i="1"/>
  <c r="H992" i="1"/>
  <c r="G992" i="1"/>
  <c r="F992" i="1"/>
  <c r="E992" i="1"/>
  <c r="D992" i="1"/>
  <c r="C992" i="1"/>
  <c r="B992" i="1"/>
  <c r="A992" i="1"/>
  <c r="K991" i="1"/>
  <c r="I991" i="1"/>
  <c r="H991" i="1"/>
  <c r="G991" i="1"/>
  <c r="F991" i="1"/>
  <c r="E991" i="1"/>
  <c r="D991" i="1"/>
  <c r="C991" i="1"/>
  <c r="B991" i="1"/>
  <c r="A991" i="1"/>
  <c r="K990" i="1"/>
  <c r="I990" i="1"/>
  <c r="H990" i="1"/>
  <c r="G990" i="1"/>
  <c r="F990" i="1"/>
  <c r="E990" i="1"/>
  <c r="D990" i="1"/>
  <c r="C990" i="1"/>
  <c r="B990" i="1"/>
  <c r="A990" i="1"/>
  <c r="K989" i="1"/>
  <c r="I989" i="1"/>
  <c r="H989" i="1"/>
  <c r="G989" i="1"/>
  <c r="F989" i="1"/>
  <c r="E989" i="1"/>
  <c r="D989" i="1"/>
  <c r="C989" i="1"/>
  <c r="B989" i="1"/>
  <c r="A989" i="1"/>
  <c r="K988" i="1"/>
  <c r="I988" i="1"/>
  <c r="H988" i="1"/>
  <c r="G988" i="1"/>
  <c r="F988" i="1"/>
  <c r="E988" i="1"/>
  <c r="D988" i="1"/>
  <c r="C988" i="1"/>
  <c r="B988" i="1"/>
  <c r="A988" i="1"/>
  <c r="K987" i="1"/>
  <c r="I987" i="1"/>
  <c r="H987" i="1"/>
  <c r="G987" i="1"/>
  <c r="F987" i="1"/>
  <c r="E987" i="1"/>
  <c r="D987" i="1"/>
  <c r="C987" i="1"/>
  <c r="B987" i="1"/>
  <c r="A987" i="1"/>
  <c r="K986" i="1"/>
  <c r="I986" i="1"/>
  <c r="H986" i="1"/>
  <c r="G986" i="1"/>
  <c r="F986" i="1"/>
  <c r="E986" i="1"/>
  <c r="D986" i="1"/>
  <c r="C986" i="1"/>
  <c r="B986" i="1"/>
  <c r="A986" i="1"/>
  <c r="K985" i="1"/>
  <c r="J985" i="1"/>
  <c r="I985" i="1"/>
  <c r="H985" i="1"/>
  <c r="G985" i="1"/>
  <c r="F985" i="1"/>
  <c r="E985" i="1"/>
  <c r="D985" i="1"/>
  <c r="C985" i="1"/>
  <c r="B985" i="1"/>
  <c r="A985" i="1"/>
  <c r="K984" i="1"/>
  <c r="I984" i="1"/>
  <c r="H984" i="1"/>
  <c r="G984" i="1"/>
  <c r="F984" i="1"/>
  <c r="E984" i="1"/>
  <c r="D984" i="1"/>
  <c r="C984" i="1"/>
  <c r="B984" i="1"/>
  <c r="A984" i="1"/>
  <c r="K983" i="1"/>
  <c r="I983" i="1"/>
  <c r="H983" i="1"/>
  <c r="G983" i="1"/>
  <c r="F983" i="1"/>
  <c r="E983" i="1"/>
  <c r="D983" i="1"/>
  <c r="C983" i="1"/>
  <c r="B983" i="1"/>
  <c r="A983" i="1"/>
  <c r="K982" i="1"/>
  <c r="I982" i="1"/>
  <c r="H982" i="1"/>
  <c r="G982" i="1"/>
  <c r="F982" i="1"/>
  <c r="E982" i="1"/>
  <c r="D982" i="1"/>
  <c r="C982" i="1"/>
  <c r="B982" i="1"/>
  <c r="A982" i="1"/>
  <c r="K981" i="1"/>
  <c r="J981" i="1"/>
  <c r="I981" i="1"/>
  <c r="H981" i="1"/>
  <c r="G981" i="1"/>
  <c r="F981" i="1"/>
  <c r="E981" i="1"/>
  <c r="D981" i="1"/>
  <c r="C981" i="1"/>
  <c r="B981" i="1"/>
  <c r="A981" i="1"/>
  <c r="K980" i="1"/>
  <c r="I980" i="1"/>
  <c r="H980" i="1"/>
  <c r="G980" i="1"/>
  <c r="F980" i="1"/>
  <c r="E980" i="1"/>
  <c r="D980" i="1"/>
  <c r="C980" i="1"/>
  <c r="B980" i="1"/>
  <c r="A980" i="1"/>
  <c r="K979" i="1"/>
  <c r="I979" i="1"/>
  <c r="H979" i="1"/>
  <c r="G979" i="1"/>
  <c r="F979" i="1"/>
  <c r="E979" i="1"/>
  <c r="D979" i="1"/>
  <c r="C979" i="1"/>
  <c r="B979" i="1"/>
  <c r="A979" i="1"/>
  <c r="K978" i="1"/>
  <c r="I978" i="1"/>
  <c r="H978" i="1"/>
  <c r="G978" i="1"/>
  <c r="F978" i="1"/>
  <c r="E978" i="1"/>
  <c r="D978" i="1"/>
  <c r="C978" i="1"/>
  <c r="B978" i="1"/>
  <c r="A978" i="1"/>
  <c r="K977" i="1"/>
  <c r="I977" i="1"/>
  <c r="H977" i="1"/>
  <c r="G977" i="1"/>
  <c r="F977" i="1"/>
  <c r="E977" i="1"/>
  <c r="D977" i="1"/>
  <c r="C977" i="1"/>
  <c r="B977" i="1"/>
  <c r="A977" i="1"/>
  <c r="K976" i="1"/>
  <c r="J976" i="1"/>
  <c r="I976" i="1"/>
  <c r="H976" i="1"/>
  <c r="G976" i="1"/>
  <c r="F976" i="1"/>
  <c r="E976" i="1"/>
  <c r="D976" i="1"/>
  <c r="C976" i="1"/>
  <c r="B976" i="1"/>
  <c r="A976" i="1"/>
  <c r="K975" i="1"/>
  <c r="I975" i="1"/>
  <c r="H975" i="1"/>
  <c r="G975" i="1"/>
  <c r="F975" i="1"/>
  <c r="E975" i="1"/>
  <c r="D975" i="1"/>
  <c r="C975" i="1"/>
  <c r="B975" i="1"/>
  <c r="A975" i="1"/>
  <c r="K974" i="1"/>
  <c r="I974" i="1"/>
  <c r="H974" i="1"/>
  <c r="G974" i="1"/>
  <c r="F974" i="1"/>
  <c r="E974" i="1"/>
  <c r="D974" i="1"/>
  <c r="C974" i="1"/>
  <c r="B974" i="1"/>
  <c r="A974" i="1"/>
  <c r="K973" i="1"/>
  <c r="I973" i="1"/>
  <c r="H973" i="1"/>
  <c r="G973" i="1"/>
  <c r="F973" i="1"/>
  <c r="E973" i="1"/>
  <c r="D973" i="1"/>
  <c r="C973" i="1"/>
  <c r="B973" i="1"/>
  <c r="A973" i="1"/>
  <c r="K972" i="1"/>
  <c r="I972" i="1"/>
  <c r="H972" i="1"/>
  <c r="G972" i="1"/>
  <c r="F972" i="1"/>
  <c r="E972" i="1"/>
  <c r="D972" i="1"/>
  <c r="C972" i="1"/>
  <c r="B972" i="1"/>
  <c r="A972" i="1"/>
  <c r="K971" i="1"/>
  <c r="I971" i="1"/>
  <c r="H971" i="1"/>
  <c r="G971" i="1"/>
  <c r="F971" i="1"/>
  <c r="E971" i="1"/>
  <c r="D971" i="1"/>
  <c r="C971" i="1"/>
  <c r="B971" i="1"/>
  <c r="A971" i="1"/>
  <c r="K970" i="1"/>
  <c r="I970" i="1"/>
  <c r="H970" i="1"/>
  <c r="G970" i="1"/>
  <c r="F970" i="1"/>
  <c r="E970" i="1"/>
  <c r="D970" i="1"/>
  <c r="C970" i="1"/>
  <c r="B970" i="1"/>
  <c r="A970" i="1"/>
  <c r="K969" i="1"/>
  <c r="I969" i="1"/>
  <c r="H969" i="1"/>
  <c r="G969" i="1"/>
  <c r="F969" i="1"/>
  <c r="E969" i="1"/>
  <c r="D969" i="1"/>
  <c r="C969" i="1"/>
  <c r="B969" i="1"/>
  <c r="A969" i="1"/>
  <c r="K968" i="1"/>
  <c r="I968" i="1"/>
  <c r="H968" i="1"/>
  <c r="G968" i="1"/>
  <c r="F968" i="1"/>
  <c r="E968" i="1"/>
  <c r="D968" i="1"/>
  <c r="C968" i="1"/>
  <c r="B968" i="1"/>
  <c r="A968" i="1"/>
  <c r="K967" i="1"/>
  <c r="I967" i="1"/>
  <c r="H967" i="1"/>
  <c r="G967" i="1"/>
  <c r="F967" i="1"/>
  <c r="E967" i="1"/>
  <c r="D967" i="1"/>
  <c r="C967" i="1"/>
  <c r="B967" i="1"/>
  <c r="A967" i="1"/>
  <c r="K966" i="1"/>
  <c r="I966" i="1"/>
  <c r="H966" i="1"/>
  <c r="G966" i="1"/>
  <c r="F966" i="1"/>
  <c r="E966" i="1"/>
  <c r="D966" i="1"/>
  <c r="C966" i="1"/>
  <c r="B966" i="1"/>
  <c r="A966" i="1"/>
  <c r="K965" i="1"/>
  <c r="J965" i="1"/>
  <c r="I965" i="1"/>
  <c r="H965" i="1"/>
  <c r="G965" i="1"/>
  <c r="F965" i="1"/>
  <c r="E965" i="1"/>
  <c r="D965" i="1"/>
  <c r="C965" i="1"/>
  <c r="B965" i="1"/>
  <c r="A965" i="1"/>
  <c r="K964" i="1"/>
  <c r="I964" i="1"/>
  <c r="H964" i="1"/>
  <c r="G964" i="1"/>
  <c r="F964" i="1"/>
  <c r="E964" i="1"/>
  <c r="D964" i="1"/>
  <c r="C964" i="1"/>
  <c r="B964" i="1"/>
  <c r="A964" i="1"/>
  <c r="K963" i="1"/>
  <c r="I963" i="1"/>
  <c r="H963" i="1"/>
  <c r="G963" i="1"/>
  <c r="F963" i="1"/>
  <c r="E963" i="1"/>
  <c r="D963" i="1"/>
  <c r="C963" i="1"/>
  <c r="B963" i="1"/>
  <c r="A963" i="1"/>
  <c r="K962" i="1"/>
  <c r="I962" i="1"/>
  <c r="H962" i="1"/>
  <c r="G962" i="1"/>
  <c r="F962" i="1"/>
  <c r="E962" i="1"/>
  <c r="D962" i="1"/>
  <c r="C962" i="1"/>
  <c r="B962" i="1"/>
  <c r="A962" i="1"/>
  <c r="K961" i="1"/>
  <c r="J961" i="1"/>
  <c r="I961" i="1"/>
  <c r="H961" i="1"/>
  <c r="G961" i="1"/>
  <c r="F961" i="1"/>
  <c r="E961" i="1"/>
  <c r="D961" i="1"/>
  <c r="C961" i="1"/>
  <c r="B961" i="1"/>
  <c r="A961" i="1"/>
  <c r="K960" i="1"/>
  <c r="I960" i="1"/>
  <c r="H960" i="1"/>
  <c r="G960" i="1"/>
  <c r="F960" i="1"/>
  <c r="E960" i="1"/>
  <c r="D960" i="1"/>
  <c r="C960" i="1"/>
  <c r="B960" i="1"/>
  <c r="A960" i="1"/>
  <c r="K959" i="1"/>
  <c r="I959" i="1"/>
  <c r="H959" i="1"/>
  <c r="G959" i="1"/>
  <c r="F959" i="1"/>
  <c r="E959" i="1"/>
  <c r="D959" i="1"/>
  <c r="C959" i="1"/>
  <c r="B959" i="1"/>
  <c r="A959" i="1"/>
  <c r="K958" i="1"/>
  <c r="I958" i="1"/>
  <c r="H958" i="1"/>
  <c r="G958" i="1"/>
  <c r="F958" i="1"/>
  <c r="E958" i="1"/>
  <c r="D958" i="1"/>
  <c r="C958" i="1"/>
  <c r="B958" i="1"/>
  <c r="A958" i="1"/>
  <c r="K957" i="1"/>
  <c r="I957" i="1"/>
  <c r="H957" i="1"/>
  <c r="G957" i="1"/>
  <c r="F957" i="1"/>
  <c r="E957" i="1"/>
  <c r="D957" i="1"/>
  <c r="C957" i="1"/>
  <c r="B957" i="1"/>
  <c r="A957" i="1"/>
  <c r="K956" i="1"/>
  <c r="I956" i="1"/>
  <c r="H956" i="1"/>
  <c r="G956" i="1"/>
  <c r="F956" i="1"/>
  <c r="E956" i="1"/>
  <c r="D956" i="1"/>
  <c r="C956" i="1"/>
  <c r="B956" i="1"/>
  <c r="A956" i="1"/>
  <c r="K955" i="1"/>
  <c r="I955" i="1"/>
  <c r="H955" i="1"/>
  <c r="G955" i="1"/>
  <c r="F955" i="1"/>
  <c r="E955" i="1"/>
  <c r="D955" i="1"/>
  <c r="C955" i="1"/>
  <c r="B955" i="1"/>
  <c r="A955" i="1"/>
  <c r="K954" i="1"/>
  <c r="I954" i="1"/>
  <c r="H954" i="1"/>
  <c r="G954" i="1"/>
  <c r="F954" i="1"/>
  <c r="E954" i="1"/>
  <c r="D954" i="1"/>
  <c r="C954" i="1"/>
  <c r="B954" i="1"/>
  <c r="A954" i="1"/>
  <c r="K953" i="1"/>
  <c r="I953" i="1"/>
  <c r="H953" i="1"/>
  <c r="G953" i="1"/>
  <c r="F953" i="1"/>
  <c r="E953" i="1"/>
  <c r="D953" i="1"/>
  <c r="C953" i="1"/>
  <c r="B953" i="1"/>
  <c r="A953" i="1"/>
  <c r="K952" i="1"/>
  <c r="I952" i="1"/>
  <c r="H952" i="1"/>
  <c r="G952" i="1"/>
  <c r="F952" i="1"/>
  <c r="E952" i="1"/>
  <c r="D952" i="1"/>
  <c r="C952" i="1"/>
  <c r="B952" i="1"/>
  <c r="A952" i="1"/>
  <c r="K951" i="1"/>
  <c r="I951" i="1"/>
  <c r="H951" i="1"/>
  <c r="G951" i="1"/>
  <c r="F951" i="1"/>
  <c r="E951" i="1"/>
  <c r="D951" i="1"/>
  <c r="C951" i="1"/>
  <c r="B951" i="1"/>
  <c r="A951" i="1"/>
  <c r="K950" i="1"/>
  <c r="I950" i="1"/>
  <c r="H950" i="1"/>
  <c r="G950" i="1"/>
  <c r="F950" i="1"/>
  <c r="E950" i="1"/>
  <c r="D950" i="1"/>
  <c r="C950" i="1"/>
  <c r="B950" i="1"/>
  <c r="A950" i="1"/>
  <c r="K949" i="1"/>
  <c r="I949" i="1"/>
  <c r="H949" i="1"/>
  <c r="G949" i="1"/>
  <c r="F949" i="1"/>
  <c r="E949" i="1"/>
  <c r="D949" i="1"/>
  <c r="C949" i="1"/>
  <c r="B949" i="1"/>
  <c r="A949" i="1"/>
  <c r="K948" i="1"/>
  <c r="I948" i="1"/>
  <c r="H948" i="1"/>
  <c r="G948" i="1"/>
  <c r="F948" i="1"/>
  <c r="E948" i="1"/>
  <c r="D948" i="1"/>
  <c r="C948" i="1"/>
  <c r="B948" i="1"/>
  <c r="A948" i="1"/>
  <c r="K947" i="1"/>
  <c r="I947" i="1"/>
  <c r="H947" i="1"/>
  <c r="G947" i="1"/>
  <c r="F947" i="1"/>
  <c r="E947" i="1"/>
  <c r="D947" i="1"/>
  <c r="C947" i="1"/>
  <c r="B947" i="1"/>
  <c r="A947" i="1"/>
  <c r="K946" i="1"/>
  <c r="I946" i="1"/>
  <c r="H946" i="1"/>
  <c r="G946" i="1"/>
  <c r="F946" i="1"/>
  <c r="E946" i="1"/>
  <c r="D946" i="1"/>
  <c r="C946" i="1"/>
  <c r="B946" i="1"/>
  <c r="A946" i="1"/>
  <c r="K945" i="1"/>
  <c r="I945" i="1"/>
  <c r="H945" i="1"/>
  <c r="G945" i="1"/>
  <c r="F945" i="1"/>
  <c r="E945" i="1"/>
  <c r="D945" i="1"/>
  <c r="C945" i="1"/>
  <c r="B945" i="1"/>
  <c r="A945" i="1"/>
  <c r="K944" i="1"/>
  <c r="I944" i="1"/>
  <c r="H944" i="1"/>
  <c r="G944" i="1"/>
  <c r="F944" i="1"/>
  <c r="E944" i="1"/>
  <c r="D944" i="1"/>
  <c r="C944" i="1"/>
  <c r="B944" i="1"/>
  <c r="A944" i="1"/>
  <c r="K943" i="1"/>
  <c r="I943" i="1"/>
  <c r="H943" i="1"/>
  <c r="G943" i="1"/>
  <c r="F943" i="1"/>
  <c r="E943" i="1"/>
  <c r="D943" i="1"/>
  <c r="C943" i="1"/>
  <c r="B943" i="1"/>
  <c r="A943" i="1"/>
  <c r="K942" i="1"/>
  <c r="I942" i="1"/>
  <c r="H942" i="1"/>
  <c r="G942" i="1"/>
  <c r="F942" i="1"/>
  <c r="E942" i="1"/>
  <c r="D942" i="1"/>
  <c r="C942" i="1"/>
  <c r="B942" i="1"/>
  <c r="A942" i="1"/>
  <c r="K941" i="1"/>
  <c r="I941" i="1"/>
  <c r="H941" i="1"/>
  <c r="G941" i="1"/>
  <c r="F941" i="1"/>
  <c r="E941" i="1"/>
  <c r="D941" i="1"/>
  <c r="C941" i="1"/>
  <c r="B941" i="1"/>
  <c r="A941" i="1"/>
  <c r="K940" i="1"/>
  <c r="I940" i="1"/>
  <c r="H940" i="1"/>
  <c r="G940" i="1"/>
  <c r="F940" i="1"/>
  <c r="E940" i="1"/>
  <c r="D940" i="1"/>
  <c r="C940" i="1"/>
  <c r="B940" i="1"/>
  <c r="A940" i="1"/>
  <c r="K939" i="1"/>
  <c r="I939" i="1"/>
  <c r="H939" i="1"/>
  <c r="G939" i="1"/>
  <c r="F939" i="1"/>
  <c r="E939" i="1"/>
  <c r="D939" i="1"/>
  <c r="C939" i="1"/>
  <c r="B939" i="1"/>
  <c r="A939" i="1"/>
  <c r="K938" i="1"/>
  <c r="I938" i="1"/>
  <c r="H938" i="1"/>
  <c r="G938" i="1"/>
  <c r="F938" i="1"/>
  <c r="E938" i="1"/>
  <c r="D938" i="1"/>
  <c r="C938" i="1"/>
  <c r="B938" i="1"/>
  <c r="A938" i="1"/>
  <c r="K937" i="1"/>
  <c r="I937" i="1"/>
  <c r="H937" i="1"/>
  <c r="G937" i="1"/>
  <c r="F937" i="1"/>
  <c r="E937" i="1"/>
  <c r="D937" i="1"/>
  <c r="C937" i="1"/>
  <c r="B937" i="1"/>
  <c r="A937" i="1"/>
  <c r="K936" i="1"/>
  <c r="I936" i="1"/>
  <c r="H936" i="1"/>
  <c r="G936" i="1"/>
  <c r="F936" i="1"/>
  <c r="E936" i="1"/>
  <c r="D936" i="1"/>
  <c r="C936" i="1"/>
  <c r="B936" i="1"/>
  <c r="A936" i="1"/>
  <c r="K935" i="1"/>
  <c r="I935" i="1"/>
  <c r="H935" i="1"/>
  <c r="G935" i="1"/>
  <c r="F935" i="1"/>
  <c r="E935" i="1"/>
  <c r="D935" i="1"/>
  <c r="C935" i="1"/>
  <c r="B935" i="1"/>
  <c r="A935" i="1"/>
  <c r="K934" i="1"/>
  <c r="I934" i="1"/>
  <c r="H934" i="1"/>
  <c r="G934" i="1"/>
  <c r="F934" i="1"/>
  <c r="E934" i="1"/>
  <c r="D934" i="1"/>
  <c r="C934" i="1"/>
  <c r="B934" i="1"/>
  <c r="A934" i="1"/>
  <c r="K933" i="1"/>
  <c r="I933" i="1"/>
  <c r="H933" i="1"/>
  <c r="G933" i="1"/>
  <c r="F933" i="1"/>
  <c r="E933" i="1"/>
  <c r="D933" i="1"/>
  <c r="C933" i="1"/>
  <c r="B933" i="1"/>
  <c r="A933" i="1"/>
  <c r="K932" i="1"/>
  <c r="I932" i="1"/>
  <c r="H932" i="1"/>
  <c r="G932" i="1"/>
  <c r="F932" i="1"/>
  <c r="E932" i="1"/>
  <c r="D932" i="1"/>
  <c r="C932" i="1"/>
  <c r="B932" i="1"/>
  <c r="A932" i="1"/>
  <c r="K931" i="1"/>
  <c r="I931" i="1"/>
  <c r="H931" i="1"/>
  <c r="G931" i="1"/>
  <c r="F931" i="1"/>
  <c r="E931" i="1"/>
  <c r="D931" i="1"/>
  <c r="C931" i="1"/>
  <c r="B931" i="1"/>
  <c r="A931" i="1"/>
  <c r="K930" i="1"/>
  <c r="I930" i="1"/>
  <c r="H930" i="1"/>
  <c r="G930" i="1"/>
  <c r="F930" i="1"/>
  <c r="E930" i="1"/>
  <c r="D930" i="1"/>
  <c r="C930" i="1"/>
  <c r="B930" i="1"/>
  <c r="A930" i="1"/>
  <c r="K929" i="1"/>
  <c r="I929" i="1"/>
  <c r="H929" i="1"/>
  <c r="G929" i="1"/>
  <c r="F929" i="1"/>
  <c r="E929" i="1"/>
  <c r="D929" i="1"/>
  <c r="C929" i="1"/>
  <c r="B929" i="1"/>
  <c r="A929" i="1"/>
  <c r="K928" i="1"/>
  <c r="I928" i="1"/>
  <c r="H928" i="1"/>
  <c r="G928" i="1"/>
  <c r="F928" i="1"/>
  <c r="E928" i="1"/>
  <c r="D928" i="1"/>
  <c r="C928" i="1"/>
  <c r="B928" i="1"/>
  <c r="A928" i="1"/>
  <c r="K927" i="1"/>
  <c r="I927" i="1"/>
  <c r="H927" i="1"/>
  <c r="G927" i="1"/>
  <c r="F927" i="1"/>
  <c r="E927" i="1"/>
  <c r="D927" i="1"/>
  <c r="C927" i="1"/>
  <c r="B927" i="1"/>
  <c r="A927" i="1"/>
  <c r="K926" i="1"/>
  <c r="J926" i="1"/>
  <c r="I926" i="1"/>
  <c r="H926" i="1"/>
  <c r="G926" i="1"/>
  <c r="F926" i="1"/>
  <c r="E926" i="1"/>
  <c r="D926" i="1"/>
  <c r="C926" i="1"/>
  <c r="B926" i="1"/>
  <c r="A926" i="1"/>
  <c r="K925" i="1"/>
  <c r="I925" i="1"/>
  <c r="H925" i="1"/>
  <c r="G925" i="1"/>
  <c r="F925" i="1"/>
  <c r="E925" i="1"/>
  <c r="D925" i="1"/>
  <c r="C925" i="1"/>
  <c r="B925" i="1"/>
  <c r="A925" i="1"/>
  <c r="K924" i="1"/>
  <c r="J924" i="1"/>
  <c r="H924" i="1"/>
  <c r="G924" i="1"/>
  <c r="F924" i="1"/>
  <c r="E924" i="1"/>
  <c r="D924" i="1"/>
  <c r="C924" i="1"/>
  <c r="B924" i="1"/>
  <c r="A924" i="1"/>
  <c r="K923" i="1"/>
  <c r="I923" i="1"/>
  <c r="H923" i="1"/>
  <c r="G923" i="1"/>
  <c r="F923" i="1"/>
  <c r="E923" i="1"/>
  <c r="D923" i="1"/>
  <c r="C923" i="1"/>
  <c r="B923" i="1"/>
  <c r="A923" i="1"/>
  <c r="K922" i="1"/>
  <c r="I922" i="1"/>
  <c r="H922" i="1"/>
  <c r="G922" i="1"/>
  <c r="F922" i="1"/>
  <c r="E922" i="1"/>
  <c r="D922" i="1"/>
  <c r="C922" i="1"/>
  <c r="B922" i="1"/>
  <c r="A922" i="1"/>
  <c r="K921" i="1"/>
  <c r="I921" i="1"/>
  <c r="H921" i="1"/>
  <c r="G921" i="1"/>
  <c r="F921" i="1"/>
  <c r="E921" i="1"/>
  <c r="D921" i="1"/>
  <c r="C921" i="1"/>
  <c r="B921" i="1"/>
  <c r="A921" i="1"/>
  <c r="K920" i="1"/>
  <c r="I920" i="1"/>
  <c r="H920" i="1"/>
  <c r="G920" i="1"/>
  <c r="F920" i="1"/>
  <c r="E920" i="1"/>
  <c r="D920" i="1"/>
  <c r="C920" i="1"/>
  <c r="B920" i="1"/>
  <c r="A920" i="1"/>
  <c r="K919" i="1"/>
  <c r="I919" i="1"/>
  <c r="H919" i="1"/>
  <c r="G919" i="1"/>
  <c r="F919" i="1"/>
  <c r="E919" i="1"/>
  <c r="D919" i="1"/>
  <c r="C919" i="1"/>
  <c r="B919" i="1"/>
  <c r="A919" i="1"/>
  <c r="K918" i="1"/>
  <c r="J918" i="1"/>
  <c r="H918" i="1"/>
  <c r="G918" i="1"/>
  <c r="F918" i="1"/>
  <c r="E918" i="1"/>
  <c r="D918" i="1"/>
  <c r="C918" i="1"/>
  <c r="B918" i="1"/>
  <c r="A918" i="1"/>
  <c r="K917" i="1"/>
  <c r="I917" i="1"/>
  <c r="H917" i="1"/>
  <c r="G917" i="1"/>
  <c r="F917" i="1"/>
  <c r="E917" i="1"/>
  <c r="D917" i="1"/>
  <c r="C917" i="1"/>
  <c r="B917" i="1"/>
  <c r="A917" i="1"/>
  <c r="K916" i="1"/>
  <c r="I916" i="1"/>
  <c r="H916" i="1"/>
  <c r="G916" i="1"/>
  <c r="F916" i="1"/>
  <c r="E916" i="1"/>
  <c r="D916" i="1"/>
  <c r="C916" i="1"/>
  <c r="B916" i="1"/>
  <c r="A916" i="1"/>
  <c r="K915" i="1"/>
  <c r="I915" i="1"/>
  <c r="H915" i="1"/>
  <c r="G915" i="1"/>
  <c r="F915" i="1"/>
  <c r="E915" i="1"/>
  <c r="D915" i="1"/>
  <c r="C915" i="1"/>
  <c r="B915" i="1"/>
  <c r="A915" i="1"/>
  <c r="K914" i="1"/>
  <c r="I914" i="1"/>
  <c r="H914" i="1"/>
  <c r="G914" i="1"/>
  <c r="F914" i="1"/>
  <c r="E914" i="1"/>
  <c r="D914" i="1"/>
  <c r="C914" i="1"/>
  <c r="B914" i="1"/>
  <c r="A914" i="1"/>
  <c r="K913" i="1"/>
  <c r="I913" i="1"/>
  <c r="H913" i="1"/>
  <c r="G913" i="1"/>
  <c r="F913" i="1"/>
  <c r="E913" i="1"/>
  <c r="D913" i="1"/>
  <c r="C913" i="1"/>
  <c r="B913" i="1"/>
  <c r="A913" i="1"/>
  <c r="K912" i="1"/>
  <c r="I912" i="1"/>
  <c r="H912" i="1"/>
  <c r="G912" i="1"/>
  <c r="F912" i="1"/>
  <c r="E912" i="1"/>
  <c r="D912" i="1"/>
  <c r="C912" i="1"/>
  <c r="B912" i="1"/>
  <c r="A912" i="1"/>
  <c r="K911" i="1"/>
  <c r="J911" i="1"/>
  <c r="I911" i="1"/>
  <c r="H911" i="1"/>
  <c r="G911" i="1"/>
  <c r="F911" i="1"/>
  <c r="E911" i="1"/>
  <c r="D911" i="1"/>
  <c r="C911" i="1"/>
  <c r="B911" i="1"/>
  <c r="A911" i="1"/>
  <c r="K910" i="1"/>
  <c r="J910" i="1"/>
  <c r="H910" i="1"/>
  <c r="G910" i="1"/>
  <c r="F910" i="1"/>
  <c r="E910" i="1"/>
  <c r="D910" i="1"/>
  <c r="C910" i="1"/>
  <c r="B910" i="1"/>
  <c r="A910" i="1"/>
  <c r="K909" i="1"/>
  <c r="J909" i="1"/>
  <c r="H909" i="1"/>
  <c r="G909" i="1"/>
  <c r="F909" i="1"/>
  <c r="E909" i="1"/>
  <c r="D909" i="1"/>
  <c r="C909" i="1"/>
  <c r="B909" i="1"/>
  <c r="A909" i="1"/>
  <c r="K908" i="1"/>
  <c r="I908" i="1"/>
  <c r="H908" i="1"/>
  <c r="G908" i="1"/>
  <c r="F908" i="1"/>
  <c r="E908" i="1"/>
  <c r="D908" i="1"/>
  <c r="C908" i="1"/>
  <c r="B908" i="1"/>
  <c r="A908" i="1"/>
  <c r="K907" i="1"/>
  <c r="I907" i="1"/>
  <c r="H907" i="1"/>
  <c r="G907" i="1"/>
  <c r="F907" i="1"/>
  <c r="E907" i="1"/>
  <c r="D907" i="1"/>
  <c r="C907" i="1"/>
  <c r="B907" i="1"/>
  <c r="A907" i="1"/>
  <c r="K906" i="1"/>
  <c r="J906" i="1"/>
  <c r="H906" i="1"/>
  <c r="G906" i="1"/>
  <c r="F906" i="1"/>
  <c r="E906" i="1"/>
  <c r="D906" i="1"/>
  <c r="C906" i="1"/>
  <c r="B906" i="1"/>
  <c r="A906" i="1"/>
  <c r="K905" i="1"/>
  <c r="I905" i="1"/>
  <c r="H905" i="1"/>
  <c r="G905" i="1"/>
  <c r="F905" i="1"/>
  <c r="E905" i="1"/>
  <c r="D905" i="1"/>
  <c r="C905" i="1"/>
  <c r="B905" i="1"/>
  <c r="A905" i="1"/>
  <c r="K904" i="1"/>
  <c r="J904" i="1"/>
  <c r="H904" i="1"/>
  <c r="G904" i="1"/>
  <c r="F904" i="1"/>
  <c r="E904" i="1"/>
  <c r="D904" i="1"/>
  <c r="C904" i="1"/>
  <c r="B904" i="1"/>
  <c r="A904" i="1"/>
  <c r="K903" i="1"/>
  <c r="J903" i="1"/>
  <c r="H903" i="1"/>
  <c r="G903" i="1"/>
  <c r="F903" i="1"/>
  <c r="E903" i="1"/>
  <c r="D903" i="1"/>
  <c r="C903" i="1"/>
  <c r="B903" i="1"/>
  <c r="A903" i="1"/>
  <c r="K902" i="1"/>
  <c r="I902" i="1"/>
  <c r="H902" i="1"/>
  <c r="G902" i="1"/>
  <c r="F902" i="1"/>
  <c r="E902" i="1"/>
  <c r="D902" i="1"/>
  <c r="C902" i="1"/>
  <c r="B902" i="1"/>
  <c r="A902" i="1"/>
  <c r="K901" i="1"/>
  <c r="I901" i="1"/>
  <c r="H901" i="1"/>
  <c r="G901" i="1"/>
  <c r="F901" i="1"/>
  <c r="E901" i="1"/>
  <c r="D901" i="1"/>
  <c r="C901" i="1"/>
  <c r="B901" i="1"/>
  <c r="A901" i="1"/>
  <c r="K900" i="1"/>
  <c r="I900" i="1"/>
  <c r="H900" i="1"/>
  <c r="G900" i="1"/>
  <c r="F900" i="1"/>
  <c r="E900" i="1"/>
  <c r="D900" i="1"/>
  <c r="C900" i="1"/>
  <c r="B900" i="1"/>
  <c r="A900" i="1"/>
  <c r="K899" i="1"/>
  <c r="J899" i="1"/>
  <c r="I899" i="1"/>
  <c r="H899" i="1"/>
  <c r="G899" i="1"/>
  <c r="F899" i="1"/>
  <c r="E899" i="1"/>
  <c r="D899" i="1"/>
  <c r="C899" i="1"/>
  <c r="B899" i="1"/>
  <c r="A899" i="1"/>
  <c r="K898" i="1"/>
  <c r="J898" i="1"/>
  <c r="I898" i="1"/>
  <c r="H898" i="1"/>
  <c r="G898" i="1"/>
  <c r="F898" i="1"/>
  <c r="E898" i="1"/>
  <c r="D898" i="1"/>
  <c r="C898" i="1"/>
  <c r="B898" i="1"/>
  <c r="A898" i="1"/>
  <c r="K897" i="1"/>
  <c r="J897" i="1"/>
  <c r="I897" i="1"/>
  <c r="H897" i="1"/>
  <c r="G897" i="1"/>
  <c r="F897" i="1"/>
  <c r="E897" i="1"/>
  <c r="D897" i="1"/>
  <c r="C897" i="1"/>
  <c r="B897" i="1"/>
  <c r="A897" i="1"/>
  <c r="K896" i="1"/>
  <c r="J896" i="1"/>
  <c r="I896" i="1"/>
  <c r="H896" i="1"/>
  <c r="G896" i="1"/>
  <c r="F896" i="1"/>
  <c r="E896" i="1"/>
  <c r="D896" i="1"/>
  <c r="C896" i="1"/>
  <c r="B896" i="1"/>
  <c r="A896" i="1"/>
  <c r="K895" i="1"/>
  <c r="J895" i="1"/>
  <c r="H895" i="1"/>
  <c r="G895" i="1"/>
  <c r="F895" i="1"/>
  <c r="E895" i="1"/>
  <c r="D895" i="1"/>
  <c r="C895" i="1"/>
  <c r="B895" i="1"/>
  <c r="A895" i="1"/>
  <c r="K894" i="1"/>
  <c r="J894" i="1"/>
  <c r="H894" i="1"/>
  <c r="G894" i="1"/>
  <c r="F894" i="1"/>
  <c r="E894" i="1"/>
  <c r="D894" i="1"/>
  <c r="C894" i="1"/>
  <c r="B894" i="1"/>
  <c r="A894" i="1"/>
  <c r="K893" i="1"/>
  <c r="I893" i="1"/>
  <c r="H893" i="1"/>
  <c r="G893" i="1"/>
  <c r="F893" i="1"/>
  <c r="E893" i="1"/>
  <c r="D893" i="1"/>
  <c r="C893" i="1"/>
  <c r="B893" i="1"/>
  <c r="A893" i="1"/>
  <c r="K892" i="1"/>
  <c r="J892" i="1"/>
  <c r="H892" i="1"/>
  <c r="G892" i="1"/>
  <c r="F892" i="1"/>
  <c r="E892" i="1"/>
  <c r="D892" i="1"/>
  <c r="C892" i="1"/>
  <c r="B892" i="1"/>
  <c r="A892" i="1"/>
  <c r="K891" i="1"/>
  <c r="J891" i="1"/>
  <c r="H891" i="1"/>
  <c r="G891" i="1"/>
  <c r="F891" i="1"/>
  <c r="E891" i="1"/>
  <c r="D891" i="1"/>
  <c r="C891" i="1"/>
  <c r="B891" i="1"/>
  <c r="A891" i="1"/>
  <c r="K890" i="1"/>
  <c r="I890" i="1"/>
  <c r="H890" i="1"/>
  <c r="G890" i="1"/>
  <c r="F890" i="1"/>
  <c r="E890" i="1"/>
  <c r="D890" i="1"/>
  <c r="C890" i="1"/>
  <c r="B890" i="1"/>
  <c r="A890" i="1"/>
  <c r="K889" i="1"/>
  <c r="I889" i="1"/>
  <c r="H889" i="1"/>
  <c r="G889" i="1"/>
  <c r="F889" i="1"/>
  <c r="E889" i="1"/>
  <c r="D889" i="1"/>
  <c r="C889" i="1"/>
  <c r="B889" i="1"/>
  <c r="A889" i="1"/>
  <c r="K888" i="1"/>
  <c r="I888" i="1"/>
  <c r="H888" i="1"/>
  <c r="G888" i="1"/>
  <c r="F888" i="1"/>
  <c r="E888" i="1"/>
  <c r="D888" i="1"/>
  <c r="C888" i="1"/>
  <c r="B888" i="1"/>
  <c r="A888" i="1"/>
  <c r="K887" i="1"/>
  <c r="I887" i="1"/>
  <c r="H887" i="1"/>
  <c r="G887" i="1"/>
  <c r="F887" i="1"/>
  <c r="E887" i="1"/>
  <c r="D887" i="1"/>
  <c r="C887" i="1"/>
  <c r="B887" i="1"/>
  <c r="A887" i="1"/>
  <c r="K886" i="1"/>
  <c r="J886" i="1"/>
  <c r="H886" i="1"/>
  <c r="G886" i="1"/>
  <c r="F886" i="1"/>
  <c r="E886" i="1"/>
  <c r="D886" i="1"/>
  <c r="C886" i="1"/>
  <c r="B886" i="1"/>
  <c r="A886" i="1"/>
  <c r="K885" i="1"/>
  <c r="I885" i="1"/>
  <c r="H885" i="1"/>
  <c r="G885" i="1"/>
  <c r="F885" i="1"/>
  <c r="E885" i="1"/>
  <c r="D885" i="1"/>
  <c r="C885" i="1"/>
  <c r="B885" i="1"/>
  <c r="A885" i="1"/>
  <c r="K884" i="1"/>
  <c r="I884" i="1"/>
  <c r="H884" i="1"/>
  <c r="G884" i="1"/>
  <c r="F884" i="1"/>
  <c r="E884" i="1"/>
  <c r="D884" i="1"/>
  <c r="C884" i="1"/>
  <c r="B884" i="1"/>
  <c r="A884" i="1"/>
  <c r="K883" i="1"/>
  <c r="J883" i="1"/>
  <c r="H883" i="1"/>
  <c r="G883" i="1"/>
  <c r="F883" i="1"/>
  <c r="E883" i="1"/>
  <c r="D883" i="1"/>
  <c r="C883" i="1"/>
  <c r="B883" i="1"/>
  <c r="A883" i="1"/>
  <c r="K882" i="1"/>
  <c r="J882" i="1"/>
  <c r="I882" i="1"/>
  <c r="H882" i="1"/>
  <c r="G882" i="1"/>
  <c r="F882" i="1"/>
  <c r="E882" i="1"/>
  <c r="D882" i="1"/>
  <c r="C882" i="1"/>
  <c r="B882" i="1"/>
  <c r="A882" i="1"/>
  <c r="K881" i="1"/>
  <c r="J881" i="1"/>
  <c r="H881" i="1"/>
  <c r="G881" i="1"/>
  <c r="F881" i="1"/>
  <c r="E881" i="1"/>
  <c r="D881" i="1"/>
  <c r="C881" i="1"/>
  <c r="B881" i="1"/>
  <c r="A881" i="1"/>
  <c r="K880" i="1"/>
  <c r="J880" i="1"/>
  <c r="I880" i="1"/>
  <c r="H880" i="1"/>
  <c r="G880" i="1"/>
  <c r="F880" i="1"/>
  <c r="E880" i="1"/>
  <c r="D880" i="1"/>
  <c r="C880" i="1"/>
  <c r="B880" i="1"/>
  <c r="A880" i="1"/>
  <c r="K879" i="1"/>
  <c r="J879" i="1"/>
  <c r="I879" i="1"/>
  <c r="H879" i="1"/>
  <c r="G879" i="1"/>
  <c r="F879" i="1"/>
  <c r="E879" i="1"/>
  <c r="D879" i="1"/>
  <c r="C879" i="1"/>
  <c r="B879" i="1"/>
  <c r="A879" i="1"/>
  <c r="K878" i="1"/>
  <c r="I878" i="1"/>
  <c r="H878" i="1"/>
  <c r="G878" i="1"/>
  <c r="F878" i="1"/>
  <c r="E878" i="1"/>
  <c r="D878" i="1"/>
  <c r="C878" i="1"/>
  <c r="B878" i="1"/>
  <c r="A878" i="1"/>
  <c r="K877" i="1"/>
  <c r="I877" i="1"/>
  <c r="H877" i="1"/>
  <c r="G877" i="1"/>
  <c r="F877" i="1"/>
  <c r="E877" i="1"/>
  <c r="D877" i="1"/>
  <c r="C877" i="1"/>
  <c r="B877" i="1"/>
  <c r="A877" i="1"/>
  <c r="K876" i="1"/>
  <c r="J876" i="1"/>
  <c r="I876" i="1"/>
  <c r="H876" i="1"/>
  <c r="G876" i="1"/>
  <c r="F876" i="1"/>
  <c r="E876" i="1"/>
  <c r="D876" i="1"/>
  <c r="C876" i="1"/>
  <c r="B876" i="1"/>
  <c r="A876" i="1"/>
  <c r="K875" i="1"/>
  <c r="J875" i="1"/>
  <c r="I875" i="1"/>
  <c r="H875" i="1"/>
  <c r="G875" i="1"/>
  <c r="F875" i="1"/>
  <c r="E875" i="1"/>
  <c r="D875" i="1"/>
  <c r="C875" i="1"/>
  <c r="B875" i="1"/>
  <c r="A875" i="1"/>
  <c r="K874" i="1"/>
  <c r="I874" i="1"/>
  <c r="H874" i="1"/>
  <c r="G874" i="1"/>
  <c r="F874" i="1"/>
  <c r="E874" i="1"/>
  <c r="D874" i="1"/>
  <c r="C874" i="1"/>
  <c r="B874" i="1"/>
  <c r="A874" i="1"/>
  <c r="K873" i="1"/>
  <c r="I873" i="1"/>
  <c r="H873" i="1"/>
  <c r="G873" i="1"/>
  <c r="F873" i="1"/>
  <c r="E873" i="1"/>
  <c r="D873" i="1"/>
  <c r="C873" i="1"/>
  <c r="B873" i="1"/>
  <c r="A873" i="1"/>
  <c r="K872" i="1"/>
  <c r="I872" i="1"/>
  <c r="H872" i="1"/>
  <c r="G872" i="1"/>
  <c r="F872" i="1"/>
  <c r="E872" i="1"/>
  <c r="D872" i="1"/>
  <c r="C872" i="1"/>
  <c r="B872" i="1"/>
  <c r="A872" i="1"/>
  <c r="K871" i="1"/>
  <c r="H871" i="1"/>
  <c r="G871" i="1"/>
  <c r="F871" i="1"/>
  <c r="E871" i="1"/>
  <c r="D871" i="1"/>
  <c r="C871" i="1"/>
  <c r="B871" i="1"/>
  <c r="A871" i="1"/>
  <c r="K870" i="1"/>
  <c r="I870" i="1"/>
  <c r="H870" i="1"/>
  <c r="G870" i="1"/>
  <c r="F870" i="1"/>
  <c r="E870" i="1"/>
  <c r="D870" i="1"/>
  <c r="C870" i="1"/>
  <c r="B870" i="1"/>
  <c r="A870" i="1"/>
  <c r="K869" i="1"/>
  <c r="I869" i="1"/>
  <c r="H869" i="1"/>
  <c r="G869" i="1"/>
  <c r="F869" i="1"/>
  <c r="E869" i="1"/>
  <c r="D869" i="1"/>
  <c r="C869" i="1"/>
  <c r="B869" i="1"/>
  <c r="A869" i="1"/>
  <c r="K868" i="1"/>
  <c r="I868" i="1"/>
  <c r="H868" i="1"/>
  <c r="G868" i="1"/>
  <c r="F868" i="1"/>
  <c r="E868" i="1"/>
  <c r="D868" i="1"/>
  <c r="C868" i="1"/>
  <c r="B868" i="1"/>
  <c r="A868" i="1"/>
  <c r="K867" i="1"/>
  <c r="I867" i="1"/>
  <c r="H867" i="1"/>
  <c r="G867" i="1"/>
  <c r="F867" i="1"/>
  <c r="E867" i="1"/>
  <c r="D867" i="1"/>
  <c r="C867" i="1"/>
  <c r="B867" i="1"/>
  <c r="A867" i="1"/>
  <c r="K866" i="1"/>
  <c r="I866" i="1"/>
  <c r="H866" i="1"/>
  <c r="G866" i="1"/>
  <c r="F866" i="1"/>
  <c r="E866" i="1"/>
  <c r="D866" i="1"/>
  <c r="C866" i="1"/>
  <c r="B866" i="1"/>
  <c r="A866" i="1"/>
  <c r="K865" i="1"/>
  <c r="I865" i="1"/>
  <c r="H865" i="1"/>
  <c r="G865" i="1"/>
  <c r="F865" i="1"/>
  <c r="E865" i="1"/>
  <c r="D865" i="1"/>
  <c r="C865" i="1"/>
  <c r="B865" i="1"/>
  <c r="A865" i="1"/>
  <c r="K864" i="1"/>
  <c r="I864" i="1"/>
  <c r="H864" i="1"/>
  <c r="G864" i="1"/>
  <c r="F864" i="1"/>
  <c r="E864" i="1"/>
  <c r="D864" i="1"/>
  <c r="C864" i="1"/>
  <c r="B864" i="1"/>
  <c r="A864" i="1"/>
  <c r="K863" i="1"/>
  <c r="I863" i="1"/>
  <c r="H863" i="1"/>
  <c r="G863" i="1"/>
  <c r="F863" i="1"/>
  <c r="E863" i="1"/>
  <c r="D863" i="1"/>
  <c r="C863" i="1"/>
  <c r="B863" i="1"/>
  <c r="A863" i="1"/>
  <c r="K862" i="1"/>
  <c r="I862" i="1"/>
  <c r="H862" i="1"/>
  <c r="G862" i="1"/>
  <c r="F862" i="1"/>
  <c r="E862" i="1"/>
  <c r="D862" i="1"/>
  <c r="C862" i="1"/>
  <c r="B862" i="1"/>
  <c r="A862" i="1"/>
  <c r="K861" i="1"/>
  <c r="I861" i="1"/>
  <c r="H861" i="1"/>
  <c r="G861" i="1"/>
  <c r="F861" i="1"/>
  <c r="E861" i="1"/>
  <c r="D861" i="1"/>
  <c r="C861" i="1"/>
  <c r="B861" i="1"/>
  <c r="A861" i="1"/>
  <c r="K860" i="1"/>
  <c r="I860" i="1"/>
  <c r="H860" i="1"/>
  <c r="G860" i="1"/>
  <c r="F860" i="1"/>
  <c r="E860" i="1"/>
  <c r="D860" i="1"/>
  <c r="C860" i="1"/>
  <c r="B860" i="1"/>
  <c r="A860" i="1"/>
  <c r="K859" i="1"/>
  <c r="I859" i="1"/>
  <c r="H859" i="1"/>
  <c r="G859" i="1"/>
  <c r="F859" i="1"/>
  <c r="E859" i="1"/>
  <c r="D859" i="1"/>
  <c r="C859" i="1"/>
  <c r="B859" i="1"/>
  <c r="A859" i="1"/>
  <c r="K858" i="1"/>
  <c r="I858" i="1"/>
  <c r="H858" i="1"/>
  <c r="G858" i="1"/>
  <c r="F858" i="1"/>
  <c r="E858" i="1"/>
  <c r="D858" i="1"/>
  <c r="C858" i="1"/>
  <c r="B858" i="1"/>
  <c r="A858" i="1"/>
  <c r="K857" i="1"/>
  <c r="J857" i="1"/>
  <c r="I857" i="1"/>
  <c r="H857" i="1"/>
  <c r="G857" i="1"/>
  <c r="F857" i="1"/>
  <c r="E857" i="1"/>
  <c r="D857" i="1"/>
  <c r="C857" i="1"/>
  <c r="B857" i="1"/>
  <c r="A857" i="1"/>
  <c r="K856" i="1"/>
  <c r="I856" i="1"/>
  <c r="H856" i="1"/>
  <c r="G856" i="1"/>
  <c r="F856" i="1"/>
  <c r="E856" i="1"/>
  <c r="D856" i="1"/>
  <c r="C856" i="1"/>
  <c r="B856" i="1"/>
  <c r="A856" i="1"/>
  <c r="K855" i="1"/>
  <c r="I855" i="1"/>
  <c r="H855" i="1"/>
  <c r="G855" i="1"/>
  <c r="F855" i="1"/>
  <c r="E855" i="1"/>
  <c r="D855" i="1"/>
  <c r="C855" i="1"/>
  <c r="B855" i="1"/>
  <c r="A855" i="1"/>
  <c r="K854" i="1"/>
  <c r="I854" i="1"/>
  <c r="H854" i="1"/>
  <c r="G854" i="1"/>
  <c r="F854" i="1"/>
  <c r="E854" i="1"/>
  <c r="D854" i="1"/>
  <c r="C854" i="1"/>
  <c r="B854" i="1"/>
  <c r="A854" i="1"/>
  <c r="K853" i="1"/>
  <c r="I853" i="1"/>
  <c r="H853" i="1"/>
  <c r="G853" i="1"/>
  <c r="F853" i="1"/>
  <c r="E853" i="1"/>
  <c r="D853" i="1"/>
  <c r="C853" i="1"/>
  <c r="B853" i="1"/>
  <c r="A853" i="1"/>
  <c r="K852" i="1"/>
  <c r="I852" i="1"/>
  <c r="H852" i="1"/>
  <c r="G852" i="1"/>
  <c r="F852" i="1"/>
  <c r="E852" i="1"/>
  <c r="D852" i="1"/>
  <c r="C852" i="1"/>
  <c r="B852" i="1"/>
  <c r="A852" i="1"/>
  <c r="K851" i="1"/>
  <c r="I851" i="1"/>
  <c r="H851" i="1"/>
  <c r="G851" i="1"/>
  <c r="F851" i="1"/>
  <c r="E851" i="1"/>
  <c r="D851" i="1"/>
  <c r="C851" i="1"/>
  <c r="B851" i="1"/>
  <c r="A851" i="1"/>
  <c r="K850" i="1"/>
  <c r="I850" i="1"/>
  <c r="H850" i="1"/>
  <c r="G850" i="1"/>
  <c r="F850" i="1"/>
  <c r="E850" i="1"/>
  <c r="D850" i="1"/>
  <c r="C850" i="1"/>
  <c r="B850" i="1"/>
  <c r="A850" i="1"/>
  <c r="K849" i="1"/>
  <c r="I849" i="1"/>
  <c r="H849" i="1"/>
  <c r="G849" i="1"/>
  <c r="F849" i="1"/>
  <c r="E849" i="1"/>
  <c r="D849" i="1"/>
  <c r="C849" i="1"/>
  <c r="B849" i="1"/>
  <c r="A849" i="1"/>
  <c r="K848" i="1"/>
  <c r="I848" i="1"/>
  <c r="H848" i="1"/>
  <c r="G848" i="1"/>
  <c r="F848" i="1"/>
  <c r="E848" i="1"/>
  <c r="D848" i="1"/>
  <c r="C848" i="1"/>
  <c r="B848" i="1"/>
  <c r="A848" i="1"/>
  <c r="K847" i="1"/>
  <c r="I847" i="1"/>
  <c r="H847" i="1"/>
  <c r="G847" i="1"/>
  <c r="F847" i="1"/>
  <c r="E847" i="1"/>
  <c r="D847" i="1"/>
  <c r="C847" i="1"/>
  <c r="B847" i="1"/>
  <c r="A847" i="1"/>
  <c r="K846" i="1"/>
  <c r="I846" i="1"/>
  <c r="H846" i="1"/>
  <c r="G846" i="1"/>
  <c r="F846" i="1"/>
  <c r="E846" i="1"/>
  <c r="D846" i="1"/>
  <c r="C846" i="1"/>
  <c r="B846" i="1"/>
  <c r="A846" i="1"/>
  <c r="K845" i="1"/>
  <c r="I845" i="1"/>
  <c r="H845" i="1"/>
  <c r="G845" i="1"/>
  <c r="F845" i="1"/>
  <c r="E845" i="1"/>
  <c r="D845" i="1"/>
  <c r="C845" i="1"/>
  <c r="B845" i="1"/>
  <c r="A845" i="1"/>
  <c r="K844" i="1"/>
  <c r="I844" i="1"/>
  <c r="H844" i="1"/>
  <c r="G844" i="1"/>
  <c r="F844" i="1"/>
  <c r="E844" i="1"/>
  <c r="D844" i="1"/>
  <c r="C844" i="1"/>
  <c r="B844" i="1"/>
  <c r="A844" i="1"/>
  <c r="K843" i="1"/>
  <c r="I843" i="1"/>
  <c r="H843" i="1"/>
  <c r="G843" i="1"/>
  <c r="F843" i="1"/>
  <c r="E843" i="1"/>
  <c r="D843" i="1"/>
  <c r="C843" i="1"/>
  <c r="B843" i="1"/>
  <c r="A843" i="1"/>
  <c r="K842" i="1"/>
  <c r="I842" i="1"/>
  <c r="H842" i="1"/>
  <c r="G842" i="1"/>
  <c r="F842" i="1"/>
  <c r="E842" i="1"/>
  <c r="D842" i="1"/>
  <c r="C842" i="1"/>
  <c r="B842" i="1"/>
  <c r="A842" i="1"/>
  <c r="K841" i="1"/>
  <c r="I841" i="1"/>
  <c r="H841" i="1"/>
  <c r="G841" i="1"/>
  <c r="F841" i="1"/>
  <c r="E841" i="1"/>
  <c r="D841" i="1"/>
  <c r="C841" i="1"/>
  <c r="B841" i="1"/>
  <c r="A841" i="1"/>
  <c r="K840" i="1"/>
  <c r="I840" i="1"/>
  <c r="H840" i="1"/>
  <c r="G840" i="1"/>
  <c r="F840" i="1"/>
  <c r="E840" i="1"/>
  <c r="D840" i="1"/>
  <c r="C840" i="1"/>
  <c r="B840" i="1"/>
  <c r="A840" i="1"/>
  <c r="K839" i="1"/>
  <c r="I839" i="1"/>
  <c r="H839" i="1"/>
  <c r="G839" i="1"/>
  <c r="F839" i="1"/>
  <c r="E839" i="1"/>
  <c r="D839" i="1"/>
  <c r="C839" i="1"/>
  <c r="B839" i="1"/>
  <c r="A839" i="1"/>
  <c r="K838" i="1"/>
  <c r="J838" i="1"/>
  <c r="I838" i="1"/>
  <c r="H838" i="1"/>
  <c r="G838" i="1"/>
  <c r="F838" i="1"/>
  <c r="E838" i="1"/>
  <c r="D838" i="1"/>
  <c r="C838" i="1"/>
  <c r="B838" i="1"/>
  <c r="A838" i="1"/>
  <c r="K837" i="1"/>
  <c r="J837" i="1"/>
  <c r="H837" i="1"/>
  <c r="G837" i="1"/>
  <c r="F837" i="1"/>
  <c r="E837" i="1"/>
  <c r="D837" i="1"/>
  <c r="C837" i="1"/>
  <c r="B837" i="1"/>
  <c r="A837" i="1"/>
  <c r="K836" i="1"/>
  <c r="J836" i="1"/>
  <c r="I836" i="1"/>
  <c r="H836" i="1"/>
  <c r="G836" i="1"/>
  <c r="F836" i="1"/>
  <c r="E836" i="1"/>
  <c r="D836" i="1"/>
  <c r="C836" i="1"/>
  <c r="B836" i="1"/>
  <c r="A836" i="1"/>
  <c r="K835" i="1"/>
  <c r="J835" i="1"/>
  <c r="I835" i="1"/>
  <c r="H835" i="1"/>
  <c r="G835" i="1"/>
  <c r="F835" i="1"/>
  <c r="E835" i="1"/>
  <c r="D835" i="1"/>
  <c r="C835" i="1"/>
  <c r="B835" i="1"/>
  <c r="A835" i="1"/>
  <c r="K834" i="1"/>
  <c r="J834" i="1"/>
  <c r="I834" i="1"/>
  <c r="H834" i="1"/>
  <c r="G834" i="1"/>
  <c r="F834" i="1"/>
  <c r="E834" i="1"/>
  <c r="D834" i="1"/>
  <c r="C834" i="1"/>
  <c r="B834" i="1"/>
  <c r="A834" i="1"/>
  <c r="K833" i="1"/>
  <c r="J833" i="1"/>
  <c r="I833" i="1"/>
  <c r="H833" i="1"/>
  <c r="G833" i="1"/>
  <c r="F833" i="1"/>
  <c r="E833" i="1"/>
  <c r="D833" i="1"/>
  <c r="C833" i="1"/>
  <c r="B833" i="1"/>
  <c r="A833" i="1"/>
  <c r="K832" i="1"/>
  <c r="J832" i="1"/>
  <c r="I832" i="1"/>
  <c r="H832" i="1"/>
  <c r="G832" i="1"/>
  <c r="F832" i="1"/>
  <c r="E832" i="1"/>
  <c r="D832" i="1"/>
  <c r="C832" i="1"/>
  <c r="B832" i="1"/>
  <c r="A832" i="1"/>
  <c r="K831" i="1"/>
  <c r="I831" i="1"/>
  <c r="H831" i="1"/>
  <c r="G831" i="1"/>
  <c r="F831" i="1"/>
  <c r="E831" i="1"/>
  <c r="D831" i="1"/>
  <c r="C831" i="1"/>
  <c r="B831" i="1"/>
  <c r="A831" i="1"/>
  <c r="K830" i="1"/>
  <c r="I830" i="1"/>
  <c r="H830" i="1"/>
  <c r="G830" i="1"/>
  <c r="F830" i="1"/>
  <c r="E830" i="1"/>
  <c r="D830" i="1"/>
  <c r="C830" i="1"/>
  <c r="B830" i="1"/>
  <c r="A830" i="1"/>
  <c r="K829" i="1"/>
  <c r="J829" i="1"/>
  <c r="I829" i="1"/>
  <c r="H829" i="1"/>
  <c r="G829" i="1"/>
  <c r="F829" i="1"/>
  <c r="E829" i="1"/>
  <c r="D829" i="1"/>
  <c r="C829" i="1"/>
  <c r="B829" i="1"/>
  <c r="A829" i="1"/>
  <c r="K828" i="1"/>
  <c r="J828" i="1"/>
  <c r="I828" i="1"/>
  <c r="H828" i="1"/>
  <c r="G828" i="1"/>
  <c r="F828" i="1"/>
  <c r="E828" i="1"/>
  <c r="D828" i="1"/>
  <c r="C828" i="1"/>
  <c r="B828" i="1"/>
  <c r="A828" i="1"/>
  <c r="K827" i="1"/>
  <c r="J827" i="1"/>
  <c r="I827" i="1"/>
  <c r="H827" i="1"/>
  <c r="G827" i="1"/>
  <c r="F827" i="1"/>
  <c r="E827" i="1"/>
  <c r="D827" i="1"/>
  <c r="C827" i="1"/>
  <c r="B827" i="1"/>
  <c r="A827" i="1"/>
  <c r="K826" i="1"/>
  <c r="J826" i="1"/>
  <c r="I826" i="1"/>
  <c r="H826" i="1"/>
  <c r="G826" i="1"/>
  <c r="F826" i="1"/>
  <c r="E826" i="1"/>
  <c r="D826" i="1"/>
  <c r="C826" i="1"/>
  <c r="B826" i="1"/>
  <c r="A826" i="1"/>
  <c r="K825" i="1"/>
  <c r="J825" i="1"/>
  <c r="I825" i="1"/>
  <c r="H825" i="1"/>
  <c r="G825" i="1"/>
  <c r="F825" i="1"/>
  <c r="E825" i="1"/>
  <c r="D825" i="1"/>
  <c r="C825" i="1"/>
  <c r="B825" i="1"/>
  <c r="A825" i="1"/>
  <c r="K824" i="1"/>
  <c r="J824" i="1"/>
  <c r="I824" i="1"/>
  <c r="H824" i="1"/>
  <c r="G824" i="1"/>
  <c r="F824" i="1"/>
  <c r="E824" i="1"/>
  <c r="D824" i="1"/>
  <c r="C824" i="1"/>
  <c r="B824" i="1"/>
  <c r="A824" i="1"/>
  <c r="K823" i="1"/>
  <c r="J823" i="1"/>
  <c r="I823" i="1"/>
  <c r="H823" i="1"/>
  <c r="G823" i="1"/>
  <c r="F823" i="1"/>
  <c r="E823" i="1"/>
  <c r="D823" i="1"/>
  <c r="C823" i="1"/>
  <c r="B823" i="1"/>
  <c r="A823" i="1"/>
  <c r="K822" i="1"/>
  <c r="J822" i="1"/>
  <c r="I822" i="1"/>
  <c r="H822" i="1"/>
  <c r="G822" i="1"/>
  <c r="F822" i="1"/>
  <c r="E822" i="1"/>
  <c r="D822" i="1"/>
  <c r="C822" i="1"/>
  <c r="B822" i="1"/>
  <c r="A822" i="1"/>
  <c r="K821" i="1"/>
  <c r="J821" i="1"/>
  <c r="I821" i="1"/>
  <c r="H821" i="1"/>
  <c r="G821" i="1"/>
  <c r="F821" i="1"/>
  <c r="E821" i="1"/>
  <c r="D821" i="1"/>
  <c r="C821" i="1"/>
  <c r="B821" i="1"/>
  <c r="A821" i="1"/>
  <c r="K820" i="1"/>
  <c r="J820" i="1"/>
  <c r="I820" i="1"/>
  <c r="H820" i="1"/>
  <c r="G820" i="1"/>
  <c r="F820" i="1"/>
  <c r="E820" i="1"/>
  <c r="D820" i="1"/>
  <c r="C820" i="1"/>
  <c r="B820" i="1"/>
  <c r="A820" i="1"/>
  <c r="K819" i="1"/>
  <c r="J819" i="1"/>
  <c r="I819" i="1"/>
  <c r="H819" i="1"/>
  <c r="G819" i="1"/>
  <c r="F819" i="1"/>
  <c r="E819" i="1"/>
  <c r="D819" i="1"/>
  <c r="C819" i="1"/>
  <c r="B819" i="1"/>
  <c r="A819" i="1"/>
  <c r="K818" i="1"/>
  <c r="J818" i="1"/>
  <c r="I818" i="1"/>
  <c r="H818" i="1"/>
  <c r="G818" i="1"/>
  <c r="F818" i="1"/>
  <c r="E818" i="1"/>
  <c r="D818" i="1"/>
  <c r="C818" i="1"/>
  <c r="B818" i="1"/>
  <c r="A818" i="1"/>
  <c r="K817" i="1"/>
  <c r="J817" i="1"/>
  <c r="I817" i="1"/>
  <c r="H817" i="1"/>
  <c r="G817" i="1"/>
  <c r="F817" i="1"/>
  <c r="E817" i="1"/>
  <c r="D817" i="1"/>
  <c r="C817" i="1"/>
  <c r="B817" i="1"/>
  <c r="A817" i="1"/>
  <c r="K816" i="1"/>
  <c r="J816" i="1"/>
  <c r="I816" i="1"/>
  <c r="H816" i="1"/>
  <c r="G816" i="1"/>
  <c r="F816" i="1"/>
  <c r="E816" i="1"/>
  <c r="D816" i="1"/>
  <c r="C816" i="1"/>
  <c r="B816" i="1"/>
  <c r="A816" i="1"/>
  <c r="K815" i="1"/>
  <c r="J815" i="1"/>
  <c r="I815" i="1"/>
  <c r="H815" i="1"/>
  <c r="G815" i="1"/>
  <c r="F815" i="1"/>
  <c r="E815" i="1"/>
  <c r="D815" i="1"/>
  <c r="C815" i="1"/>
  <c r="B815" i="1"/>
  <c r="A815" i="1"/>
  <c r="K814" i="1"/>
  <c r="J814" i="1"/>
  <c r="I814" i="1"/>
  <c r="H814" i="1"/>
  <c r="G814" i="1"/>
  <c r="F814" i="1"/>
  <c r="E814" i="1"/>
  <c r="D814" i="1"/>
  <c r="C814" i="1"/>
  <c r="B814" i="1"/>
  <c r="A814" i="1"/>
  <c r="K813" i="1"/>
  <c r="J813" i="1"/>
  <c r="I813" i="1"/>
  <c r="H813" i="1"/>
  <c r="G813" i="1"/>
  <c r="F813" i="1"/>
  <c r="E813" i="1"/>
  <c r="D813" i="1"/>
  <c r="C813" i="1"/>
  <c r="B813" i="1"/>
  <c r="A813" i="1"/>
  <c r="K812" i="1"/>
  <c r="J812" i="1"/>
  <c r="I812" i="1"/>
  <c r="H812" i="1"/>
  <c r="G812" i="1"/>
  <c r="F812" i="1"/>
  <c r="E812" i="1"/>
  <c r="D812" i="1"/>
  <c r="C812" i="1"/>
  <c r="B812" i="1"/>
  <c r="A812" i="1"/>
  <c r="K811" i="1"/>
  <c r="J811" i="1"/>
  <c r="I811" i="1"/>
  <c r="H811" i="1"/>
  <c r="G811" i="1"/>
  <c r="F811" i="1"/>
  <c r="E811" i="1"/>
  <c r="D811" i="1"/>
  <c r="C811" i="1"/>
  <c r="B811" i="1"/>
  <c r="A811" i="1"/>
  <c r="K810" i="1"/>
  <c r="J810" i="1"/>
  <c r="I810" i="1"/>
  <c r="H810" i="1"/>
  <c r="G810" i="1"/>
  <c r="F810" i="1"/>
  <c r="E810" i="1"/>
  <c r="D810" i="1"/>
  <c r="C810" i="1"/>
  <c r="B810" i="1"/>
  <c r="A810" i="1"/>
  <c r="K809" i="1"/>
  <c r="J809" i="1"/>
  <c r="I809" i="1"/>
  <c r="H809" i="1"/>
  <c r="G809" i="1"/>
  <c r="F809" i="1"/>
  <c r="E809" i="1"/>
  <c r="D809" i="1"/>
  <c r="C809" i="1"/>
  <c r="B809" i="1"/>
  <c r="A809" i="1"/>
  <c r="K808" i="1"/>
  <c r="J808" i="1"/>
  <c r="I808" i="1"/>
  <c r="H808" i="1"/>
  <c r="G808" i="1"/>
  <c r="F808" i="1"/>
  <c r="E808" i="1"/>
  <c r="D808" i="1"/>
  <c r="C808" i="1"/>
  <c r="B808" i="1"/>
  <c r="A808" i="1"/>
  <c r="K807" i="1"/>
  <c r="J807" i="1"/>
  <c r="I807" i="1"/>
  <c r="H807" i="1"/>
  <c r="G807" i="1"/>
  <c r="F807" i="1"/>
  <c r="E807" i="1"/>
  <c r="D807" i="1"/>
  <c r="C807" i="1"/>
  <c r="B807" i="1"/>
  <c r="A807" i="1"/>
  <c r="K806" i="1"/>
  <c r="J806" i="1"/>
  <c r="I806" i="1"/>
  <c r="H806" i="1"/>
  <c r="G806" i="1"/>
  <c r="F806" i="1"/>
  <c r="E806" i="1"/>
  <c r="D806" i="1"/>
  <c r="C806" i="1"/>
  <c r="B806" i="1"/>
  <c r="A806" i="1"/>
  <c r="K805" i="1"/>
  <c r="J805" i="1"/>
  <c r="I805" i="1"/>
  <c r="H805" i="1"/>
  <c r="G805" i="1"/>
  <c r="F805" i="1"/>
  <c r="E805" i="1"/>
  <c r="D805" i="1"/>
  <c r="C805" i="1"/>
  <c r="B805" i="1"/>
  <c r="A805" i="1"/>
  <c r="K804" i="1"/>
  <c r="J804" i="1"/>
  <c r="I804" i="1"/>
  <c r="H804" i="1"/>
  <c r="G804" i="1"/>
  <c r="F804" i="1"/>
  <c r="E804" i="1"/>
  <c r="D804" i="1"/>
  <c r="C804" i="1"/>
  <c r="B804" i="1"/>
  <c r="A804" i="1"/>
  <c r="K803" i="1"/>
  <c r="J803" i="1"/>
  <c r="I803" i="1"/>
  <c r="H803" i="1"/>
  <c r="G803" i="1"/>
  <c r="F803" i="1"/>
  <c r="E803" i="1"/>
  <c r="D803" i="1"/>
  <c r="C803" i="1"/>
  <c r="B803" i="1"/>
  <c r="A803" i="1"/>
  <c r="K802" i="1"/>
  <c r="J802" i="1"/>
  <c r="I802" i="1"/>
  <c r="H802" i="1"/>
  <c r="G802" i="1"/>
  <c r="F802" i="1"/>
  <c r="E802" i="1"/>
  <c r="D802" i="1"/>
  <c r="C802" i="1"/>
  <c r="B802" i="1"/>
  <c r="A802" i="1"/>
  <c r="K801" i="1"/>
  <c r="J801" i="1"/>
  <c r="I801" i="1"/>
  <c r="H801" i="1"/>
  <c r="G801" i="1"/>
  <c r="F801" i="1"/>
  <c r="E801" i="1"/>
  <c r="D801" i="1"/>
  <c r="C801" i="1"/>
  <c r="B801" i="1"/>
  <c r="A801" i="1"/>
  <c r="K800" i="1"/>
  <c r="J800" i="1"/>
  <c r="I800" i="1"/>
  <c r="H800" i="1"/>
  <c r="G800" i="1"/>
  <c r="F800" i="1"/>
  <c r="E800" i="1"/>
  <c r="D800" i="1"/>
  <c r="C800" i="1"/>
  <c r="B800" i="1"/>
  <c r="A800" i="1"/>
  <c r="K799" i="1"/>
  <c r="J799" i="1"/>
  <c r="I799" i="1"/>
  <c r="H799" i="1"/>
  <c r="G799" i="1"/>
  <c r="F799" i="1"/>
  <c r="E799" i="1"/>
  <c r="D799" i="1"/>
  <c r="C799" i="1"/>
  <c r="B799" i="1"/>
  <c r="A799" i="1"/>
  <c r="K798" i="1"/>
  <c r="J798" i="1"/>
  <c r="I798" i="1"/>
  <c r="H798" i="1"/>
  <c r="G798" i="1"/>
  <c r="F798" i="1"/>
  <c r="E798" i="1"/>
  <c r="D798" i="1"/>
  <c r="C798" i="1"/>
  <c r="B798" i="1"/>
  <c r="A798" i="1"/>
  <c r="K797" i="1"/>
  <c r="J797" i="1"/>
  <c r="I797" i="1"/>
  <c r="H797" i="1"/>
  <c r="G797" i="1"/>
  <c r="F797" i="1"/>
  <c r="E797" i="1"/>
  <c r="D797" i="1"/>
  <c r="C797" i="1"/>
  <c r="B797" i="1"/>
  <c r="A797" i="1"/>
  <c r="K796" i="1"/>
  <c r="J796" i="1"/>
  <c r="I796" i="1"/>
  <c r="H796" i="1"/>
  <c r="G796" i="1"/>
  <c r="F796" i="1"/>
  <c r="E796" i="1"/>
  <c r="D796" i="1"/>
  <c r="C796" i="1"/>
  <c r="B796" i="1"/>
  <c r="A796" i="1"/>
  <c r="K795" i="1"/>
  <c r="J795" i="1"/>
  <c r="I795" i="1"/>
  <c r="H795" i="1"/>
  <c r="G795" i="1"/>
  <c r="F795" i="1"/>
  <c r="E795" i="1"/>
  <c r="D795" i="1"/>
  <c r="C795" i="1"/>
  <c r="B795" i="1"/>
  <c r="A795" i="1"/>
  <c r="K794" i="1"/>
  <c r="J794" i="1"/>
  <c r="I794" i="1"/>
  <c r="H794" i="1"/>
  <c r="G794" i="1"/>
  <c r="F794" i="1"/>
  <c r="E794" i="1"/>
  <c r="D794" i="1"/>
  <c r="C794" i="1"/>
  <c r="B794" i="1"/>
  <c r="A794" i="1"/>
  <c r="K793" i="1"/>
  <c r="J793" i="1"/>
  <c r="I793" i="1"/>
  <c r="H793" i="1"/>
  <c r="G793" i="1"/>
  <c r="F793" i="1"/>
  <c r="E793" i="1"/>
  <c r="D793" i="1"/>
  <c r="C793" i="1"/>
  <c r="B793" i="1"/>
  <c r="A793" i="1"/>
  <c r="K792" i="1"/>
  <c r="J792" i="1"/>
  <c r="I792" i="1"/>
  <c r="H792" i="1"/>
  <c r="G792" i="1"/>
  <c r="F792" i="1"/>
  <c r="E792" i="1"/>
  <c r="D792" i="1"/>
  <c r="C792" i="1"/>
  <c r="B792" i="1"/>
  <c r="A792" i="1"/>
  <c r="K791" i="1"/>
  <c r="J791" i="1"/>
  <c r="H791" i="1"/>
  <c r="G791" i="1"/>
  <c r="F791" i="1"/>
  <c r="E791" i="1"/>
  <c r="D791" i="1"/>
  <c r="C791" i="1"/>
  <c r="B791" i="1"/>
  <c r="A791" i="1"/>
  <c r="K790" i="1"/>
  <c r="J790" i="1"/>
  <c r="I790" i="1"/>
  <c r="H790" i="1"/>
  <c r="G790" i="1"/>
  <c r="F790" i="1"/>
  <c r="E790" i="1"/>
  <c r="D790" i="1"/>
  <c r="C790" i="1"/>
  <c r="B790" i="1"/>
  <c r="A790" i="1"/>
  <c r="K789" i="1"/>
  <c r="J789" i="1"/>
  <c r="I789" i="1"/>
  <c r="H789" i="1"/>
  <c r="G789" i="1"/>
  <c r="F789" i="1"/>
  <c r="E789" i="1"/>
  <c r="D789" i="1"/>
  <c r="C789" i="1"/>
  <c r="B789" i="1"/>
  <c r="A789" i="1"/>
  <c r="K788" i="1"/>
  <c r="J788" i="1"/>
  <c r="I788" i="1"/>
  <c r="H788" i="1"/>
  <c r="G788" i="1"/>
  <c r="F788" i="1"/>
  <c r="E788" i="1"/>
  <c r="D788" i="1"/>
  <c r="C788" i="1"/>
  <c r="B788" i="1"/>
  <c r="A788" i="1"/>
  <c r="K787" i="1"/>
  <c r="J787" i="1"/>
  <c r="I787" i="1"/>
  <c r="H787" i="1"/>
  <c r="G787" i="1"/>
  <c r="F787" i="1"/>
  <c r="E787" i="1"/>
  <c r="D787" i="1"/>
  <c r="C787" i="1"/>
  <c r="B787" i="1"/>
  <c r="A787" i="1"/>
  <c r="K786" i="1"/>
  <c r="J786" i="1"/>
  <c r="I786" i="1"/>
  <c r="H786" i="1"/>
  <c r="G786" i="1"/>
  <c r="F786" i="1"/>
  <c r="E786" i="1"/>
  <c r="D786" i="1"/>
  <c r="C786" i="1"/>
  <c r="B786" i="1"/>
  <c r="A786" i="1"/>
  <c r="K785" i="1"/>
  <c r="J785" i="1"/>
  <c r="I785" i="1"/>
  <c r="H785" i="1"/>
  <c r="G785" i="1"/>
  <c r="F785" i="1"/>
  <c r="E785" i="1"/>
  <c r="D785" i="1"/>
  <c r="C785" i="1"/>
  <c r="B785" i="1"/>
  <c r="A785" i="1"/>
  <c r="K784" i="1"/>
  <c r="J784" i="1"/>
  <c r="I784" i="1"/>
  <c r="H784" i="1"/>
  <c r="G784" i="1"/>
  <c r="F784" i="1"/>
  <c r="E784" i="1"/>
  <c r="D784" i="1"/>
  <c r="C784" i="1"/>
  <c r="B784" i="1"/>
  <c r="A784" i="1"/>
  <c r="K783" i="1"/>
  <c r="J783" i="1"/>
  <c r="I783" i="1"/>
  <c r="H783" i="1"/>
  <c r="G783" i="1"/>
  <c r="F783" i="1"/>
  <c r="E783" i="1"/>
  <c r="D783" i="1"/>
  <c r="C783" i="1"/>
  <c r="B783" i="1"/>
  <c r="A783" i="1"/>
  <c r="K782" i="1"/>
  <c r="J782" i="1"/>
  <c r="I782" i="1"/>
  <c r="H782" i="1"/>
  <c r="G782" i="1"/>
  <c r="F782" i="1"/>
  <c r="E782" i="1"/>
  <c r="D782" i="1"/>
  <c r="C782" i="1"/>
  <c r="B782" i="1"/>
  <c r="A782" i="1"/>
  <c r="K781" i="1"/>
  <c r="I781" i="1"/>
  <c r="H781" i="1"/>
  <c r="G781" i="1"/>
  <c r="F781" i="1"/>
  <c r="E781" i="1"/>
  <c r="D781" i="1"/>
  <c r="C781" i="1"/>
  <c r="B781" i="1"/>
  <c r="A781" i="1"/>
  <c r="K780" i="1"/>
  <c r="J780" i="1"/>
  <c r="I780" i="1"/>
  <c r="H780" i="1"/>
  <c r="G780" i="1"/>
  <c r="F780" i="1"/>
  <c r="E780" i="1"/>
  <c r="D780" i="1"/>
  <c r="C780" i="1"/>
  <c r="B780" i="1"/>
  <c r="A780" i="1"/>
  <c r="K779" i="1"/>
  <c r="J779" i="1"/>
  <c r="I779" i="1"/>
  <c r="H779" i="1"/>
  <c r="G779" i="1"/>
  <c r="F779" i="1"/>
  <c r="E779" i="1"/>
  <c r="D779" i="1"/>
  <c r="C779" i="1"/>
  <c r="B779" i="1"/>
  <c r="A779" i="1"/>
  <c r="K778" i="1"/>
  <c r="J778" i="1"/>
  <c r="I778" i="1"/>
  <c r="H778" i="1"/>
  <c r="G778" i="1"/>
  <c r="F778" i="1"/>
  <c r="E778" i="1"/>
  <c r="D778" i="1"/>
  <c r="C778" i="1"/>
  <c r="B778" i="1"/>
  <c r="A778" i="1"/>
  <c r="K777" i="1"/>
  <c r="J777" i="1"/>
  <c r="I777" i="1"/>
  <c r="H777" i="1"/>
  <c r="G777" i="1"/>
  <c r="F777" i="1"/>
  <c r="E777" i="1"/>
  <c r="D777" i="1"/>
  <c r="C777" i="1"/>
  <c r="B777" i="1"/>
  <c r="A777" i="1"/>
  <c r="K776" i="1"/>
  <c r="J776" i="1"/>
  <c r="I776" i="1"/>
  <c r="H776" i="1"/>
  <c r="G776" i="1"/>
  <c r="F776" i="1"/>
  <c r="E776" i="1"/>
  <c r="D776" i="1"/>
  <c r="C776" i="1"/>
  <c r="B776" i="1"/>
  <c r="A776" i="1"/>
  <c r="K775" i="1"/>
  <c r="J775" i="1"/>
  <c r="I775" i="1"/>
  <c r="H775" i="1"/>
  <c r="G775" i="1"/>
  <c r="F775" i="1"/>
  <c r="E775" i="1"/>
  <c r="D775" i="1"/>
  <c r="C775" i="1"/>
  <c r="B775" i="1"/>
  <c r="A775" i="1"/>
  <c r="K774" i="1"/>
  <c r="J774" i="1"/>
  <c r="I774" i="1"/>
  <c r="H774" i="1"/>
  <c r="G774" i="1"/>
  <c r="F774" i="1"/>
  <c r="E774" i="1"/>
  <c r="D774" i="1"/>
  <c r="C774" i="1"/>
  <c r="B774" i="1"/>
  <c r="A774" i="1"/>
  <c r="K773" i="1"/>
  <c r="J773" i="1"/>
  <c r="I773" i="1"/>
  <c r="H773" i="1"/>
  <c r="G773" i="1"/>
  <c r="F773" i="1"/>
  <c r="E773" i="1"/>
  <c r="D773" i="1"/>
  <c r="C773" i="1"/>
  <c r="B773" i="1"/>
  <c r="A773" i="1"/>
  <c r="K772" i="1"/>
  <c r="I772" i="1"/>
  <c r="H772" i="1"/>
  <c r="G772" i="1"/>
  <c r="F772" i="1"/>
  <c r="E772" i="1"/>
  <c r="D772" i="1"/>
  <c r="C772" i="1"/>
  <c r="B772" i="1"/>
  <c r="A772" i="1"/>
  <c r="K771" i="1"/>
  <c r="J771" i="1"/>
  <c r="I771" i="1"/>
  <c r="H771" i="1"/>
  <c r="G771" i="1"/>
  <c r="F771" i="1"/>
  <c r="E771" i="1"/>
  <c r="D771" i="1"/>
  <c r="C771" i="1"/>
  <c r="B771" i="1"/>
  <c r="A771" i="1"/>
  <c r="K770" i="1"/>
  <c r="J770" i="1"/>
  <c r="I770" i="1"/>
  <c r="H770" i="1"/>
  <c r="G770" i="1"/>
  <c r="F770" i="1"/>
  <c r="E770" i="1"/>
  <c r="D770" i="1"/>
  <c r="C770" i="1"/>
  <c r="B770" i="1"/>
  <c r="A770" i="1"/>
  <c r="K769" i="1"/>
  <c r="J769" i="1"/>
  <c r="I769" i="1"/>
  <c r="H769" i="1"/>
  <c r="G769" i="1"/>
  <c r="F769" i="1"/>
  <c r="E769" i="1"/>
  <c r="D769" i="1"/>
  <c r="C769" i="1"/>
  <c r="B769" i="1"/>
  <c r="A769" i="1"/>
  <c r="K768" i="1"/>
  <c r="J768" i="1"/>
  <c r="I768" i="1"/>
  <c r="H768" i="1"/>
  <c r="G768" i="1"/>
  <c r="F768" i="1"/>
  <c r="E768" i="1"/>
  <c r="D768" i="1"/>
  <c r="C768" i="1"/>
  <c r="B768" i="1"/>
  <c r="A768" i="1"/>
  <c r="K767" i="1"/>
  <c r="J767" i="1"/>
  <c r="I767" i="1"/>
  <c r="H767" i="1"/>
  <c r="G767" i="1"/>
  <c r="F767" i="1"/>
  <c r="E767" i="1"/>
  <c r="D767" i="1"/>
  <c r="C767" i="1"/>
  <c r="B767" i="1"/>
  <c r="A767" i="1"/>
  <c r="K766" i="1"/>
  <c r="J766" i="1"/>
  <c r="I766" i="1"/>
  <c r="H766" i="1"/>
  <c r="G766" i="1"/>
  <c r="F766" i="1"/>
  <c r="E766" i="1"/>
  <c r="D766" i="1"/>
  <c r="C766" i="1"/>
  <c r="B766" i="1"/>
  <c r="A766" i="1"/>
  <c r="K765" i="1"/>
  <c r="J765" i="1"/>
  <c r="I765" i="1"/>
  <c r="H765" i="1"/>
  <c r="G765" i="1"/>
  <c r="F765" i="1"/>
  <c r="E765" i="1"/>
  <c r="D765" i="1"/>
  <c r="C765" i="1"/>
  <c r="B765" i="1"/>
  <c r="A765" i="1"/>
  <c r="K764" i="1"/>
  <c r="J764" i="1"/>
  <c r="I764" i="1"/>
  <c r="H764" i="1"/>
  <c r="G764" i="1"/>
  <c r="F764" i="1"/>
  <c r="E764" i="1"/>
  <c r="D764" i="1"/>
  <c r="C764" i="1"/>
  <c r="B764" i="1"/>
  <c r="A764" i="1"/>
  <c r="K763" i="1"/>
  <c r="J763" i="1"/>
  <c r="I763" i="1"/>
  <c r="H763" i="1"/>
  <c r="G763" i="1"/>
  <c r="F763" i="1"/>
  <c r="E763" i="1"/>
  <c r="D763" i="1"/>
  <c r="C763" i="1"/>
  <c r="B763" i="1"/>
  <c r="A763" i="1"/>
  <c r="K762" i="1"/>
  <c r="J762" i="1"/>
  <c r="I762" i="1"/>
  <c r="H762" i="1"/>
  <c r="G762" i="1"/>
  <c r="F762" i="1"/>
  <c r="E762" i="1"/>
  <c r="D762" i="1"/>
  <c r="C762" i="1"/>
  <c r="B762" i="1"/>
  <c r="A762" i="1"/>
  <c r="K761" i="1"/>
  <c r="J761" i="1"/>
  <c r="I761" i="1"/>
  <c r="H761" i="1"/>
  <c r="G761" i="1"/>
  <c r="F761" i="1"/>
  <c r="E761" i="1"/>
  <c r="D761" i="1"/>
  <c r="C761" i="1"/>
  <c r="B761" i="1"/>
  <c r="A761" i="1"/>
  <c r="K760" i="1"/>
  <c r="J760" i="1"/>
  <c r="I760" i="1"/>
  <c r="H760" i="1"/>
  <c r="G760" i="1"/>
  <c r="F760" i="1"/>
  <c r="E760" i="1"/>
  <c r="D760" i="1"/>
  <c r="C760" i="1"/>
  <c r="B760" i="1"/>
  <c r="A760" i="1"/>
  <c r="K759" i="1"/>
  <c r="J759" i="1"/>
  <c r="I759" i="1"/>
  <c r="H759" i="1"/>
  <c r="G759" i="1"/>
  <c r="F759" i="1"/>
  <c r="E759" i="1"/>
  <c r="D759" i="1"/>
  <c r="C759" i="1"/>
  <c r="B759" i="1"/>
  <c r="A759" i="1"/>
  <c r="K758" i="1"/>
  <c r="J758" i="1"/>
  <c r="H758" i="1"/>
  <c r="G758" i="1"/>
  <c r="F758" i="1"/>
  <c r="E758" i="1"/>
  <c r="D758" i="1"/>
  <c r="C758" i="1"/>
  <c r="B758" i="1"/>
  <c r="A758" i="1"/>
  <c r="K757" i="1"/>
  <c r="J757" i="1"/>
  <c r="I757" i="1"/>
  <c r="H757" i="1"/>
  <c r="G757" i="1"/>
  <c r="F757" i="1"/>
  <c r="E757" i="1"/>
  <c r="D757" i="1"/>
  <c r="C757" i="1"/>
  <c r="B757" i="1"/>
  <c r="A757" i="1"/>
  <c r="K756" i="1"/>
  <c r="J756" i="1"/>
  <c r="I756" i="1"/>
  <c r="H756" i="1"/>
  <c r="G756" i="1"/>
  <c r="F756" i="1"/>
  <c r="E756" i="1"/>
  <c r="D756" i="1"/>
  <c r="C756" i="1"/>
  <c r="B756" i="1"/>
  <c r="A756" i="1"/>
  <c r="K755" i="1"/>
  <c r="J755" i="1"/>
  <c r="I755" i="1"/>
  <c r="H755" i="1"/>
  <c r="G755" i="1"/>
  <c r="F755" i="1"/>
  <c r="E755" i="1"/>
  <c r="D755" i="1"/>
  <c r="C755" i="1"/>
  <c r="B755" i="1"/>
  <c r="A755" i="1"/>
  <c r="K754" i="1"/>
  <c r="J754" i="1"/>
  <c r="I754" i="1"/>
  <c r="H754" i="1"/>
  <c r="G754" i="1"/>
  <c r="F754" i="1"/>
  <c r="E754" i="1"/>
  <c r="D754" i="1"/>
  <c r="C754" i="1"/>
  <c r="B754" i="1"/>
  <c r="A754" i="1"/>
  <c r="K753" i="1"/>
  <c r="J753" i="1"/>
  <c r="I753" i="1"/>
  <c r="H753" i="1"/>
  <c r="G753" i="1"/>
  <c r="F753" i="1"/>
  <c r="E753" i="1"/>
  <c r="D753" i="1"/>
  <c r="C753" i="1"/>
  <c r="B753" i="1"/>
  <c r="A753" i="1"/>
  <c r="K752" i="1"/>
  <c r="I752" i="1"/>
  <c r="H752" i="1"/>
  <c r="G752" i="1"/>
  <c r="F752" i="1"/>
  <c r="E752" i="1"/>
  <c r="D752" i="1"/>
  <c r="C752" i="1"/>
  <c r="B752" i="1"/>
  <c r="A752" i="1"/>
  <c r="K751" i="1"/>
  <c r="I751" i="1"/>
  <c r="H751" i="1"/>
  <c r="G751" i="1"/>
  <c r="F751" i="1"/>
  <c r="E751" i="1"/>
  <c r="D751" i="1"/>
  <c r="C751" i="1"/>
  <c r="B751" i="1"/>
  <c r="A751" i="1"/>
  <c r="K750" i="1"/>
  <c r="J750" i="1"/>
  <c r="I750" i="1"/>
  <c r="H750" i="1"/>
  <c r="G750" i="1"/>
  <c r="F750" i="1"/>
  <c r="E750" i="1"/>
  <c r="D750" i="1"/>
  <c r="C750" i="1"/>
  <c r="B750" i="1"/>
  <c r="A750" i="1"/>
  <c r="K749" i="1"/>
  <c r="I749" i="1"/>
  <c r="H749" i="1"/>
  <c r="G749" i="1"/>
  <c r="F749" i="1"/>
  <c r="E749" i="1"/>
  <c r="D749" i="1"/>
  <c r="C749" i="1"/>
  <c r="B749" i="1"/>
  <c r="A749" i="1"/>
  <c r="K748" i="1"/>
  <c r="J748" i="1"/>
  <c r="I748" i="1"/>
  <c r="H748" i="1"/>
  <c r="G748" i="1"/>
  <c r="F748" i="1"/>
  <c r="E748" i="1"/>
  <c r="D748" i="1"/>
  <c r="C748" i="1"/>
  <c r="B748" i="1"/>
  <c r="A748" i="1"/>
  <c r="K747" i="1"/>
  <c r="J747" i="1"/>
  <c r="I747" i="1"/>
  <c r="H747" i="1"/>
  <c r="G747" i="1"/>
  <c r="F747" i="1"/>
  <c r="E747" i="1"/>
  <c r="D747" i="1"/>
  <c r="C747" i="1"/>
  <c r="B747" i="1"/>
  <c r="A747" i="1"/>
  <c r="K746" i="1"/>
  <c r="J746" i="1"/>
  <c r="I746" i="1"/>
  <c r="H746" i="1"/>
  <c r="G746" i="1"/>
  <c r="F746" i="1"/>
  <c r="E746" i="1"/>
  <c r="D746" i="1"/>
  <c r="C746" i="1"/>
  <c r="B746" i="1"/>
  <c r="A746" i="1"/>
  <c r="K745" i="1"/>
  <c r="J745" i="1"/>
  <c r="I745" i="1"/>
  <c r="H745" i="1"/>
  <c r="G745" i="1"/>
  <c r="F745" i="1"/>
  <c r="E745" i="1"/>
  <c r="D745" i="1"/>
  <c r="C745" i="1"/>
  <c r="B745" i="1"/>
  <c r="A745" i="1"/>
  <c r="K744" i="1"/>
  <c r="I744" i="1"/>
  <c r="H744" i="1"/>
  <c r="G744" i="1"/>
  <c r="F744" i="1"/>
  <c r="E744" i="1"/>
  <c r="D744" i="1"/>
  <c r="C744" i="1"/>
  <c r="B744" i="1"/>
  <c r="A744" i="1"/>
  <c r="K743" i="1"/>
  <c r="J743" i="1"/>
  <c r="I743" i="1"/>
  <c r="H743" i="1"/>
  <c r="G743" i="1"/>
  <c r="F743" i="1"/>
  <c r="E743" i="1"/>
  <c r="D743" i="1"/>
  <c r="C743" i="1"/>
  <c r="B743" i="1"/>
  <c r="A743" i="1"/>
  <c r="K742" i="1"/>
  <c r="J742" i="1"/>
  <c r="I742" i="1"/>
  <c r="H742" i="1"/>
  <c r="G742" i="1"/>
  <c r="F742" i="1"/>
  <c r="E742" i="1"/>
  <c r="D742" i="1"/>
  <c r="C742" i="1"/>
  <c r="B742" i="1"/>
  <c r="A742" i="1"/>
  <c r="K741" i="1"/>
  <c r="J741" i="1"/>
  <c r="I741" i="1"/>
  <c r="H741" i="1"/>
  <c r="G741" i="1"/>
  <c r="F741" i="1"/>
  <c r="E741" i="1"/>
  <c r="D741" i="1"/>
  <c r="C741" i="1"/>
  <c r="B741" i="1"/>
  <c r="A741" i="1"/>
  <c r="K740" i="1"/>
  <c r="J740" i="1"/>
  <c r="I740" i="1"/>
  <c r="H740" i="1"/>
  <c r="G740" i="1"/>
  <c r="F740" i="1"/>
  <c r="E740" i="1"/>
  <c r="D740" i="1"/>
  <c r="C740" i="1"/>
  <c r="B740" i="1"/>
  <c r="A740" i="1"/>
  <c r="K739" i="1"/>
  <c r="J739" i="1"/>
  <c r="I739" i="1"/>
  <c r="H739" i="1"/>
  <c r="G739" i="1"/>
  <c r="F739" i="1"/>
  <c r="E739" i="1"/>
  <c r="D739" i="1"/>
  <c r="C739" i="1"/>
  <c r="B739" i="1"/>
  <c r="A739" i="1"/>
  <c r="K738" i="1"/>
  <c r="J738" i="1"/>
  <c r="I738" i="1"/>
  <c r="H738" i="1"/>
  <c r="G738" i="1"/>
  <c r="F738" i="1"/>
  <c r="E738" i="1"/>
  <c r="D738" i="1"/>
  <c r="C738" i="1"/>
  <c r="B738" i="1"/>
  <c r="A738" i="1"/>
  <c r="K737" i="1"/>
  <c r="J737" i="1"/>
  <c r="I737" i="1"/>
  <c r="H737" i="1"/>
  <c r="G737" i="1"/>
  <c r="F737" i="1"/>
  <c r="E737" i="1"/>
  <c r="D737" i="1"/>
  <c r="C737" i="1"/>
  <c r="B737" i="1"/>
  <c r="A737" i="1"/>
  <c r="K736" i="1"/>
  <c r="J736" i="1"/>
  <c r="I736" i="1"/>
  <c r="H736" i="1"/>
  <c r="G736" i="1"/>
  <c r="F736" i="1"/>
  <c r="E736" i="1"/>
  <c r="D736" i="1"/>
  <c r="C736" i="1"/>
  <c r="B736" i="1"/>
  <c r="A736" i="1"/>
  <c r="K735" i="1"/>
  <c r="J735" i="1"/>
  <c r="I735" i="1"/>
  <c r="H735" i="1"/>
  <c r="G735" i="1"/>
  <c r="F735" i="1"/>
  <c r="E735" i="1"/>
  <c r="D735" i="1"/>
  <c r="C735" i="1"/>
  <c r="B735" i="1"/>
  <c r="A735" i="1"/>
  <c r="K734" i="1"/>
  <c r="J734" i="1"/>
  <c r="I734" i="1"/>
  <c r="H734" i="1"/>
  <c r="G734" i="1"/>
  <c r="F734" i="1"/>
  <c r="E734" i="1"/>
  <c r="D734" i="1"/>
  <c r="C734" i="1"/>
  <c r="B734" i="1"/>
  <c r="A734" i="1"/>
  <c r="K733" i="1"/>
  <c r="J733" i="1"/>
  <c r="I733" i="1"/>
  <c r="H733" i="1"/>
  <c r="G733" i="1"/>
  <c r="F733" i="1"/>
  <c r="E733" i="1"/>
  <c r="D733" i="1"/>
  <c r="C733" i="1"/>
  <c r="B733" i="1"/>
  <c r="A733" i="1"/>
  <c r="K732" i="1"/>
  <c r="J732" i="1"/>
  <c r="I732" i="1"/>
  <c r="H732" i="1"/>
  <c r="G732" i="1"/>
  <c r="F732" i="1"/>
  <c r="E732" i="1"/>
  <c r="D732" i="1"/>
  <c r="C732" i="1"/>
  <c r="B732" i="1"/>
  <c r="A732" i="1"/>
  <c r="K731" i="1"/>
  <c r="J731" i="1"/>
  <c r="I731" i="1"/>
  <c r="H731" i="1"/>
  <c r="G731" i="1"/>
  <c r="F731" i="1"/>
  <c r="E731" i="1"/>
  <c r="D731" i="1"/>
  <c r="C731" i="1"/>
  <c r="B731" i="1"/>
  <c r="A731" i="1"/>
  <c r="K730" i="1"/>
  <c r="J730" i="1"/>
  <c r="I730" i="1"/>
  <c r="H730" i="1"/>
  <c r="G730" i="1"/>
  <c r="F730" i="1"/>
  <c r="E730" i="1"/>
  <c r="D730" i="1"/>
  <c r="C730" i="1"/>
  <c r="B730" i="1"/>
  <c r="A730" i="1"/>
  <c r="K729" i="1"/>
  <c r="J729" i="1"/>
  <c r="I729" i="1"/>
  <c r="H729" i="1"/>
  <c r="G729" i="1"/>
  <c r="F729" i="1"/>
  <c r="E729" i="1"/>
  <c r="D729" i="1"/>
  <c r="C729" i="1"/>
  <c r="B729" i="1"/>
  <c r="A729" i="1"/>
  <c r="K728" i="1"/>
  <c r="J728" i="1"/>
  <c r="H728" i="1"/>
  <c r="G728" i="1"/>
  <c r="F728" i="1"/>
  <c r="E728" i="1"/>
  <c r="D728" i="1"/>
  <c r="C728" i="1"/>
  <c r="B728" i="1"/>
  <c r="A728" i="1"/>
  <c r="K727" i="1"/>
  <c r="J727" i="1"/>
  <c r="I727" i="1"/>
  <c r="H727" i="1"/>
  <c r="G727" i="1"/>
  <c r="F727" i="1"/>
  <c r="E727" i="1"/>
  <c r="D727" i="1"/>
  <c r="C727" i="1"/>
  <c r="B727" i="1"/>
  <c r="A727" i="1"/>
  <c r="K726" i="1"/>
  <c r="J726" i="1"/>
  <c r="I726" i="1"/>
  <c r="H726" i="1"/>
  <c r="G726" i="1"/>
  <c r="F726" i="1"/>
  <c r="E726" i="1"/>
  <c r="D726" i="1"/>
  <c r="C726" i="1"/>
  <c r="B726" i="1"/>
  <c r="A726" i="1"/>
  <c r="K725" i="1"/>
  <c r="J725" i="1"/>
  <c r="I725" i="1"/>
  <c r="H725" i="1"/>
  <c r="G725" i="1"/>
  <c r="F725" i="1"/>
  <c r="E725" i="1"/>
  <c r="D725" i="1"/>
  <c r="C725" i="1"/>
  <c r="B725" i="1"/>
  <c r="A725" i="1"/>
  <c r="K724" i="1"/>
  <c r="J724" i="1"/>
  <c r="I724" i="1"/>
  <c r="H724" i="1"/>
  <c r="G724" i="1"/>
  <c r="F724" i="1"/>
  <c r="E724" i="1"/>
  <c r="D724" i="1"/>
  <c r="C724" i="1"/>
  <c r="B724" i="1"/>
  <c r="A724" i="1"/>
  <c r="K723" i="1"/>
  <c r="I723" i="1"/>
  <c r="H723" i="1"/>
  <c r="G723" i="1"/>
  <c r="F723" i="1"/>
  <c r="E723" i="1"/>
  <c r="D723" i="1"/>
  <c r="C723" i="1"/>
  <c r="B723" i="1"/>
  <c r="A723" i="1"/>
  <c r="K722" i="1"/>
  <c r="J722" i="1"/>
  <c r="I722" i="1"/>
  <c r="H722" i="1"/>
  <c r="G722" i="1"/>
  <c r="F722" i="1"/>
  <c r="E722" i="1"/>
  <c r="D722" i="1"/>
  <c r="C722" i="1"/>
  <c r="B722" i="1"/>
  <c r="A722" i="1"/>
  <c r="K721" i="1"/>
  <c r="J721" i="1"/>
  <c r="I721" i="1"/>
  <c r="H721" i="1"/>
  <c r="G721" i="1"/>
  <c r="F721" i="1"/>
  <c r="E721" i="1"/>
  <c r="D721" i="1"/>
  <c r="C721" i="1"/>
  <c r="B721" i="1"/>
  <c r="A721" i="1"/>
  <c r="K720" i="1"/>
  <c r="J720" i="1"/>
  <c r="I720" i="1"/>
  <c r="H720" i="1"/>
  <c r="G720" i="1"/>
  <c r="F720" i="1"/>
  <c r="E720" i="1"/>
  <c r="D720" i="1"/>
  <c r="C720" i="1"/>
  <c r="B720" i="1"/>
  <c r="A720" i="1"/>
  <c r="K719" i="1"/>
  <c r="J719" i="1"/>
  <c r="I719" i="1"/>
  <c r="H719" i="1"/>
  <c r="G719" i="1"/>
  <c r="F719" i="1"/>
  <c r="E719" i="1"/>
  <c r="D719" i="1"/>
  <c r="C719" i="1"/>
  <c r="B719" i="1"/>
  <c r="A719" i="1"/>
  <c r="K718" i="1"/>
  <c r="J718" i="1"/>
  <c r="I718" i="1"/>
  <c r="H718" i="1"/>
  <c r="G718" i="1"/>
  <c r="F718" i="1"/>
  <c r="E718" i="1"/>
  <c r="D718" i="1"/>
  <c r="C718" i="1"/>
  <c r="B718" i="1"/>
  <c r="A718" i="1"/>
  <c r="K717" i="1"/>
  <c r="J717" i="1"/>
  <c r="I717" i="1"/>
  <c r="H717" i="1"/>
  <c r="G717" i="1"/>
  <c r="F717" i="1"/>
  <c r="E717" i="1"/>
  <c r="D717" i="1"/>
  <c r="C717" i="1"/>
  <c r="B717" i="1"/>
  <c r="A717" i="1"/>
  <c r="K716" i="1"/>
  <c r="J716" i="1"/>
  <c r="I716" i="1"/>
  <c r="H716" i="1"/>
  <c r="G716" i="1"/>
  <c r="F716" i="1"/>
  <c r="E716" i="1"/>
  <c r="D716" i="1"/>
  <c r="C716" i="1"/>
  <c r="B716" i="1"/>
  <c r="A716" i="1"/>
  <c r="K715" i="1"/>
  <c r="J715" i="1"/>
  <c r="I715" i="1"/>
  <c r="H715" i="1"/>
  <c r="G715" i="1"/>
  <c r="F715" i="1"/>
  <c r="E715" i="1"/>
  <c r="D715" i="1"/>
  <c r="C715" i="1"/>
  <c r="B715" i="1"/>
  <c r="A715" i="1"/>
  <c r="K714" i="1"/>
  <c r="J714" i="1"/>
  <c r="I714" i="1"/>
  <c r="H714" i="1"/>
  <c r="G714" i="1"/>
  <c r="F714" i="1"/>
  <c r="E714" i="1"/>
  <c r="D714" i="1"/>
  <c r="C714" i="1"/>
  <c r="B714" i="1"/>
  <c r="A714" i="1"/>
  <c r="K713" i="1"/>
  <c r="J713" i="1"/>
  <c r="I713" i="1"/>
  <c r="H713" i="1"/>
  <c r="G713" i="1"/>
  <c r="F713" i="1"/>
  <c r="E713" i="1"/>
  <c r="D713" i="1"/>
  <c r="C713" i="1"/>
  <c r="B713" i="1"/>
  <c r="A713" i="1"/>
  <c r="K712" i="1"/>
  <c r="J712" i="1"/>
  <c r="I712" i="1"/>
  <c r="H712" i="1"/>
  <c r="G712" i="1"/>
  <c r="F712" i="1"/>
  <c r="E712" i="1"/>
  <c r="D712" i="1"/>
  <c r="C712" i="1"/>
  <c r="B712" i="1"/>
  <c r="A712" i="1"/>
  <c r="K711" i="1"/>
  <c r="J711" i="1"/>
  <c r="I711" i="1"/>
  <c r="H711" i="1"/>
  <c r="G711" i="1"/>
  <c r="F711" i="1"/>
  <c r="E711" i="1"/>
  <c r="D711" i="1"/>
  <c r="C711" i="1"/>
  <c r="B711" i="1"/>
  <c r="A711" i="1"/>
  <c r="K710" i="1"/>
  <c r="I710" i="1"/>
  <c r="H710" i="1"/>
  <c r="G710" i="1"/>
  <c r="F710" i="1"/>
  <c r="E710" i="1"/>
  <c r="D710" i="1"/>
  <c r="C710" i="1"/>
  <c r="B710" i="1"/>
  <c r="A710" i="1"/>
  <c r="K709" i="1"/>
  <c r="J709" i="1"/>
  <c r="I709" i="1"/>
  <c r="H709" i="1"/>
  <c r="G709" i="1"/>
  <c r="F709" i="1"/>
  <c r="E709" i="1"/>
  <c r="D709" i="1"/>
  <c r="C709" i="1"/>
  <c r="B709" i="1"/>
  <c r="A709" i="1"/>
  <c r="K708" i="1"/>
  <c r="J708" i="1"/>
  <c r="I708" i="1"/>
  <c r="H708" i="1"/>
  <c r="G708" i="1"/>
  <c r="F708" i="1"/>
  <c r="E708" i="1"/>
  <c r="D708" i="1"/>
  <c r="C708" i="1"/>
  <c r="B708" i="1"/>
  <c r="A708" i="1"/>
  <c r="K707" i="1"/>
  <c r="J707" i="1"/>
  <c r="I707" i="1"/>
  <c r="H707" i="1"/>
  <c r="G707" i="1"/>
  <c r="F707" i="1"/>
  <c r="E707" i="1"/>
  <c r="D707" i="1"/>
  <c r="C707" i="1"/>
  <c r="B707" i="1"/>
  <c r="A707" i="1"/>
  <c r="K706" i="1"/>
  <c r="J706" i="1"/>
  <c r="I706" i="1"/>
  <c r="H706" i="1"/>
  <c r="G706" i="1"/>
  <c r="F706" i="1"/>
  <c r="E706" i="1"/>
  <c r="D706" i="1"/>
  <c r="C706" i="1"/>
  <c r="B706" i="1"/>
  <c r="A706" i="1"/>
  <c r="K705" i="1"/>
  <c r="J705" i="1"/>
  <c r="I705" i="1"/>
  <c r="H705" i="1"/>
  <c r="G705" i="1"/>
  <c r="F705" i="1"/>
  <c r="E705" i="1"/>
  <c r="D705" i="1"/>
  <c r="C705" i="1"/>
  <c r="B705" i="1"/>
  <c r="A705" i="1"/>
  <c r="K704" i="1"/>
  <c r="J704" i="1"/>
  <c r="I704" i="1"/>
  <c r="H704" i="1"/>
  <c r="G704" i="1"/>
  <c r="F704" i="1"/>
  <c r="E704" i="1"/>
  <c r="D704" i="1"/>
  <c r="C704" i="1"/>
  <c r="B704" i="1"/>
  <c r="A704" i="1"/>
  <c r="K703" i="1"/>
  <c r="J703" i="1"/>
  <c r="I703" i="1"/>
  <c r="H703" i="1"/>
  <c r="G703" i="1"/>
  <c r="F703" i="1"/>
  <c r="E703" i="1"/>
  <c r="D703" i="1"/>
  <c r="C703" i="1"/>
  <c r="B703" i="1"/>
  <c r="A703" i="1"/>
  <c r="K702" i="1"/>
  <c r="J702" i="1"/>
  <c r="I702" i="1"/>
  <c r="H702" i="1"/>
  <c r="G702" i="1"/>
  <c r="F702" i="1"/>
  <c r="E702" i="1"/>
  <c r="D702" i="1"/>
  <c r="C702" i="1"/>
  <c r="B702" i="1"/>
  <c r="A702" i="1"/>
  <c r="K701" i="1"/>
  <c r="J701" i="1"/>
  <c r="I701" i="1"/>
  <c r="H701" i="1"/>
  <c r="G701" i="1"/>
  <c r="F701" i="1"/>
  <c r="E701" i="1"/>
  <c r="D701" i="1"/>
  <c r="C701" i="1"/>
  <c r="B701" i="1"/>
  <c r="A701" i="1"/>
  <c r="K700" i="1"/>
  <c r="I700" i="1"/>
  <c r="H700" i="1"/>
  <c r="G700" i="1"/>
  <c r="F700" i="1"/>
  <c r="E700" i="1"/>
  <c r="D700" i="1"/>
  <c r="C700" i="1"/>
  <c r="B700" i="1"/>
  <c r="A700" i="1"/>
  <c r="K699" i="1"/>
  <c r="J699" i="1"/>
  <c r="I699" i="1"/>
  <c r="H699" i="1"/>
  <c r="G699" i="1"/>
  <c r="F699" i="1"/>
  <c r="E699" i="1"/>
  <c r="D699" i="1"/>
  <c r="C699" i="1"/>
  <c r="B699" i="1"/>
  <c r="A699" i="1"/>
  <c r="K698" i="1"/>
  <c r="J698" i="1"/>
  <c r="I698" i="1"/>
  <c r="H698" i="1"/>
  <c r="G698" i="1"/>
  <c r="F698" i="1"/>
  <c r="E698" i="1"/>
  <c r="D698" i="1"/>
  <c r="C698" i="1"/>
  <c r="B698" i="1"/>
  <c r="A698" i="1"/>
  <c r="K697" i="1"/>
  <c r="J697" i="1"/>
  <c r="I697" i="1"/>
  <c r="H697" i="1"/>
  <c r="G697" i="1"/>
  <c r="F697" i="1"/>
  <c r="E697" i="1"/>
  <c r="D697" i="1"/>
  <c r="C697" i="1"/>
  <c r="B697" i="1"/>
  <c r="A697" i="1"/>
  <c r="K696" i="1"/>
  <c r="J696" i="1"/>
  <c r="I696" i="1"/>
  <c r="H696" i="1"/>
  <c r="G696" i="1"/>
  <c r="F696" i="1"/>
  <c r="E696" i="1"/>
  <c r="D696" i="1"/>
  <c r="C696" i="1"/>
  <c r="B696" i="1"/>
  <c r="A696" i="1"/>
  <c r="K695" i="1"/>
  <c r="J695" i="1"/>
  <c r="I695" i="1"/>
  <c r="H695" i="1"/>
  <c r="G695" i="1"/>
  <c r="F695" i="1"/>
  <c r="E695" i="1"/>
  <c r="D695" i="1"/>
  <c r="C695" i="1"/>
  <c r="B695" i="1"/>
  <c r="A695" i="1"/>
  <c r="K694" i="1"/>
  <c r="J694" i="1"/>
  <c r="I694" i="1"/>
  <c r="H694" i="1"/>
  <c r="G694" i="1"/>
  <c r="F694" i="1"/>
  <c r="E694" i="1"/>
  <c r="D694" i="1"/>
  <c r="C694" i="1"/>
  <c r="B694" i="1"/>
  <c r="A694" i="1"/>
  <c r="K693" i="1"/>
  <c r="J693" i="1"/>
  <c r="H693" i="1"/>
  <c r="G693" i="1"/>
  <c r="F693" i="1"/>
  <c r="E693" i="1"/>
  <c r="D693" i="1"/>
  <c r="C693" i="1"/>
  <c r="B693" i="1"/>
  <c r="A693" i="1"/>
  <c r="K692" i="1"/>
  <c r="J692" i="1"/>
  <c r="I692" i="1"/>
  <c r="H692" i="1"/>
  <c r="G692" i="1"/>
  <c r="F692" i="1"/>
  <c r="E692" i="1"/>
  <c r="D692" i="1"/>
  <c r="C692" i="1"/>
  <c r="B692" i="1"/>
  <c r="A692" i="1"/>
  <c r="K691" i="1"/>
  <c r="J691" i="1"/>
  <c r="I691" i="1"/>
  <c r="H691" i="1"/>
  <c r="G691" i="1"/>
  <c r="F691" i="1"/>
  <c r="E691" i="1"/>
  <c r="D691" i="1"/>
  <c r="C691" i="1"/>
  <c r="B691" i="1"/>
  <c r="A691" i="1"/>
  <c r="K690" i="1"/>
  <c r="J690" i="1"/>
  <c r="I690" i="1"/>
  <c r="H690" i="1"/>
  <c r="G690" i="1"/>
  <c r="F690" i="1"/>
  <c r="E690" i="1"/>
  <c r="D690" i="1"/>
  <c r="C690" i="1"/>
  <c r="B690" i="1"/>
  <c r="A690" i="1"/>
  <c r="K689" i="1"/>
  <c r="J689" i="1"/>
  <c r="I689" i="1"/>
  <c r="H689" i="1"/>
  <c r="G689" i="1"/>
  <c r="F689" i="1"/>
  <c r="E689" i="1"/>
  <c r="D689" i="1"/>
  <c r="C689" i="1"/>
  <c r="B689" i="1"/>
  <c r="A689" i="1"/>
  <c r="K688" i="1"/>
  <c r="J688" i="1"/>
  <c r="I688" i="1"/>
  <c r="H688" i="1"/>
  <c r="G688" i="1"/>
  <c r="F688" i="1"/>
  <c r="E688" i="1"/>
  <c r="D688" i="1"/>
  <c r="C688" i="1"/>
  <c r="B688" i="1"/>
  <c r="A688" i="1"/>
  <c r="K687" i="1"/>
  <c r="J687" i="1"/>
  <c r="I687" i="1"/>
  <c r="H687" i="1"/>
  <c r="G687" i="1"/>
  <c r="F687" i="1"/>
  <c r="E687" i="1"/>
  <c r="D687" i="1"/>
  <c r="C687" i="1"/>
  <c r="B687" i="1"/>
  <c r="A687" i="1"/>
  <c r="K686" i="1"/>
  <c r="I686" i="1"/>
  <c r="H686" i="1"/>
  <c r="G686" i="1"/>
  <c r="F686" i="1"/>
  <c r="E686" i="1"/>
  <c r="D686" i="1"/>
  <c r="C686" i="1"/>
  <c r="B686" i="1"/>
  <c r="A686" i="1"/>
  <c r="K685" i="1"/>
  <c r="J685" i="1"/>
  <c r="I685" i="1"/>
  <c r="H685" i="1"/>
  <c r="G685" i="1"/>
  <c r="F685" i="1"/>
  <c r="E685" i="1"/>
  <c r="D685" i="1"/>
  <c r="C685" i="1"/>
  <c r="B685" i="1"/>
  <c r="A685" i="1"/>
  <c r="K684" i="1"/>
  <c r="J684" i="1"/>
  <c r="I684" i="1"/>
  <c r="H684" i="1"/>
  <c r="G684" i="1"/>
  <c r="F684" i="1"/>
  <c r="E684" i="1"/>
  <c r="D684" i="1"/>
  <c r="C684" i="1"/>
  <c r="B684" i="1"/>
  <c r="A684" i="1"/>
  <c r="K683" i="1"/>
  <c r="J683" i="1"/>
  <c r="I683" i="1"/>
  <c r="H683" i="1"/>
  <c r="G683" i="1"/>
  <c r="F683" i="1"/>
  <c r="E683" i="1"/>
  <c r="D683" i="1"/>
  <c r="C683" i="1"/>
  <c r="B683" i="1"/>
  <c r="A683" i="1"/>
  <c r="K682" i="1"/>
  <c r="J682" i="1"/>
  <c r="I682" i="1"/>
  <c r="H682" i="1"/>
  <c r="G682" i="1"/>
  <c r="F682" i="1"/>
  <c r="E682" i="1"/>
  <c r="D682" i="1"/>
  <c r="C682" i="1"/>
  <c r="B682" i="1"/>
  <c r="A682" i="1"/>
  <c r="K681" i="1"/>
  <c r="J681" i="1"/>
  <c r="I681" i="1"/>
  <c r="H681" i="1"/>
  <c r="G681" i="1"/>
  <c r="F681" i="1"/>
  <c r="E681" i="1"/>
  <c r="D681" i="1"/>
  <c r="C681" i="1"/>
  <c r="B681" i="1"/>
  <c r="A681" i="1"/>
  <c r="K680" i="1"/>
  <c r="J680" i="1"/>
  <c r="I680" i="1"/>
  <c r="H680" i="1"/>
  <c r="G680" i="1"/>
  <c r="F680" i="1"/>
  <c r="E680" i="1"/>
  <c r="D680" i="1"/>
  <c r="C680" i="1"/>
  <c r="B680" i="1"/>
  <c r="A680" i="1"/>
  <c r="K679" i="1"/>
  <c r="I679" i="1"/>
  <c r="H679" i="1"/>
  <c r="G679" i="1"/>
  <c r="F679" i="1"/>
  <c r="E679" i="1"/>
  <c r="D679" i="1"/>
  <c r="C679" i="1"/>
  <c r="B679" i="1"/>
  <c r="A679" i="1"/>
  <c r="K678" i="1"/>
  <c r="I678" i="1"/>
  <c r="H678" i="1"/>
  <c r="G678" i="1"/>
  <c r="F678" i="1"/>
  <c r="E678" i="1"/>
  <c r="D678" i="1"/>
  <c r="C678" i="1"/>
  <c r="B678" i="1"/>
  <c r="A678" i="1"/>
  <c r="K677" i="1"/>
  <c r="I677" i="1"/>
  <c r="H677" i="1"/>
  <c r="G677" i="1"/>
  <c r="F677" i="1"/>
  <c r="E677" i="1"/>
  <c r="D677" i="1"/>
  <c r="C677" i="1"/>
  <c r="B677" i="1"/>
  <c r="A677" i="1"/>
  <c r="K676" i="1"/>
  <c r="J676" i="1"/>
  <c r="H676" i="1"/>
  <c r="G676" i="1"/>
  <c r="F676" i="1"/>
  <c r="E676" i="1"/>
  <c r="D676" i="1"/>
  <c r="C676" i="1"/>
  <c r="B676" i="1"/>
  <c r="A676" i="1"/>
  <c r="K675" i="1"/>
  <c r="J675" i="1"/>
  <c r="I675" i="1"/>
  <c r="H675" i="1"/>
  <c r="G675" i="1"/>
  <c r="F675" i="1"/>
  <c r="E675" i="1"/>
  <c r="D675" i="1"/>
  <c r="C675" i="1"/>
  <c r="B675" i="1"/>
  <c r="A675" i="1"/>
  <c r="K674" i="1"/>
  <c r="J674" i="1"/>
  <c r="I674" i="1"/>
  <c r="H674" i="1"/>
  <c r="G674" i="1"/>
  <c r="F674" i="1"/>
  <c r="E674" i="1"/>
  <c r="D674" i="1"/>
  <c r="C674" i="1"/>
  <c r="B674" i="1"/>
  <c r="A674" i="1"/>
  <c r="K673" i="1"/>
  <c r="J673" i="1"/>
  <c r="I673" i="1"/>
  <c r="H673" i="1"/>
  <c r="G673" i="1"/>
  <c r="F673" i="1"/>
  <c r="E673" i="1"/>
  <c r="D673" i="1"/>
  <c r="C673" i="1"/>
  <c r="B673" i="1"/>
  <c r="A673" i="1"/>
  <c r="K672" i="1"/>
  <c r="J672" i="1"/>
  <c r="I672" i="1"/>
  <c r="H672" i="1"/>
  <c r="G672" i="1"/>
  <c r="F672" i="1"/>
  <c r="E672" i="1"/>
  <c r="D672" i="1"/>
  <c r="C672" i="1"/>
  <c r="B672" i="1"/>
  <c r="A672" i="1"/>
  <c r="K671" i="1"/>
  <c r="J671" i="1"/>
  <c r="I671" i="1"/>
  <c r="H671" i="1"/>
  <c r="G671" i="1"/>
  <c r="F671" i="1"/>
  <c r="E671" i="1"/>
  <c r="D671" i="1"/>
  <c r="C671" i="1"/>
  <c r="B671" i="1"/>
  <c r="A671" i="1"/>
  <c r="K670" i="1"/>
  <c r="J670" i="1"/>
  <c r="I670" i="1"/>
  <c r="H670" i="1"/>
  <c r="G670" i="1"/>
  <c r="F670" i="1"/>
  <c r="E670" i="1"/>
  <c r="D670" i="1"/>
  <c r="C670" i="1"/>
  <c r="B670" i="1"/>
  <c r="A670" i="1"/>
  <c r="K669" i="1"/>
  <c r="J669" i="1"/>
  <c r="I669" i="1"/>
  <c r="H669" i="1"/>
  <c r="G669" i="1"/>
  <c r="F669" i="1"/>
  <c r="E669" i="1"/>
  <c r="D669" i="1"/>
  <c r="C669" i="1"/>
  <c r="B669" i="1"/>
  <c r="A669" i="1"/>
  <c r="K668" i="1"/>
  <c r="J668" i="1"/>
  <c r="I668" i="1"/>
  <c r="H668" i="1"/>
  <c r="G668" i="1"/>
  <c r="F668" i="1"/>
  <c r="E668" i="1"/>
  <c r="D668" i="1"/>
  <c r="C668" i="1"/>
  <c r="B668" i="1"/>
  <c r="A668" i="1"/>
  <c r="K667" i="1"/>
  <c r="J667" i="1"/>
  <c r="I667" i="1"/>
  <c r="H667" i="1"/>
  <c r="G667" i="1"/>
  <c r="F667" i="1"/>
  <c r="E667" i="1"/>
  <c r="D667" i="1"/>
  <c r="C667" i="1"/>
  <c r="B667" i="1"/>
  <c r="A667" i="1"/>
  <c r="K666" i="1"/>
  <c r="I666" i="1"/>
  <c r="H666" i="1"/>
  <c r="G666" i="1"/>
  <c r="F666" i="1"/>
  <c r="E666" i="1"/>
  <c r="D666" i="1"/>
  <c r="C666" i="1"/>
  <c r="B666" i="1"/>
  <c r="A666" i="1"/>
  <c r="K665" i="1"/>
  <c r="J665" i="1"/>
  <c r="I665" i="1"/>
  <c r="H665" i="1"/>
  <c r="G665" i="1"/>
  <c r="F665" i="1"/>
  <c r="E665" i="1"/>
  <c r="D665" i="1"/>
  <c r="C665" i="1"/>
  <c r="B665" i="1"/>
  <c r="A665" i="1"/>
  <c r="K664" i="1"/>
  <c r="J664" i="1"/>
  <c r="I664" i="1"/>
  <c r="H664" i="1"/>
  <c r="G664" i="1"/>
  <c r="F664" i="1"/>
  <c r="E664" i="1"/>
  <c r="D664" i="1"/>
  <c r="C664" i="1"/>
  <c r="B664" i="1"/>
  <c r="A664" i="1"/>
  <c r="K663" i="1"/>
  <c r="J663" i="1"/>
  <c r="I663" i="1"/>
  <c r="H663" i="1"/>
  <c r="G663" i="1"/>
  <c r="F663" i="1"/>
  <c r="E663" i="1"/>
  <c r="D663" i="1"/>
  <c r="C663" i="1"/>
  <c r="B663" i="1"/>
  <c r="A663" i="1"/>
  <c r="K662" i="1"/>
  <c r="J662" i="1"/>
  <c r="I662" i="1"/>
  <c r="H662" i="1"/>
  <c r="G662" i="1"/>
  <c r="F662" i="1"/>
  <c r="E662" i="1"/>
  <c r="D662" i="1"/>
  <c r="C662" i="1"/>
  <c r="B662" i="1"/>
  <c r="A662" i="1"/>
  <c r="K661" i="1"/>
  <c r="J661" i="1"/>
  <c r="I661" i="1"/>
  <c r="H661" i="1"/>
  <c r="G661" i="1"/>
  <c r="F661" i="1"/>
  <c r="E661" i="1"/>
  <c r="D661" i="1"/>
  <c r="C661" i="1"/>
  <c r="B661" i="1"/>
  <c r="A661" i="1"/>
  <c r="K660" i="1"/>
  <c r="J660" i="1"/>
  <c r="I660" i="1"/>
  <c r="H660" i="1"/>
  <c r="G660" i="1"/>
  <c r="F660" i="1"/>
  <c r="E660" i="1"/>
  <c r="D660" i="1"/>
  <c r="C660" i="1"/>
  <c r="B660" i="1"/>
  <c r="A660" i="1"/>
  <c r="K659" i="1"/>
  <c r="I659" i="1"/>
  <c r="H659" i="1"/>
  <c r="G659" i="1"/>
  <c r="F659" i="1"/>
  <c r="E659" i="1"/>
  <c r="D659" i="1"/>
  <c r="C659" i="1"/>
  <c r="B659" i="1"/>
  <c r="A659" i="1"/>
  <c r="K658" i="1"/>
  <c r="J658" i="1"/>
  <c r="I658" i="1"/>
  <c r="H658" i="1"/>
  <c r="G658" i="1"/>
  <c r="F658" i="1"/>
  <c r="E658" i="1"/>
  <c r="D658" i="1"/>
  <c r="C658" i="1"/>
  <c r="B658" i="1"/>
  <c r="A658" i="1"/>
  <c r="K657" i="1"/>
  <c r="J657" i="1"/>
  <c r="I657" i="1"/>
  <c r="H657" i="1"/>
  <c r="G657" i="1"/>
  <c r="F657" i="1"/>
  <c r="E657" i="1"/>
  <c r="D657" i="1"/>
  <c r="C657" i="1"/>
  <c r="B657" i="1"/>
  <c r="A657" i="1"/>
  <c r="K656" i="1"/>
  <c r="J656" i="1"/>
  <c r="I656" i="1"/>
  <c r="H656" i="1"/>
  <c r="G656" i="1"/>
  <c r="F656" i="1"/>
  <c r="E656" i="1"/>
  <c r="D656" i="1"/>
  <c r="C656" i="1"/>
  <c r="B656" i="1"/>
  <c r="A656" i="1"/>
  <c r="K655" i="1"/>
  <c r="J655" i="1"/>
  <c r="I655" i="1"/>
  <c r="H655" i="1"/>
  <c r="G655" i="1"/>
  <c r="F655" i="1"/>
  <c r="E655" i="1"/>
  <c r="D655" i="1"/>
  <c r="C655" i="1"/>
  <c r="B655" i="1"/>
  <c r="A655" i="1"/>
  <c r="K654" i="1"/>
  <c r="J654" i="1"/>
  <c r="I654" i="1"/>
  <c r="H654" i="1"/>
  <c r="G654" i="1"/>
  <c r="F654" i="1"/>
  <c r="E654" i="1"/>
  <c r="D654" i="1"/>
  <c r="C654" i="1"/>
  <c r="B654" i="1"/>
  <c r="A654" i="1"/>
  <c r="K653" i="1"/>
  <c r="J653" i="1"/>
  <c r="I653" i="1"/>
  <c r="H653" i="1"/>
  <c r="G653" i="1"/>
  <c r="F653" i="1"/>
  <c r="E653" i="1"/>
  <c r="D653" i="1"/>
  <c r="C653" i="1"/>
  <c r="B653" i="1"/>
  <c r="A653" i="1"/>
  <c r="K652" i="1"/>
  <c r="J652" i="1"/>
  <c r="I652" i="1"/>
  <c r="H652" i="1"/>
  <c r="G652" i="1"/>
  <c r="F652" i="1"/>
  <c r="E652" i="1"/>
  <c r="D652" i="1"/>
  <c r="C652" i="1"/>
  <c r="B652" i="1"/>
  <c r="A652" i="1"/>
  <c r="K651" i="1"/>
  <c r="J651" i="1"/>
  <c r="I651" i="1"/>
  <c r="H651" i="1"/>
  <c r="G651" i="1"/>
  <c r="F651" i="1"/>
  <c r="E651" i="1"/>
  <c r="D651" i="1"/>
  <c r="C651" i="1"/>
  <c r="B651" i="1"/>
  <c r="A651" i="1"/>
  <c r="K650" i="1"/>
  <c r="J650" i="1"/>
  <c r="I650" i="1"/>
  <c r="H650" i="1"/>
  <c r="G650" i="1"/>
  <c r="F650" i="1"/>
  <c r="E650" i="1"/>
  <c r="D650" i="1"/>
  <c r="C650" i="1"/>
  <c r="B650" i="1"/>
  <c r="A650" i="1"/>
  <c r="K649" i="1"/>
  <c r="J649" i="1"/>
  <c r="I649" i="1"/>
  <c r="H649" i="1"/>
  <c r="G649" i="1"/>
  <c r="F649" i="1"/>
  <c r="E649" i="1"/>
  <c r="D649" i="1"/>
  <c r="C649" i="1"/>
  <c r="B649" i="1"/>
  <c r="A649" i="1"/>
  <c r="K648" i="1"/>
  <c r="J648" i="1"/>
  <c r="I648" i="1"/>
  <c r="H648" i="1"/>
  <c r="G648" i="1"/>
  <c r="F648" i="1"/>
  <c r="E648" i="1"/>
  <c r="D648" i="1"/>
  <c r="C648" i="1"/>
  <c r="B648" i="1"/>
  <c r="A648" i="1"/>
  <c r="K647" i="1"/>
  <c r="J647" i="1"/>
  <c r="I647" i="1"/>
  <c r="H647" i="1"/>
  <c r="G647" i="1"/>
  <c r="F647" i="1"/>
  <c r="E647" i="1"/>
  <c r="D647" i="1"/>
  <c r="C647" i="1"/>
  <c r="B647" i="1"/>
  <c r="A647" i="1"/>
  <c r="K646" i="1"/>
  <c r="J646" i="1"/>
  <c r="H646" i="1"/>
  <c r="G646" i="1"/>
  <c r="F646" i="1"/>
  <c r="E646" i="1"/>
  <c r="D646" i="1"/>
  <c r="C646" i="1"/>
  <c r="B646" i="1"/>
  <c r="A646" i="1"/>
  <c r="K645" i="1"/>
  <c r="J645" i="1"/>
  <c r="I645" i="1"/>
  <c r="H645" i="1"/>
  <c r="G645" i="1"/>
  <c r="F645" i="1"/>
  <c r="E645" i="1"/>
  <c r="D645" i="1"/>
  <c r="C645" i="1"/>
  <c r="B645" i="1"/>
  <c r="A645" i="1"/>
  <c r="K644" i="1"/>
  <c r="J644" i="1"/>
  <c r="I644" i="1"/>
  <c r="H644" i="1"/>
  <c r="G644" i="1"/>
  <c r="F644" i="1"/>
  <c r="E644" i="1"/>
  <c r="D644" i="1"/>
  <c r="C644" i="1"/>
  <c r="B644" i="1"/>
  <c r="A644" i="1"/>
  <c r="K643" i="1"/>
  <c r="J643" i="1"/>
  <c r="I643" i="1"/>
  <c r="H643" i="1"/>
  <c r="G643" i="1"/>
  <c r="F643" i="1"/>
  <c r="E643" i="1"/>
  <c r="D643" i="1"/>
  <c r="C643" i="1"/>
  <c r="B643" i="1"/>
  <c r="A643" i="1"/>
  <c r="K642" i="1"/>
  <c r="J642" i="1"/>
  <c r="H642" i="1"/>
  <c r="G642" i="1"/>
  <c r="F642" i="1"/>
  <c r="E642" i="1"/>
  <c r="D642" i="1"/>
  <c r="C642" i="1"/>
  <c r="B642" i="1"/>
  <c r="A642" i="1"/>
  <c r="K641" i="1"/>
  <c r="J641" i="1"/>
  <c r="I641" i="1"/>
  <c r="H641" i="1"/>
  <c r="G641" i="1"/>
  <c r="F641" i="1"/>
  <c r="E641" i="1"/>
  <c r="D641" i="1"/>
  <c r="C641" i="1"/>
  <c r="B641" i="1"/>
  <c r="A641" i="1"/>
  <c r="K640" i="1"/>
  <c r="J640" i="1"/>
  <c r="I640" i="1"/>
  <c r="H640" i="1"/>
  <c r="G640" i="1"/>
  <c r="F640" i="1"/>
  <c r="E640" i="1"/>
  <c r="D640" i="1"/>
  <c r="C640" i="1"/>
  <c r="B640" i="1"/>
  <c r="A640" i="1"/>
  <c r="K639" i="1"/>
  <c r="J639" i="1"/>
  <c r="I639" i="1"/>
  <c r="H639" i="1"/>
  <c r="G639" i="1"/>
  <c r="F639" i="1"/>
  <c r="E639" i="1"/>
  <c r="D639" i="1"/>
  <c r="C639" i="1"/>
  <c r="B639" i="1"/>
  <c r="A639" i="1"/>
  <c r="K638" i="1"/>
  <c r="J638" i="1"/>
  <c r="H638" i="1"/>
  <c r="G638" i="1"/>
  <c r="F638" i="1"/>
  <c r="E638" i="1"/>
  <c r="D638" i="1"/>
  <c r="C638" i="1"/>
  <c r="B638" i="1"/>
  <c r="A638" i="1"/>
  <c r="K637" i="1"/>
  <c r="J637" i="1"/>
  <c r="I637" i="1"/>
  <c r="H637" i="1"/>
  <c r="G637" i="1"/>
  <c r="F637" i="1"/>
  <c r="E637" i="1"/>
  <c r="D637" i="1"/>
  <c r="C637" i="1"/>
  <c r="B637" i="1"/>
  <c r="A637" i="1"/>
  <c r="K636" i="1"/>
  <c r="J636" i="1"/>
  <c r="I636" i="1"/>
  <c r="H636" i="1"/>
  <c r="G636" i="1"/>
  <c r="F636" i="1"/>
  <c r="E636" i="1"/>
  <c r="D636" i="1"/>
  <c r="C636" i="1"/>
  <c r="B636" i="1"/>
  <c r="A636" i="1"/>
  <c r="K635" i="1"/>
  <c r="J635" i="1"/>
  <c r="I635" i="1"/>
  <c r="H635" i="1"/>
  <c r="G635" i="1"/>
  <c r="F635" i="1"/>
  <c r="E635" i="1"/>
  <c r="D635" i="1"/>
  <c r="C635" i="1"/>
  <c r="B635" i="1"/>
  <c r="A635" i="1"/>
  <c r="K634" i="1"/>
  <c r="J634" i="1"/>
  <c r="I634" i="1"/>
  <c r="H634" i="1"/>
  <c r="G634" i="1"/>
  <c r="F634" i="1"/>
  <c r="E634" i="1"/>
  <c r="D634" i="1"/>
  <c r="C634" i="1"/>
  <c r="B634" i="1"/>
  <c r="A634" i="1"/>
  <c r="K633" i="1"/>
  <c r="J633" i="1"/>
  <c r="I633" i="1"/>
  <c r="H633" i="1"/>
  <c r="G633" i="1"/>
  <c r="F633" i="1"/>
  <c r="E633" i="1"/>
  <c r="D633" i="1"/>
  <c r="C633" i="1"/>
  <c r="B633" i="1"/>
  <c r="A633" i="1"/>
  <c r="K632" i="1"/>
  <c r="I632" i="1"/>
  <c r="H632" i="1"/>
  <c r="G632" i="1"/>
  <c r="F632" i="1"/>
  <c r="E632" i="1"/>
  <c r="D632" i="1"/>
  <c r="C632" i="1"/>
  <c r="B632" i="1"/>
  <c r="A632" i="1"/>
  <c r="K631" i="1"/>
  <c r="J631" i="1"/>
  <c r="H631" i="1"/>
  <c r="G631" i="1"/>
  <c r="F631" i="1"/>
  <c r="E631" i="1"/>
  <c r="D631" i="1"/>
  <c r="C631" i="1"/>
  <c r="B631" i="1"/>
  <c r="A631" i="1"/>
  <c r="K630" i="1"/>
  <c r="J630" i="1"/>
  <c r="I630" i="1"/>
  <c r="H630" i="1"/>
  <c r="G630" i="1"/>
  <c r="F630" i="1"/>
  <c r="E630" i="1"/>
  <c r="D630" i="1"/>
  <c r="C630" i="1"/>
  <c r="B630" i="1"/>
  <c r="A630" i="1"/>
  <c r="K629" i="1"/>
  <c r="J629" i="1"/>
  <c r="I629" i="1"/>
  <c r="H629" i="1"/>
  <c r="G629" i="1"/>
  <c r="F629" i="1"/>
  <c r="E629" i="1"/>
  <c r="D629" i="1"/>
  <c r="C629" i="1"/>
  <c r="B629" i="1"/>
  <c r="A629" i="1"/>
  <c r="K628" i="1"/>
  <c r="J628" i="1"/>
  <c r="I628" i="1"/>
  <c r="H628" i="1"/>
  <c r="G628" i="1"/>
  <c r="F628" i="1"/>
  <c r="E628" i="1"/>
  <c r="D628" i="1"/>
  <c r="C628" i="1"/>
  <c r="B628" i="1"/>
  <c r="A628" i="1"/>
  <c r="K627" i="1"/>
  <c r="J627" i="1"/>
  <c r="I627" i="1"/>
  <c r="H627" i="1"/>
  <c r="G627" i="1"/>
  <c r="F627" i="1"/>
  <c r="E627" i="1"/>
  <c r="D627" i="1"/>
  <c r="C627" i="1"/>
  <c r="B627" i="1"/>
  <c r="A627" i="1"/>
  <c r="K626" i="1"/>
  <c r="J626" i="1"/>
  <c r="I626" i="1"/>
  <c r="H626" i="1"/>
  <c r="G626" i="1"/>
  <c r="F626" i="1"/>
  <c r="E626" i="1"/>
  <c r="D626" i="1"/>
  <c r="C626" i="1"/>
  <c r="B626" i="1"/>
  <c r="A626" i="1"/>
  <c r="K625" i="1"/>
  <c r="J625" i="1"/>
  <c r="H625" i="1"/>
  <c r="G625" i="1"/>
  <c r="F625" i="1"/>
  <c r="E625" i="1"/>
  <c r="D625" i="1"/>
  <c r="C625" i="1"/>
  <c r="B625" i="1"/>
  <c r="A625" i="1"/>
  <c r="K624" i="1"/>
  <c r="I624" i="1"/>
  <c r="H624" i="1"/>
  <c r="G624" i="1"/>
  <c r="F624" i="1"/>
  <c r="E624" i="1"/>
  <c r="D624" i="1"/>
  <c r="C624" i="1"/>
  <c r="B624" i="1"/>
  <c r="A624" i="1"/>
  <c r="K623" i="1"/>
  <c r="I623" i="1"/>
  <c r="H623" i="1"/>
  <c r="G623" i="1"/>
  <c r="F623" i="1"/>
  <c r="E623" i="1"/>
  <c r="D623" i="1"/>
  <c r="C623" i="1"/>
  <c r="B623" i="1"/>
  <c r="A623" i="1"/>
  <c r="K622" i="1"/>
  <c r="I622" i="1"/>
  <c r="H622" i="1"/>
  <c r="G622" i="1"/>
  <c r="F622" i="1"/>
  <c r="E622" i="1"/>
  <c r="D622" i="1"/>
  <c r="C622" i="1"/>
  <c r="B622" i="1"/>
  <c r="A622" i="1"/>
  <c r="K621" i="1"/>
  <c r="I621" i="1"/>
  <c r="H621" i="1"/>
  <c r="G621" i="1"/>
  <c r="F621" i="1"/>
  <c r="E621" i="1"/>
  <c r="D621" i="1"/>
  <c r="C621" i="1"/>
  <c r="B621" i="1"/>
  <c r="A621" i="1"/>
  <c r="K620" i="1"/>
  <c r="I620" i="1"/>
  <c r="H620" i="1"/>
  <c r="G620" i="1"/>
  <c r="F620" i="1"/>
  <c r="E620" i="1"/>
  <c r="D620" i="1"/>
  <c r="C620" i="1"/>
  <c r="B620" i="1"/>
  <c r="A620" i="1"/>
  <c r="K619" i="1"/>
  <c r="I619" i="1"/>
  <c r="H619" i="1"/>
  <c r="G619" i="1"/>
  <c r="F619" i="1"/>
  <c r="E619" i="1"/>
  <c r="D619" i="1"/>
  <c r="C619" i="1"/>
  <c r="B619" i="1"/>
  <c r="A619" i="1"/>
  <c r="K618" i="1"/>
  <c r="I618" i="1"/>
  <c r="H618" i="1"/>
  <c r="G618" i="1"/>
  <c r="F618" i="1"/>
  <c r="E618" i="1"/>
  <c r="D618" i="1"/>
  <c r="C618" i="1"/>
  <c r="B618" i="1"/>
  <c r="A618" i="1"/>
  <c r="K617" i="1"/>
  <c r="I617" i="1"/>
  <c r="H617" i="1"/>
  <c r="G617" i="1"/>
  <c r="F617" i="1"/>
  <c r="E617" i="1"/>
  <c r="D617" i="1"/>
  <c r="C617" i="1"/>
  <c r="B617" i="1"/>
  <c r="A617" i="1"/>
  <c r="K616" i="1"/>
  <c r="I616" i="1"/>
  <c r="H616" i="1"/>
  <c r="G616" i="1"/>
  <c r="F616" i="1"/>
  <c r="E616" i="1"/>
  <c r="D616" i="1"/>
  <c r="C616" i="1"/>
  <c r="B616" i="1"/>
  <c r="A616" i="1"/>
  <c r="K615" i="1"/>
  <c r="I615" i="1"/>
  <c r="H615" i="1"/>
  <c r="G615" i="1"/>
  <c r="F615" i="1"/>
  <c r="E615" i="1"/>
  <c r="D615" i="1"/>
  <c r="C615" i="1"/>
  <c r="B615" i="1"/>
  <c r="A615" i="1"/>
  <c r="K614" i="1"/>
  <c r="I614" i="1"/>
  <c r="H614" i="1"/>
  <c r="G614" i="1"/>
  <c r="F614" i="1"/>
  <c r="E614" i="1"/>
  <c r="D614" i="1"/>
  <c r="C614" i="1"/>
  <c r="B614" i="1"/>
  <c r="A614" i="1"/>
  <c r="K613" i="1"/>
  <c r="I613" i="1"/>
  <c r="H613" i="1"/>
  <c r="G613" i="1"/>
  <c r="F613" i="1"/>
  <c r="E613" i="1"/>
  <c r="D613" i="1"/>
  <c r="C613" i="1"/>
  <c r="B613" i="1"/>
  <c r="A613" i="1"/>
  <c r="K612" i="1"/>
  <c r="I612" i="1"/>
  <c r="H612" i="1"/>
  <c r="G612" i="1"/>
  <c r="F612" i="1"/>
  <c r="E612" i="1"/>
  <c r="D612" i="1"/>
  <c r="C612" i="1"/>
  <c r="B612" i="1"/>
  <c r="A612" i="1"/>
  <c r="K611" i="1"/>
  <c r="I611" i="1"/>
  <c r="H611" i="1"/>
  <c r="G611" i="1"/>
  <c r="F611" i="1"/>
  <c r="E611" i="1"/>
  <c r="D611" i="1"/>
  <c r="C611" i="1"/>
  <c r="B611" i="1"/>
  <c r="A611" i="1"/>
  <c r="K610" i="1"/>
  <c r="I610" i="1"/>
  <c r="H610" i="1"/>
  <c r="G610" i="1"/>
  <c r="F610" i="1"/>
  <c r="E610" i="1"/>
  <c r="D610" i="1"/>
  <c r="C610" i="1"/>
  <c r="B610" i="1"/>
  <c r="A610" i="1"/>
  <c r="K609" i="1"/>
  <c r="I609" i="1"/>
  <c r="H609" i="1"/>
  <c r="G609" i="1"/>
  <c r="F609" i="1"/>
  <c r="E609" i="1"/>
  <c r="D609" i="1"/>
  <c r="C609" i="1"/>
  <c r="B609" i="1"/>
  <c r="A609" i="1"/>
  <c r="K608" i="1"/>
  <c r="I608" i="1"/>
  <c r="H608" i="1"/>
  <c r="G608" i="1"/>
  <c r="F608" i="1"/>
  <c r="E608" i="1"/>
  <c r="D608" i="1"/>
  <c r="C608" i="1"/>
  <c r="B608" i="1"/>
  <c r="A608" i="1"/>
  <c r="K607" i="1"/>
  <c r="I607" i="1"/>
  <c r="H607" i="1"/>
  <c r="G607" i="1"/>
  <c r="F607" i="1"/>
  <c r="E607" i="1"/>
  <c r="D607" i="1"/>
  <c r="C607" i="1"/>
  <c r="B607" i="1"/>
  <c r="A607" i="1"/>
  <c r="K606" i="1"/>
  <c r="I606" i="1"/>
  <c r="H606" i="1"/>
  <c r="G606" i="1"/>
  <c r="F606" i="1"/>
  <c r="E606" i="1"/>
  <c r="D606" i="1"/>
  <c r="C606" i="1"/>
  <c r="B606" i="1"/>
  <c r="A606" i="1"/>
  <c r="K605" i="1"/>
  <c r="I605" i="1"/>
  <c r="H605" i="1"/>
  <c r="G605" i="1"/>
  <c r="F605" i="1"/>
  <c r="E605" i="1"/>
  <c r="D605" i="1"/>
  <c r="C605" i="1"/>
  <c r="B605" i="1"/>
  <c r="A605" i="1"/>
  <c r="K604" i="1"/>
  <c r="I604" i="1"/>
  <c r="H604" i="1"/>
  <c r="G604" i="1"/>
  <c r="F604" i="1"/>
  <c r="E604" i="1"/>
  <c r="D604" i="1"/>
  <c r="C604" i="1"/>
  <c r="B604" i="1"/>
  <c r="A604" i="1"/>
  <c r="K603" i="1"/>
  <c r="J603" i="1"/>
  <c r="I603" i="1"/>
  <c r="H603" i="1"/>
  <c r="G603" i="1"/>
  <c r="F603" i="1"/>
  <c r="E603" i="1"/>
  <c r="D603" i="1"/>
  <c r="C603" i="1"/>
  <c r="B603" i="1"/>
  <c r="A603" i="1"/>
  <c r="K602" i="1"/>
  <c r="I602" i="1"/>
  <c r="H602" i="1"/>
  <c r="G602" i="1"/>
  <c r="F602" i="1"/>
  <c r="E602" i="1"/>
  <c r="D602" i="1"/>
  <c r="C602" i="1"/>
  <c r="B602" i="1"/>
  <c r="A602" i="1"/>
  <c r="K601" i="1"/>
  <c r="I601" i="1"/>
  <c r="H601" i="1"/>
  <c r="G601" i="1"/>
  <c r="F601" i="1"/>
  <c r="E601" i="1"/>
  <c r="D601" i="1"/>
  <c r="C601" i="1"/>
  <c r="B601" i="1"/>
  <c r="A601" i="1"/>
  <c r="K600" i="1"/>
  <c r="I600" i="1"/>
  <c r="H600" i="1"/>
  <c r="G600" i="1"/>
  <c r="F600" i="1"/>
  <c r="E600" i="1"/>
  <c r="D600" i="1"/>
  <c r="C600" i="1"/>
  <c r="B600" i="1"/>
  <c r="A600" i="1"/>
  <c r="K599" i="1"/>
  <c r="I599" i="1"/>
  <c r="H599" i="1"/>
  <c r="G599" i="1"/>
  <c r="F599" i="1"/>
  <c r="E599" i="1"/>
  <c r="D599" i="1"/>
  <c r="C599" i="1"/>
  <c r="B599" i="1"/>
  <c r="A599" i="1"/>
  <c r="K598" i="1"/>
  <c r="I598" i="1"/>
  <c r="H598" i="1"/>
  <c r="G598" i="1"/>
  <c r="F598" i="1"/>
  <c r="E598" i="1"/>
  <c r="D598" i="1"/>
  <c r="C598" i="1"/>
  <c r="B598" i="1"/>
  <c r="A598" i="1"/>
  <c r="K597" i="1"/>
  <c r="I597" i="1"/>
  <c r="H597" i="1"/>
  <c r="G597" i="1"/>
  <c r="F597" i="1"/>
  <c r="E597" i="1"/>
  <c r="D597" i="1"/>
  <c r="C597" i="1"/>
  <c r="B597" i="1"/>
  <c r="A597" i="1"/>
  <c r="K596" i="1"/>
  <c r="I596" i="1"/>
  <c r="H596" i="1"/>
  <c r="G596" i="1"/>
  <c r="F596" i="1"/>
  <c r="E596" i="1"/>
  <c r="D596" i="1"/>
  <c r="C596" i="1"/>
  <c r="B596" i="1"/>
  <c r="A596" i="1"/>
  <c r="K595" i="1"/>
  <c r="I595" i="1"/>
  <c r="H595" i="1"/>
  <c r="G595" i="1"/>
  <c r="F595" i="1"/>
  <c r="E595" i="1"/>
  <c r="D595" i="1"/>
  <c r="C595" i="1"/>
  <c r="B595" i="1"/>
  <c r="A595" i="1"/>
  <c r="K594" i="1"/>
  <c r="J594" i="1"/>
  <c r="I594" i="1"/>
  <c r="H594" i="1"/>
  <c r="G594" i="1"/>
  <c r="F594" i="1"/>
  <c r="E594" i="1"/>
  <c r="D594" i="1"/>
  <c r="C594" i="1"/>
  <c r="B594" i="1"/>
  <c r="A594" i="1"/>
  <c r="K593" i="1"/>
  <c r="J593" i="1"/>
  <c r="I593" i="1"/>
  <c r="H593" i="1"/>
  <c r="G593" i="1"/>
  <c r="F593" i="1"/>
  <c r="E593" i="1"/>
  <c r="D593" i="1"/>
  <c r="C593" i="1"/>
  <c r="B593" i="1"/>
  <c r="A593" i="1"/>
  <c r="K592" i="1"/>
  <c r="J592" i="1"/>
  <c r="I592" i="1"/>
  <c r="H592" i="1"/>
  <c r="G592" i="1"/>
  <c r="F592" i="1"/>
  <c r="E592" i="1"/>
  <c r="D592" i="1"/>
  <c r="C592" i="1"/>
  <c r="B592" i="1"/>
  <c r="A592" i="1"/>
  <c r="K591" i="1"/>
  <c r="I591" i="1"/>
  <c r="H591" i="1"/>
  <c r="G591" i="1"/>
  <c r="F591" i="1"/>
  <c r="E591" i="1"/>
  <c r="D591" i="1"/>
  <c r="C591" i="1"/>
  <c r="B591" i="1"/>
  <c r="A591" i="1"/>
  <c r="K590" i="1"/>
  <c r="I590" i="1"/>
  <c r="H590" i="1"/>
  <c r="G590" i="1"/>
  <c r="F590" i="1"/>
  <c r="E590" i="1"/>
  <c r="D590" i="1"/>
  <c r="C590" i="1"/>
  <c r="B590" i="1"/>
  <c r="A590" i="1"/>
  <c r="K589" i="1"/>
  <c r="I589" i="1"/>
  <c r="H589" i="1"/>
  <c r="G589" i="1"/>
  <c r="F589" i="1"/>
  <c r="E589" i="1"/>
  <c r="D589" i="1"/>
  <c r="C589" i="1"/>
  <c r="B589" i="1"/>
  <c r="A589" i="1"/>
  <c r="K588" i="1"/>
  <c r="I588" i="1"/>
  <c r="H588" i="1"/>
  <c r="G588" i="1"/>
  <c r="F588" i="1"/>
  <c r="E588" i="1"/>
  <c r="D588" i="1"/>
  <c r="C588" i="1"/>
  <c r="B588" i="1"/>
  <c r="A588" i="1"/>
  <c r="K587" i="1"/>
  <c r="J587" i="1"/>
  <c r="I587" i="1"/>
  <c r="H587" i="1"/>
  <c r="G587" i="1"/>
  <c r="F587" i="1"/>
  <c r="E587" i="1"/>
  <c r="D587" i="1"/>
  <c r="C587" i="1"/>
  <c r="B587" i="1"/>
  <c r="A587" i="1"/>
  <c r="K586" i="1"/>
  <c r="J586" i="1"/>
  <c r="I586" i="1"/>
  <c r="H586" i="1"/>
  <c r="G586" i="1"/>
  <c r="F586" i="1"/>
  <c r="E586" i="1"/>
  <c r="D586" i="1"/>
  <c r="C586" i="1"/>
  <c r="B586" i="1"/>
  <c r="A586" i="1"/>
  <c r="K585" i="1"/>
  <c r="I585" i="1"/>
  <c r="H585" i="1"/>
  <c r="G585" i="1"/>
  <c r="F585" i="1"/>
  <c r="E585" i="1"/>
  <c r="D585" i="1"/>
  <c r="C585" i="1"/>
  <c r="B585" i="1"/>
  <c r="A585" i="1"/>
  <c r="K584" i="1"/>
  <c r="J584" i="1"/>
  <c r="I584" i="1"/>
  <c r="H584" i="1"/>
  <c r="G584" i="1"/>
  <c r="F584" i="1"/>
  <c r="E584" i="1"/>
  <c r="D584" i="1"/>
  <c r="C584" i="1"/>
  <c r="B584" i="1"/>
  <c r="A584" i="1"/>
  <c r="K583" i="1"/>
  <c r="I583" i="1"/>
  <c r="H583" i="1"/>
  <c r="G583" i="1"/>
  <c r="F583" i="1"/>
  <c r="E583" i="1"/>
  <c r="D583" i="1"/>
  <c r="C583" i="1"/>
  <c r="B583" i="1"/>
  <c r="A583" i="1"/>
  <c r="K582" i="1"/>
  <c r="J582" i="1"/>
  <c r="I582" i="1"/>
  <c r="H582" i="1"/>
  <c r="G582" i="1"/>
  <c r="F582" i="1"/>
  <c r="E582" i="1"/>
  <c r="D582" i="1"/>
  <c r="C582" i="1"/>
  <c r="B582" i="1"/>
  <c r="A582" i="1"/>
  <c r="K581" i="1"/>
  <c r="J581" i="1"/>
  <c r="I581" i="1"/>
  <c r="H581" i="1"/>
  <c r="G581" i="1"/>
  <c r="F581" i="1"/>
  <c r="E581" i="1"/>
  <c r="D581" i="1"/>
  <c r="C581" i="1"/>
  <c r="B581" i="1"/>
  <c r="A581" i="1"/>
  <c r="K580" i="1"/>
  <c r="J580" i="1"/>
  <c r="I580" i="1"/>
  <c r="H580" i="1"/>
  <c r="G580" i="1"/>
  <c r="F580" i="1"/>
  <c r="E580" i="1"/>
  <c r="D580" i="1"/>
  <c r="C580" i="1"/>
  <c r="B580" i="1"/>
  <c r="A580" i="1"/>
  <c r="K579" i="1"/>
  <c r="J579" i="1"/>
  <c r="I579" i="1"/>
  <c r="H579" i="1"/>
  <c r="G579" i="1"/>
  <c r="F579" i="1"/>
  <c r="E579" i="1"/>
  <c r="D579" i="1"/>
  <c r="C579" i="1"/>
  <c r="B579" i="1"/>
  <c r="A579" i="1"/>
  <c r="K578" i="1"/>
  <c r="I578" i="1"/>
  <c r="H578" i="1"/>
  <c r="G578" i="1"/>
  <c r="F578" i="1"/>
  <c r="E578" i="1"/>
  <c r="D578" i="1"/>
  <c r="C578" i="1"/>
  <c r="B578" i="1"/>
  <c r="A578" i="1"/>
  <c r="K577" i="1"/>
  <c r="I577" i="1"/>
  <c r="H577" i="1"/>
  <c r="G577" i="1"/>
  <c r="F577" i="1"/>
  <c r="E577" i="1"/>
  <c r="D577" i="1"/>
  <c r="C577" i="1"/>
  <c r="B577" i="1"/>
  <c r="A577" i="1"/>
  <c r="K576" i="1"/>
  <c r="I576" i="1"/>
  <c r="H576" i="1"/>
  <c r="G576" i="1"/>
  <c r="F576" i="1"/>
  <c r="E576" i="1"/>
  <c r="D576" i="1"/>
  <c r="C576" i="1"/>
  <c r="B576" i="1"/>
  <c r="A576" i="1"/>
  <c r="K575" i="1"/>
  <c r="I575" i="1"/>
  <c r="H575" i="1"/>
  <c r="G575" i="1"/>
  <c r="F575" i="1"/>
  <c r="E575" i="1"/>
  <c r="D575" i="1"/>
  <c r="C575" i="1"/>
  <c r="B575" i="1"/>
  <c r="A575" i="1"/>
  <c r="K574" i="1"/>
  <c r="I574" i="1"/>
  <c r="H574" i="1"/>
  <c r="G574" i="1"/>
  <c r="F574" i="1"/>
  <c r="E574" i="1"/>
  <c r="D574" i="1"/>
  <c r="C574" i="1"/>
  <c r="B574" i="1"/>
  <c r="A574" i="1"/>
  <c r="K573" i="1"/>
  <c r="I573" i="1"/>
  <c r="H573" i="1"/>
  <c r="G573" i="1"/>
  <c r="F573" i="1"/>
  <c r="E573" i="1"/>
  <c r="D573" i="1"/>
  <c r="C573" i="1"/>
  <c r="B573" i="1"/>
  <c r="A573" i="1"/>
  <c r="K572" i="1"/>
  <c r="I572" i="1"/>
  <c r="H572" i="1"/>
  <c r="G572" i="1"/>
  <c r="F572" i="1"/>
  <c r="E572" i="1"/>
  <c r="D572" i="1"/>
  <c r="C572" i="1"/>
  <c r="B572" i="1"/>
  <c r="A572" i="1"/>
  <c r="K571" i="1"/>
  <c r="I571" i="1"/>
  <c r="H571" i="1"/>
  <c r="G571" i="1"/>
  <c r="F571" i="1"/>
  <c r="E571" i="1"/>
  <c r="D571" i="1"/>
  <c r="C571" i="1"/>
  <c r="B571" i="1"/>
  <c r="A571" i="1"/>
  <c r="K570" i="1"/>
  <c r="I570" i="1"/>
  <c r="H570" i="1"/>
  <c r="G570" i="1"/>
  <c r="F570" i="1"/>
  <c r="E570" i="1"/>
  <c r="D570" i="1"/>
  <c r="C570" i="1"/>
  <c r="B570" i="1"/>
  <c r="A570" i="1"/>
  <c r="K569" i="1"/>
  <c r="I569" i="1"/>
  <c r="H569" i="1"/>
  <c r="G569" i="1"/>
  <c r="F569" i="1"/>
  <c r="E569" i="1"/>
  <c r="D569" i="1"/>
  <c r="C569" i="1"/>
  <c r="B569" i="1"/>
  <c r="A569" i="1"/>
  <c r="K568" i="1"/>
  <c r="I568" i="1"/>
  <c r="H568" i="1"/>
  <c r="G568" i="1"/>
  <c r="F568" i="1"/>
  <c r="E568" i="1"/>
  <c r="D568" i="1"/>
  <c r="C568" i="1"/>
  <c r="B568" i="1"/>
  <c r="A568" i="1"/>
  <c r="K567" i="1"/>
  <c r="I567" i="1"/>
  <c r="H567" i="1"/>
  <c r="G567" i="1"/>
  <c r="F567" i="1"/>
  <c r="E567" i="1"/>
  <c r="D567" i="1"/>
  <c r="C567" i="1"/>
  <c r="B567" i="1"/>
  <c r="A567" i="1"/>
  <c r="K566" i="1"/>
  <c r="I566" i="1"/>
  <c r="H566" i="1"/>
  <c r="G566" i="1"/>
  <c r="F566" i="1"/>
  <c r="E566" i="1"/>
  <c r="D566" i="1"/>
  <c r="C566" i="1"/>
  <c r="B566" i="1"/>
  <c r="A566" i="1"/>
  <c r="K565" i="1"/>
  <c r="I565" i="1"/>
  <c r="H565" i="1"/>
  <c r="G565" i="1"/>
  <c r="F565" i="1"/>
  <c r="E565" i="1"/>
  <c r="D565" i="1"/>
  <c r="C565" i="1"/>
  <c r="B565" i="1"/>
  <c r="A565" i="1"/>
  <c r="K564" i="1"/>
  <c r="I564" i="1"/>
  <c r="H564" i="1"/>
  <c r="G564" i="1"/>
  <c r="F564" i="1"/>
  <c r="E564" i="1"/>
  <c r="D564" i="1"/>
  <c r="C564" i="1"/>
  <c r="B564" i="1"/>
  <c r="A564" i="1"/>
  <c r="K563" i="1"/>
  <c r="I563" i="1"/>
  <c r="H563" i="1"/>
  <c r="G563" i="1"/>
  <c r="F563" i="1"/>
  <c r="E563" i="1"/>
  <c r="D563" i="1"/>
  <c r="C563" i="1"/>
  <c r="B563" i="1"/>
  <c r="A563" i="1"/>
  <c r="K562" i="1"/>
  <c r="I562" i="1"/>
  <c r="H562" i="1"/>
  <c r="G562" i="1"/>
  <c r="F562" i="1"/>
  <c r="E562" i="1"/>
  <c r="D562" i="1"/>
  <c r="C562" i="1"/>
  <c r="B562" i="1"/>
  <c r="A562" i="1"/>
  <c r="K561" i="1"/>
  <c r="I561" i="1"/>
  <c r="H561" i="1"/>
  <c r="G561" i="1"/>
  <c r="F561" i="1"/>
  <c r="E561" i="1"/>
  <c r="D561" i="1"/>
  <c r="C561" i="1"/>
  <c r="B561" i="1"/>
  <c r="A561" i="1"/>
  <c r="K560" i="1"/>
  <c r="I560" i="1"/>
  <c r="H560" i="1"/>
  <c r="G560" i="1"/>
  <c r="F560" i="1"/>
  <c r="E560" i="1"/>
  <c r="D560" i="1"/>
  <c r="C560" i="1"/>
  <c r="B560" i="1"/>
  <c r="A560" i="1"/>
  <c r="K559" i="1"/>
  <c r="I559" i="1"/>
  <c r="H559" i="1"/>
  <c r="G559" i="1"/>
  <c r="F559" i="1"/>
  <c r="E559" i="1"/>
  <c r="D559" i="1"/>
  <c r="C559" i="1"/>
  <c r="B559" i="1"/>
  <c r="A559" i="1"/>
  <c r="K558" i="1"/>
  <c r="I558" i="1"/>
  <c r="H558" i="1"/>
  <c r="G558" i="1"/>
  <c r="F558" i="1"/>
  <c r="E558" i="1"/>
  <c r="D558" i="1"/>
  <c r="C558" i="1"/>
  <c r="B558" i="1"/>
  <c r="A558" i="1"/>
  <c r="K557" i="1"/>
  <c r="I557" i="1"/>
  <c r="H557" i="1"/>
  <c r="G557" i="1"/>
  <c r="F557" i="1"/>
  <c r="E557" i="1"/>
  <c r="D557" i="1"/>
  <c r="C557" i="1"/>
  <c r="B557" i="1"/>
  <c r="A557" i="1"/>
  <c r="K556" i="1"/>
  <c r="I556" i="1"/>
  <c r="H556" i="1"/>
  <c r="G556" i="1"/>
  <c r="F556" i="1"/>
  <c r="E556" i="1"/>
  <c r="D556" i="1"/>
  <c r="C556" i="1"/>
  <c r="B556" i="1"/>
  <c r="A556" i="1"/>
  <c r="K555" i="1"/>
  <c r="I555" i="1"/>
  <c r="H555" i="1"/>
  <c r="G555" i="1"/>
  <c r="F555" i="1"/>
  <c r="E555" i="1"/>
  <c r="D555" i="1"/>
  <c r="C555" i="1"/>
  <c r="B555" i="1"/>
  <c r="A555" i="1"/>
  <c r="K554" i="1"/>
  <c r="I554" i="1"/>
  <c r="H554" i="1"/>
  <c r="G554" i="1"/>
  <c r="F554" i="1"/>
  <c r="E554" i="1"/>
  <c r="D554" i="1"/>
  <c r="C554" i="1"/>
  <c r="B554" i="1"/>
  <c r="A554" i="1"/>
  <c r="K553" i="1"/>
  <c r="I553" i="1"/>
  <c r="H553" i="1"/>
  <c r="G553" i="1"/>
  <c r="F553" i="1"/>
  <c r="E553" i="1"/>
  <c r="D553" i="1"/>
  <c r="C553" i="1"/>
  <c r="B553" i="1"/>
  <c r="A553" i="1"/>
  <c r="K552" i="1"/>
  <c r="I552" i="1"/>
  <c r="H552" i="1"/>
  <c r="G552" i="1"/>
  <c r="F552" i="1"/>
  <c r="E552" i="1"/>
  <c r="D552" i="1"/>
  <c r="C552" i="1"/>
  <c r="B552" i="1"/>
  <c r="A552" i="1"/>
  <c r="K551" i="1"/>
  <c r="I551" i="1"/>
  <c r="H551" i="1"/>
  <c r="G551" i="1"/>
  <c r="F551" i="1"/>
  <c r="E551" i="1"/>
  <c r="D551" i="1"/>
  <c r="C551" i="1"/>
  <c r="B551" i="1"/>
  <c r="A551" i="1"/>
  <c r="K550" i="1"/>
  <c r="I550" i="1"/>
  <c r="H550" i="1"/>
  <c r="G550" i="1"/>
  <c r="F550" i="1"/>
  <c r="E550" i="1"/>
  <c r="D550" i="1"/>
  <c r="C550" i="1"/>
  <c r="B550" i="1"/>
  <c r="A550" i="1"/>
  <c r="K549" i="1"/>
  <c r="I549" i="1"/>
  <c r="H549" i="1"/>
  <c r="G549" i="1"/>
  <c r="F549" i="1"/>
  <c r="E549" i="1"/>
  <c r="D549" i="1"/>
  <c r="C549" i="1"/>
  <c r="B549" i="1"/>
  <c r="A549" i="1"/>
  <c r="K548" i="1"/>
  <c r="I548" i="1"/>
  <c r="H548" i="1"/>
  <c r="G548" i="1"/>
  <c r="F548" i="1"/>
  <c r="E548" i="1"/>
  <c r="D548" i="1"/>
  <c r="C548" i="1"/>
  <c r="B548" i="1"/>
  <c r="A548" i="1"/>
  <c r="K547" i="1"/>
  <c r="I547" i="1"/>
  <c r="H547" i="1"/>
  <c r="G547" i="1"/>
  <c r="F547" i="1"/>
  <c r="E547" i="1"/>
  <c r="D547" i="1"/>
  <c r="C547" i="1"/>
  <c r="B547" i="1"/>
  <c r="A547" i="1"/>
  <c r="K546" i="1"/>
  <c r="I546" i="1"/>
  <c r="H546" i="1"/>
  <c r="G546" i="1"/>
  <c r="F546" i="1"/>
  <c r="E546" i="1"/>
  <c r="D546" i="1"/>
  <c r="C546" i="1"/>
  <c r="B546" i="1"/>
  <c r="A546" i="1"/>
  <c r="K545" i="1"/>
  <c r="I545" i="1"/>
  <c r="H545" i="1"/>
  <c r="G545" i="1"/>
  <c r="F545" i="1"/>
  <c r="E545" i="1"/>
  <c r="D545" i="1"/>
  <c r="C545" i="1"/>
  <c r="B545" i="1"/>
  <c r="A545" i="1"/>
  <c r="K544" i="1"/>
  <c r="I544" i="1"/>
  <c r="H544" i="1"/>
  <c r="G544" i="1"/>
  <c r="F544" i="1"/>
  <c r="E544" i="1"/>
  <c r="D544" i="1"/>
  <c r="C544" i="1"/>
  <c r="B544" i="1"/>
  <c r="A544" i="1"/>
  <c r="K543" i="1"/>
  <c r="I543" i="1"/>
  <c r="H543" i="1"/>
  <c r="G543" i="1"/>
  <c r="F543" i="1"/>
  <c r="E543" i="1"/>
  <c r="D543" i="1"/>
  <c r="C543" i="1"/>
  <c r="B543" i="1"/>
  <c r="A543" i="1"/>
  <c r="K542" i="1"/>
  <c r="I542" i="1"/>
  <c r="H542" i="1"/>
  <c r="G542" i="1"/>
  <c r="F542" i="1"/>
  <c r="E542" i="1"/>
  <c r="D542" i="1"/>
  <c r="C542" i="1"/>
  <c r="B542" i="1"/>
  <c r="A542" i="1"/>
  <c r="K541" i="1"/>
  <c r="I541" i="1"/>
  <c r="H541" i="1"/>
  <c r="G541" i="1"/>
  <c r="F541" i="1"/>
  <c r="E541" i="1"/>
  <c r="D541" i="1"/>
  <c r="C541" i="1"/>
  <c r="B541" i="1"/>
  <c r="A541" i="1"/>
  <c r="K540" i="1"/>
  <c r="I540" i="1"/>
  <c r="H540" i="1"/>
  <c r="G540" i="1"/>
  <c r="F540" i="1"/>
  <c r="E540" i="1"/>
  <c r="D540" i="1"/>
  <c r="C540" i="1"/>
  <c r="B540" i="1"/>
  <c r="A540" i="1"/>
  <c r="K539" i="1"/>
  <c r="I539" i="1"/>
  <c r="H539" i="1"/>
  <c r="G539" i="1"/>
  <c r="F539" i="1"/>
  <c r="E539" i="1"/>
  <c r="D539" i="1"/>
  <c r="C539" i="1"/>
  <c r="B539" i="1"/>
  <c r="A539" i="1"/>
  <c r="K538" i="1"/>
  <c r="I538" i="1"/>
  <c r="H538" i="1"/>
  <c r="G538" i="1"/>
  <c r="F538" i="1"/>
  <c r="E538" i="1"/>
  <c r="D538" i="1"/>
  <c r="C538" i="1"/>
  <c r="B538" i="1"/>
  <c r="A538" i="1"/>
  <c r="K537" i="1"/>
  <c r="I537" i="1"/>
  <c r="H537" i="1"/>
  <c r="G537" i="1"/>
  <c r="F537" i="1"/>
  <c r="E537" i="1"/>
  <c r="D537" i="1"/>
  <c r="C537" i="1"/>
  <c r="B537" i="1"/>
  <c r="A537" i="1"/>
  <c r="K536" i="1"/>
  <c r="I536" i="1"/>
  <c r="H536" i="1"/>
  <c r="G536" i="1"/>
  <c r="F536" i="1"/>
  <c r="E536" i="1"/>
  <c r="D536" i="1"/>
  <c r="C536" i="1"/>
  <c r="B536" i="1"/>
  <c r="A536" i="1"/>
  <c r="K535" i="1"/>
  <c r="I535" i="1"/>
  <c r="H535" i="1"/>
  <c r="G535" i="1"/>
  <c r="F535" i="1"/>
  <c r="E535" i="1"/>
  <c r="D535" i="1"/>
  <c r="C535" i="1"/>
  <c r="B535" i="1"/>
  <c r="A535" i="1"/>
  <c r="K534" i="1"/>
  <c r="I534" i="1"/>
  <c r="H534" i="1"/>
  <c r="G534" i="1"/>
  <c r="F534" i="1"/>
  <c r="E534" i="1"/>
  <c r="D534" i="1"/>
  <c r="C534" i="1"/>
  <c r="B534" i="1"/>
  <c r="A534" i="1"/>
  <c r="K533" i="1"/>
  <c r="I533" i="1"/>
  <c r="H533" i="1"/>
  <c r="G533" i="1"/>
  <c r="F533" i="1"/>
  <c r="E533" i="1"/>
  <c r="D533" i="1"/>
  <c r="C533" i="1"/>
  <c r="B533" i="1"/>
  <c r="A533" i="1"/>
  <c r="K532" i="1"/>
  <c r="I532" i="1"/>
  <c r="H532" i="1"/>
  <c r="G532" i="1"/>
  <c r="F532" i="1"/>
  <c r="E532" i="1"/>
  <c r="D532" i="1"/>
  <c r="C532" i="1"/>
  <c r="B532" i="1"/>
  <c r="A532" i="1"/>
  <c r="K531" i="1"/>
  <c r="I531" i="1"/>
  <c r="H531" i="1"/>
  <c r="G531" i="1"/>
  <c r="F531" i="1"/>
  <c r="E531" i="1"/>
  <c r="D531" i="1"/>
  <c r="C531" i="1"/>
  <c r="B531" i="1"/>
  <c r="A531" i="1"/>
  <c r="K530" i="1"/>
  <c r="I530" i="1"/>
  <c r="H530" i="1"/>
  <c r="G530" i="1"/>
  <c r="F530" i="1"/>
  <c r="E530" i="1"/>
  <c r="D530" i="1"/>
  <c r="C530" i="1"/>
  <c r="B530" i="1"/>
  <c r="A530" i="1"/>
  <c r="K529" i="1"/>
  <c r="I529" i="1"/>
  <c r="H529" i="1"/>
  <c r="G529" i="1"/>
  <c r="F529" i="1"/>
  <c r="E529" i="1"/>
  <c r="D529" i="1"/>
  <c r="C529" i="1"/>
  <c r="B529" i="1"/>
  <c r="A529" i="1"/>
  <c r="K528" i="1"/>
  <c r="I528" i="1"/>
  <c r="H528" i="1"/>
  <c r="G528" i="1"/>
  <c r="F528" i="1"/>
  <c r="E528" i="1"/>
  <c r="D528" i="1"/>
  <c r="C528" i="1"/>
  <c r="B528" i="1"/>
  <c r="A528" i="1"/>
  <c r="K527" i="1"/>
  <c r="I527" i="1"/>
  <c r="H527" i="1"/>
  <c r="G527" i="1"/>
  <c r="F527" i="1"/>
  <c r="E527" i="1"/>
  <c r="D527" i="1"/>
  <c r="C527" i="1"/>
  <c r="B527" i="1"/>
  <c r="A527" i="1"/>
  <c r="K526" i="1"/>
  <c r="I526" i="1"/>
  <c r="H526" i="1"/>
  <c r="G526" i="1"/>
  <c r="F526" i="1"/>
  <c r="E526" i="1"/>
  <c r="D526" i="1"/>
  <c r="C526" i="1"/>
  <c r="B526" i="1"/>
  <c r="A526" i="1"/>
  <c r="K525" i="1"/>
  <c r="I525" i="1"/>
  <c r="H525" i="1"/>
  <c r="G525" i="1"/>
  <c r="F525" i="1"/>
  <c r="E525" i="1"/>
  <c r="D525" i="1"/>
  <c r="C525" i="1"/>
  <c r="B525" i="1"/>
  <c r="A525" i="1"/>
  <c r="K524" i="1"/>
  <c r="I524" i="1"/>
  <c r="H524" i="1"/>
  <c r="G524" i="1"/>
  <c r="F524" i="1"/>
  <c r="E524" i="1"/>
  <c r="D524" i="1"/>
  <c r="C524" i="1"/>
  <c r="B524" i="1"/>
  <c r="A524" i="1"/>
  <c r="K523" i="1"/>
  <c r="I523" i="1"/>
  <c r="H523" i="1"/>
  <c r="G523" i="1"/>
  <c r="F523" i="1"/>
  <c r="E523" i="1"/>
  <c r="D523" i="1"/>
  <c r="C523" i="1"/>
  <c r="B523" i="1"/>
  <c r="A523" i="1"/>
  <c r="K522" i="1"/>
  <c r="J522" i="1"/>
  <c r="I522" i="1"/>
  <c r="H522" i="1"/>
  <c r="G522" i="1"/>
  <c r="F522" i="1"/>
  <c r="E522" i="1"/>
  <c r="D522" i="1"/>
  <c r="C522" i="1"/>
  <c r="B522" i="1"/>
  <c r="A522" i="1"/>
  <c r="K521" i="1"/>
  <c r="J521" i="1"/>
  <c r="I521" i="1"/>
  <c r="H521" i="1"/>
  <c r="G521" i="1"/>
  <c r="F521" i="1"/>
  <c r="E521" i="1"/>
  <c r="D521" i="1"/>
  <c r="C521" i="1"/>
  <c r="B521" i="1"/>
  <c r="A521" i="1"/>
  <c r="K520" i="1"/>
  <c r="J520" i="1"/>
  <c r="H520" i="1"/>
  <c r="G520" i="1"/>
  <c r="F520" i="1"/>
  <c r="E520" i="1"/>
  <c r="D520" i="1"/>
  <c r="C520" i="1"/>
  <c r="B520" i="1"/>
  <c r="A520" i="1"/>
  <c r="K519" i="1"/>
  <c r="J519" i="1"/>
  <c r="I519" i="1"/>
  <c r="H519" i="1"/>
  <c r="G519" i="1"/>
  <c r="F519" i="1"/>
  <c r="E519" i="1"/>
  <c r="D519" i="1"/>
  <c r="C519" i="1"/>
  <c r="B519" i="1"/>
  <c r="A519" i="1"/>
  <c r="K518" i="1"/>
  <c r="J518" i="1"/>
  <c r="I518" i="1"/>
  <c r="H518" i="1"/>
  <c r="G518" i="1"/>
  <c r="F518" i="1"/>
  <c r="E518" i="1"/>
  <c r="D518" i="1"/>
  <c r="C518" i="1"/>
  <c r="B518" i="1"/>
  <c r="A518" i="1"/>
  <c r="K517" i="1"/>
  <c r="J517" i="1"/>
  <c r="I517" i="1"/>
  <c r="H517" i="1"/>
  <c r="G517" i="1"/>
  <c r="F517" i="1"/>
  <c r="E517" i="1"/>
  <c r="D517" i="1"/>
  <c r="C517" i="1"/>
  <c r="B517" i="1"/>
  <c r="A517" i="1"/>
  <c r="K516" i="1"/>
  <c r="J516" i="1"/>
  <c r="I516" i="1"/>
  <c r="H516" i="1"/>
  <c r="G516" i="1"/>
  <c r="F516" i="1"/>
  <c r="E516" i="1"/>
  <c r="D516" i="1"/>
  <c r="C516" i="1"/>
  <c r="B516" i="1"/>
  <c r="A516" i="1"/>
  <c r="K515" i="1"/>
  <c r="J515" i="1"/>
  <c r="H515" i="1"/>
  <c r="G515" i="1"/>
  <c r="F515" i="1"/>
  <c r="E515" i="1"/>
  <c r="D515" i="1"/>
  <c r="C515" i="1"/>
  <c r="B515" i="1"/>
  <c r="A515" i="1"/>
  <c r="K514" i="1"/>
  <c r="J514" i="1"/>
  <c r="I514" i="1"/>
  <c r="H514" i="1"/>
  <c r="G514" i="1"/>
  <c r="F514" i="1"/>
  <c r="E514" i="1"/>
  <c r="D514" i="1"/>
  <c r="C514" i="1"/>
  <c r="B514" i="1"/>
  <c r="A514" i="1"/>
  <c r="K513" i="1"/>
  <c r="J513" i="1"/>
  <c r="I513" i="1"/>
  <c r="H513" i="1"/>
  <c r="G513" i="1"/>
  <c r="F513" i="1"/>
  <c r="E513" i="1"/>
  <c r="D513" i="1"/>
  <c r="C513" i="1"/>
  <c r="B513" i="1"/>
  <c r="A513" i="1"/>
  <c r="K512" i="1"/>
  <c r="J512" i="1"/>
  <c r="I512" i="1"/>
  <c r="H512" i="1"/>
  <c r="G512" i="1"/>
  <c r="F512" i="1"/>
  <c r="E512" i="1"/>
  <c r="D512" i="1"/>
  <c r="C512" i="1"/>
  <c r="B512" i="1"/>
  <c r="A512" i="1"/>
  <c r="K511" i="1"/>
  <c r="J511" i="1"/>
  <c r="I511" i="1"/>
  <c r="H511" i="1"/>
  <c r="G511" i="1"/>
  <c r="F511" i="1"/>
  <c r="E511" i="1"/>
  <c r="D511" i="1"/>
  <c r="C511" i="1"/>
  <c r="B511" i="1"/>
  <c r="A511" i="1"/>
  <c r="K510" i="1"/>
  <c r="I510" i="1"/>
  <c r="H510" i="1"/>
  <c r="G510" i="1"/>
  <c r="F510" i="1"/>
  <c r="E510" i="1"/>
  <c r="D510" i="1"/>
  <c r="C510" i="1"/>
  <c r="B510" i="1"/>
  <c r="A510" i="1"/>
  <c r="K509" i="1"/>
  <c r="I509" i="1"/>
  <c r="H509" i="1"/>
  <c r="G509" i="1"/>
  <c r="F509" i="1"/>
  <c r="E509" i="1"/>
  <c r="D509" i="1"/>
  <c r="C509" i="1"/>
  <c r="B509" i="1"/>
  <c r="A509" i="1"/>
  <c r="K508" i="1"/>
  <c r="I508" i="1"/>
  <c r="H508" i="1"/>
  <c r="G508" i="1"/>
  <c r="F508" i="1"/>
  <c r="E508" i="1"/>
  <c r="D508" i="1"/>
  <c r="C508" i="1"/>
  <c r="B508" i="1"/>
  <c r="A508" i="1"/>
  <c r="K507" i="1"/>
  <c r="I507" i="1"/>
  <c r="H507" i="1"/>
  <c r="G507" i="1"/>
  <c r="F507" i="1"/>
  <c r="E507" i="1"/>
  <c r="D507" i="1"/>
  <c r="C507" i="1"/>
  <c r="B507" i="1"/>
  <c r="A507" i="1"/>
  <c r="K506" i="1"/>
  <c r="I506" i="1"/>
  <c r="H506" i="1"/>
  <c r="G506" i="1"/>
  <c r="F506" i="1"/>
  <c r="E506" i="1"/>
  <c r="D506" i="1"/>
  <c r="C506" i="1"/>
  <c r="B506" i="1"/>
  <c r="A506" i="1"/>
  <c r="K505" i="1"/>
  <c r="I505" i="1"/>
  <c r="H505" i="1"/>
  <c r="G505" i="1"/>
  <c r="F505" i="1"/>
  <c r="E505" i="1"/>
  <c r="D505" i="1"/>
  <c r="C505" i="1"/>
  <c r="B505" i="1"/>
  <c r="A505" i="1"/>
  <c r="K504" i="1"/>
  <c r="J504" i="1"/>
  <c r="I504" i="1"/>
  <c r="H504" i="1"/>
  <c r="G504" i="1"/>
  <c r="F504" i="1"/>
  <c r="E504" i="1"/>
  <c r="D504" i="1"/>
  <c r="C504" i="1"/>
  <c r="B504" i="1"/>
  <c r="A504" i="1"/>
  <c r="K503" i="1"/>
  <c r="J503" i="1"/>
  <c r="I503" i="1"/>
  <c r="H503" i="1"/>
  <c r="G503" i="1"/>
  <c r="F503" i="1"/>
  <c r="E503" i="1"/>
  <c r="D503" i="1"/>
  <c r="C503" i="1"/>
  <c r="B503" i="1"/>
  <c r="A503" i="1"/>
  <c r="K502" i="1"/>
  <c r="I502" i="1"/>
  <c r="H502" i="1"/>
  <c r="G502" i="1"/>
  <c r="F502" i="1"/>
  <c r="E502" i="1"/>
  <c r="D502" i="1"/>
  <c r="C502" i="1"/>
  <c r="B502" i="1"/>
  <c r="A502" i="1"/>
  <c r="K501" i="1"/>
  <c r="J501" i="1"/>
  <c r="I501" i="1"/>
  <c r="H501" i="1"/>
  <c r="G501" i="1"/>
  <c r="F501" i="1"/>
  <c r="E501" i="1"/>
  <c r="D501" i="1"/>
  <c r="C501" i="1"/>
  <c r="B501" i="1"/>
  <c r="A501" i="1"/>
  <c r="K500" i="1"/>
  <c r="I500" i="1"/>
  <c r="H500" i="1"/>
  <c r="G500" i="1"/>
  <c r="F500" i="1"/>
  <c r="E500" i="1"/>
  <c r="D500" i="1"/>
  <c r="C500" i="1"/>
  <c r="B500" i="1"/>
  <c r="A500" i="1"/>
  <c r="K499" i="1"/>
  <c r="I499" i="1"/>
  <c r="H499" i="1"/>
  <c r="G499" i="1"/>
  <c r="F499" i="1"/>
  <c r="E499" i="1"/>
  <c r="D499" i="1"/>
  <c r="C499" i="1"/>
  <c r="B499" i="1"/>
  <c r="A499" i="1"/>
  <c r="K498" i="1"/>
  <c r="I498" i="1"/>
  <c r="H498" i="1"/>
  <c r="G498" i="1"/>
  <c r="F498" i="1"/>
  <c r="E498" i="1"/>
  <c r="D498" i="1"/>
  <c r="C498" i="1"/>
  <c r="B498" i="1"/>
  <c r="A498" i="1"/>
  <c r="K497" i="1"/>
  <c r="I497" i="1"/>
  <c r="H497" i="1"/>
  <c r="G497" i="1"/>
  <c r="F497" i="1"/>
  <c r="E497" i="1"/>
  <c r="D497" i="1"/>
  <c r="C497" i="1"/>
  <c r="B497" i="1"/>
  <c r="A497" i="1"/>
  <c r="K496" i="1"/>
  <c r="I496" i="1"/>
  <c r="H496" i="1"/>
  <c r="G496" i="1"/>
  <c r="F496" i="1"/>
  <c r="E496" i="1"/>
  <c r="D496" i="1"/>
  <c r="C496" i="1"/>
  <c r="B496" i="1"/>
  <c r="A496" i="1"/>
  <c r="K495" i="1"/>
  <c r="I495" i="1"/>
  <c r="H495" i="1"/>
  <c r="G495" i="1"/>
  <c r="F495" i="1"/>
  <c r="E495" i="1"/>
  <c r="D495" i="1"/>
  <c r="C495" i="1"/>
  <c r="B495" i="1"/>
  <c r="A495" i="1"/>
  <c r="K494" i="1"/>
  <c r="I494" i="1"/>
  <c r="H494" i="1"/>
  <c r="G494" i="1"/>
  <c r="F494" i="1"/>
  <c r="E494" i="1"/>
  <c r="D494" i="1"/>
  <c r="C494" i="1"/>
  <c r="B494" i="1"/>
  <c r="A494" i="1"/>
  <c r="K493" i="1"/>
  <c r="I493" i="1"/>
  <c r="H493" i="1"/>
  <c r="G493" i="1"/>
  <c r="F493" i="1"/>
  <c r="E493" i="1"/>
  <c r="D493" i="1"/>
  <c r="C493" i="1"/>
  <c r="B493" i="1"/>
  <c r="A493" i="1"/>
  <c r="K492" i="1"/>
  <c r="I492" i="1"/>
  <c r="H492" i="1"/>
  <c r="G492" i="1"/>
  <c r="F492" i="1"/>
  <c r="E492" i="1"/>
  <c r="D492" i="1"/>
  <c r="C492" i="1"/>
  <c r="B492" i="1"/>
  <c r="A492" i="1"/>
  <c r="K491" i="1"/>
  <c r="I491" i="1"/>
  <c r="H491" i="1"/>
  <c r="G491" i="1"/>
  <c r="F491" i="1"/>
  <c r="E491" i="1"/>
  <c r="D491" i="1"/>
  <c r="C491" i="1"/>
  <c r="B491" i="1"/>
  <c r="A491" i="1"/>
  <c r="K490" i="1"/>
  <c r="I490" i="1"/>
  <c r="H490" i="1"/>
  <c r="G490" i="1"/>
  <c r="F490" i="1"/>
  <c r="E490" i="1"/>
  <c r="D490" i="1"/>
  <c r="C490" i="1"/>
  <c r="B490" i="1"/>
  <c r="A490" i="1"/>
  <c r="K489" i="1"/>
  <c r="I489" i="1"/>
  <c r="H489" i="1"/>
  <c r="G489" i="1"/>
  <c r="F489" i="1"/>
  <c r="E489" i="1"/>
  <c r="D489" i="1"/>
  <c r="C489" i="1"/>
  <c r="B489" i="1"/>
  <c r="A489" i="1"/>
  <c r="K488" i="1"/>
  <c r="I488" i="1"/>
  <c r="H488" i="1"/>
  <c r="G488" i="1"/>
  <c r="F488" i="1"/>
  <c r="E488" i="1"/>
  <c r="D488" i="1"/>
  <c r="C488" i="1"/>
  <c r="B488" i="1"/>
  <c r="A488" i="1"/>
  <c r="K487" i="1"/>
  <c r="I487" i="1"/>
  <c r="H487" i="1"/>
  <c r="G487" i="1"/>
  <c r="F487" i="1"/>
  <c r="E487" i="1"/>
  <c r="D487" i="1"/>
  <c r="C487" i="1"/>
  <c r="B487" i="1"/>
  <c r="A487" i="1"/>
  <c r="K486" i="1"/>
  <c r="J486" i="1"/>
  <c r="I486" i="1"/>
  <c r="H486" i="1"/>
  <c r="G486" i="1"/>
  <c r="F486" i="1"/>
  <c r="E486" i="1"/>
  <c r="D486" i="1"/>
  <c r="C486" i="1"/>
  <c r="B486" i="1"/>
  <c r="A486" i="1"/>
  <c r="K485" i="1"/>
  <c r="J485" i="1"/>
  <c r="I485" i="1"/>
  <c r="H485" i="1"/>
  <c r="G485" i="1"/>
  <c r="F485" i="1"/>
  <c r="E485" i="1"/>
  <c r="D485" i="1"/>
  <c r="C485" i="1"/>
  <c r="B485" i="1"/>
  <c r="A485" i="1"/>
  <c r="K484" i="1"/>
  <c r="J484" i="1"/>
  <c r="I484" i="1"/>
  <c r="H484" i="1"/>
  <c r="G484" i="1"/>
  <c r="F484" i="1"/>
  <c r="E484" i="1"/>
  <c r="D484" i="1"/>
  <c r="C484" i="1"/>
  <c r="B484" i="1"/>
  <c r="A484" i="1"/>
  <c r="K483" i="1"/>
  <c r="I483" i="1"/>
  <c r="H483" i="1"/>
  <c r="G483" i="1"/>
  <c r="F483" i="1"/>
  <c r="E483" i="1"/>
  <c r="D483" i="1"/>
  <c r="C483" i="1"/>
  <c r="B483" i="1"/>
  <c r="A483" i="1"/>
  <c r="K482" i="1"/>
  <c r="I482" i="1"/>
  <c r="H482" i="1"/>
  <c r="G482" i="1"/>
  <c r="F482" i="1"/>
  <c r="E482" i="1"/>
  <c r="D482" i="1"/>
  <c r="C482" i="1"/>
  <c r="B482" i="1"/>
  <c r="A482" i="1"/>
  <c r="K481" i="1"/>
  <c r="I481" i="1"/>
  <c r="H481" i="1"/>
  <c r="G481" i="1"/>
  <c r="F481" i="1"/>
  <c r="E481" i="1"/>
  <c r="D481" i="1"/>
  <c r="C481" i="1"/>
  <c r="B481" i="1"/>
  <c r="A481" i="1"/>
  <c r="K480" i="1"/>
  <c r="J480" i="1"/>
  <c r="I480" i="1"/>
  <c r="H480" i="1"/>
  <c r="G480" i="1"/>
  <c r="F480" i="1"/>
  <c r="E480" i="1"/>
  <c r="D480" i="1"/>
  <c r="C480" i="1"/>
  <c r="B480" i="1"/>
  <c r="A480" i="1"/>
  <c r="K479" i="1"/>
  <c r="J479" i="1"/>
  <c r="I479" i="1"/>
  <c r="H479" i="1"/>
  <c r="G479" i="1"/>
  <c r="F479" i="1"/>
  <c r="E479" i="1"/>
  <c r="D479" i="1"/>
  <c r="C479" i="1"/>
  <c r="B479" i="1"/>
  <c r="A479" i="1"/>
  <c r="K478" i="1"/>
  <c r="I478" i="1"/>
  <c r="H478" i="1"/>
  <c r="G478" i="1"/>
  <c r="F478" i="1"/>
  <c r="E478" i="1"/>
  <c r="D478" i="1"/>
  <c r="C478" i="1"/>
  <c r="B478" i="1"/>
  <c r="A478" i="1"/>
  <c r="K477" i="1"/>
  <c r="I477" i="1"/>
  <c r="H477" i="1"/>
  <c r="G477" i="1"/>
  <c r="F477" i="1"/>
  <c r="E477" i="1"/>
  <c r="D477" i="1"/>
  <c r="C477" i="1"/>
  <c r="B477" i="1"/>
  <c r="A477" i="1"/>
  <c r="K476" i="1"/>
  <c r="J476" i="1"/>
  <c r="I476" i="1"/>
  <c r="H476" i="1"/>
  <c r="G476" i="1"/>
  <c r="F476" i="1"/>
  <c r="E476" i="1"/>
  <c r="D476" i="1"/>
  <c r="C476" i="1"/>
  <c r="B476" i="1"/>
  <c r="A476" i="1"/>
  <c r="K475" i="1"/>
  <c r="I475" i="1"/>
  <c r="H475" i="1"/>
  <c r="G475" i="1"/>
  <c r="F475" i="1"/>
  <c r="E475" i="1"/>
  <c r="D475" i="1"/>
  <c r="C475" i="1"/>
  <c r="B475" i="1"/>
  <c r="A475" i="1"/>
  <c r="K474" i="1"/>
  <c r="I474" i="1"/>
  <c r="H474" i="1"/>
  <c r="G474" i="1"/>
  <c r="F474" i="1"/>
  <c r="E474" i="1"/>
  <c r="D474" i="1"/>
  <c r="C474" i="1"/>
  <c r="B474" i="1"/>
  <c r="A474" i="1"/>
  <c r="K473" i="1"/>
  <c r="I473" i="1"/>
  <c r="H473" i="1"/>
  <c r="G473" i="1"/>
  <c r="F473" i="1"/>
  <c r="E473" i="1"/>
  <c r="D473" i="1"/>
  <c r="C473" i="1"/>
  <c r="B473" i="1"/>
  <c r="A473" i="1"/>
  <c r="K472" i="1"/>
  <c r="I472" i="1"/>
  <c r="H472" i="1"/>
  <c r="G472" i="1"/>
  <c r="F472" i="1"/>
  <c r="E472" i="1"/>
  <c r="D472" i="1"/>
  <c r="C472" i="1"/>
  <c r="B472" i="1"/>
  <c r="A472" i="1"/>
  <c r="K471" i="1"/>
  <c r="I471" i="1"/>
  <c r="H471" i="1"/>
  <c r="G471" i="1"/>
  <c r="F471" i="1"/>
  <c r="E471" i="1"/>
  <c r="D471" i="1"/>
  <c r="C471" i="1"/>
  <c r="B471" i="1"/>
  <c r="A471" i="1"/>
  <c r="K470" i="1"/>
  <c r="I470" i="1"/>
  <c r="H470" i="1"/>
  <c r="G470" i="1"/>
  <c r="F470" i="1"/>
  <c r="E470" i="1"/>
  <c r="D470" i="1"/>
  <c r="C470" i="1"/>
  <c r="B470" i="1"/>
  <c r="A470" i="1"/>
  <c r="K469" i="1"/>
  <c r="J469" i="1"/>
  <c r="I469" i="1"/>
  <c r="H469" i="1"/>
  <c r="G469" i="1"/>
  <c r="F469" i="1"/>
  <c r="E469" i="1"/>
  <c r="D469" i="1"/>
  <c r="C469" i="1"/>
  <c r="B469" i="1"/>
  <c r="A469" i="1"/>
  <c r="K468" i="1"/>
  <c r="I468" i="1"/>
  <c r="H468" i="1"/>
  <c r="G468" i="1"/>
  <c r="F468" i="1"/>
  <c r="E468" i="1"/>
  <c r="D468" i="1"/>
  <c r="C468" i="1"/>
  <c r="B468" i="1"/>
  <c r="A468" i="1"/>
  <c r="K467" i="1"/>
  <c r="I467" i="1"/>
  <c r="H467" i="1"/>
  <c r="G467" i="1"/>
  <c r="F467" i="1"/>
  <c r="E467" i="1"/>
  <c r="D467" i="1"/>
  <c r="C467" i="1"/>
  <c r="B467" i="1"/>
  <c r="A467" i="1"/>
  <c r="K466" i="1"/>
  <c r="I466" i="1"/>
  <c r="H466" i="1"/>
  <c r="G466" i="1"/>
  <c r="F466" i="1"/>
  <c r="E466" i="1"/>
  <c r="D466" i="1"/>
  <c r="C466" i="1"/>
  <c r="B466" i="1"/>
  <c r="A466" i="1"/>
  <c r="K465" i="1"/>
  <c r="I465" i="1"/>
  <c r="H465" i="1"/>
  <c r="G465" i="1"/>
  <c r="F465" i="1"/>
  <c r="E465" i="1"/>
  <c r="D465" i="1"/>
  <c r="C465" i="1"/>
  <c r="B465" i="1"/>
  <c r="A465" i="1"/>
  <c r="K464" i="1"/>
  <c r="I464" i="1"/>
  <c r="H464" i="1"/>
  <c r="G464" i="1"/>
  <c r="F464" i="1"/>
  <c r="E464" i="1"/>
  <c r="D464" i="1"/>
  <c r="C464" i="1"/>
  <c r="B464" i="1"/>
  <c r="A464" i="1"/>
  <c r="K463" i="1"/>
  <c r="I463" i="1"/>
  <c r="H463" i="1"/>
  <c r="G463" i="1"/>
  <c r="F463" i="1"/>
  <c r="E463" i="1"/>
  <c r="D463" i="1"/>
  <c r="C463" i="1"/>
  <c r="B463" i="1"/>
  <c r="A463" i="1"/>
  <c r="K462" i="1"/>
  <c r="I462" i="1"/>
  <c r="H462" i="1"/>
  <c r="G462" i="1"/>
  <c r="F462" i="1"/>
  <c r="E462" i="1"/>
  <c r="D462" i="1"/>
  <c r="C462" i="1"/>
  <c r="B462" i="1"/>
  <c r="A462" i="1"/>
  <c r="K461" i="1"/>
  <c r="I461" i="1"/>
  <c r="H461" i="1"/>
  <c r="G461" i="1"/>
  <c r="F461" i="1"/>
  <c r="E461" i="1"/>
  <c r="D461" i="1"/>
  <c r="C461" i="1"/>
  <c r="B461" i="1"/>
  <c r="A461" i="1"/>
  <c r="K460" i="1"/>
  <c r="I460" i="1"/>
  <c r="H460" i="1"/>
  <c r="G460" i="1"/>
  <c r="F460" i="1"/>
  <c r="E460" i="1"/>
  <c r="D460" i="1"/>
  <c r="C460" i="1"/>
  <c r="B460" i="1"/>
  <c r="A460" i="1"/>
  <c r="K459" i="1"/>
  <c r="I459" i="1"/>
  <c r="H459" i="1"/>
  <c r="G459" i="1"/>
  <c r="F459" i="1"/>
  <c r="E459" i="1"/>
  <c r="D459" i="1"/>
  <c r="C459" i="1"/>
  <c r="B459" i="1"/>
  <c r="A459" i="1"/>
  <c r="K458" i="1"/>
  <c r="I458" i="1"/>
  <c r="H458" i="1"/>
  <c r="G458" i="1"/>
  <c r="F458" i="1"/>
  <c r="E458" i="1"/>
  <c r="D458" i="1"/>
  <c r="C458" i="1"/>
  <c r="B458" i="1"/>
  <c r="A458" i="1"/>
  <c r="K457" i="1"/>
  <c r="I457" i="1"/>
  <c r="H457" i="1"/>
  <c r="G457" i="1"/>
  <c r="F457" i="1"/>
  <c r="E457" i="1"/>
  <c r="D457" i="1"/>
  <c r="C457" i="1"/>
  <c r="B457" i="1"/>
  <c r="A457" i="1"/>
  <c r="K456" i="1"/>
  <c r="I456" i="1"/>
  <c r="H456" i="1"/>
  <c r="G456" i="1"/>
  <c r="F456" i="1"/>
  <c r="E456" i="1"/>
  <c r="D456" i="1"/>
  <c r="C456" i="1"/>
  <c r="B456" i="1"/>
  <c r="A456" i="1"/>
  <c r="K455" i="1"/>
  <c r="I455" i="1"/>
  <c r="H455" i="1"/>
  <c r="G455" i="1"/>
  <c r="F455" i="1"/>
  <c r="E455" i="1"/>
  <c r="D455" i="1"/>
  <c r="C455" i="1"/>
  <c r="B455" i="1"/>
  <c r="A455" i="1"/>
  <c r="K454" i="1"/>
  <c r="I454" i="1"/>
  <c r="H454" i="1"/>
  <c r="G454" i="1"/>
  <c r="F454" i="1"/>
  <c r="E454" i="1"/>
  <c r="D454" i="1"/>
  <c r="C454" i="1"/>
  <c r="B454" i="1"/>
  <c r="A454" i="1"/>
  <c r="K453" i="1"/>
  <c r="I453" i="1"/>
  <c r="H453" i="1"/>
  <c r="G453" i="1"/>
  <c r="F453" i="1"/>
  <c r="E453" i="1"/>
  <c r="D453" i="1"/>
  <c r="C453" i="1"/>
  <c r="B453" i="1"/>
  <c r="A453" i="1"/>
  <c r="K452" i="1"/>
  <c r="J452" i="1"/>
  <c r="I452" i="1"/>
  <c r="H452" i="1"/>
  <c r="G452" i="1"/>
  <c r="F452" i="1"/>
  <c r="E452" i="1"/>
  <c r="D452" i="1"/>
  <c r="C452" i="1"/>
  <c r="B452" i="1"/>
  <c r="A452" i="1"/>
  <c r="K451" i="1"/>
  <c r="J451" i="1"/>
  <c r="I451" i="1"/>
  <c r="H451" i="1"/>
  <c r="G451" i="1"/>
  <c r="F451" i="1"/>
  <c r="E451" i="1"/>
  <c r="D451" i="1"/>
  <c r="C451" i="1"/>
  <c r="B451" i="1"/>
  <c r="A451" i="1"/>
  <c r="K450" i="1"/>
  <c r="J450" i="1"/>
  <c r="I450" i="1"/>
  <c r="H450" i="1"/>
  <c r="G450" i="1"/>
  <c r="F450" i="1"/>
  <c r="E450" i="1"/>
  <c r="D450" i="1"/>
  <c r="C450" i="1"/>
  <c r="B450" i="1"/>
  <c r="A450" i="1"/>
  <c r="K449" i="1"/>
  <c r="J449" i="1"/>
  <c r="I449" i="1"/>
  <c r="H449" i="1"/>
  <c r="G449" i="1"/>
  <c r="F449" i="1"/>
  <c r="E449" i="1"/>
  <c r="D449" i="1"/>
  <c r="C449" i="1"/>
  <c r="B449" i="1"/>
  <c r="A449" i="1"/>
  <c r="K448" i="1"/>
  <c r="J448" i="1"/>
  <c r="I448" i="1"/>
  <c r="H448" i="1"/>
  <c r="G448" i="1"/>
  <c r="F448" i="1"/>
  <c r="E448" i="1"/>
  <c r="D448" i="1"/>
  <c r="C448" i="1"/>
  <c r="B448" i="1"/>
  <c r="A448" i="1"/>
  <c r="K447" i="1"/>
  <c r="J447" i="1"/>
  <c r="I447" i="1"/>
  <c r="H447" i="1"/>
  <c r="G447" i="1"/>
  <c r="F447" i="1"/>
  <c r="E447" i="1"/>
  <c r="D447" i="1"/>
  <c r="C447" i="1"/>
  <c r="B447" i="1"/>
  <c r="A447" i="1"/>
  <c r="K446" i="1"/>
  <c r="J446" i="1"/>
  <c r="I446" i="1"/>
  <c r="H446" i="1"/>
  <c r="G446" i="1"/>
  <c r="F446" i="1"/>
  <c r="E446" i="1"/>
  <c r="D446" i="1"/>
  <c r="C446" i="1"/>
  <c r="B446" i="1"/>
  <c r="A446" i="1"/>
  <c r="K445" i="1"/>
  <c r="J445" i="1"/>
  <c r="I445" i="1"/>
  <c r="H445" i="1"/>
  <c r="G445" i="1"/>
  <c r="F445" i="1"/>
  <c r="E445" i="1"/>
  <c r="D445" i="1"/>
  <c r="C445" i="1"/>
  <c r="B445" i="1"/>
  <c r="A445" i="1"/>
  <c r="K444" i="1"/>
  <c r="J444" i="1"/>
  <c r="I444" i="1"/>
  <c r="H444" i="1"/>
  <c r="G444" i="1"/>
  <c r="F444" i="1"/>
  <c r="E444" i="1"/>
  <c r="D444" i="1"/>
  <c r="C444" i="1"/>
  <c r="B444" i="1"/>
  <c r="A444" i="1"/>
  <c r="K443" i="1"/>
  <c r="I443" i="1"/>
  <c r="H443" i="1"/>
  <c r="G443" i="1"/>
  <c r="F443" i="1"/>
  <c r="E443" i="1"/>
  <c r="D443" i="1"/>
  <c r="C443" i="1"/>
  <c r="B443" i="1"/>
  <c r="A443" i="1"/>
  <c r="K442" i="1"/>
  <c r="J442" i="1"/>
  <c r="I442" i="1"/>
  <c r="H442" i="1"/>
  <c r="G442" i="1"/>
  <c r="F442" i="1"/>
  <c r="E442" i="1"/>
  <c r="D442" i="1"/>
  <c r="C442" i="1"/>
  <c r="B442" i="1"/>
  <c r="A442" i="1"/>
  <c r="K441" i="1"/>
  <c r="J441" i="1"/>
  <c r="I441" i="1"/>
  <c r="H441" i="1"/>
  <c r="G441" i="1"/>
  <c r="F441" i="1"/>
  <c r="E441" i="1"/>
  <c r="D441" i="1"/>
  <c r="C441" i="1"/>
  <c r="B441" i="1"/>
  <c r="A441" i="1"/>
  <c r="K440" i="1"/>
  <c r="J440" i="1"/>
  <c r="I440" i="1"/>
  <c r="H440" i="1"/>
  <c r="G440" i="1"/>
  <c r="F440" i="1"/>
  <c r="E440" i="1"/>
  <c r="D440" i="1"/>
  <c r="C440" i="1"/>
  <c r="B440" i="1"/>
  <c r="A440" i="1"/>
  <c r="K439" i="1"/>
  <c r="J439" i="1"/>
  <c r="I439" i="1"/>
  <c r="H439" i="1"/>
  <c r="G439" i="1"/>
  <c r="F439" i="1"/>
  <c r="E439" i="1"/>
  <c r="D439" i="1"/>
  <c r="C439" i="1"/>
  <c r="B439" i="1"/>
  <c r="A439" i="1"/>
  <c r="K438" i="1"/>
  <c r="J438" i="1"/>
  <c r="I438" i="1"/>
  <c r="H438" i="1"/>
  <c r="G438" i="1"/>
  <c r="F438" i="1"/>
  <c r="E438" i="1"/>
  <c r="D438" i="1"/>
  <c r="C438" i="1"/>
  <c r="B438" i="1"/>
  <c r="A438" i="1"/>
  <c r="K437" i="1"/>
  <c r="J437" i="1"/>
  <c r="I437" i="1"/>
  <c r="H437" i="1"/>
  <c r="G437" i="1"/>
  <c r="F437" i="1"/>
  <c r="E437" i="1"/>
  <c r="D437" i="1"/>
  <c r="C437" i="1"/>
  <c r="B437" i="1"/>
  <c r="A437" i="1"/>
  <c r="K436" i="1"/>
  <c r="J436" i="1"/>
  <c r="I436" i="1"/>
  <c r="H436" i="1"/>
  <c r="G436" i="1"/>
  <c r="F436" i="1"/>
  <c r="E436" i="1"/>
  <c r="D436" i="1"/>
  <c r="C436" i="1"/>
  <c r="B436" i="1"/>
  <c r="A436" i="1"/>
  <c r="K435" i="1"/>
  <c r="J435" i="1"/>
  <c r="I435" i="1"/>
  <c r="H435" i="1"/>
  <c r="G435" i="1"/>
  <c r="F435" i="1"/>
  <c r="E435" i="1"/>
  <c r="D435" i="1"/>
  <c r="C435" i="1"/>
  <c r="B435" i="1"/>
  <c r="A435" i="1"/>
  <c r="K434" i="1"/>
  <c r="J434" i="1"/>
  <c r="I434" i="1"/>
  <c r="H434" i="1"/>
  <c r="G434" i="1"/>
  <c r="F434" i="1"/>
  <c r="E434" i="1"/>
  <c r="D434" i="1"/>
  <c r="C434" i="1"/>
  <c r="B434" i="1"/>
  <c r="A434" i="1"/>
  <c r="K433" i="1"/>
  <c r="J433" i="1"/>
  <c r="I433" i="1"/>
  <c r="H433" i="1"/>
  <c r="G433" i="1"/>
  <c r="F433" i="1"/>
  <c r="E433" i="1"/>
  <c r="D433" i="1"/>
  <c r="C433" i="1"/>
  <c r="B433" i="1"/>
  <c r="A433" i="1"/>
  <c r="K432" i="1"/>
  <c r="J432" i="1"/>
  <c r="I432" i="1"/>
  <c r="H432" i="1"/>
  <c r="G432" i="1"/>
  <c r="F432" i="1"/>
  <c r="E432" i="1"/>
  <c r="D432" i="1"/>
  <c r="C432" i="1"/>
  <c r="B432" i="1"/>
  <c r="A432" i="1"/>
  <c r="K431" i="1"/>
  <c r="J431" i="1"/>
  <c r="I431" i="1"/>
  <c r="H431" i="1"/>
  <c r="G431" i="1"/>
  <c r="F431" i="1"/>
  <c r="E431" i="1"/>
  <c r="D431" i="1"/>
  <c r="C431" i="1"/>
  <c r="B431" i="1"/>
  <c r="A431" i="1"/>
  <c r="K430" i="1"/>
  <c r="J430" i="1"/>
  <c r="H430" i="1"/>
  <c r="G430" i="1"/>
  <c r="F430" i="1"/>
  <c r="E430" i="1"/>
  <c r="D430" i="1"/>
  <c r="C430" i="1"/>
  <c r="B430" i="1"/>
  <c r="A430" i="1"/>
  <c r="K429" i="1"/>
  <c r="J429" i="1"/>
  <c r="I429" i="1"/>
  <c r="H429" i="1"/>
  <c r="G429" i="1"/>
  <c r="F429" i="1"/>
  <c r="E429" i="1"/>
  <c r="D429" i="1"/>
  <c r="C429" i="1"/>
  <c r="B429" i="1"/>
  <c r="A429" i="1"/>
  <c r="K428" i="1"/>
  <c r="J428" i="1"/>
  <c r="I428" i="1"/>
  <c r="H428" i="1"/>
  <c r="G428" i="1"/>
  <c r="F428" i="1"/>
  <c r="E428" i="1"/>
  <c r="D428" i="1"/>
  <c r="C428" i="1"/>
  <c r="B428" i="1"/>
  <c r="A428" i="1"/>
  <c r="K427" i="1"/>
  <c r="J427" i="1"/>
  <c r="H427" i="1"/>
  <c r="G427" i="1"/>
  <c r="F427" i="1"/>
  <c r="E427" i="1"/>
  <c r="D427" i="1"/>
  <c r="C427" i="1"/>
  <c r="B427" i="1"/>
  <c r="A427" i="1"/>
  <c r="K426" i="1"/>
  <c r="J426" i="1"/>
  <c r="I426" i="1"/>
  <c r="H426" i="1"/>
  <c r="G426" i="1"/>
  <c r="F426" i="1"/>
  <c r="E426" i="1"/>
  <c r="D426" i="1"/>
  <c r="C426" i="1"/>
  <c r="B426" i="1"/>
  <c r="A426" i="1"/>
  <c r="K425" i="1"/>
  <c r="J425" i="1"/>
  <c r="I425" i="1"/>
  <c r="H425" i="1"/>
  <c r="G425" i="1"/>
  <c r="F425" i="1"/>
  <c r="E425" i="1"/>
  <c r="D425" i="1"/>
  <c r="C425" i="1"/>
  <c r="B425" i="1"/>
  <c r="A425" i="1"/>
  <c r="K424" i="1"/>
  <c r="J424" i="1"/>
  <c r="I424" i="1"/>
  <c r="H424" i="1"/>
  <c r="G424" i="1"/>
  <c r="F424" i="1"/>
  <c r="E424" i="1"/>
  <c r="D424" i="1"/>
  <c r="C424" i="1"/>
  <c r="B424" i="1"/>
  <c r="A424" i="1"/>
  <c r="K423" i="1"/>
  <c r="J423" i="1"/>
  <c r="I423" i="1"/>
  <c r="H423" i="1"/>
  <c r="G423" i="1"/>
  <c r="F423" i="1"/>
  <c r="E423" i="1"/>
  <c r="D423" i="1"/>
  <c r="C423" i="1"/>
  <c r="B423" i="1"/>
  <c r="A423" i="1"/>
  <c r="K422" i="1"/>
  <c r="J422" i="1"/>
  <c r="I422" i="1"/>
  <c r="H422" i="1"/>
  <c r="G422" i="1"/>
  <c r="F422" i="1"/>
  <c r="E422" i="1"/>
  <c r="D422" i="1"/>
  <c r="C422" i="1"/>
  <c r="B422" i="1"/>
  <c r="A422" i="1"/>
  <c r="K421" i="1"/>
  <c r="J421" i="1"/>
  <c r="I421" i="1"/>
  <c r="H421" i="1"/>
  <c r="G421" i="1"/>
  <c r="F421" i="1"/>
  <c r="E421" i="1"/>
  <c r="D421" i="1"/>
  <c r="C421" i="1"/>
  <c r="B421" i="1"/>
  <c r="A421" i="1"/>
  <c r="K420" i="1"/>
  <c r="J420" i="1"/>
  <c r="I420" i="1"/>
  <c r="H420" i="1"/>
  <c r="G420" i="1"/>
  <c r="F420" i="1"/>
  <c r="E420" i="1"/>
  <c r="D420" i="1"/>
  <c r="C420" i="1"/>
  <c r="B420" i="1"/>
  <c r="A420" i="1"/>
  <c r="K419" i="1"/>
  <c r="J419" i="1"/>
  <c r="I419" i="1"/>
  <c r="H419" i="1"/>
  <c r="G419" i="1"/>
  <c r="F419" i="1"/>
  <c r="E419" i="1"/>
  <c r="D419" i="1"/>
  <c r="C419" i="1"/>
  <c r="B419" i="1"/>
  <c r="A419" i="1"/>
  <c r="K418" i="1"/>
  <c r="J418" i="1"/>
  <c r="I418" i="1"/>
  <c r="H418" i="1"/>
  <c r="G418" i="1"/>
  <c r="F418" i="1"/>
  <c r="E418" i="1"/>
  <c r="D418" i="1"/>
  <c r="C418" i="1"/>
  <c r="B418" i="1"/>
  <c r="A418" i="1"/>
  <c r="K417" i="1"/>
  <c r="J417" i="1"/>
  <c r="I417" i="1"/>
  <c r="H417" i="1"/>
  <c r="G417" i="1"/>
  <c r="F417" i="1"/>
  <c r="E417" i="1"/>
  <c r="D417" i="1"/>
  <c r="C417" i="1"/>
  <c r="B417" i="1"/>
  <c r="A417" i="1"/>
  <c r="K416" i="1"/>
  <c r="J416" i="1"/>
  <c r="I416" i="1"/>
  <c r="H416" i="1"/>
  <c r="G416" i="1"/>
  <c r="F416" i="1"/>
  <c r="E416" i="1"/>
  <c r="D416" i="1"/>
  <c r="C416" i="1"/>
  <c r="B416" i="1"/>
  <c r="A416" i="1"/>
  <c r="K415" i="1"/>
  <c r="J415" i="1"/>
  <c r="I415" i="1"/>
  <c r="H415" i="1"/>
  <c r="G415" i="1"/>
  <c r="F415" i="1"/>
  <c r="E415" i="1"/>
  <c r="D415" i="1"/>
  <c r="C415" i="1"/>
  <c r="B415" i="1"/>
  <c r="A415" i="1"/>
  <c r="K414" i="1"/>
  <c r="J414" i="1"/>
  <c r="I414" i="1"/>
  <c r="H414" i="1"/>
  <c r="G414" i="1"/>
  <c r="F414" i="1"/>
  <c r="E414" i="1"/>
  <c r="D414" i="1"/>
  <c r="C414" i="1"/>
  <c r="B414" i="1"/>
  <c r="A414" i="1"/>
  <c r="K413" i="1"/>
  <c r="J413" i="1"/>
  <c r="I413" i="1"/>
  <c r="H413" i="1"/>
  <c r="G413" i="1"/>
  <c r="F413" i="1"/>
  <c r="E413" i="1"/>
  <c r="D413" i="1"/>
  <c r="C413" i="1"/>
  <c r="B413" i="1"/>
  <c r="A413" i="1"/>
  <c r="K412" i="1"/>
  <c r="J412" i="1"/>
  <c r="I412" i="1"/>
  <c r="H412" i="1"/>
  <c r="G412" i="1"/>
  <c r="F412" i="1"/>
  <c r="E412" i="1"/>
  <c r="D412" i="1"/>
  <c r="C412" i="1"/>
  <c r="B412" i="1"/>
  <c r="A412" i="1"/>
  <c r="K411" i="1"/>
  <c r="J411" i="1"/>
  <c r="I411" i="1"/>
  <c r="H411" i="1"/>
  <c r="G411" i="1"/>
  <c r="F411" i="1"/>
  <c r="E411" i="1"/>
  <c r="D411" i="1"/>
  <c r="C411" i="1"/>
  <c r="B411" i="1"/>
  <c r="A411" i="1"/>
  <c r="K410" i="1"/>
  <c r="J410" i="1"/>
  <c r="I410" i="1"/>
  <c r="H410" i="1"/>
  <c r="G410" i="1"/>
  <c r="F410" i="1"/>
  <c r="E410" i="1"/>
  <c r="D410" i="1"/>
  <c r="C410" i="1"/>
  <c r="B410" i="1"/>
  <c r="A410" i="1"/>
  <c r="K409" i="1"/>
  <c r="J409" i="1"/>
  <c r="I409" i="1"/>
  <c r="H409" i="1"/>
  <c r="G409" i="1"/>
  <c r="F409" i="1"/>
  <c r="E409" i="1"/>
  <c r="D409" i="1"/>
  <c r="C409" i="1"/>
  <c r="B409" i="1"/>
  <c r="A409" i="1"/>
  <c r="K408" i="1"/>
  <c r="J408" i="1"/>
  <c r="I408" i="1"/>
  <c r="H408" i="1"/>
  <c r="G408" i="1"/>
  <c r="F408" i="1"/>
  <c r="E408" i="1"/>
  <c r="D408" i="1"/>
  <c r="C408" i="1"/>
  <c r="B408" i="1"/>
  <c r="A408" i="1"/>
  <c r="K407" i="1"/>
  <c r="J407" i="1"/>
  <c r="I407" i="1"/>
  <c r="H407" i="1"/>
  <c r="G407" i="1"/>
  <c r="F407" i="1"/>
  <c r="E407" i="1"/>
  <c r="D407" i="1"/>
  <c r="C407" i="1"/>
  <c r="B407" i="1"/>
  <c r="A407" i="1"/>
  <c r="K406" i="1"/>
  <c r="J406" i="1"/>
  <c r="I406" i="1"/>
  <c r="H406" i="1"/>
  <c r="G406" i="1"/>
  <c r="F406" i="1"/>
  <c r="E406" i="1"/>
  <c r="D406" i="1"/>
  <c r="C406" i="1"/>
  <c r="B406" i="1"/>
  <c r="A406" i="1"/>
  <c r="K405" i="1"/>
  <c r="J405" i="1"/>
  <c r="I405" i="1"/>
  <c r="H405" i="1"/>
  <c r="G405" i="1"/>
  <c r="F405" i="1"/>
  <c r="E405" i="1"/>
  <c r="D405" i="1"/>
  <c r="C405" i="1"/>
  <c r="B405" i="1"/>
  <c r="A405" i="1"/>
  <c r="K404" i="1"/>
  <c r="J404" i="1"/>
  <c r="I404" i="1"/>
  <c r="H404" i="1"/>
  <c r="G404" i="1"/>
  <c r="F404" i="1"/>
  <c r="E404" i="1"/>
  <c r="D404" i="1"/>
  <c r="C404" i="1"/>
  <c r="B404" i="1"/>
  <c r="A404" i="1"/>
  <c r="K403" i="1"/>
  <c r="J403" i="1"/>
  <c r="I403" i="1"/>
  <c r="H403" i="1"/>
  <c r="G403" i="1"/>
  <c r="F403" i="1"/>
  <c r="E403" i="1"/>
  <c r="D403" i="1"/>
  <c r="C403" i="1"/>
  <c r="B403" i="1"/>
  <c r="A403" i="1"/>
  <c r="K402" i="1"/>
  <c r="J402" i="1"/>
  <c r="I402" i="1"/>
  <c r="H402" i="1"/>
  <c r="G402" i="1"/>
  <c r="F402" i="1"/>
  <c r="E402" i="1"/>
  <c r="D402" i="1"/>
  <c r="C402" i="1"/>
  <c r="B402" i="1"/>
  <c r="A402" i="1"/>
  <c r="K401" i="1"/>
  <c r="J401" i="1"/>
  <c r="I401" i="1"/>
  <c r="H401" i="1"/>
  <c r="G401" i="1"/>
  <c r="F401" i="1"/>
  <c r="E401" i="1"/>
  <c r="D401" i="1"/>
  <c r="C401" i="1"/>
  <c r="B401" i="1"/>
  <c r="A401" i="1"/>
  <c r="K400" i="1"/>
  <c r="J400" i="1"/>
  <c r="I400" i="1"/>
  <c r="H400" i="1"/>
  <c r="G400" i="1"/>
  <c r="F400" i="1"/>
  <c r="E400" i="1"/>
  <c r="D400" i="1"/>
  <c r="C400" i="1"/>
  <c r="B400" i="1"/>
  <c r="A400" i="1"/>
  <c r="K399" i="1"/>
  <c r="J399" i="1"/>
  <c r="I399" i="1"/>
  <c r="H399" i="1"/>
  <c r="G399" i="1"/>
  <c r="F399" i="1"/>
  <c r="E399" i="1"/>
  <c r="D399" i="1"/>
  <c r="C399" i="1"/>
  <c r="B399" i="1"/>
  <c r="A399" i="1"/>
  <c r="K398" i="1"/>
  <c r="J398" i="1"/>
  <c r="I398" i="1"/>
  <c r="H398" i="1"/>
  <c r="G398" i="1"/>
  <c r="F398" i="1"/>
  <c r="E398" i="1"/>
  <c r="D398" i="1"/>
  <c r="C398" i="1"/>
  <c r="B398" i="1"/>
  <c r="A398" i="1"/>
  <c r="K397" i="1"/>
  <c r="J397" i="1"/>
  <c r="I397" i="1"/>
  <c r="H397" i="1"/>
  <c r="G397" i="1"/>
  <c r="F397" i="1"/>
  <c r="E397" i="1"/>
  <c r="D397" i="1"/>
  <c r="C397" i="1"/>
  <c r="B397" i="1"/>
  <c r="A397" i="1"/>
  <c r="K396" i="1"/>
  <c r="J396" i="1"/>
  <c r="I396" i="1"/>
  <c r="H396" i="1"/>
  <c r="G396" i="1"/>
  <c r="F396" i="1"/>
  <c r="E396" i="1"/>
  <c r="D396" i="1"/>
  <c r="C396" i="1"/>
  <c r="B396" i="1"/>
  <c r="A396" i="1"/>
  <c r="K395" i="1"/>
  <c r="J395" i="1"/>
  <c r="I395" i="1"/>
  <c r="H395" i="1"/>
  <c r="G395" i="1"/>
  <c r="F395" i="1"/>
  <c r="E395" i="1"/>
  <c r="D395" i="1"/>
  <c r="C395" i="1"/>
  <c r="B395" i="1"/>
  <c r="A395" i="1"/>
  <c r="K394" i="1"/>
  <c r="J394" i="1"/>
  <c r="I394" i="1"/>
  <c r="H394" i="1"/>
  <c r="G394" i="1"/>
  <c r="F394" i="1"/>
  <c r="E394" i="1"/>
  <c r="D394" i="1"/>
  <c r="C394" i="1"/>
  <c r="B394" i="1"/>
  <c r="A394" i="1"/>
  <c r="K393" i="1"/>
  <c r="J393" i="1"/>
  <c r="I393" i="1"/>
  <c r="H393" i="1"/>
  <c r="G393" i="1"/>
  <c r="F393" i="1"/>
  <c r="E393" i="1"/>
  <c r="D393" i="1"/>
  <c r="C393" i="1"/>
  <c r="B393" i="1"/>
  <c r="A393" i="1"/>
  <c r="K392" i="1"/>
  <c r="J392" i="1"/>
  <c r="I392" i="1"/>
  <c r="H392" i="1"/>
  <c r="G392" i="1"/>
  <c r="F392" i="1"/>
  <c r="E392" i="1"/>
  <c r="D392" i="1"/>
  <c r="C392" i="1"/>
  <c r="B392" i="1"/>
  <c r="A392" i="1"/>
  <c r="K391" i="1"/>
  <c r="J391" i="1"/>
  <c r="H391" i="1"/>
  <c r="G391" i="1"/>
  <c r="F391" i="1"/>
  <c r="E391" i="1"/>
  <c r="D391" i="1"/>
  <c r="C391" i="1"/>
  <c r="B391" i="1"/>
  <c r="A391" i="1"/>
  <c r="K390" i="1"/>
  <c r="J390" i="1"/>
  <c r="I390" i="1"/>
  <c r="H390" i="1"/>
  <c r="G390" i="1"/>
  <c r="F390" i="1"/>
  <c r="E390" i="1"/>
  <c r="D390" i="1"/>
  <c r="C390" i="1"/>
  <c r="B390" i="1"/>
  <c r="A390" i="1"/>
  <c r="K389" i="1"/>
  <c r="J389" i="1"/>
  <c r="I389" i="1"/>
  <c r="H389" i="1"/>
  <c r="G389" i="1"/>
  <c r="F389" i="1"/>
  <c r="E389" i="1"/>
  <c r="D389" i="1"/>
  <c r="C389" i="1"/>
  <c r="B389" i="1"/>
  <c r="A389" i="1"/>
  <c r="K388" i="1"/>
  <c r="J388" i="1"/>
  <c r="I388" i="1"/>
  <c r="H388" i="1"/>
  <c r="G388" i="1"/>
  <c r="F388" i="1"/>
  <c r="E388" i="1"/>
  <c r="D388" i="1"/>
  <c r="C388" i="1"/>
  <c r="B388" i="1"/>
  <c r="A388" i="1"/>
  <c r="K387" i="1"/>
  <c r="J387" i="1"/>
  <c r="I387" i="1"/>
  <c r="H387" i="1"/>
  <c r="G387" i="1"/>
  <c r="F387" i="1"/>
  <c r="E387" i="1"/>
  <c r="D387" i="1"/>
  <c r="C387" i="1"/>
  <c r="B387" i="1"/>
  <c r="A387" i="1"/>
  <c r="K386" i="1"/>
  <c r="J386" i="1"/>
  <c r="I386" i="1"/>
  <c r="H386" i="1"/>
  <c r="G386" i="1"/>
  <c r="F386" i="1"/>
  <c r="E386" i="1"/>
  <c r="D386" i="1"/>
  <c r="C386" i="1"/>
  <c r="B386" i="1"/>
  <c r="A386" i="1"/>
  <c r="K385" i="1"/>
  <c r="J385" i="1"/>
  <c r="I385" i="1"/>
  <c r="H385" i="1"/>
  <c r="G385" i="1"/>
  <c r="F385" i="1"/>
  <c r="E385" i="1"/>
  <c r="D385" i="1"/>
  <c r="C385" i="1"/>
  <c r="B385" i="1"/>
  <c r="A385" i="1"/>
  <c r="K384" i="1"/>
  <c r="J384" i="1"/>
  <c r="I384" i="1"/>
  <c r="H384" i="1"/>
  <c r="G384" i="1"/>
  <c r="F384" i="1"/>
  <c r="E384" i="1"/>
  <c r="D384" i="1"/>
  <c r="C384" i="1"/>
  <c r="B384" i="1"/>
  <c r="A384" i="1"/>
  <c r="K383" i="1"/>
  <c r="J383" i="1"/>
  <c r="I383" i="1"/>
  <c r="H383" i="1"/>
  <c r="G383" i="1"/>
  <c r="F383" i="1"/>
  <c r="E383" i="1"/>
  <c r="D383" i="1"/>
  <c r="C383" i="1"/>
  <c r="B383" i="1"/>
  <c r="A383" i="1"/>
  <c r="K382" i="1"/>
  <c r="J382" i="1"/>
  <c r="I382" i="1"/>
  <c r="H382" i="1"/>
  <c r="G382" i="1"/>
  <c r="F382" i="1"/>
  <c r="E382" i="1"/>
  <c r="D382" i="1"/>
  <c r="C382" i="1"/>
  <c r="B382" i="1"/>
  <c r="A382" i="1"/>
  <c r="K381" i="1"/>
  <c r="J381" i="1"/>
  <c r="I381" i="1"/>
  <c r="H381" i="1"/>
  <c r="G381" i="1"/>
  <c r="F381" i="1"/>
  <c r="E381" i="1"/>
  <c r="D381" i="1"/>
  <c r="C381" i="1"/>
  <c r="B381" i="1"/>
  <c r="A381" i="1"/>
  <c r="K380" i="1"/>
  <c r="J380" i="1"/>
  <c r="I380" i="1"/>
  <c r="H380" i="1"/>
  <c r="G380" i="1"/>
  <c r="F380" i="1"/>
  <c r="E380" i="1"/>
  <c r="D380" i="1"/>
  <c r="C380" i="1"/>
  <c r="B380" i="1"/>
  <c r="A380" i="1"/>
  <c r="K379" i="1"/>
  <c r="J379" i="1"/>
  <c r="I379" i="1"/>
  <c r="H379" i="1"/>
  <c r="G379" i="1"/>
  <c r="F379" i="1"/>
  <c r="E379" i="1"/>
  <c r="D379" i="1"/>
  <c r="C379" i="1"/>
  <c r="B379" i="1"/>
  <c r="A379" i="1"/>
  <c r="K378" i="1"/>
  <c r="J378" i="1"/>
  <c r="I378" i="1"/>
  <c r="H378" i="1"/>
  <c r="G378" i="1"/>
  <c r="F378" i="1"/>
  <c r="E378" i="1"/>
  <c r="D378" i="1"/>
  <c r="C378" i="1"/>
  <c r="B378" i="1"/>
  <c r="A378" i="1"/>
  <c r="K377" i="1"/>
  <c r="J377" i="1"/>
  <c r="I377" i="1"/>
  <c r="H377" i="1"/>
  <c r="G377" i="1"/>
  <c r="F377" i="1"/>
  <c r="E377" i="1"/>
  <c r="D377" i="1"/>
  <c r="C377" i="1"/>
  <c r="B377" i="1"/>
  <c r="A377" i="1"/>
  <c r="K376" i="1"/>
  <c r="J376" i="1"/>
  <c r="I376" i="1"/>
  <c r="H376" i="1"/>
  <c r="G376" i="1"/>
  <c r="F376" i="1"/>
  <c r="E376" i="1"/>
  <c r="D376" i="1"/>
  <c r="C376" i="1"/>
  <c r="B376" i="1"/>
  <c r="A376" i="1"/>
  <c r="K375" i="1"/>
  <c r="J375" i="1"/>
  <c r="I375" i="1"/>
  <c r="H375" i="1"/>
  <c r="G375" i="1"/>
  <c r="F375" i="1"/>
  <c r="E375" i="1"/>
  <c r="D375" i="1"/>
  <c r="C375" i="1"/>
  <c r="B375" i="1"/>
  <c r="A375" i="1"/>
  <c r="K374" i="1"/>
  <c r="J374" i="1"/>
  <c r="I374" i="1"/>
  <c r="H374" i="1"/>
  <c r="G374" i="1"/>
  <c r="F374" i="1"/>
  <c r="E374" i="1"/>
  <c r="D374" i="1"/>
  <c r="C374" i="1"/>
  <c r="B374" i="1"/>
  <c r="A374" i="1"/>
  <c r="K373" i="1"/>
  <c r="J373" i="1"/>
  <c r="I373" i="1"/>
  <c r="H373" i="1"/>
  <c r="G373" i="1"/>
  <c r="F373" i="1"/>
  <c r="E373" i="1"/>
  <c r="D373" i="1"/>
  <c r="C373" i="1"/>
  <c r="B373" i="1"/>
  <c r="A373" i="1"/>
  <c r="K372" i="1"/>
  <c r="I372" i="1"/>
  <c r="H372" i="1"/>
  <c r="G372" i="1"/>
  <c r="F372" i="1"/>
  <c r="E372" i="1"/>
  <c r="D372" i="1"/>
  <c r="C372" i="1"/>
  <c r="B372" i="1"/>
  <c r="A372" i="1"/>
  <c r="K371" i="1"/>
  <c r="J371" i="1"/>
  <c r="I371" i="1"/>
  <c r="H371" i="1"/>
  <c r="G371" i="1"/>
  <c r="F371" i="1"/>
  <c r="E371" i="1"/>
  <c r="D371" i="1"/>
  <c r="C371" i="1"/>
  <c r="B371" i="1"/>
  <c r="A371" i="1"/>
  <c r="K370" i="1"/>
  <c r="J370" i="1"/>
  <c r="I370" i="1"/>
  <c r="H370" i="1"/>
  <c r="G370" i="1"/>
  <c r="F370" i="1"/>
  <c r="E370" i="1"/>
  <c r="D370" i="1"/>
  <c r="C370" i="1"/>
  <c r="B370" i="1"/>
  <c r="A370" i="1"/>
  <c r="K369" i="1"/>
  <c r="J369" i="1"/>
  <c r="I369" i="1"/>
  <c r="H369" i="1"/>
  <c r="G369" i="1"/>
  <c r="F369" i="1"/>
  <c r="E369" i="1"/>
  <c r="D369" i="1"/>
  <c r="C369" i="1"/>
  <c r="B369" i="1"/>
  <c r="A369" i="1"/>
  <c r="K368" i="1"/>
  <c r="J368" i="1"/>
  <c r="I368" i="1"/>
  <c r="H368" i="1"/>
  <c r="G368" i="1"/>
  <c r="F368" i="1"/>
  <c r="E368" i="1"/>
  <c r="D368" i="1"/>
  <c r="C368" i="1"/>
  <c r="B368" i="1"/>
  <c r="A368" i="1"/>
  <c r="K367" i="1"/>
  <c r="J367" i="1"/>
  <c r="I367" i="1"/>
  <c r="H367" i="1"/>
  <c r="G367" i="1"/>
  <c r="F367" i="1"/>
  <c r="E367" i="1"/>
  <c r="D367" i="1"/>
  <c r="C367" i="1"/>
  <c r="B367" i="1"/>
  <c r="A367" i="1"/>
  <c r="K366" i="1"/>
  <c r="J366" i="1"/>
  <c r="I366" i="1"/>
  <c r="H366" i="1"/>
  <c r="G366" i="1"/>
  <c r="F366" i="1"/>
  <c r="E366" i="1"/>
  <c r="D366" i="1"/>
  <c r="C366" i="1"/>
  <c r="B366" i="1"/>
  <c r="A366" i="1"/>
  <c r="K365" i="1"/>
  <c r="J365" i="1"/>
  <c r="I365" i="1"/>
  <c r="H365" i="1"/>
  <c r="G365" i="1"/>
  <c r="F365" i="1"/>
  <c r="E365" i="1"/>
  <c r="D365" i="1"/>
  <c r="C365" i="1"/>
  <c r="B365" i="1"/>
  <c r="A365" i="1"/>
  <c r="K364" i="1"/>
  <c r="J364" i="1"/>
  <c r="I364" i="1"/>
  <c r="H364" i="1"/>
  <c r="G364" i="1"/>
  <c r="F364" i="1"/>
  <c r="E364" i="1"/>
  <c r="D364" i="1"/>
  <c r="C364" i="1"/>
  <c r="B364" i="1"/>
  <c r="A364" i="1"/>
  <c r="K363" i="1"/>
  <c r="J363" i="1"/>
  <c r="I363" i="1"/>
  <c r="H363" i="1"/>
  <c r="G363" i="1"/>
  <c r="F363" i="1"/>
  <c r="E363" i="1"/>
  <c r="D363" i="1"/>
  <c r="C363" i="1"/>
  <c r="B363" i="1"/>
  <c r="A363" i="1"/>
  <c r="K362" i="1"/>
  <c r="J362" i="1"/>
  <c r="I362" i="1"/>
  <c r="H362" i="1"/>
  <c r="G362" i="1"/>
  <c r="F362" i="1"/>
  <c r="E362" i="1"/>
  <c r="D362" i="1"/>
  <c r="C362" i="1"/>
  <c r="B362" i="1"/>
  <c r="A362" i="1"/>
  <c r="K361" i="1"/>
  <c r="J361" i="1"/>
  <c r="I361" i="1"/>
  <c r="H361" i="1"/>
  <c r="G361" i="1"/>
  <c r="F361" i="1"/>
  <c r="E361" i="1"/>
  <c r="D361" i="1"/>
  <c r="C361" i="1"/>
  <c r="B361" i="1"/>
  <c r="A361" i="1"/>
  <c r="K360" i="1"/>
  <c r="J360" i="1"/>
  <c r="I360" i="1"/>
  <c r="H360" i="1"/>
  <c r="G360" i="1"/>
  <c r="F360" i="1"/>
  <c r="E360" i="1"/>
  <c r="D360" i="1"/>
  <c r="C360" i="1"/>
  <c r="B360" i="1"/>
  <c r="A360" i="1"/>
  <c r="K359" i="1"/>
  <c r="J359" i="1"/>
  <c r="I359" i="1"/>
  <c r="H359" i="1"/>
  <c r="G359" i="1"/>
  <c r="F359" i="1"/>
  <c r="E359" i="1"/>
  <c r="D359" i="1"/>
  <c r="C359" i="1"/>
  <c r="B359" i="1"/>
  <c r="A359" i="1"/>
  <c r="K358" i="1"/>
  <c r="I358" i="1"/>
  <c r="H358" i="1"/>
  <c r="G358" i="1"/>
  <c r="F358" i="1"/>
  <c r="E358" i="1"/>
  <c r="D358" i="1"/>
  <c r="C358" i="1"/>
  <c r="B358" i="1"/>
  <c r="A358" i="1"/>
  <c r="K357" i="1"/>
  <c r="I357" i="1"/>
  <c r="H357" i="1"/>
  <c r="G357" i="1"/>
  <c r="F357" i="1"/>
  <c r="E357" i="1"/>
  <c r="D357" i="1"/>
  <c r="C357" i="1"/>
  <c r="B357" i="1"/>
  <c r="A357" i="1"/>
  <c r="K356" i="1"/>
  <c r="I356" i="1"/>
  <c r="H356" i="1"/>
  <c r="G356" i="1"/>
  <c r="F356" i="1"/>
  <c r="E356" i="1"/>
  <c r="D356" i="1"/>
  <c r="C356" i="1"/>
  <c r="B356" i="1"/>
  <c r="A356" i="1"/>
  <c r="K355" i="1"/>
  <c r="I355" i="1"/>
  <c r="H355" i="1"/>
  <c r="G355" i="1"/>
  <c r="F355" i="1"/>
  <c r="E355" i="1"/>
  <c r="D355" i="1"/>
  <c r="C355" i="1"/>
  <c r="B355" i="1"/>
  <c r="A355" i="1"/>
  <c r="K354" i="1"/>
  <c r="I354" i="1"/>
  <c r="H354" i="1"/>
  <c r="G354" i="1"/>
  <c r="F354" i="1"/>
  <c r="E354" i="1"/>
  <c r="D354" i="1"/>
  <c r="C354" i="1"/>
  <c r="B354" i="1"/>
  <c r="A354" i="1"/>
  <c r="K353" i="1"/>
  <c r="I353" i="1"/>
  <c r="H353" i="1"/>
  <c r="G353" i="1"/>
  <c r="F353" i="1"/>
  <c r="E353" i="1"/>
  <c r="D353" i="1"/>
  <c r="C353" i="1"/>
  <c r="B353" i="1"/>
  <c r="A353" i="1"/>
  <c r="K352" i="1"/>
  <c r="I352" i="1"/>
  <c r="H352" i="1"/>
  <c r="G352" i="1"/>
  <c r="F352" i="1"/>
  <c r="E352" i="1"/>
  <c r="D352" i="1"/>
  <c r="C352" i="1"/>
  <c r="B352" i="1"/>
  <c r="A352" i="1"/>
  <c r="K351" i="1"/>
  <c r="I351" i="1"/>
  <c r="H351" i="1"/>
  <c r="G351" i="1"/>
  <c r="F351" i="1"/>
  <c r="E351" i="1"/>
  <c r="D351" i="1"/>
  <c r="C351" i="1"/>
  <c r="B351" i="1"/>
  <c r="A351" i="1"/>
  <c r="K350" i="1"/>
  <c r="I350" i="1"/>
  <c r="H350" i="1"/>
  <c r="G350" i="1"/>
  <c r="F350" i="1"/>
  <c r="E350" i="1"/>
  <c r="D350" i="1"/>
  <c r="C350" i="1"/>
  <c r="B350" i="1"/>
  <c r="A350" i="1"/>
  <c r="K349" i="1"/>
  <c r="I349" i="1"/>
  <c r="H349" i="1"/>
  <c r="G349" i="1"/>
  <c r="F349" i="1"/>
  <c r="E349" i="1"/>
  <c r="D349" i="1"/>
  <c r="C349" i="1"/>
  <c r="B349" i="1"/>
  <c r="A349" i="1"/>
  <c r="K348" i="1"/>
  <c r="I348" i="1"/>
  <c r="H348" i="1"/>
  <c r="G348" i="1"/>
  <c r="F348" i="1"/>
  <c r="E348" i="1"/>
  <c r="D348" i="1"/>
  <c r="C348" i="1"/>
  <c r="B348" i="1"/>
  <c r="A348" i="1"/>
  <c r="K347" i="1"/>
  <c r="I347" i="1"/>
  <c r="H347" i="1"/>
  <c r="G347" i="1"/>
  <c r="F347" i="1"/>
  <c r="E347" i="1"/>
  <c r="D347" i="1"/>
  <c r="C347" i="1"/>
  <c r="B347" i="1"/>
  <c r="A347" i="1"/>
  <c r="K346" i="1"/>
  <c r="J346" i="1"/>
  <c r="I346" i="1"/>
  <c r="H346" i="1"/>
  <c r="G346" i="1"/>
  <c r="F346" i="1"/>
  <c r="E346" i="1"/>
  <c r="D346" i="1"/>
  <c r="C346" i="1"/>
  <c r="B346" i="1"/>
  <c r="A346" i="1"/>
  <c r="K345" i="1"/>
  <c r="I345" i="1"/>
  <c r="H345" i="1"/>
  <c r="G345" i="1"/>
  <c r="F345" i="1"/>
  <c r="E345" i="1"/>
  <c r="D345" i="1"/>
  <c r="C345" i="1"/>
  <c r="B345" i="1"/>
  <c r="A345" i="1"/>
  <c r="K344" i="1"/>
  <c r="I344" i="1"/>
  <c r="H344" i="1"/>
  <c r="G344" i="1"/>
  <c r="F344" i="1"/>
  <c r="E344" i="1"/>
  <c r="D344" i="1"/>
  <c r="C344" i="1"/>
  <c r="B344" i="1"/>
  <c r="A344" i="1"/>
  <c r="K343" i="1"/>
  <c r="J343" i="1"/>
  <c r="I343" i="1"/>
  <c r="H343" i="1"/>
  <c r="G343" i="1"/>
  <c r="F343" i="1"/>
  <c r="E343" i="1"/>
  <c r="D343" i="1"/>
  <c r="C343" i="1"/>
  <c r="B343" i="1"/>
  <c r="A343" i="1"/>
  <c r="K342" i="1"/>
  <c r="J342" i="1"/>
  <c r="I342" i="1"/>
  <c r="H342" i="1"/>
  <c r="G342" i="1"/>
  <c r="F342" i="1"/>
  <c r="E342" i="1"/>
  <c r="D342" i="1"/>
  <c r="C342" i="1"/>
  <c r="B342" i="1"/>
  <c r="A342" i="1"/>
  <c r="K341" i="1"/>
  <c r="J341" i="1"/>
  <c r="I341" i="1"/>
  <c r="H341" i="1"/>
  <c r="G341" i="1"/>
  <c r="F341" i="1"/>
  <c r="E341" i="1"/>
  <c r="D341" i="1"/>
  <c r="C341" i="1"/>
  <c r="B341" i="1"/>
  <c r="A341" i="1"/>
  <c r="K340" i="1"/>
  <c r="I340" i="1"/>
  <c r="H340" i="1"/>
  <c r="G340" i="1"/>
  <c r="F340" i="1"/>
  <c r="E340" i="1"/>
  <c r="D340" i="1"/>
  <c r="C340" i="1"/>
  <c r="B340" i="1"/>
  <c r="A340" i="1"/>
  <c r="K339" i="1"/>
  <c r="I339" i="1"/>
  <c r="H339" i="1"/>
  <c r="G339" i="1"/>
  <c r="F339" i="1"/>
  <c r="E339" i="1"/>
  <c r="D339" i="1"/>
  <c r="C339" i="1"/>
  <c r="B339" i="1"/>
  <c r="A339" i="1"/>
  <c r="K338" i="1"/>
  <c r="I338" i="1"/>
  <c r="H338" i="1"/>
  <c r="G338" i="1"/>
  <c r="F338" i="1"/>
  <c r="E338" i="1"/>
  <c r="D338" i="1"/>
  <c r="C338" i="1"/>
  <c r="B338" i="1"/>
  <c r="A338" i="1"/>
  <c r="K337" i="1"/>
  <c r="I337" i="1"/>
  <c r="H337" i="1"/>
  <c r="G337" i="1"/>
  <c r="F337" i="1"/>
  <c r="E337" i="1"/>
  <c r="D337" i="1"/>
  <c r="C337" i="1"/>
  <c r="B337" i="1"/>
  <c r="A337" i="1"/>
  <c r="K336" i="1"/>
  <c r="I336" i="1"/>
  <c r="H336" i="1"/>
  <c r="G336" i="1"/>
  <c r="F336" i="1"/>
  <c r="E336" i="1"/>
  <c r="D336" i="1"/>
  <c r="C336" i="1"/>
  <c r="B336" i="1"/>
  <c r="A336" i="1"/>
  <c r="K335" i="1"/>
  <c r="I335" i="1"/>
  <c r="H335" i="1"/>
  <c r="G335" i="1"/>
  <c r="F335" i="1"/>
  <c r="E335" i="1"/>
  <c r="D335" i="1"/>
  <c r="C335" i="1"/>
  <c r="B335" i="1"/>
  <c r="A335" i="1"/>
  <c r="K334" i="1"/>
  <c r="I334" i="1"/>
  <c r="H334" i="1"/>
  <c r="G334" i="1"/>
  <c r="F334" i="1"/>
  <c r="E334" i="1"/>
  <c r="D334" i="1"/>
  <c r="C334" i="1"/>
  <c r="B334" i="1"/>
  <c r="A334" i="1"/>
  <c r="K333" i="1"/>
  <c r="I333" i="1"/>
  <c r="H333" i="1"/>
  <c r="G333" i="1"/>
  <c r="F333" i="1"/>
  <c r="E333" i="1"/>
  <c r="D333" i="1"/>
  <c r="C333" i="1"/>
  <c r="B333" i="1"/>
  <c r="A333" i="1"/>
  <c r="K332" i="1"/>
  <c r="J332" i="1"/>
  <c r="I332" i="1"/>
  <c r="H332" i="1"/>
  <c r="G332" i="1"/>
  <c r="F332" i="1"/>
  <c r="E332" i="1"/>
  <c r="D332" i="1"/>
  <c r="C332" i="1"/>
  <c r="B332" i="1"/>
  <c r="A332" i="1"/>
  <c r="K331" i="1"/>
  <c r="J331" i="1"/>
  <c r="I331" i="1"/>
  <c r="H331" i="1"/>
  <c r="G331" i="1"/>
  <c r="F331" i="1"/>
  <c r="E331" i="1"/>
  <c r="D331" i="1"/>
  <c r="C331" i="1"/>
  <c r="B331" i="1"/>
  <c r="A331" i="1"/>
  <c r="K330" i="1"/>
  <c r="I330" i="1"/>
  <c r="H330" i="1"/>
  <c r="G330" i="1"/>
  <c r="F330" i="1"/>
  <c r="E330" i="1"/>
  <c r="D330" i="1"/>
  <c r="C330" i="1"/>
  <c r="B330" i="1"/>
  <c r="A330" i="1"/>
  <c r="K329" i="1"/>
  <c r="J329" i="1"/>
  <c r="I329" i="1"/>
  <c r="H329" i="1"/>
  <c r="G329" i="1"/>
  <c r="F329" i="1"/>
  <c r="E329" i="1"/>
  <c r="D329" i="1"/>
  <c r="C329" i="1"/>
  <c r="B329" i="1"/>
  <c r="A329" i="1"/>
  <c r="K328" i="1"/>
  <c r="J328" i="1"/>
  <c r="I328" i="1"/>
  <c r="H328" i="1"/>
  <c r="G328" i="1"/>
  <c r="F328" i="1"/>
  <c r="E328" i="1"/>
  <c r="D328" i="1"/>
  <c r="C328" i="1"/>
  <c r="B328" i="1"/>
  <c r="A328" i="1"/>
  <c r="K327" i="1"/>
  <c r="I327" i="1"/>
  <c r="H327" i="1"/>
  <c r="G327" i="1"/>
  <c r="F327" i="1"/>
  <c r="E327" i="1"/>
  <c r="D327" i="1"/>
  <c r="C327" i="1"/>
  <c r="B327" i="1"/>
  <c r="A327" i="1"/>
  <c r="K326" i="1"/>
  <c r="I326" i="1"/>
  <c r="H326" i="1"/>
  <c r="G326" i="1"/>
  <c r="F326" i="1"/>
  <c r="E326" i="1"/>
  <c r="D326" i="1"/>
  <c r="C326" i="1"/>
  <c r="B326" i="1"/>
  <c r="A326" i="1"/>
  <c r="K325" i="1"/>
  <c r="J325" i="1"/>
  <c r="I325" i="1"/>
  <c r="H325" i="1"/>
  <c r="G325" i="1"/>
  <c r="F325" i="1"/>
  <c r="E325" i="1"/>
  <c r="D325" i="1"/>
  <c r="C325" i="1"/>
  <c r="B325" i="1"/>
  <c r="A325" i="1"/>
  <c r="K324" i="1"/>
  <c r="J324" i="1"/>
  <c r="I324" i="1"/>
  <c r="H324" i="1"/>
  <c r="G324" i="1"/>
  <c r="F324" i="1"/>
  <c r="E324" i="1"/>
  <c r="D324" i="1"/>
  <c r="C324" i="1"/>
  <c r="B324" i="1"/>
  <c r="A324" i="1"/>
  <c r="K323" i="1"/>
  <c r="J323" i="1"/>
  <c r="I323" i="1"/>
  <c r="H323" i="1"/>
  <c r="G323" i="1"/>
  <c r="F323" i="1"/>
  <c r="E323" i="1"/>
  <c r="D323" i="1"/>
  <c r="C323" i="1"/>
  <c r="B323" i="1"/>
  <c r="A323" i="1"/>
  <c r="K322" i="1"/>
  <c r="I322" i="1"/>
  <c r="H322" i="1"/>
  <c r="G322" i="1"/>
  <c r="F322" i="1"/>
  <c r="E322" i="1"/>
  <c r="D322" i="1"/>
  <c r="C322" i="1"/>
  <c r="B322" i="1"/>
  <c r="A322" i="1"/>
  <c r="K321" i="1"/>
  <c r="I321" i="1"/>
  <c r="H321" i="1"/>
  <c r="G321" i="1"/>
  <c r="F321" i="1"/>
  <c r="E321" i="1"/>
  <c r="D321" i="1"/>
  <c r="C321" i="1"/>
  <c r="B321" i="1"/>
  <c r="A321" i="1"/>
  <c r="K320" i="1"/>
  <c r="J320" i="1"/>
  <c r="I320" i="1"/>
  <c r="H320" i="1"/>
  <c r="G320" i="1"/>
  <c r="F320" i="1"/>
  <c r="E320" i="1"/>
  <c r="D320" i="1"/>
  <c r="C320" i="1"/>
  <c r="B320" i="1"/>
  <c r="A320" i="1"/>
  <c r="K319" i="1"/>
  <c r="J319" i="1"/>
  <c r="I319" i="1"/>
  <c r="H319" i="1"/>
  <c r="G319" i="1"/>
  <c r="F319" i="1"/>
  <c r="E319" i="1"/>
  <c r="D319" i="1"/>
  <c r="C319" i="1"/>
  <c r="B319" i="1"/>
  <c r="A319" i="1"/>
  <c r="K318" i="1"/>
  <c r="J318" i="1"/>
  <c r="I318" i="1"/>
  <c r="H318" i="1"/>
  <c r="G318" i="1"/>
  <c r="F318" i="1"/>
  <c r="E318" i="1"/>
  <c r="D318" i="1"/>
  <c r="C318" i="1"/>
  <c r="B318" i="1"/>
  <c r="A318" i="1"/>
  <c r="K317" i="1"/>
  <c r="J317" i="1"/>
  <c r="I317" i="1"/>
  <c r="H317" i="1"/>
  <c r="G317" i="1"/>
  <c r="F317" i="1"/>
  <c r="E317" i="1"/>
  <c r="D317" i="1"/>
  <c r="C317" i="1"/>
  <c r="B317" i="1"/>
  <c r="A317" i="1"/>
  <c r="K316" i="1"/>
  <c r="I316" i="1"/>
  <c r="H316" i="1"/>
  <c r="G316" i="1"/>
  <c r="F316" i="1"/>
  <c r="E316" i="1"/>
  <c r="D316" i="1"/>
  <c r="C316" i="1"/>
  <c r="B316" i="1"/>
  <c r="A316" i="1"/>
  <c r="K315" i="1"/>
  <c r="I315" i="1"/>
  <c r="H315" i="1"/>
  <c r="G315" i="1"/>
  <c r="F315" i="1"/>
  <c r="E315" i="1"/>
  <c r="D315" i="1"/>
  <c r="C315" i="1"/>
  <c r="B315" i="1"/>
  <c r="A315" i="1"/>
  <c r="K314" i="1"/>
  <c r="J314" i="1"/>
  <c r="I314" i="1"/>
  <c r="H314" i="1"/>
  <c r="G314" i="1"/>
  <c r="F314" i="1"/>
  <c r="E314" i="1"/>
  <c r="D314" i="1"/>
  <c r="C314" i="1"/>
  <c r="B314" i="1"/>
  <c r="A314" i="1"/>
  <c r="K313" i="1"/>
  <c r="J313" i="1"/>
  <c r="I313" i="1"/>
  <c r="H313" i="1"/>
  <c r="G313" i="1"/>
  <c r="F313" i="1"/>
  <c r="E313" i="1"/>
  <c r="D313" i="1"/>
  <c r="C313" i="1"/>
  <c r="B313" i="1"/>
  <c r="A313" i="1"/>
  <c r="K312" i="1"/>
  <c r="J312" i="1"/>
  <c r="I312" i="1"/>
  <c r="H312" i="1"/>
  <c r="G312" i="1"/>
  <c r="F312" i="1"/>
  <c r="E312" i="1"/>
  <c r="D312" i="1"/>
  <c r="C312" i="1"/>
  <c r="B312" i="1"/>
  <c r="A312" i="1"/>
  <c r="K311" i="1"/>
  <c r="J311" i="1"/>
  <c r="I311" i="1"/>
  <c r="H311" i="1"/>
  <c r="G311" i="1"/>
  <c r="F311" i="1"/>
  <c r="E311" i="1"/>
  <c r="D311" i="1"/>
  <c r="C311" i="1"/>
  <c r="B311" i="1"/>
  <c r="A311" i="1"/>
  <c r="K310" i="1"/>
  <c r="J310" i="1"/>
  <c r="I310" i="1"/>
  <c r="H310" i="1"/>
  <c r="G310" i="1"/>
  <c r="F310" i="1"/>
  <c r="E310" i="1"/>
  <c r="D310" i="1"/>
  <c r="C310" i="1"/>
  <c r="B310" i="1"/>
  <c r="A310" i="1"/>
  <c r="K309" i="1"/>
  <c r="I309" i="1"/>
  <c r="H309" i="1"/>
  <c r="G309" i="1"/>
  <c r="F309" i="1"/>
  <c r="E309" i="1"/>
  <c r="D309" i="1"/>
  <c r="C309" i="1"/>
  <c r="B309" i="1"/>
  <c r="A309" i="1"/>
  <c r="K308" i="1"/>
  <c r="I308" i="1"/>
  <c r="H308" i="1"/>
  <c r="G308" i="1"/>
  <c r="F308" i="1"/>
  <c r="E308" i="1"/>
  <c r="D308" i="1"/>
  <c r="C308" i="1"/>
  <c r="B308" i="1"/>
  <c r="A308" i="1"/>
  <c r="K307" i="1"/>
  <c r="I307" i="1"/>
  <c r="H307" i="1"/>
  <c r="G307" i="1"/>
  <c r="F307" i="1"/>
  <c r="E307" i="1"/>
  <c r="D307" i="1"/>
  <c r="C307" i="1"/>
  <c r="B307" i="1"/>
  <c r="A307" i="1"/>
  <c r="K306" i="1"/>
  <c r="I306" i="1"/>
  <c r="H306" i="1"/>
  <c r="G306" i="1"/>
  <c r="F306" i="1"/>
  <c r="E306" i="1"/>
  <c r="D306" i="1"/>
  <c r="C306" i="1"/>
  <c r="B306" i="1"/>
  <c r="A306" i="1"/>
  <c r="K305" i="1"/>
  <c r="I305" i="1"/>
  <c r="H305" i="1"/>
  <c r="G305" i="1"/>
  <c r="F305" i="1"/>
  <c r="E305" i="1"/>
  <c r="D305" i="1"/>
  <c r="C305" i="1"/>
  <c r="B305" i="1"/>
  <c r="A305" i="1"/>
  <c r="K304" i="1"/>
  <c r="I304" i="1"/>
  <c r="H304" i="1"/>
  <c r="G304" i="1"/>
  <c r="F304" i="1"/>
  <c r="E304" i="1"/>
  <c r="D304" i="1"/>
  <c r="C304" i="1"/>
  <c r="B304" i="1"/>
  <c r="A304" i="1"/>
  <c r="K303" i="1"/>
  <c r="I303" i="1"/>
  <c r="H303" i="1"/>
  <c r="G303" i="1"/>
  <c r="F303" i="1"/>
  <c r="E303" i="1"/>
  <c r="D303" i="1"/>
  <c r="C303" i="1"/>
  <c r="B303" i="1"/>
  <c r="A303" i="1"/>
  <c r="K302" i="1"/>
  <c r="J302" i="1"/>
  <c r="I302" i="1"/>
  <c r="H302" i="1"/>
  <c r="G302" i="1"/>
  <c r="F302" i="1"/>
  <c r="E302" i="1"/>
  <c r="D302" i="1"/>
  <c r="C302" i="1"/>
  <c r="B302" i="1"/>
  <c r="A302" i="1"/>
  <c r="K301" i="1"/>
  <c r="I301" i="1"/>
  <c r="H301" i="1"/>
  <c r="G301" i="1"/>
  <c r="F301" i="1"/>
  <c r="E301" i="1"/>
  <c r="D301" i="1"/>
  <c r="C301" i="1"/>
  <c r="B301" i="1"/>
  <c r="A301" i="1"/>
  <c r="K300" i="1"/>
  <c r="I300" i="1"/>
  <c r="H300" i="1"/>
  <c r="G300" i="1"/>
  <c r="F300" i="1"/>
  <c r="E300" i="1"/>
  <c r="D300" i="1"/>
  <c r="C300" i="1"/>
  <c r="B300" i="1"/>
  <c r="A300" i="1"/>
  <c r="K299" i="1"/>
  <c r="I299" i="1"/>
  <c r="H299" i="1"/>
  <c r="G299" i="1"/>
  <c r="F299" i="1"/>
  <c r="E299" i="1"/>
  <c r="D299" i="1"/>
  <c r="C299" i="1"/>
  <c r="B299" i="1"/>
  <c r="A299" i="1"/>
  <c r="K298" i="1"/>
  <c r="I298" i="1"/>
  <c r="H298" i="1"/>
  <c r="G298" i="1"/>
  <c r="F298" i="1"/>
  <c r="E298" i="1"/>
  <c r="D298" i="1"/>
  <c r="C298" i="1"/>
  <c r="B298" i="1"/>
  <c r="A298" i="1"/>
  <c r="K297" i="1"/>
  <c r="I297" i="1"/>
  <c r="H297" i="1"/>
  <c r="G297" i="1"/>
  <c r="F297" i="1"/>
  <c r="E297" i="1"/>
  <c r="D297" i="1"/>
  <c r="C297" i="1"/>
  <c r="B297" i="1"/>
  <c r="A297" i="1"/>
  <c r="K296" i="1"/>
  <c r="I296" i="1"/>
  <c r="H296" i="1"/>
  <c r="G296" i="1"/>
  <c r="F296" i="1"/>
  <c r="E296" i="1"/>
  <c r="D296" i="1"/>
  <c r="C296" i="1"/>
  <c r="B296" i="1"/>
  <c r="A296" i="1"/>
  <c r="K295" i="1"/>
  <c r="I295" i="1"/>
  <c r="H295" i="1"/>
  <c r="G295" i="1"/>
  <c r="F295" i="1"/>
  <c r="E295" i="1"/>
  <c r="D295" i="1"/>
  <c r="C295" i="1"/>
  <c r="B295" i="1"/>
  <c r="A295" i="1"/>
  <c r="K294" i="1"/>
  <c r="I294" i="1"/>
  <c r="H294" i="1"/>
  <c r="G294" i="1"/>
  <c r="F294" i="1"/>
  <c r="E294" i="1"/>
  <c r="D294" i="1"/>
  <c r="C294" i="1"/>
  <c r="B294" i="1"/>
  <c r="A294" i="1"/>
  <c r="K293" i="1"/>
  <c r="I293" i="1"/>
  <c r="H293" i="1"/>
  <c r="G293" i="1"/>
  <c r="F293" i="1"/>
  <c r="E293" i="1"/>
  <c r="D293" i="1"/>
  <c r="C293" i="1"/>
  <c r="B293" i="1"/>
  <c r="A293" i="1"/>
  <c r="K292" i="1"/>
  <c r="I292" i="1"/>
  <c r="H292" i="1"/>
  <c r="G292" i="1"/>
  <c r="F292" i="1"/>
  <c r="E292" i="1"/>
  <c r="D292" i="1"/>
  <c r="C292" i="1"/>
  <c r="B292" i="1"/>
  <c r="A292" i="1"/>
  <c r="K291" i="1"/>
  <c r="I291" i="1"/>
  <c r="H291" i="1"/>
  <c r="G291" i="1"/>
  <c r="F291" i="1"/>
  <c r="E291" i="1"/>
  <c r="D291" i="1"/>
  <c r="C291" i="1"/>
  <c r="B291" i="1"/>
  <c r="A291" i="1"/>
  <c r="K290" i="1"/>
  <c r="I290" i="1"/>
  <c r="H290" i="1"/>
  <c r="G290" i="1"/>
  <c r="F290" i="1"/>
  <c r="E290" i="1"/>
  <c r="D290" i="1"/>
  <c r="C290" i="1"/>
  <c r="B290" i="1"/>
  <c r="A290" i="1"/>
  <c r="K289" i="1"/>
  <c r="I289" i="1"/>
  <c r="H289" i="1"/>
  <c r="G289" i="1"/>
  <c r="F289" i="1"/>
  <c r="E289" i="1"/>
  <c r="D289" i="1"/>
  <c r="C289" i="1"/>
  <c r="B289" i="1"/>
  <c r="A289" i="1"/>
  <c r="K288" i="1"/>
  <c r="I288" i="1"/>
  <c r="H288" i="1"/>
  <c r="G288" i="1"/>
  <c r="F288" i="1"/>
  <c r="E288" i="1"/>
  <c r="D288" i="1"/>
  <c r="C288" i="1"/>
  <c r="B288" i="1"/>
  <c r="A288" i="1"/>
  <c r="K287" i="1"/>
  <c r="I287" i="1"/>
  <c r="H287" i="1"/>
  <c r="G287" i="1"/>
  <c r="F287" i="1"/>
  <c r="E287" i="1"/>
  <c r="D287" i="1"/>
  <c r="C287" i="1"/>
  <c r="B287" i="1"/>
  <c r="A287" i="1"/>
  <c r="K286" i="1"/>
  <c r="I286" i="1"/>
  <c r="H286" i="1"/>
  <c r="G286" i="1"/>
  <c r="F286" i="1"/>
  <c r="E286" i="1"/>
  <c r="D286" i="1"/>
  <c r="C286" i="1"/>
  <c r="B286" i="1"/>
  <c r="A286" i="1"/>
  <c r="K285" i="1"/>
  <c r="I285" i="1"/>
  <c r="H285" i="1"/>
  <c r="G285" i="1"/>
  <c r="F285" i="1"/>
  <c r="E285" i="1"/>
  <c r="D285" i="1"/>
  <c r="C285" i="1"/>
  <c r="B285" i="1"/>
  <c r="A285" i="1"/>
  <c r="K284" i="1"/>
  <c r="I284" i="1"/>
  <c r="H284" i="1"/>
  <c r="G284" i="1"/>
  <c r="F284" i="1"/>
  <c r="E284" i="1"/>
  <c r="D284" i="1"/>
  <c r="C284" i="1"/>
  <c r="B284" i="1"/>
  <c r="A284" i="1"/>
  <c r="K283" i="1"/>
  <c r="I283" i="1"/>
  <c r="H283" i="1"/>
  <c r="G283" i="1"/>
  <c r="F283" i="1"/>
  <c r="E283" i="1"/>
  <c r="D283" i="1"/>
  <c r="C283" i="1"/>
  <c r="B283" i="1"/>
  <c r="A283" i="1"/>
  <c r="K282" i="1"/>
  <c r="I282" i="1"/>
  <c r="H282" i="1"/>
  <c r="G282" i="1"/>
  <c r="F282" i="1"/>
  <c r="E282" i="1"/>
  <c r="D282" i="1"/>
  <c r="C282" i="1"/>
  <c r="B282" i="1"/>
  <c r="A282" i="1"/>
  <c r="K281" i="1"/>
  <c r="I281" i="1"/>
  <c r="H281" i="1"/>
  <c r="G281" i="1"/>
  <c r="F281" i="1"/>
  <c r="E281" i="1"/>
  <c r="D281" i="1"/>
  <c r="C281" i="1"/>
  <c r="B281" i="1"/>
  <c r="A281" i="1"/>
  <c r="K280" i="1"/>
  <c r="I280" i="1"/>
  <c r="H280" i="1"/>
  <c r="G280" i="1"/>
  <c r="F280" i="1"/>
  <c r="E280" i="1"/>
  <c r="D280" i="1"/>
  <c r="C280" i="1"/>
  <c r="B280" i="1"/>
  <c r="A280" i="1"/>
  <c r="K279" i="1"/>
  <c r="I279" i="1"/>
  <c r="H279" i="1"/>
  <c r="G279" i="1"/>
  <c r="F279" i="1"/>
  <c r="E279" i="1"/>
  <c r="D279" i="1"/>
  <c r="C279" i="1"/>
  <c r="B279" i="1"/>
  <c r="A279" i="1"/>
  <c r="K278" i="1"/>
  <c r="I278" i="1"/>
  <c r="H278" i="1"/>
  <c r="G278" i="1"/>
  <c r="F278" i="1"/>
  <c r="E278" i="1"/>
  <c r="D278" i="1"/>
  <c r="C278" i="1"/>
  <c r="B278" i="1"/>
  <c r="A278" i="1"/>
  <c r="K277" i="1"/>
  <c r="I277" i="1"/>
  <c r="H277" i="1"/>
  <c r="G277" i="1"/>
  <c r="F277" i="1"/>
  <c r="E277" i="1"/>
  <c r="D277" i="1"/>
  <c r="C277" i="1"/>
  <c r="B277" i="1"/>
  <c r="A277" i="1"/>
  <c r="K276" i="1"/>
  <c r="I276" i="1"/>
  <c r="H276" i="1"/>
  <c r="G276" i="1"/>
  <c r="F276" i="1"/>
  <c r="E276" i="1"/>
  <c r="D276" i="1"/>
  <c r="C276" i="1"/>
  <c r="B276" i="1"/>
  <c r="A276" i="1"/>
  <c r="K275" i="1"/>
  <c r="I275" i="1"/>
  <c r="H275" i="1"/>
  <c r="G275" i="1"/>
  <c r="F275" i="1"/>
  <c r="E275" i="1"/>
  <c r="D275" i="1"/>
  <c r="C275" i="1"/>
  <c r="B275" i="1"/>
  <c r="A275" i="1"/>
  <c r="K274" i="1"/>
  <c r="I274" i="1"/>
  <c r="H274" i="1"/>
  <c r="G274" i="1"/>
  <c r="F274" i="1"/>
  <c r="E274" i="1"/>
  <c r="D274" i="1"/>
  <c r="C274" i="1"/>
  <c r="B274" i="1"/>
  <c r="A274" i="1"/>
  <c r="K273" i="1"/>
  <c r="I273" i="1"/>
  <c r="H273" i="1"/>
  <c r="G273" i="1"/>
  <c r="F273" i="1"/>
  <c r="E273" i="1"/>
  <c r="D273" i="1"/>
  <c r="C273" i="1"/>
  <c r="B273" i="1"/>
  <c r="A273" i="1"/>
  <c r="K272" i="1"/>
  <c r="I272" i="1"/>
  <c r="H272" i="1"/>
  <c r="G272" i="1"/>
  <c r="F272" i="1"/>
  <c r="E272" i="1"/>
  <c r="D272" i="1"/>
  <c r="C272" i="1"/>
  <c r="B272" i="1"/>
  <c r="A272" i="1"/>
  <c r="K271" i="1"/>
  <c r="I271" i="1"/>
  <c r="H271" i="1"/>
  <c r="G271" i="1"/>
  <c r="F271" i="1"/>
  <c r="E271" i="1"/>
  <c r="D271" i="1"/>
  <c r="C271" i="1"/>
  <c r="B271" i="1"/>
  <c r="A271" i="1"/>
  <c r="K270" i="1"/>
  <c r="I270" i="1"/>
  <c r="H270" i="1"/>
  <c r="G270" i="1"/>
  <c r="F270" i="1"/>
  <c r="E270" i="1"/>
  <c r="D270" i="1"/>
  <c r="C270" i="1"/>
  <c r="B270" i="1"/>
  <c r="A270" i="1"/>
  <c r="K269" i="1"/>
  <c r="I269" i="1"/>
  <c r="H269" i="1"/>
  <c r="G269" i="1"/>
  <c r="F269" i="1"/>
  <c r="E269" i="1"/>
  <c r="D269" i="1"/>
  <c r="C269" i="1"/>
  <c r="B269" i="1"/>
  <c r="A269" i="1"/>
  <c r="K268" i="1"/>
  <c r="I268" i="1"/>
  <c r="H268" i="1"/>
  <c r="G268" i="1"/>
  <c r="F268" i="1"/>
  <c r="E268" i="1"/>
  <c r="D268" i="1"/>
  <c r="C268" i="1"/>
  <c r="B268" i="1"/>
  <c r="A268" i="1"/>
  <c r="K267" i="1"/>
  <c r="I267" i="1"/>
  <c r="H267" i="1"/>
  <c r="G267" i="1"/>
  <c r="F267" i="1"/>
  <c r="E267" i="1"/>
  <c r="D267" i="1"/>
  <c r="C267" i="1"/>
  <c r="B267" i="1"/>
  <c r="A267" i="1"/>
  <c r="K266" i="1"/>
  <c r="I266" i="1"/>
  <c r="H266" i="1"/>
  <c r="G266" i="1"/>
  <c r="F266" i="1"/>
  <c r="E266" i="1"/>
  <c r="D266" i="1"/>
  <c r="C266" i="1"/>
  <c r="B266" i="1"/>
  <c r="A266" i="1"/>
  <c r="K265" i="1"/>
  <c r="I265" i="1"/>
  <c r="H265" i="1"/>
  <c r="G265" i="1"/>
  <c r="F265" i="1"/>
  <c r="E265" i="1"/>
  <c r="D265" i="1"/>
  <c r="C265" i="1"/>
  <c r="B265" i="1"/>
  <c r="A265" i="1"/>
  <c r="K264" i="1"/>
  <c r="I264" i="1"/>
  <c r="H264" i="1"/>
  <c r="G264" i="1"/>
  <c r="F264" i="1"/>
  <c r="E264" i="1"/>
  <c r="D264" i="1"/>
  <c r="C264" i="1"/>
  <c r="B264" i="1"/>
  <c r="A264" i="1"/>
  <c r="K263" i="1"/>
  <c r="I263" i="1"/>
  <c r="H263" i="1"/>
  <c r="G263" i="1"/>
  <c r="F263" i="1"/>
  <c r="E263" i="1"/>
  <c r="D263" i="1"/>
  <c r="C263" i="1"/>
  <c r="B263" i="1"/>
  <c r="A263" i="1"/>
  <c r="K262" i="1"/>
  <c r="I262" i="1"/>
  <c r="H262" i="1"/>
  <c r="G262" i="1"/>
  <c r="F262" i="1"/>
  <c r="E262" i="1"/>
  <c r="D262" i="1"/>
  <c r="C262" i="1"/>
  <c r="B262" i="1"/>
  <c r="A262" i="1"/>
  <c r="K261" i="1"/>
  <c r="I261" i="1"/>
  <c r="H261" i="1"/>
  <c r="G261" i="1"/>
  <c r="F261" i="1"/>
  <c r="E261" i="1"/>
  <c r="D261" i="1"/>
  <c r="C261" i="1"/>
  <c r="B261" i="1"/>
  <c r="A261" i="1"/>
  <c r="K260" i="1"/>
  <c r="I260" i="1"/>
  <c r="H260" i="1"/>
  <c r="G260" i="1"/>
  <c r="F260" i="1"/>
  <c r="E260" i="1"/>
  <c r="D260" i="1"/>
  <c r="C260" i="1"/>
  <c r="B260" i="1"/>
  <c r="A260" i="1"/>
  <c r="K259" i="1"/>
  <c r="I259" i="1"/>
  <c r="H259" i="1"/>
  <c r="G259" i="1"/>
  <c r="F259" i="1"/>
  <c r="E259" i="1"/>
  <c r="D259" i="1"/>
  <c r="C259" i="1"/>
  <c r="B259" i="1"/>
  <c r="A259" i="1"/>
  <c r="K258" i="1"/>
  <c r="I258" i="1"/>
  <c r="H258" i="1"/>
  <c r="G258" i="1"/>
  <c r="F258" i="1"/>
  <c r="E258" i="1"/>
  <c r="D258" i="1"/>
  <c r="C258" i="1"/>
  <c r="B258" i="1"/>
  <c r="A258" i="1"/>
  <c r="K257" i="1"/>
  <c r="I257" i="1"/>
  <c r="H257" i="1"/>
  <c r="G257" i="1"/>
  <c r="F257" i="1"/>
  <c r="E257" i="1"/>
  <c r="D257" i="1"/>
  <c r="C257" i="1"/>
  <c r="B257" i="1"/>
  <c r="A257" i="1"/>
  <c r="K256" i="1"/>
  <c r="I256" i="1"/>
  <c r="H256" i="1"/>
  <c r="G256" i="1"/>
  <c r="F256" i="1"/>
  <c r="E256" i="1"/>
  <c r="D256" i="1"/>
  <c r="C256" i="1"/>
  <c r="B256" i="1"/>
  <c r="A256" i="1"/>
  <c r="K255" i="1"/>
  <c r="I255" i="1"/>
  <c r="H255" i="1"/>
  <c r="G255" i="1"/>
  <c r="F255" i="1"/>
  <c r="E255" i="1"/>
  <c r="D255" i="1"/>
  <c r="C255" i="1"/>
  <c r="B255" i="1"/>
  <c r="A255" i="1"/>
  <c r="K254" i="1"/>
  <c r="I254" i="1"/>
  <c r="H254" i="1"/>
  <c r="G254" i="1"/>
  <c r="F254" i="1"/>
  <c r="E254" i="1"/>
  <c r="D254" i="1"/>
  <c r="C254" i="1"/>
  <c r="B254" i="1"/>
  <c r="A254" i="1"/>
  <c r="K253" i="1"/>
  <c r="J253" i="1"/>
  <c r="I253" i="1"/>
  <c r="H253" i="1"/>
  <c r="G253" i="1"/>
  <c r="F253" i="1"/>
  <c r="E253" i="1"/>
  <c r="D253" i="1"/>
  <c r="C253" i="1"/>
  <c r="B253" i="1"/>
  <c r="A253" i="1"/>
  <c r="K252" i="1"/>
  <c r="I252" i="1"/>
  <c r="H252" i="1"/>
  <c r="G252" i="1"/>
  <c r="F252" i="1"/>
  <c r="E252" i="1"/>
  <c r="D252" i="1"/>
  <c r="C252" i="1"/>
  <c r="B252" i="1"/>
  <c r="A252" i="1"/>
  <c r="K251" i="1"/>
  <c r="I251" i="1"/>
  <c r="H251" i="1"/>
  <c r="G251" i="1"/>
  <c r="F251" i="1"/>
  <c r="E251" i="1"/>
  <c r="D251" i="1"/>
  <c r="C251" i="1"/>
  <c r="B251" i="1"/>
  <c r="A251" i="1"/>
  <c r="K250" i="1"/>
  <c r="I250" i="1"/>
  <c r="H250" i="1"/>
  <c r="G250" i="1"/>
  <c r="F250" i="1"/>
  <c r="E250" i="1"/>
  <c r="D250" i="1"/>
  <c r="C250" i="1"/>
  <c r="B250" i="1"/>
  <c r="A250" i="1"/>
  <c r="K249" i="1"/>
  <c r="I249" i="1"/>
  <c r="H249" i="1"/>
  <c r="G249" i="1"/>
  <c r="F249" i="1"/>
  <c r="E249" i="1"/>
  <c r="D249" i="1"/>
  <c r="C249" i="1"/>
  <c r="B249" i="1"/>
  <c r="A249" i="1"/>
  <c r="K248" i="1"/>
  <c r="J248" i="1"/>
  <c r="H248" i="1"/>
  <c r="G248" i="1"/>
  <c r="F248" i="1"/>
  <c r="E248" i="1"/>
  <c r="D248" i="1"/>
  <c r="C248" i="1"/>
  <c r="B248" i="1"/>
  <c r="A248" i="1"/>
  <c r="K247" i="1"/>
  <c r="J247" i="1"/>
  <c r="H247" i="1"/>
  <c r="G247" i="1"/>
  <c r="F247" i="1"/>
  <c r="E247" i="1"/>
  <c r="D247" i="1"/>
  <c r="C247" i="1"/>
  <c r="B247" i="1"/>
  <c r="A247" i="1"/>
  <c r="K246" i="1"/>
  <c r="J246" i="1"/>
  <c r="H246" i="1"/>
  <c r="G246" i="1"/>
  <c r="F246" i="1"/>
  <c r="E246" i="1"/>
  <c r="D246" i="1"/>
  <c r="C246" i="1"/>
  <c r="B246" i="1"/>
  <c r="A246" i="1"/>
  <c r="K245" i="1"/>
  <c r="J245" i="1"/>
  <c r="H245" i="1"/>
  <c r="G245" i="1"/>
  <c r="F245" i="1"/>
  <c r="E245" i="1"/>
  <c r="D245" i="1"/>
  <c r="C245" i="1"/>
  <c r="B245" i="1"/>
  <c r="A245" i="1"/>
  <c r="K244" i="1"/>
  <c r="J244" i="1"/>
  <c r="H244" i="1"/>
  <c r="G244" i="1"/>
  <c r="F244" i="1"/>
  <c r="E244" i="1"/>
  <c r="D244" i="1"/>
  <c r="C244" i="1"/>
  <c r="B244" i="1"/>
  <c r="A244" i="1"/>
  <c r="K243" i="1"/>
  <c r="J243" i="1"/>
  <c r="H243" i="1"/>
  <c r="G243" i="1"/>
  <c r="F243" i="1"/>
  <c r="E243" i="1"/>
  <c r="D243" i="1"/>
  <c r="C243" i="1"/>
  <c r="B243" i="1"/>
  <c r="A243" i="1"/>
  <c r="K242" i="1"/>
  <c r="J242" i="1"/>
  <c r="H242" i="1"/>
  <c r="G242" i="1"/>
  <c r="F242" i="1"/>
  <c r="E242" i="1"/>
  <c r="D242" i="1"/>
  <c r="C242" i="1"/>
  <c r="B242" i="1"/>
  <c r="A242" i="1"/>
  <c r="K241" i="1"/>
  <c r="I241" i="1"/>
  <c r="H241" i="1"/>
  <c r="G241" i="1"/>
  <c r="F241" i="1"/>
  <c r="E241" i="1"/>
  <c r="D241" i="1"/>
  <c r="C241" i="1"/>
  <c r="B241" i="1"/>
  <c r="A241" i="1"/>
  <c r="K240" i="1"/>
  <c r="I240" i="1"/>
  <c r="H240" i="1"/>
  <c r="G240" i="1"/>
  <c r="F240" i="1"/>
  <c r="E240" i="1"/>
  <c r="D240" i="1"/>
  <c r="C240" i="1"/>
  <c r="B240" i="1"/>
  <c r="A240" i="1"/>
  <c r="K239" i="1"/>
  <c r="I239" i="1"/>
  <c r="H239" i="1"/>
  <c r="G239" i="1"/>
  <c r="F239" i="1"/>
  <c r="E239" i="1"/>
  <c r="D239" i="1"/>
  <c r="C239" i="1"/>
  <c r="B239" i="1"/>
  <c r="A239" i="1"/>
  <c r="K238" i="1"/>
  <c r="I238" i="1"/>
  <c r="H238" i="1"/>
  <c r="G238" i="1"/>
  <c r="F238" i="1"/>
  <c r="E238" i="1"/>
  <c r="D238" i="1"/>
  <c r="C238" i="1"/>
  <c r="B238" i="1"/>
  <c r="A238" i="1"/>
  <c r="K237" i="1"/>
  <c r="I237" i="1"/>
  <c r="H237" i="1"/>
  <c r="G237" i="1"/>
  <c r="F237" i="1"/>
  <c r="E237" i="1"/>
  <c r="D237" i="1"/>
  <c r="C237" i="1"/>
  <c r="B237" i="1"/>
  <c r="A237" i="1"/>
  <c r="K236" i="1"/>
  <c r="I236" i="1"/>
  <c r="H236" i="1"/>
  <c r="G236" i="1"/>
  <c r="F236" i="1"/>
  <c r="E236" i="1"/>
  <c r="D236" i="1"/>
  <c r="C236" i="1"/>
  <c r="B236" i="1"/>
  <c r="A236" i="1"/>
  <c r="K235" i="1"/>
  <c r="I235" i="1"/>
  <c r="H235" i="1"/>
  <c r="G235" i="1"/>
  <c r="F235" i="1"/>
  <c r="E235" i="1"/>
  <c r="D235" i="1"/>
  <c r="C235" i="1"/>
  <c r="B235" i="1"/>
  <c r="A235" i="1"/>
  <c r="K234" i="1"/>
  <c r="J234" i="1"/>
  <c r="I234" i="1"/>
  <c r="H234" i="1"/>
  <c r="G234" i="1"/>
  <c r="F234" i="1"/>
  <c r="E234" i="1"/>
  <c r="D234" i="1"/>
  <c r="C234" i="1"/>
  <c r="B234" i="1"/>
  <c r="A234" i="1"/>
  <c r="K233" i="1"/>
  <c r="J233" i="1"/>
  <c r="I233" i="1"/>
  <c r="H233" i="1"/>
  <c r="G233" i="1"/>
  <c r="F233" i="1"/>
  <c r="E233" i="1"/>
  <c r="D233" i="1"/>
  <c r="C233" i="1"/>
  <c r="B233" i="1"/>
  <c r="A233" i="1"/>
  <c r="K232" i="1"/>
  <c r="J232" i="1"/>
  <c r="I232" i="1"/>
  <c r="H232" i="1"/>
  <c r="G232" i="1"/>
  <c r="F232" i="1"/>
  <c r="E232" i="1"/>
  <c r="D232" i="1"/>
  <c r="C232" i="1"/>
  <c r="B232" i="1"/>
  <c r="A232" i="1"/>
  <c r="K231" i="1"/>
  <c r="I231" i="1"/>
  <c r="H231" i="1"/>
  <c r="G231" i="1"/>
  <c r="F231" i="1"/>
  <c r="E231" i="1"/>
  <c r="D231" i="1"/>
  <c r="C231" i="1"/>
  <c r="B231" i="1"/>
  <c r="A231" i="1"/>
  <c r="K230" i="1"/>
  <c r="J230" i="1"/>
  <c r="I230" i="1"/>
  <c r="H230" i="1"/>
  <c r="G230" i="1"/>
  <c r="F230" i="1"/>
  <c r="E230" i="1"/>
  <c r="D230" i="1"/>
  <c r="C230" i="1"/>
  <c r="B230" i="1"/>
  <c r="A230" i="1"/>
  <c r="K229" i="1"/>
  <c r="J229" i="1"/>
  <c r="I229" i="1"/>
  <c r="H229" i="1"/>
  <c r="G229" i="1"/>
  <c r="F229" i="1"/>
  <c r="E229" i="1"/>
  <c r="D229" i="1"/>
  <c r="C229" i="1"/>
  <c r="B229" i="1"/>
  <c r="A229" i="1"/>
  <c r="K228" i="1"/>
  <c r="J228" i="1"/>
  <c r="I228" i="1"/>
  <c r="H228" i="1"/>
  <c r="G228" i="1"/>
  <c r="F228" i="1"/>
  <c r="E228" i="1"/>
  <c r="D228" i="1"/>
  <c r="C228" i="1"/>
  <c r="B228" i="1"/>
  <c r="A228" i="1"/>
  <c r="K227" i="1"/>
  <c r="I227" i="1"/>
  <c r="H227" i="1"/>
  <c r="G227" i="1"/>
  <c r="F227" i="1"/>
  <c r="E227" i="1"/>
  <c r="D227" i="1"/>
  <c r="C227" i="1"/>
  <c r="B227" i="1"/>
  <c r="A227" i="1"/>
  <c r="K226" i="1"/>
  <c r="J226" i="1"/>
  <c r="I226" i="1"/>
  <c r="H226" i="1"/>
  <c r="G226" i="1"/>
  <c r="F226" i="1"/>
  <c r="E226" i="1"/>
  <c r="D226" i="1"/>
  <c r="C226" i="1"/>
  <c r="B226" i="1"/>
  <c r="A226" i="1"/>
  <c r="K225" i="1"/>
  <c r="J225" i="1"/>
  <c r="I225" i="1"/>
  <c r="H225" i="1"/>
  <c r="G225" i="1"/>
  <c r="F225" i="1"/>
  <c r="E225" i="1"/>
  <c r="D225" i="1"/>
  <c r="C225" i="1"/>
  <c r="B225" i="1"/>
  <c r="A225" i="1"/>
  <c r="K224" i="1"/>
  <c r="I224" i="1"/>
  <c r="H224" i="1"/>
  <c r="G224" i="1"/>
  <c r="F224" i="1"/>
  <c r="E224" i="1"/>
  <c r="D224" i="1"/>
  <c r="C224" i="1"/>
  <c r="B224" i="1"/>
  <c r="A224" i="1"/>
  <c r="K223" i="1"/>
  <c r="I223" i="1"/>
  <c r="H223" i="1"/>
  <c r="G223" i="1"/>
  <c r="F223" i="1"/>
  <c r="E223" i="1"/>
  <c r="D223" i="1"/>
  <c r="C223" i="1"/>
  <c r="B223" i="1"/>
  <c r="A223" i="1"/>
  <c r="K222" i="1"/>
  <c r="J222" i="1"/>
  <c r="I222" i="1"/>
  <c r="H222" i="1"/>
  <c r="G222" i="1"/>
  <c r="F222" i="1"/>
  <c r="E222" i="1"/>
  <c r="D222" i="1"/>
  <c r="C222" i="1"/>
  <c r="B222" i="1"/>
  <c r="A222" i="1"/>
  <c r="K221" i="1"/>
  <c r="I221" i="1"/>
  <c r="H221" i="1"/>
  <c r="G221" i="1"/>
  <c r="F221" i="1"/>
  <c r="E221" i="1"/>
  <c r="D221" i="1"/>
  <c r="C221" i="1"/>
  <c r="B221" i="1"/>
  <c r="A221" i="1"/>
  <c r="K220" i="1"/>
  <c r="J220" i="1"/>
  <c r="I220" i="1"/>
  <c r="H220" i="1"/>
  <c r="G220" i="1"/>
  <c r="F220" i="1"/>
  <c r="E220" i="1"/>
  <c r="D220" i="1"/>
  <c r="C220" i="1"/>
  <c r="B220" i="1"/>
  <c r="A220" i="1"/>
  <c r="K219" i="1"/>
  <c r="I219" i="1"/>
  <c r="H219" i="1"/>
  <c r="G219" i="1"/>
  <c r="F219" i="1"/>
  <c r="E219" i="1"/>
  <c r="D219" i="1"/>
  <c r="C219" i="1"/>
  <c r="B219" i="1"/>
  <c r="A219" i="1"/>
  <c r="K218" i="1"/>
  <c r="J218" i="1"/>
  <c r="I218" i="1"/>
  <c r="H218" i="1"/>
  <c r="G218" i="1"/>
  <c r="F218" i="1"/>
  <c r="E218" i="1"/>
  <c r="D218" i="1"/>
  <c r="C218" i="1"/>
  <c r="B218" i="1"/>
  <c r="A218" i="1"/>
  <c r="K217" i="1"/>
  <c r="J217" i="1"/>
  <c r="I217" i="1"/>
  <c r="H217" i="1"/>
  <c r="G217" i="1"/>
  <c r="F217" i="1"/>
  <c r="E217" i="1"/>
  <c r="D217" i="1"/>
  <c r="C217" i="1"/>
  <c r="B217" i="1"/>
  <c r="A217" i="1"/>
  <c r="K216" i="1"/>
  <c r="J216" i="1"/>
  <c r="I216" i="1"/>
  <c r="H216" i="1"/>
  <c r="G216" i="1"/>
  <c r="F216" i="1"/>
  <c r="E216" i="1"/>
  <c r="D216" i="1"/>
  <c r="C216" i="1"/>
  <c r="B216" i="1"/>
  <c r="A216" i="1"/>
  <c r="K215" i="1"/>
  <c r="J215" i="1"/>
  <c r="I215" i="1"/>
  <c r="H215" i="1"/>
  <c r="G215" i="1"/>
  <c r="F215" i="1"/>
  <c r="E215" i="1"/>
  <c r="D215" i="1"/>
  <c r="C215" i="1"/>
  <c r="B215" i="1"/>
  <c r="A215" i="1"/>
  <c r="K214" i="1"/>
  <c r="I214" i="1"/>
  <c r="H214" i="1"/>
  <c r="G214" i="1"/>
  <c r="F214" i="1"/>
  <c r="E214" i="1"/>
  <c r="D214" i="1"/>
  <c r="C214" i="1"/>
  <c r="B214" i="1"/>
  <c r="A214" i="1"/>
  <c r="K213" i="1"/>
  <c r="J213" i="1"/>
  <c r="I213" i="1"/>
  <c r="H213" i="1"/>
  <c r="G213" i="1"/>
  <c r="F213" i="1"/>
  <c r="E213" i="1"/>
  <c r="D213" i="1"/>
  <c r="C213" i="1"/>
  <c r="B213" i="1"/>
  <c r="A213" i="1"/>
  <c r="K212" i="1"/>
  <c r="I212" i="1"/>
  <c r="H212" i="1"/>
  <c r="G212" i="1"/>
  <c r="F212" i="1"/>
  <c r="E212" i="1"/>
  <c r="D212" i="1"/>
  <c r="C212" i="1"/>
  <c r="B212" i="1"/>
  <c r="A212" i="1"/>
  <c r="K211" i="1"/>
  <c r="J211" i="1"/>
  <c r="I211" i="1"/>
  <c r="H211" i="1"/>
  <c r="G211" i="1"/>
  <c r="F211" i="1"/>
  <c r="E211" i="1"/>
  <c r="D211" i="1"/>
  <c r="C211" i="1"/>
  <c r="B211" i="1"/>
  <c r="A211" i="1"/>
  <c r="K210" i="1"/>
  <c r="I210" i="1"/>
  <c r="H210" i="1"/>
  <c r="G210" i="1"/>
  <c r="F210" i="1"/>
  <c r="E210" i="1"/>
  <c r="D210" i="1"/>
  <c r="C210" i="1"/>
  <c r="B210" i="1"/>
  <c r="A210" i="1"/>
  <c r="K209" i="1"/>
  <c r="J209" i="1"/>
  <c r="I209" i="1"/>
  <c r="H209" i="1"/>
  <c r="G209" i="1"/>
  <c r="F209" i="1"/>
  <c r="E209" i="1"/>
  <c r="D209" i="1"/>
  <c r="C209" i="1"/>
  <c r="B209" i="1"/>
  <c r="A209" i="1"/>
  <c r="K208" i="1"/>
  <c r="J208" i="1"/>
  <c r="I208" i="1"/>
  <c r="H208" i="1"/>
  <c r="G208" i="1"/>
  <c r="F208" i="1"/>
  <c r="E208" i="1"/>
  <c r="D208" i="1"/>
  <c r="C208" i="1"/>
  <c r="B208" i="1"/>
  <c r="A208" i="1"/>
  <c r="K207" i="1"/>
  <c r="J207" i="1"/>
  <c r="I207" i="1"/>
  <c r="H207" i="1"/>
  <c r="G207" i="1"/>
  <c r="F207" i="1"/>
  <c r="E207" i="1"/>
  <c r="D207" i="1"/>
  <c r="C207" i="1"/>
  <c r="B207" i="1"/>
  <c r="A207" i="1"/>
  <c r="K206" i="1"/>
  <c r="J206" i="1"/>
  <c r="I206" i="1"/>
  <c r="H206" i="1"/>
  <c r="G206" i="1"/>
  <c r="F206" i="1"/>
  <c r="E206" i="1"/>
  <c r="D206" i="1"/>
  <c r="C206" i="1"/>
  <c r="B206" i="1"/>
  <c r="A206" i="1"/>
  <c r="K205" i="1"/>
  <c r="J205" i="1"/>
  <c r="I205" i="1"/>
  <c r="H205" i="1"/>
  <c r="G205" i="1"/>
  <c r="F205" i="1"/>
  <c r="E205" i="1"/>
  <c r="D205" i="1"/>
  <c r="C205" i="1"/>
  <c r="B205" i="1"/>
  <c r="A205" i="1"/>
  <c r="K204" i="1"/>
  <c r="I204" i="1"/>
  <c r="H204" i="1"/>
  <c r="G204" i="1"/>
  <c r="F204" i="1"/>
  <c r="E204" i="1"/>
  <c r="D204" i="1"/>
  <c r="C204" i="1"/>
  <c r="B204" i="1"/>
  <c r="A204" i="1"/>
  <c r="K203" i="1"/>
  <c r="I203" i="1"/>
  <c r="H203" i="1"/>
  <c r="G203" i="1"/>
  <c r="F203" i="1"/>
  <c r="E203" i="1"/>
  <c r="D203" i="1"/>
  <c r="C203" i="1"/>
  <c r="B203" i="1"/>
  <c r="A203" i="1"/>
  <c r="K202" i="1"/>
  <c r="J202" i="1"/>
  <c r="I202" i="1"/>
  <c r="H202" i="1"/>
  <c r="G202" i="1"/>
  <c r="F202" i="1"/>
  <c r="E202" i="1"/>
  <c r="D202" i="1"/>
  <c r="C202" i="1"/>
  <c r="B202" i="1"/>
  <c r="A202" i="1"/>
  <c r="K201" i="1"/>
  <c r="J201" i="1"/>
  <c r="I201" i="1"/>
  <c r="H201" i="1"/>
  <c r="G201" i="1"/>
  <c r="F201" i="1"/>
  <c r="E201" i="1"/>
  <c r="D201" i="1"/>
  <c r="C201" i="1"/>
  <c r="B201" i="1"/>
  <c r="A201" i="1"/>
  <c r="K200" i="1"/>
  <c r="I200" i="1"/>
  <c r="H200" i="1"/>
  <c r="G200" i="1"/>
  <c r="F200" i="1"/>
  <c r="E200" i="1"/>
  <c r="D200" i="1"/>
  <c r="C200" i="1"/>
  <c r="B200" i="1"/>
  <c r="A200" i="1"/>
  <c r="K199" i="1"/>
  <c r="I199" i="1"/>
  <c r="H199" i="1"/>
  <c r="G199" i="1"/>
  <c r="F199" i="1"/>
  <c r="E199" i="1"/>
  <c r="D199" i="1"/>
  <c r="C199" i="1"/>
  <c r="B199" i="1"/>
  <c r="A199" i="1"/>
  <c r="K198" i="1"/>
  <c r="I198" i="1"/>
  <c r="H198" i="1"/>
  <c r="G198" i="1"/>
  <c r="F198" i="1"/>
  <c r="E198" i="1"/>
  <c r="D198" i="1"/>
  <c r="C198" i="1"/>
  <c r="B198" i="1"/>
  <c r="A198" i="1"/>
  <c r="K197" i="1"/>
  <c r="I197" i="1"/>
  <c r="H197" i="1"/>
  <c r="G197" i="1"/>
  <c r="F197" i="1"/>
  <c r="E197" i="1"/>
  <c r="D197" i="1"/>
  <c r="C197" i="1"/>
  <c r="B197" i="1"/>
  <c r="A197" i="1"/>
  <c r="K196" i="1"/>
  <c r="I196" i="1"/>
  <c r="H196" i="1"/>
  <c r="G196" i="1"/>
  <c r="F196" i="1"/>
  <c r="E196" i="1"/>
  <c r="D196" i="1"/>
  <c r="C196" i="1"/>
  <c r="B196" i="1"/>
  <c r="A196" i="1"/>
  <c r="K195" i="1"/>
  <c r="I195" i="1"/>
  <c r="H195" i="1"/>
  <c r="G195" i="1"/>
  <c r="F195" i="1"/>
  <c r="E195" i="1"/>
  <c r="D195" i="1"/>
  <c r="C195" i="1"/>
  <c r="B195" i="1"/>
  <c r="A195" i="1"/>
  <c r="K194" i="1"/>
  <c r="J194" i="1"/>
  <c r="I194" i="1"/>
  <c r="H194" i="1"/>
  <c r="G194" i="1"/>
  <c r="F194" i="1"/>
  <c r="E194" i="1"/>
  <c r="D194" i="1"/>
  <c r="C194" i="1"/>
  <c r="B194" i="1"/>
  <c r="A194" i="1"/>
  <c r="K193" i="1"/>
  <c r="J193" i="1"/>
  <c r="I193" i="1"/>
  <c r="H193" i="1"/>
  <c r="G193" i="1"/>
  <c r="F193" i="1"/>
  <c r="E193" i="1"/>
  <c r="D193" i="1"/>
  <c r="C193" i="1"/>
  <c r="B193" i="1"/>
  <c r="A193" i="1"/>
  <c r="K192" i="1"/>
  <c r="J192" i="1"/>
  <c r="I192" i="1"/>
  <c r="H192" i="1"/>
  <c r="G192" i="1"/>
  <c r="F192" i="1"/>
  <c r="E192" i="1"/>
  <c r="D192" i="1"/>
  <c r="C192" i="1"/>
  <c r="B192" i="1"/>
  <c r="A192" i="1"/>
  <c r="K191" i="1"/>
  <c r="J191" i="1"/>
  <c r="I191" i="1"/>
  <c r="H191" i="1"/>
  <c r="G191" i="1"/>
  <c r="F191" i="1"/>
  <c r="E191" i="1"/>
  <c r="D191" i="1"/>
  <c r="C191" i="1"/>
  <c r="B191" i="1"/>
  <c r="A191" i="1"/>
  <c r="K190" i="1"/>
  <c r="J190" i="1"/>
  <c r="I190" i="1"/>
  <c r="H190" i="1"/>
  <c r="G190" i="1"/>
  <c r="F190" i="1"/>
  <c r="E190" i="1"/>
  <c r="D190" i="1"/>
  <c r="C190" i="1"/>
  <c r="B190" i="1"/>
  <c r="A190" i="1"/>
  <c r="K189" i="1"/>
  <c r="J189" i="1"/>
  <c r="I189" i="1"/>
  <c r="H189" i="1"/>
  <c r="G189" i="1"/>
  <c r="F189" i="1"/>
  <c r="E189" i="1"/>
  <c r="D189" i="1"/>
  <c r="C189" i="1"/>
  <c r="B189" i="1"/>
  <c r="A189" i="1"/>
  <c r="K188" i="1"/>
  <c r="J188" i="1"/>
  <c r="I188" i="1"/>
  <c r="H188" i="1"/>
  <c r="G188" i="1"/>
  <c r="F188" i="1"/>
  <c r="E188" i="1"/>
  <c r="D188" i="1"/>
  <c r="C188" i="1"/>
  <c r="B188" i="1"/>
  <c r="A188" i="1"/>
  <c r="K187" i="1"/>
  <c r="J187" i="1"/>
  <c r="H187" i="1"/>
  <c r="G187" i="1"/>
  <c r="F187" i="1"/>
  <c r="E187" i="1"/>
  <c r="D187" i="1"/>
  <c r="C187" i="1"/>
  <c r="B187" i="1"/>
  <c r="A187" i="1"/>
  <c r="K186" i="1"/>
  <c r="J186" i="1"/>
  <c r="I186" i="1"/>
  <c r="H186" i="1"/>
  <c r="G186" i="1"/>
  <c r="F186" i="1"/>
  <c r="E186" i="1"/>
  <c r="D186" i="1"/>
  <c r="C186" i="1"/>
  <c r="B186" i="1"/>
  <c r="A186" i="1"/>
  <c r="K185" i="1"/>
  <c r="J185" i="1"/>
  <c r="I185" i="1"/>
  <c r="H185" i="1"/>
  <c r="G185" i="1"/>
  <c r="F185" i="1"/>
  <c r="E185" i="1"/>
  <c r="D185" i="1"/>
  <c r="C185" i="1"/>
  <c r="B185" i="1"/>
  <c r="A185" i="1"/>
  <c r="K184" i="1"/>
  <c r="J184" i="1"/>
  <c r="I184" i="1"/>
  <c r="H184" i="1"/>
  <c r="G184" i="1"/>
  <c r="F184" i="1"/>
  <c r="E184" i="1"/>
  <c r="D184" i="1"/>
  <c r="C184" i="1"/>
  <c r="B184" i="1"/>
  <c r="A184" i="1"/>
  <c r="K183" i="1"/>
  <c r="J183" i="1"/>
  <c r="I183" i="1"/>
  <c r="H183" i="1"/>
  <c r="G183" i="1"/>
  <c r="F183" i="1"/>
  <c r="E183" i="1"/>
  <c r="D183" i="1"/>
  <c r="C183" i="1"/>
  <c r="B183" i="1"/>
  <c r="A183" i="1"/>
  <c r="K182" i="1"/>
  <c r="J182" i="1"/>
  <c r="I182" i="1"/>
  <c r="H182" i="1"/>
  <c r="G182" i="1"/>
  <c r="F182" i="1"/>
  <c r="E182" i="1"/>
  <c r="D182" i="1"/>
  <c r="C182" i="1"/>
  <c r="B182" i="1"/>
  <c r="A182" i="1"/>
  <c r="K181" i="1"/>
  <c r="J181" i="1"/>
  <c r="I181" i="1"/>
  <c r="H181" i="1"/>
  <c r="G181" i="1"/>
  <c r="F181" i="1"/>
  <c r="E181" i="1"/>
  <c r="D181" i="1"/>
  <c r="C181" i="1"/>
  <c r="B181" i="1"/>
  <c r="A181" i="1"/>
  <c r="K180" i="1"/>
  <c r="J180" i="1"/>
  <c r="I180" i="1"/>
  <c r="H180" i="1"/>
  <c r="G180" i="1"/>
  <c r="F180" i="1"/>
  <c r="E180" i="1"/>
  <c r="D180" i="1"/>
  <c r="C180" i="1"/>
  <c r="B180" i="1"/>
  <c r="A180" i="1"/>
  <c r="K179" i="1"/>
  <c r="J179" i="1"/>
  <c r="I179" i="1"/>
  <c r="H179" i="1"/>
  <c r="G179" i="1"/>
  <c r="F179" i="1"/>
  <c r="E179" i="1"/>
  <c r="D179" i="1"/>
  <c r="C179" i="1"/>
  <c r="B179" i="1"/>
  <c r="A179" i="1"/>
  <c r="K178" i="1"/>
  <c r="J178" i="1"/>
  <c r="I178" i="1"/>
  <c r="H178" i="1"/>
  <c r="G178" i="1"/>
  <c r="F178" i="1"/>
  <c r="E178" i="1"/>
  <c r="D178" i="1"/>
  <c r="C178" i="1"/>
  <c r="B178" i="1"/>
  <c r="A178" i="1"/>
  <c r="K177" i="1"/>
  <c r="J177" i="1"/>
  <c r="I177" i="1"/>
  <c r="H177" i="1"/>
  <c r="G177" i="1"/>
  <c r="F177" i="1"/>
  <c r="E177" i="1"/>
  <c r="D177" i="1"/>
  <c r="C177" i="1"/>
  <c r="B177" i="1"/>
  <c r="A177" i="1"/>
  <c r="K176" i="1"/>
  <c r="J176" i="1"/>
  <c r="I176" i="1"/>
  <c r="H176" i="1"/>
  <c r="G176" i="1"/>
  <c r="F176" i="1"/>
  <c r="E176" i="1"/>
  <c r="D176" i="1"/>
  <c r="C176" i="1"/>
  <c r="B176" i="1"/>
  <c r="A176" i="1"/>
  <c r="K175" i="1"/>
  <c r="J175" i="1"/>
  <c r="I175" i="1"/>
  <c r="H175" i="1"/>
  <c r="G175" i="1"/>
  <c r="F175" i="1"/>
  <c r="E175" i="1"/>
  <c r="D175" i="1"/>
  <c r="C175" i="1"/>
  <c r="B175" i="1"/>
  <c r="A175" i="1"/>
  <c r="K174" i="1"/>
  <c r="J174" i="1"/>
  <c r="I174" i="1"/>
  <c r="H174" i="1"/>
  <c r="G174" i="1"/>
  <c r="F174" i="1"/>
  <c r="E174" i="1"/>
  <c r="D174" i="1"/>
  <c r="C174" i="1"/>
  <c r="B174" i="1"/>
  <c r="A174" i="1"/>
  <c r="K173" i="1"/>
  <c r="I173" i="1"/>
  <c r="H173" i="1"/>
  <c r="G173" i="1"/>
  <c r="F173" i="1"/>
  <c r="E173" i="1"/>
  <c r="D173" i="1"/>
  <c r="C173" i="1"/>
  <c r="B173" i="1"/>
  <c r="A173" i="1"/>
  <c r="K172" i="1"/>
  <c r="I172" i="1"/>
  <c r="H172" i="1"/>
  <c r="G172" i="1"/>
  <c r="F172" i="1"/>
  <c r="E172" i="1"/>
  <c r="D172" i="1"/>
  <c r="C172" i="1"/>
  <c r="B172" i="1"/>
  <c r="A172" i="1"/>
  <c r="K171" i="1"/>
  <c r="J171" i="1"/>
  <c r="H171" i="1"/>
  <c r="G171" i="1"/>
  <c r="F171" i="1"/>
  <c r="E171" i="1"/>
  <c r="D171" i="1"/>
  <c r="C171" i="1"/>
  <c r="B171" i="1"/>
  <c r="A171" i="1"/>
  <c r="K170" i="1"/>
  <c r="J170" i="1"/>
  <c r="H170" i="1"/>
  <c r="G170" i="1"/>
  <c r="F170" i="1"/>
  <c r="E170" i="1"/>
  <c r="D170" i="1"/>
  <c r="C170" i="1"/>
  <c r="B170" i="1"/>
  <c r="A170" i="1"/>
  <c r="K169" i="1"/>
  <c r="J169" i="1"/>
  <c r="H169" i="1"/>
  <c r="G169" i="1"/>
  <c r="F169" i="1"/>
  <c r="E169" i="1"/>
  <c r="D169" i="1"/>
  <c r="C169" i="1"/>
  <c r="B169" i="1"/>
  <c r="A169" i="1"/>
  <c r="K168" i="1"/>
  <c r="J168" i="1"/>
  <c r="H168" i="1"/>
  <c r="G168" i="1"/>
  <c r="F168" i="1"/>
  <c r="E168" i="1"/>
  <c r="D168" i="1"/>
  <c r="C168" i="1"/>
  <c r="B168" i="1"/>
  <c r="A168" i="1"/>
  <c r="K167" i="1"/>
  <c r="J167" i="1"/>
  <c r="H167" i="1"/>
  <c r="G167" i="1"/>
  <c r="F167" i="1"/>
  <c r="E167" i="1"/>
  <c r="D167" i="1"/>
  <c r="C167" i="1"/>
  <c r="B167" i="1"/>
  <c r="A167" i="1"/>
  <c r="K166" i="1"/>
  <c r="J166" i="1"/>
  <c r="H166" i="1"/>
  <c r="G166" i="1"/>
  <c r="F166" i="1"/>
  <c r="E166" i="1"/>
  <c r="D166" i="1"/>
  <c r="C166" i="1"/>
  <c r="B166" i="1"/>
  <c r="A166" i="1"/>
  <c r="K165" i="1"/>
  <c r="J165" i="1"/>
  <c r="H165" i="1"/>
  <c r="G165" i="1"/>
  <c r="F165" i="1"/>
  <c r="E165" i="1"/>
  <c r="D165" i="1"/>
  <c r="C165" i="1"/>
  <c r="B165" i="1"/>
  <c r="A165" i="1"/>
  <c r="K164" i="1"/>
  <c r="J164" i="1"/>
  <c r="H164" i="1"/>
  <c r="G164" i="1"/>
  <c r="F164" i="1"/>
  <c r="E164" i="1"/>
  <c r="D164" i="1"/>
  <c r="C164" i="1"/>
  <c r="B164" i="1"/>
  <c r="A164" i="1"/>
  <c r="K163" i="1"/>
  <c r="J163" i="1"/>
  <c r="H163" i="1"/>
  <c r="G163" i="1"/>
  <c r="F163" i="1"/>
  <c r="E163" i="1"/>
  <c r="D163" i="1"/>
  <c r="C163" i="1"/>
  <c r="B163" i="1"/>
  <c r="A163" i="1"/>
  <c r="K162" i="1"/>
  <c r="J162" i="1"/>
  <c r="H162" i="1"/>
  <c r="G162" i="1"/>
  <c r="F162" i="1"/>
  <c r="E162" i="1"/>
  <c r="D162" i="1"/>
  <c r="C162" i="1"/>
  <c r="B162" i="1"/>
  <c r="A162" i="1"/>
  <c r="K161" i="1"/>
  <c r="J161" i="1"/>
  <c r="H161" i="1"/>
  <c r="G161" i="1"/>
  <c r="F161" i="1"/>
  <c r="E161" i="1"/>
  <c r="D161" i="1"/>
  <c r="C161" i="1"/>
  <c r="B161" i="1"/>
  <c r="A161" i="1"/>
  <c r="K160" i="1"/>
  <c r="J160" i="1"/>
  <c r="H160" i="1"/>
  <c r="G160" i="1"/>
  <c r="F160" i="1"/>
  <c r="E160" i="1"/>
  <c r="D160" i="1"/>
  <c r="C160" i="1"/>
  <c r="B160" i="1"/>
  <c r="A160" i="1"/>
  <c r="K159" i="1"/>
  <c r="J159" i="1"/>
  <c r="H159" i="1"/>
  <c r="G159" i="1"/>
  <c r="F159" i="1"/>
  <c r="E159" i="1"/>
  <c r="D159" i="1"/>
  <c r="C159" i="1"/>
  <c r="B159" i="1"/>
  <c r="A159" i="1"/>
  <c r="K158" i="1"/>
  <c r="J158" i="1"/>
  <c r="H158" i="1"/>
  <c r="G158" i="1"/>
  <c r="F158" i="1"/>
  <c r="E158" i="1"/>
  <c r="D158" i="1"/>
  <c r="C158" i="1"/>
  <c r="B158" i="1"/>
  <c r="A158" i="1"/>
  <c r="K157" i="1"/>
  <c r="J157" i="1"/>
  <c r="H157" i="1"/>
  <c r="G157" i="1"/>
  <c r="F157" i="1"/>
  <c r="E157" i="1"/>
  <c r="D157" i="1"/>
  <c r="C157" i="1"/>
  <c r="B157" i="1"/>
  <c r="A157" i="1"/>
  <c r="K156" i="1"/>
  <c r="J156" i="1"/>
  <c r="H156" i="1"/>
  <c r="G156" i="1"/>
  <c r="F156" i="1"/>
  <c r="E156" i="1"/>
  <c r="D156" i="1"/>
  <c r="C156" i="1"/>
  <c r="B156" i="1"/>
  <c r="A156" i="1"/>
  <c r="K155" i="1"/>
  <c r="J155" i="1"/>
  <c r="H155" i="1"/>
  <c r="G155" i="1"/>
  <c r="F155" i="1"/>
  <c r="E155" i="1"/>
  <c r="D155" i="1"/>
  <c r="C155" i="1"/>
  <c r="B155" i="1"/>
  <c r="A155" i="1"/>
  <c r="K154" i="1"/>
  <c r="J154" i="1"/>
  <c r="I154" i="1"/>
  <c r="H154" i="1"/>
  <c r="G154" i="1"/>
  <c r="F154" i="1"/>
  <c r="E154" i="1"/>
  <c r="D154" i="1"/>
  <c r="C154" i="1"/>
  <c r="B154" i="1"/>
  <c r="A154" i="1"/>
  <c r="K153" i="1"/>
  <c r="J153" i="1"/>
  <c r="I153" i="1"/>
  <c r="H153" i="1"/>
  <c r="G153" i="1"/>
  <c r="F153" i="1"/>
  <c r="E153" i="1"/>
  <c r="D153" i="1"/>
  <c r="C153" i="1"/>
  <c r="B153" i="1"/>
  <c r="A153" i="1"/>
  <c r="K152" i="1"/>
  <c r="J152" i="1"/>
  <c r="I152" i="1"/>
  <c r="H152" i="1"/>
  <c r="G152" i="1"/>
  <c r="F152" i="1"/>
  <c r="E152" i="1"/>
  <c r="D152" i="1"/>
  <c r="C152" i="1"/>
  <c r="B152" i="1"/>
  <c r="A152" i="1"/>
  <c r="K151" i="1"/>
  <c r="J151" i="1"/>
  <c r="I151" i="1"/>
  <c r="H151" i="1"/>
  <c r="G151" i="1"/>
  <c r="F151" i="1"/>
  <c r="E151" i="1"/>
  <c r="D151" i="1"/>
  <c r="C151" i="1"/>
  <c r="B151" i="1"/>
  <c r="A151" i="1"/>
  <c r="K150" i="1"/>
  <c r="J150" i="1"/>
  <c r="I150" i="1"/>
  <c r="H150" i="1"/>
  <c r="G150" i="1"/>
  <c r="F150" i="1"/>
  <c r="E150" i="1"/>
  <c r="D150" i="1"/>
  <c r="C150" i="1"/>
  <c r="B150" i="1"/>
  <c r="A150" i="1"/>
  <c r="K149" i="1"/>
  <c r="J149" i="1"/>
  <c r="I149" i="1"/>
  <c r="H149" i="1"/>
  <c r="G149" i="1"/>
  <c r="F149" i="1"/>
  <c r="E149" i="1"/>
  <c r="D149" i="1"/>
  <c r="C149" i="1"/>
  <c r="B149" i="1"/>
  <c r="A149" i="1"/>
  <c r="K148" i="1"/>
  <c r="J148" i="1"/>
  <c r="I148" i="1"/>
  <c r="H148" i="1"/>
  <c r="G148" i="1"/>
  <c r="F148" i="1"/>
  <c r="E148" i="1"/>
  <c r="D148" i="1"/>
  <c r="C148" i="1"/>
  <c r="B148" i="1"/>
  <c r="A148" i="1"/>
  <c r="K147" i="1"/>
  <c r="J147" i="1"/>
  <c r="H147" i="1"/>
  <c r="G147" i="1"/>
  <c r="F147" i="1"/>
  <c r="E147" i="1"/>
  <c r="D147" i="1"/>
  <c r="C147" i="1"/>
  <c r="B147" i="1"/>
  <c r="A147" i="1"/>
  <c r="K146" i="1"/>
  <c r="J146" i="1"/>
  <c r="H146" i="1"/>
  <c r="G146" i="1"/>
  <c r="F146" i="1"/>
  <c r="E146" i="1"/>
  <c r="D146" i="1"/>
  <c r="C146" i="1"/>
  <c r="B146" i="1"/>
  <c r="A146" i="1"/>
  <c r="K145" i="1"/>
  <c r="J145" i="1"/>
  <c r="I145" i="1"/>
  <c r="H145" i="1"/>
  <c r="G145" i="1"/>
  <c r="F145" i="1"/>
  <c r="E145" i="1"/>
  <c r="D145" i="1"/>
  <c r="C145" i="1"/>
  <c r="B145" i="1"/>
  <c r="A145" i="1"/>
  <c r="K144" i="1"/>
  <c r="J144" i="1"/>
  <c r="I144" i="1"/>
  <c r="H144" i="1"/>
  <c r="G144" i="1"/>
  <c r="F144" i="1"/>
  <c r="E144" i="1"/>
  <c r="D144" i="1"/>
  <c r="C144" i="1"/>
  <c r="B144" i="1"/>
  <c r="A144" i="1"/>
  <c r="K143" i="1"/>
  <c r="J143" i="1"/>
  <c r="H143" i="1"/>
  <c r="G143" i="1"/>
  <c r="F143" i="1"/>
  <c r="E143" i="1"/>
  <c r="D143" i="1"/>
  <c r="C143" i="1"/>
  <c r="B143" i="1"/>
  <c r="A143" i="1"/>
  <c r="K142" i="1"/>
  <c r="J142" i="1"/>
  <c r="H142" i="1"/>
  <c r="G142" i="1"/>
  <c r="F142" i="1"/>
  <c r="E142" i="1"/>
  <c r="D142" i="1"/>
  <c r="C142" i="1"/>
  <c r="B142" i="1"/>
  <c r="A142" i="1"/>
  <c r="K141" i="1"/>
  <c r="J141" i="1"/>
  <c r="I141" i="1"/>
  <c r="H141" i="1"/>
  <c r="G141" i="1"/>
  <c r="F141" i="1"/>
  <c r="E141" i="1"/>
  <c r="D141" i="1"/>
  <c r="C141" i="1"/>
  <c r="B141" i="1"/>
  <c r="A141" i="1"/>
  <c r="K140" i="1"/>
  <c r="J140" i="1"/>
  <c r="H140" i="1"/>
  <c r="G140" i="1"/>
  <c r="F140" i="1"/>
  <c r="E140" i="1"/>
  <c r="D140" i="1"/>
  <c r="C140" i="1"/>
  <c r="B140" i="1"/>
  <c r="A140" i="1"/>
  <c r="K139" i="1"/>
  <c r="J139" i="1"/>
  <c r="I139" i="1"/>
  <c r="H139" i="1"/>
  <c r="G139" i="1"/>
  <c r="F139" i="1"/>
  <c r="E139" i="1"/>
  <c r="D139" i="1"/>
  <c r="C139" i="1"/>
  <c r="B139" i="1"/>
  <c r="A139" i="1"/>
  <c r="K138" i="1"/>
  <c r="J138" i="1"/>
  <c r="I138" i="1"/>
  <c r="H138" i="1"/>
  <c r="G138" i="1"/>
  <c r="F138" i="1"/>
  <c r="E138" i="1"/>
  <c r="D138" i="1"/>
  <c r="C138" i="1"/>
  <c r="B138" i="1"/>
  <c r="A138" i="1"/>
  <c r="K137" i="1"/>
  <c r="J137" i="1"/>
  <c r="I137" i="1"/>
  <c r="H137" i="1"/>
  <c r="G137" i="1"/>
  <c r="F137" i="1"/>
  <c r="E137" i="1"/>
  <c r="D137" i="1"/>
  <c r="C137" i="1"/>
  <c r="B137" i="1"/>
  <c r="A137" i="1"/>
  <c r="K136" i="1"/>
  <c r="J136" i="1"/>
  <c r="I136" i="1"/>
  <c r="H136" i="1"/>
  <c r="G136" i="1"/>
  <c r="F136" i="1"/>
  <c r="E136" i="1"/>
  <c r="D136" i="1"/>
  <c r="C136" i="1"/>
  <c r="B136" i="1"/>
  <c r="A136" i="1"/>
  <c r="K135" i="1"/>
  <c r="J135" i="1"/>
  <c r="I135" i="1"/>
  <c r="H135" i="1"/>
  <c r="G135" i="1"/>
  <c r="F135" i="1"/>
  <c r="E135" i="1"/>
  <c r="D135" i="1"/>
  <c r="C135" i="1"/>
  <c r="B135" i="1"/>
  <c r="A135" i="1"/>
  <c r="K134" i="1"/>
  <c r="J134" i="1"/>
  <c r="I134" i="1"/>
  <c r="H134" i="1"/>
  <c r="G134" i="1"/>
  <c r="F134" i="1"/>
  <c r="E134" i="1"/>
  <c r="D134" i="1"/>
  <c r="C134" i="1"/>
  <c r="B134" i="1"/>
  <c r="A134" i="1"/>
  <c r="K133" i="1"/>
  <c r="J133" i="1"/>
  <c r="H133" i="1"/>
  <c r="G133" i="1"/>
  <c r="F133" i="1"/>
  <c r="E133" i="1"/>
  <c r="D133" i="1"/>
  <c r="C133" i="1"/>
  <c r="B133" i="1"/>
  <c r="A133" i="1"/>
  <c r="K132" i="1"/>
  <c r="J132" i="1"/>
  <c r="H132" i="1"/>
  <c r="G132" i="1"/>
  <c r="F132" i="1"/>
  <c r="E132" i="1"/>
  <c r="D132" i="1"/>
  <c r="C132" i="1"/>
  <c r="B132" i="1"/>
  <c r="A132" i="1"/>
  <c r="K131" i="1"/>
  <c r="J131" i="1"/>
  <c r="H131" i="1"/>
  <c r="G131" i="1"/>
  <c r="F131" i="1"/>
  <c r="E131" i="1"/>
  <c r="D131" i="1"/>
  <c r="C131" i="1"/>
  <c r="B131" i="1"/>
  <c r="A131" i="1"/>
  <c r="K130" i="1"/>
  <c r="I130" i="1"/>
  <c r="H130" i="1"/>
  <c r="G130" i="1"/>
  <c r="F130" i="1"/>
  <c r="E130" i="1"/>
  <c r="D130" i="1"/>
  <c r="C130" i="1"/>
  <c r="B130" i="1"/>
  <c r="A130" i="1"/>
  <c r="K129" i="1"/>
  <c r="I129" i="1"/>
  <c r="H129" i="1"/>
  <c r="G129" i="1"/>
  <c r="F129" i="1"/>
  <c r="E129" i="1"/>
  <c r="D129" i="1"/>
  <c r="C129" i="1"/>
  <c r="B129" i="1"/>
  <c r="A129" i="1"/>
  <c r="K128" i="1"/>
  <c r="I128" i="1"/>
  <c r="H128" i="1"/>
  <c r="G128" i="1"/>
  <c r="F128" i="1"/>
  <c r="E128" i="1"/>
  <c r="D128" i="1"/>
  <c r="C128" i="1"/>
  <c r="B128" i="1"/>
  <c r="A128" i="1"/>
  <c r="K127" i="1"/>
  <c r="I127" i="1"/>
  <c r="H127" i="1"/>
  <c r="G127" i="1"/>
  <c r="F127" i="1"/>
  <c r="E127" i="1"/>
  <c r="D127" i="1"/>
  <c r="C127" i="1"/>
  <c r="B127" i="1"/>
  <c r="A127" i="1"/>
  <c r="K126" i="1"/>
  <c r="I126" i="1"/>
  <c r="H126" i="1"/>
  <c r="G126" i="1"/>
  <c r="F126" i="1"/>
  <c r="E126" i="1"/>
  <c r="D126" i="1"/>
  <c r="C126" i="1"/>
  <c r="B126" i="1"/>
  <c r="A126" i="1"/>
  <c r="K125" i="1"/>
  <c r="I125" i="1"/>
  <c r="H125" i="1"/>
  <c r="G125" i="1"/>
  <c r="F125" i="1"/>
  <c r="E125" i="1"/>
  <c r="D125" i="1"/>
  <c r="C125" i="1"/>
  <c r="B125" i="1"/>
  <c r="A125" i="1"/>
  <c r="K124" i="1"/>
  <c r="I124" i="1"/>
  <c r="H124" i="1"/>
  <c r="G124" i="1"/>
  <c r="F124" i="1"/>
  <c r="E124" i="1"/>
  <c r="D124" i="1"/>
  <c r="C124" i="1"/>
  <c r="B124" i="1"/>
  <c r="A124" i="1"/>
  <c r="K123" i="1"/>
  <c r="I123" i="1"/>
  <c r="H123" i="1"/>
  <c r="G123" i="1"/>
  <c r="F123" i="1"/>
  <c r="E123" i="1"/>
  <c r="D123" i="1"/>
  <c r="C123" i="1"/>
  <c r="B123" i="1"/>
  <c r="A123" i="1"/>
  <c r="K122" i="1"/>
  <c r="J122" i="1"/>
  <c r="I122" i="1"/>
  <c r="H122" i="1"/>
  <c r="G122" i="1"/>
  <c r="F122" i="1"/>
  <c r="E122" i="1"/>
  <c r="D122" i="1"/>
  <c r="C122" i="1"/>
  <c r="B122" i="1"/>
  <c r="A122" i="1"/>
  <c r="K121" i="1"/>
  <c r="I121" i="1"/>
  <c r="H121" i="1"/>
  <c r="G121" i="1"/>
  <c r="F121" i="1"/>
  <c r="E121" i="1"/>
  <c r="D121" i="1"/>
  <c r="C121" i="1"/>
  <c r="B121" i="1"/>
  <c r="A121" i="1"/>
  <c r="K120" i="1"/>
  <c r="J120" i="1"/>
  <c r="H120" i="1"/>
  <c r="G120" i="1"/>
  <c r="F120" i="1"/>
  <c r="E120" i="1"/>
  <c r="D120" i="1"/>
  <c r="C120" i="1"/>
  <c r="B120" i="1"/>
  <c r="A120" i="1"/>
  <c r="K119" i="1"/>
  <c r="J119" i="1"/>
  <c r="H119" i="1"/>
  <c r="G119" i="1"/>
  <c r="F119" i="1"/>
  <c r="E119" i="1"/>
  <c r="D119" i="1"/>
  <c r="C119" i="1"/>
  <c r="B119" i="1"/>
  <c r="A119" i="1"/>
  <c r="K118" i="1"/>
  <c r="J118" i="1"/>
  <c r="H118" i="1"/>
  <c r="G118" i="1"/>
  <c r="F118" i="1"/>
  <c r="E118" i="1"/>
  <c r="D118" i="1"/>
  <c r="C118" i="1"/>
  <c r="B118" i="1"/>
  <c r="A118" i="1"/>
  <c r="K117" i="1"/>
  <c r="J117" i="1"/>
  <c r="H117" i="1"/>
  <c r="G117" i="1"/>
  <c r="F117" i="1"/>
  <c r="E117" i="1"/>
  <c r="D117" i="1"/>
  <c r="C117" i="1"/>
  <c r="B117" i="1"/>
  <c r="A117" i="1"/>
  <c r="K116" i="1"/>
  <c r="J116" i="1"/>
  <c r="H116" i="1"/>
  <c r="G116" i="1"/>
  <c r="F116" i="1"/>
  <c r="E116" i="1"/>
  <c r="D116" i="1"/>
  <c r="C116" i="1"/>
  <c r="B116" i="1"/>
  <c r="A116" i="1"/>
  <c r="K115" i="1"/>
  <c r="J115" i="1"/>
  <c r="H115" i="1"/>
  <c r="G115" i="1"/>
  <c r="F115" i="1"/>
  <c r="E115" i="1"/>
  <c r="D115" i="1"/>
  <c r="C115" i="1"/>
  <c r="B115" i="1"/>
  <c r="A115" i="1"/>
  <c r="K114" i="1"/>
  <c r="J114" i="1"/>
  <c r="I114" i="1"/>
  <c r="H114" i="1"/>
  <c r="G114" i="1"/>
  <c r="F114" i="1"/>
  <c r="E114" i="1"/>
  <c r="D114" i="1"/>
  <c r="C114" i="1"/>
  <c r="B114" i="1"/>
  <c r="A114" i="1"/>
  <c r="K113" i="1"/>
  <c r="J113" i="1"/>
  <c r="I113" i="1"/>
  <c r="H113" i="1"/>
  <c r="G113" i="1"/>
  <c r="F113" i="1"/>
  <c r="E113" i="1"/>
  <c r="D113" i="1"/>
  <c r="C113" i="1"/>
  <c r="B113" i="1"/>
  <c r="A113" i="1"/>
  <c r="K112" i="1"/>
  <c r="J112" i="1"/>
  <c r="I112" i="1"/>
  <c r="H112" i="1"/>
  <c r="G112" i="1"/>
  <c r="F112" i="1"/>
  <c r="E112" i="1"/>
  <c r="D112" i="1"/>
  <c r="C112" i="1"/>
  <c r="B112" i="1"/>
  <c r="A112" i="1"/>
  <c r="K111" i="1"/>
  <c r="J111" i="1"/>
  <c r="I111" i="1"/>
  <c r="H111" i="1"/>
  <c r="G111" i="1"/>
  <c r="F111" i="1"/>
  <c r="E111" i="1"/>
  <c r="D111" i="1"/>
  <c r="C111" i="1"/>
  <c r="B111" i="1"/>
  <c r="A111" i="1"/>
  <c r="K110" i="1"/>
  <c r="J110" i="1"/>
  <c r="I110" i="1"/>
  <c r="H110" i="1"/>
  <c r="G110" i="1"/>
  <c r="F110" i="1"/>
  <c r="E110" i="1"/>
  <c r="D110" i="1"/>
  <c r="C110" i="1"/>
  <c r="B110" i="1"/>
  <c r="A110" i="1"/>
  <c r="K109" i="1"/>
  <c r="J109" i="1"/>
  <c r="I109" i="1"/>
  <c r="H109" i="1"/>
  <c r="G109" i="1"/>
  <c r="F109" i="1"/>
  <c r="E109" i="1"/>
  <c r="D109" i="1"/>
  <c r="C109" i="1"/>
  <c r="B109" i="1"/>
  <c r="A109" i="1"/>
  <c r="K108" i="1"/>
  <c r="J108" i="1"/>
  <c r="I108" i="1"/>
  <c r="H108" i="1"/>
  <c r="G108" i="1"/>
  <c r="F108" i="1"/>
  <c r="E108" i="1"/>
  <c r="D108" i="1"/>
  <c r="C108" i="1"/>
  <c r="B108" i="1"/>
  <c r="A108" i="1"/>
  <c r="K107" i="1"/>
  <c r="I107" i="1"/>
  <c r="H107" i="1"/>
  <c r="G107" i="1"/>
  <c r="F107" i="1"/>
  <c r="E107" i="1"/>
  <c r="D107" i="1"/>
  <c r="C107" i="1"/>
  <c r="B107" i="1"/>
  <c r="A107" i="1"/>
  <c r="K106" i="1"/>
  <c r="I106" i="1"/>
  <c r="H106" i="1"/>
  <c r="G106" i="1"/>
  <c r="F106" i="1"/>
  <c r="E106" i="1"/>
  <c r="D106" i="1"/>
  <c r="C106" i="1"/>
  <c r="B106" i="1"/>
  <c r="A106" i="1"/>
  <c r="K105" i="1"/>
  <c r="I105" i="1"/>
  <c r="H105" i="1"/>
  <c r="G105" i="1"/>
  <c r="F105" i="1"/>
  <c r="E105" i="1"/>
  <c r="D105" i="1"/>
  <c r="C105" i="1"/>
  <c r="B105" i="1"/>
  <c r="A105" i="1"/>
  <c r="K104" i="1"/>
  <c r="I104" i="1"/>
  <c r="H104" i="1"/>
  <c r="G104" i="1"/>
  <c r="F104" i="1"/>
  <c r="E104" i="1"/>
  <c r="D104" i="1"/>
  <c r="C104" i="1"/>
  <c r="B104" i="1"/>
  <c r="A104" i="1"/>
  <c r="K103" i="1"/>
  <c r="I103" i="1"/>
  <c r="H103" i="1"/>
  <c r="G103" i="1"/>
  <c r="F103" i="1"/>
  <c r="E103" i="1"/>
  <c r="D103" i="1"/>
  <c r="C103" i="1"/>
  <c r="B103" i="1"/>
  <c r="A103" i="1"/>
  <c r="K102" i="1"/>
  <c r="I102" i="1"/>
  <c r="H102" i="1"/>
  <c r="G102" i="1"/>
  <c r="F102" i="1"/>
  <c r="E102" i="1"/>
  <c r="D102" i="1"/>
  <c r="C102" i="1"/>
  <c r="B102" i="1"/>
  <c r="A102" i="1"/>
  <c r="K101" i="1"/>
  <c r="I101" i="1"/>
  <c r="H101" i="1"/>
  <c r="G101" i="1"/>
  <c r="F101" i="1"/>
  <c r="E101" i="1"/>
  <c r="D101" i="1"/>
  <c r="C101" i="1"/>
  <c r="B101" i="1"/>
  <c r="A101" i="1"/>
  <c r="K100" i="1"/>
  <c r="I100" i="1"/>
  <c r="H100" i="1"/>
  <c r="G100" i="1"/>
  <c r="F100" i="1"/>
  <c r="E100" i="1"/>
  <c r="D100" i="1"/>
  <c r="C100" i="1"/>
  <c r="B100" i="1"/>
  <c r="A100" i="1"/>
  <c r="K99" i="1"/>
  <c r="I99" i="1"/>
  <c r="H99" i="1"/>
  <c r="G99" i="1"/>
  <c r="F99" i="1"/>
  <c r="E99" i="1"/>
  <c r="D99" i="1"/>
  <c r="C99" i="1"/>
  <c r="B99" i="1"/>
  <c r="A99" i="1"/>
  <c r="K98" i="1"/>
  <c r="I98" i="1"/>
  <c r="H98" i="1"/>
  <c r="G98" i="1"/>
  <c r="F98" i="1"/>
  <c r="E98" i="1"/>
  <c r="D98" i="1"/>
  <c r="C98" i="1"/>
  <c r="B98" i="1"/>
  <c r="A98" i="1"/>
  <c r="K97" i="1"/>
  <c r="I97" i="1"/>
  <c r="H97" i="1"/>
  <c r="G97" i="1"/>
  <c r="F97" i="1"/>
  <c r="E97" i="1"/>
  <c r="D97" i="1"/>
  <c r="C97" i="1"/>
  <c r="B97" i="1"/>
  <c r="A97" i="1"/>
  <c r="K96" i="1"/>
  <c r="I96" i="1"/>
  <c r="H96" i="1"/>
  <c r="G96" i="1"/>
  <c r="F96" i="1"/>
  <c r="E96" i="1"/>
  <c r="D96" i="1"/>
  <c r="C96" i="1"/>
  <c r="B96" i="1"/>
  <c r="A96" i="1"/>
  <c r="K95" i="1"/>
  <c r="I95" i="1"/>
  <c r="H95" i="1"/>
  <c r="G95" i="1"/>
  <c r="F95" i="1"/>
  <c r="E95" i="1"/>
  <c r="D95" i="1"/>
  <c r="C95" i="1"/>
  <c r="B95" i="1"/>
  <c r="A95" i="1"/>
  <c r="K94" i="1"/>
  <c r="I94" i="1"/>
  <c r="H94" i="1"/>
  <c r="G94" i="1"/>
  <c r="F94" i="1"/>
  <c r="E94" i="1"/>
  <c r="D94" i="1"/>
  <c r="C94" i="1"/>
  <c r="B94" i="1"/>
  <c r="A94" i="1"/>
  <c r="K93" i="1"/>
  <c r="J93" i="1"/>
  <c r="I93" i="1"/>
  <c r="H93" i="1"/>
  <c r="G93" i="1"/>
  <c r="F93" i="1"/>
  <c r="E93" i="1"/>
  <c r="D93" i="1"/>
  <c r="C93" i="1"/>
  <c r="B93" i="1"/>
  <c r="A93" i="1"/>
  <c r="K92" i="1"/>
  <c r="J92" i="1"/>
  <c r="I92" i="1"/>
  <c r="H92" i="1"/>
  <c r="G92" i="1"/>
  <c r="F92" i="1"/>
  <c r="E92" i="1"/>
  <c r="D92" i="1"/>
  <c r="C92" i="1"/>
  <c r="B92" i="1"/>
  <c r="A92" i="1"/>
  <c r="K91" i="1"/>
  <c r="J91" i="1"/>
  <c r="I91" i="1"/>
  <c r="H91" i="1"/>
  <c r="G91" i="1"/>
  <c r="F91" i="1"/>
  <c r="E91" i="1"/>
  <c r="D91" i="1"/>
  <c r="C91" i="1"/>
  <c r="B91" i="1"/>
  <c r="A91" i="1"/>
  <c r="K90" i="1"/>
  <c r="J90" i="1"/>
  <c r="I90" i="1"/>
  <c r="H90" i="1"/>
  <c r="G90" i="1"/>
  <c r="F90" i="1"/>
  <c r="E90" i="1"/>
  <c r="D90" i="1"/>
  <c r="C90" i="1"/>
  <c r="B90" i="1"/>
  <c r="A90" i="1"/>
  <c r="K89" i="1"/>
  <c r="J89" i="1"/>
  <c r="I89" i="1"/>
  <c r="H89" i="1"/>
  <c r="G89" i="1"/>
  <c r="F89" i="1"/>
  <c r="E89" i="1"/>
  <c r="D89" i="1"/>
  <c r="C89" i="1"/>
  <c r="B89" i="1"/>
  <c r="A89" i="1"/>
  <c r="K88" i="1"/>
  <c r="I88" i="1"/>
  <c r="H88" i="1"/>
  <c r="G88" i="1"/>
  <c r="F88" i="1"/>
  <c r="E88" i="1"/>
  <c r="D88" i="1"/>
  <c r="C88" i="1"/>
  <c r="B88" i="1"/>
  <c r="A88" i="1"/>
  <c r="K87" i="1"/>
  <c r="I87" i="1"/>
  <c r="H87" i="1"/>
  <c r="G87" i="1"/>
  <c r="F87" i="1"/>
  <c r="E87" i="1"/>
  <c r="D87" i="1"/>
  <c r="C87" i="1"/>
  <c r="B87" i="1"/>
  <c r="A87" i="1"/>
  <c r="K86" i="1"/>
  <c r="I86" i="1"/>
  <c r="H86" i="1"/>
  <c r="G86" i="1"/>
  <c r="F86" i="1"/>
  <c r="E86" i="1"/>
  <c r="D86" i="1"/>
  <c r="C86" i="1"/>
  <c r="B86" i="1"/>
  <c r="A86" i="1"/>
  <c r="K85" i="1"/>
  <c r="I85" i="1"/>
  <c r="H85" i="1"/>
  <c r="G85" i="1"/>
  <c r="F85" i="1"/>
  <c r="E85" i="1"/>
  <c r="D85" i="1"/>
  <c r="C85" i="1"/>
  <c r="B85" i="1"/>
  <c r="A85" i="1"/>
  <c r="K84" i="1"/>
  <c r="I84" i="1"/>
  <c r="H84" i="1"/>
  <c r="G84" i="1"/>
  <c r="F84" i="1"/>
  <c r="E84" i="1"/>
  <c r="D84" i="1"/>
  <c r="C84" i="1"/>
  <c r="B84" i="1"/>
  <c r="A84" i="1"/>
  <c r="K83" i="1"/>
  <c r="I83" i="1"/>
  <c r="H83" i="1"/>
  <c r="G83" i="1"/>
  <c r="F83" i="1"/>
  <c r="E83" i="1"/>
  <c r="D83" i="1"/>
  <c r="C83" i="1"/>
  <c r="B83" i="1"/>
  <c r="A83" i="1"/>
  <c r="K82" i="1"/>
  <c r="J82" i="1"/>
  <c r="I82" i="1"/>
  <c r="H82" i="1"/>
  <c r="G82" i="1"/>
  <c r="F82" i="1"/>
  <c r="E82" i="1"/>
  <c r="D82" i="1"/>
  <c r="C82" i="1"/>
  <c r="B82" i="1"/>
  <c r="A82" i="1"/>
  <c r="K81" i="1"/>
  <c r="I81" i="1"/>
  <c r="H81" i="1"/>
  <c r="G81" i="1"/>
  <c r="F81" i="1"/>
  <c r="E81" i="1"/>
  <c r="D81" i="1"/>
  <c r="C81" i="1"/>
  <c r="B81" i="1"/>
  <c r="A81" i="1"/>
  <c r="K80" i="1"/>
  <c r="I80" i="1"/>
  <c r="H80" i="1"/>
  <c r="G80" i="1"/>
  <c r="F80" i="1"/>
  <c r="E80" i="1"/>
  <c r="D80" i="1"/>
  <c r="C80" i="1"/>
  <c r="B80" i="1"/>
  <c r="A80" i="1"/>
  <c r="K79" i="1"/>
  <c r="I79" i="1"/>
  <c r="H79" i="1"/>
  <c r="G79" i="1"/>
  <c r="F79" i="1"/>
  <c r="E79" i="1"/>
  <c r="D79" i="1"/>
  <c r="C79" i="1"/>
  <c r="B79" i="1"/>
  <c r="A79" i="1"/>
  <c r="K78" i="1"/>
  <c r="I78" i="1"/>
  <c r="H78" i="1"/>
  <c r="G78" i="1"/>
  <c r="F78" i="1"/>
  <c r="E78" i="1"/>
  <c r="D78" i="1"/>
  <c r="C78" i="1"/>
  <c r="B78" i="1"/>
  <c r="A78" i="1"/>
  <c r="K77" i="1"/>
  <c r="I77" i="1"/>
  <c r="H77" i="1"/>
  <c r="G77" i="1"/>
  <c r="F77" i="1"/>
  <c r="E77" i="1"/>
  <c r="D77" i="1"/>
  <c r="C77" i="1"/>
  <c r="B77" i="1"/>
  <c r="A77" i="1"/>
  <c r="K76" i="1"/>
  <c r="I76" i="1"/>
  <c r="H76" i="1"/>
  <c r="G76" i="1"/>
  <c r="F76" i="1"/>
  <c r="E76" i="1"/>
  <c r="D76" i="1"/>
  <c r="C76" i="1"/>
  <c r="B76" i="1"/>
  <c r="A76" i="1"/>
  <c r="K75" i="1"/>
  <c r="I75" i="1"/>
  <c r="H75" i="1"/>
  <c r="G75" i="1"/>
  <c r="F75" i="1"/>
  <c r="E75" i="1"/>
  <c r="D75" i="1"/>
  <c r="C75" i="1"/>
  <c r="B75" i="1"/>
  <c r="A75" i="1"/>
  <c r="K74" i="1"/>
  <c r="I74" i="1"/>
  <c r="H74" i="1"/>
  <c r="G74" i="1"/>
  <c r="F74" i="1"/>
  <c r="E74" i="1"/>
  <c r="D74" i="1"/>
  <c r="C74" i="1"/>
  <c r="B74" i="1"/>
  <c r="A74" i="1"/>
  <c r="K73" i="1"/>
  <c r="I73" i="1"/>
  <c r="H73" i="1"/>
  <c r="G73" i="1"/>
  <c r="F73" i="1"/>
  <c r="E73" i="1"/>
  <c r="D73" i="1"/>
  <c r="C73" i="1"/>
  <c r="B73" i="1"/>
  <c r="A73" i="1"/>
  <c r="K72" i="1"/>
  <c r="I72" i="1"/>
  <c r="H72" i="1"/>
  <c r="G72" i="1"/>
  <c r="F72" i="1"/>
  <c r="E72" i="1"/>
  <c r="D72" i="1"/>
  <c r="C72" i="1"/>
  <c r="B72" i="1"/>
  <c r="A72" i="1"/>
  <c r="K71" i="1"/>
  <c r="I71" i="1"/>
  <c r="H71" i="1"/>
  <c r="G71" i="1"/>
  <c r="F71" i="1"/>
  <c r="E71" i="1"/>
  <c r="D71" i="1"/>
  <c r="C71" i="1"/>
  <c r="B71" i="1"/>
  <c r="A71" i="1"/>
  <c r="K70" i="1"/>
  <c r="I70" i="1"/>
  <c r="H70" i="1"/>
  <c r="G70" i="1"/>
  <c r="F70" i="1"/>
  <c r="E70" i="1"/>
  <c r="D70" i="1"/>
  <c r="C70" i="1"/>
  <c r="B70" i="1"/>
  <c r="A70" i="1"/>
  <c r="K69" i="1"/>
  <c r="I69" i="1"/>
  <c r="H69" i="1"/>
  <c r="G69" i="1"/>
  <c r="F69" i="1"/>
  <c r="E69" i="1"/>
  <c r="D69" i="1"/>
  <c r="C69" i="1"/>
  <c r="B69" i="1"/>
  <c r="A69" i="1"/>
  <c r="K68" i="1"/>
  <c r="I68" i="1"/>
  <c r="H68" i="1"/>
  <c r="G68" i="1"/>
  <c r="F68" i="1"/>
  <c r="E68" i="1"/>
  <c r="D68" i="1"/>
  <c r="C68" i="1"/>
  <c r="B68" i="1"/>
  <c r="A68" i="1"/>
  <c r="K67" i="1"/>
  <c r="I67" i="1"/>
  <c r="H67" i="1"/>
  <c r="G67" i="1"/>
  <c r="F67" i="1"/>
  <c r="E67" i="1"/>
  <c r="D67" i="1"/>
  <c r="C67" i="1"/>
  <c r="B67" i="1"/>
  <c r="A67" i="1"/>
  <c r="K66" i="1"/>
  <c r="I66" i="1"/>
  <c r="H66" i="1"/>
  <c r="G66" i="1"/>
  <c r="F66" i="1"/>
  <c r="E66" i="1"/>
  <c r="D66" i="1"/>
  <c r="C66" i="1"/>
  <c r="B66" i="1"/>
  <c r="A66" i="1"/>
  <c r="K65" i="1"/>
  <c r="I65" i="1"/>
  <c r="H65" i="1"/>
  <c r="G65" i="1"/>
  <c r="F65" i="1"/>
  <c r="E65" i="1"/>
  <c r="D65" i="1"/>
  <c r="C65" i="1"/>
  <c r="B65" i="1"/>
  <c r="A65" i="1"/>
  <c r="K64" i="1"/>
  <c r="I64" i="1"/>
  <c r="H64" i="1"/>
  <c r="G64" i="1"/>
  <c r="F64" i="1"/>
  <c r="E64" i="1"/>
  <c r="D64" i="1"/>
  <c r="C64" i="1"/>
  <c r="B64" i="1"/>
  <c r="A64" i="1"/>
  <c r="K63" i="1"/>
  <c r="I63" i="1"/>
  <c r="H63" i="1"/>
  <c r="G63" i="1"/>
  <c r="F63" i="1"/>
  <c r="E63" i="1"/>
  <c r="D63" i="1"/>
  <c r="C63" i="1"/>
  <c r="B63" i="1"/>
  <c r="A63" i="1"/>
  <c r="K62" i="1"/>
  <c r="I62" i="1"/>
  <c r="H62" i="1"/>
  <c r="G62" i="1"/>
  <c r="F62" i="1"/>
  <c r="E62" i="1"/>
  <c r="D62" i="1"/>
  <c r="C62" i="1"/>
  <c r="B62" i="1"/>
  <c r="A62" i="1"/>
  <c r="K61" i="1"/>
  <c r="I61" i="1"/>
  <c r="H61" i="1"/>
  <c r="G61" i="1"/>
  <c r="F61" i="1"/>
  <c r="E61" i="1"/>
  <c r="D61" i="1"/>
  <c r="C61" i="1"/>
  <c r="B61" i="1"/>
  <c r="A61" i="1"/>
  <c r="K60" i="1"/>
  <c r="I60" i="1"/>
  <c r="H60" i="1"/>
  <c r="G60" i="1"/>
  <c r="F60" i="1"/>
  <c r="E60" i="1"/>
  <c r="D60" i="1"/>
  <c r="C60" i="1"/>
  <c r="B60" i="1"/>
  <c r="A60" i="1"/>
  <c r="K59" i="1"/>
  <c r="I59" i="1"/>
  <c r="H59" i="1"/>
  <c r="G59" i="1"/>
  <c r="F59" i="1"/>
  <c r="E59" i="1"/>
  <c r="D59" i="1"/>
  <c r="C59" i="1"/>
  <c r="B59" i="1"/>
  <c r="A59" i="1"/>
  <c r="K58" i="1"/>
  <c r="I58" i="1"/>
  <c r="H58" i="1"/>
  <c r="G58" i="1"/>
  <c r="F58" i="1"/>
  <c r="E58" i="1"/>
  <c r="D58" i="1"/>
  <c r="C58" i="1"/>
  <c r="B58" i="1"/>
  <c r="A58" i="1"/>
  <c r="K57" i="1"/>
  <c r="J57" i="1"/>
  <c r="I57" i="1"/>
  <c r="H57" i="1"/>
  <c r="G57" i="1"/>
  <c r="F57" i="1"/>
  <c r="E57" i="1"/>
  <c r="D57" i="1"/>
  <c r="C57" i="1"/>
  <c r="B57" i="1"/>
  <c r="A57" i="1"/>
  <c r="K56" i="1"/>
  <c r="J56" i="1"/>
  <c r="I56" i="1"/>
  <c r="H56" i="1"/>
  <c r="G56" i="1"/>
  <c r="F56" i="1"/>
  <c r="E56" i="1"/>
  <c r="D56" i="1"/>
  <c r="C56" i="1"/>
  <c r="B56" i="1"/>
  <c r="A56" i="1"/>
  <c r="K55" i="1"/>
  <c r="J55" i="1"/>
  <c r="I55" i="1"/>
  <c r="H55" i="1"/>
  <c r="G55" i="1"/>
  <c r="F55" i="1"/>
  <c r="E55" i="1"/>
  <c r="D55" i="1"/>
  <c r="C55" i="1"/>
  <c r="B55" i="1"/>
  <c r="A55" i="1"/>
  <c r="K54" i="1"/>
  <c r="J54" i="1"/>
  <c r="I54" i="1"/>
  <c r="H54" i="1"/>
  <c r="G54" i="1"/>
  <c r="F54" i="1"/>
  <c r="E54" i="1"/>
  <c r="D54" i="1"/>
  <c r="C54" i="1"/>
  <c r="B54" i="1"/>
  <c r="A54" i="1"/>
  <c r="K53" i="1"/>
  <c r="I53" i="1"/>
  <c r="H53" i="1"/>
  <c r="G53" i="1"/>
  <c r="F53" i="1"/>
  <c r="E53" i="1"/>
  <c r="D53" i="1"/>
  <c r="C53" i="1"/>
  <c r="B53" i="1"/>
  <c r="A53" i="1"/>
  <c r="K52" i="1"/>
  <c r="I52" i="1"/>
  <c r="H52" i="1"/>
  <c r="G52" i="1"/>
  <c r="F52" i="1"/>
  <c r="E52" i="1"/>
  <c r="D52" i="1"/>
  <c r="C52" i="1"/>
  <c r="B52" i="1"/>
  <c r="A52" i="1"/>
  <c r="K51" i="1"/>
  <c r="I51" i="1"/>
  <c r="H51" i="1"/>
  <c r="G51" i="1"/>
  <c r="F51" i="1"/>
  <c r="E51" i="1"/>
  <c r="D51" i="1"/>
  <c r="C51" i="1"/>
  <c r="B51" i="1"/>
  <c r="A51" i="1"/>
  <c r="K50" i="1"/>
  <c r="I50" i="1"/>
  <c r="H50" i="1"/>
  <c r="G50" i="1"/>
  <c r="F50" i="1"/>
  <c r="E50" i="1"/>
  <c r="D50" i="1"/>
  <c r="C50" i="1"/>
  <c r="B50" i="1"/>
  <c r="A50" i="1"/>
  <c r="K49" i="1"/>
  <c r="I49" i="1"/>
  <c r="H49" i="1"/>
  <c r="G49" i="1"/>
  <c r="F49" i="1"/>
  <c r="E49" i="1"/>
  <c r="D49" i="1"/>
  <c r="C49" i="1"/>
  <c r="B49" i="1"/>
  <c r="A49" i="1"/>
  <c r="K48" i="1"/>
  <c r="I48" i="1"/>
  <c r="H48" i="1"/>
  <c r="G48" i="1"/>
  <c r="F48" i="1"/>
  <c r="E48" i="1"/>
  <c r="D48" i="1"/>
  <c r="C48" i="1"/>
  <c r="B48" i="1"/>
  <c r="A48" i="1"/>
  <c r="K47" i="1"/>
  <c r="I47" i="1"/>
  <c r="H47" i="1"/>
  <c r="G47" i="1"/>
  <c r="F47" i="1"/>
  <c r="E47" i="1"/>
  <c r="D47" i="1"/>
  <c r="C47" i="1"/>
  <c r="B47" i="1"/>
  <c r="A47" i="1"/>
  <c r="K46" i="1"/>
  <c r="J46" i="1"/>
  <c r="I46" i="1"/>
  <c r="H46" i="1"/>
  <c r="G46" i="1"/>
  <c r="F46" i="1"/>
  <c r="E46" i="1"/>
  <c r="D46" i="1"/>
  <c r="C46" i="1"/>
  <c r="B46" i="1"/>
  <c r="A46" i="1"/>
  <c r="K45" i="1"/>
  <c r="I45" i="1"/>
  <c r="H45" i="1"/>
  <c r="G45" i="1"/>
  <c r="F45" i="1"/>
  <c r="E45" i="1"/>
  <c r="D45" i="1"/>
  <c r="C45" i="1"/>
  <c r="B45" i="1"/>
  <c r="A45" i="1"/>
  <c r="K44" i="1"/>
  <c r="I44" i="1"/>
  <c r="H44" i="1"/>
  <c r="G44" i="1"/>
  <c r="F44" i="1"/>
  <c r="E44" i="1"/>
  <c r="D44" i="1"/>
  <c r="C44" i="1"/>
  <c r="B44" i="1"/>
  <c r="A44" i="1"/>
  <c r="K43" i="1"/>
  <c r="I43" i="1"/>
  <c r="H43" i="1"/>
  <c r="G43" i="1"/>
  <c r="F43" i="1"/>
  <c r="E43" i="1"/>
  <c r="D43" i="1"/>
  <c r="C43" i="1"/>
  <c r="B43" i="1"/>
  <c r="A43" i="1"/>
  <c r="K42" i="1"/>
  <c r="J42" i="1"/>
  <c r="I42" i="1"/>
  <c r="H42" i="1"/>
  <c r="G42" i="1"/>
  <c r="F42" i="1"/>
  <c r="E42" i="1"/>
  <c r="D42" i="1"/>
  <c r="C42" i="1"/>
  <c r="B42" i="1"/>
  <c r="A42" i="1"/>
  <c r="K41" i="1"/>
  <c r="J41" i="1"/>
  <c r="I41" i="1"/>
  <c r="H41" i="1"/>
  <c r="G41" i="1"/>
  <c r="F41" i="1"/>
  <c r="E41" i="1"/>
  <c r="D41" i="1"/>
  <c r="C41" i="1"/>
  <c r="B41" i="1"/>
  <c r="A41" i="1"/>
  <c r="K40" i="1"/>
  <c r="J40" i="1"/>
  <c r="I40" i="1"/>
  <c r="H40" i="1"/>
  <c r="G40" i="1"/>
  <c r="F40" i="1"/>
  <c r="E40" i="1"/>
  <c r="D40" i="1"/>
  <c r="C40" i="1"/>
  <c r="B40" i="1"/>
  <c r="A40" i="1"/>
  <c r="K39" i="1"/>
  <c r="J39" i="1"/>
  <c r="I39" i="1"/>
  <c r="H39" i="1"/>
  <c r="G39" i="1"/>
  <c r="F39" i="1"/>
  <c r="E39" i="1"/>
  <c r="D39" i="1"/>
  <c r="C39" i="1"/>
  <c r="B39" i="1"/>
  <c r="A39" i="1"/>
  <c r="K38" i="1"/>
  <c r="I38" i="1"/>
  <c r="H38" i="1"/>
  <c r="G38" i="1"/>
  <c r="F38" i="1"/>
  <c r="E38" i="1"/>
  <c r="D38" i="1"/>
  <c r="C38" i="1"/>
  <c r="B38" i="1"/>
  <c r="A38" i="1"/>
  <c r="K37" i="1"/>
  <c r="I37" i="1"/>
  <c r="H37" i="1"/>
  <c r="G37" i="1"/>
  <c r="F37" i="1"/>
  <c r="E37" i="1"/>
  <c r="D37" i="1"/>
  <c r="C37" i="1"/>
  <c r="B37" i="1"/>
  <c r="A37" i="1"/>
  <c r="K36" i="1"/>
  <c r="I36" i="1"/>
  <c r="H36" i="1"/>
  <c r="G36" i="1"/>
  <c r="F36" i="1"/>
  <c r="E36" i="1"/>
  <c r="D36" i="1"/>
  <c r="C36" i="1"/>
  <c r="B36" i="1"/>
  <c r="A36" i="1"/>
  <c r="K35" i="1"/>
  <c r="I35" i="1"/>
  <c r="H35" i="1"/>
  <c r="G35" i="1"/>
  <c r="F35" i="1"/>
  <c r="E35" i="1"/>
  <c r="D35" i="1"/>
  <c r="C35" i="1"/>
  <c r="B35" i="1"/>
  <c r="A35" i="1"/>
  <c r="K34" i="1"/>
  <c r="I34" i="1"/>
  <c r="H34" i="1"/>
  <c r="G34" i="1"/>
  <c r="F34" i="1"/>
  <c r="E34" i="1"/>
  <c r="D34" i="1"/>
  <c r="C34" i="1"/>
  <c r="B34" i="1"/>
  <c r="A34" i="1"/>
  <c r="K33" i="1"/>
  <c r="I33" i="1"/>
  <c r="H33" i="1"/>
  <c r="G33" i="1"/>
  <c r="F33" i="1"/>
  <c r="E33" i="1"/>
  <c r="D33" i="1"/>
  <c r="C33" i="1"/>
  <c r="B33" i="1"/>
  <c r="A33" i="1"/>
  <c r="K32" i="1"/>
  <c r="I32" i="1"/>
  <c r="H32" i="1"/>
  <c r="G32" i="1"/>
  <c r="F32" i="1"/>
  <c r="E32" i="1"/>
  <c r="D32" i="1"/>
  <c r="C32" i="1"/>
  <c r="B32" i="1"/>
  <c r="A32" i="1"/>
  <c r="K31" i="1"/>
  <c r="J31" i="1"/>
  <c r="I31" i="1"/>
  <c r="H31" i="1"/>
  <c r="G31" i="1"/>
  <c r="F31" i="1"/>
  <c r="E31" i="1"/>
  <c r="D31" i="1"/>
  <c r="C31" i="1"/>
  <c r="B31" i="1"/>
  <c r="A31" i="1"/>
  <c r="K30" i="1"/>
  <c r="J30" i="1"/>
  <c r="I30" i="1"/>
  <c r="H30" i="1"/>
  <c r="G30" i="1"/>
  <c r="F30" i="1"/>
  <c r="E30" i="1"/>
  <c r="D30" i="1"/>
  <c r="C30" i="1"/>
  <c r="B30" i="1"/>
  <c r="A30" i="1"/>
  <c r="K29" i="1"/>
  <c r="J29" i="1"/>
  <c r="I29" i="1"/>
  <c r="H29" i="1"/>
  <c r="G29" i="1"/>
  <c r="F29" i="1"/>
  <c r="E29" i="1"/>
  <c r="D29" i="1"/>
  <c r="C29" i="1"/>
  <c r="B29" i="1"/>
  <c r="A29" i="1"/>
  <c r="K28" i="1"/>
  <c r="J28" i="1"/>
  <c r="I28" i="1"/>
  <c r="H28" i="1"/>
  <c r="G28" i="1"/>
  <c r="F28" i="1"/>
  <c r="E28" i="1"/>
  <c r="D28" i="1"/>
  <c r="C28" i="1"/>
  <c r="B28" i="1"/>
  <c r="A28" i="1"/>
  <c r="K27" i="1"/>
  <c r="J27" i="1"/>
  <c r="I27" i="1"/>
  <c r="H27" i="1"/>
  <c r="G27" i="1"/>
  <c r="F27" i="1"/>
  <c r="E27" i="1"/>
  <c r="D27" i="1"/>
  <c r="C27" i="1"/>
  <c r="B27" i="1"/>
  <c r="A27" i="1"/>
  <c r="K26" i="1"/>
  <c r="J26" i="1"/>
  <c r="I26" i="1"/>
  <c r="H26" i="1"/>
  <c r="G26" i="1"/>
  <c r="F26" i="1"/>
  <c r="E26" i="1"/>
  <c r="D26" i="1"/>
  <c r="C26" i="1"/>
  <c r="B26" i="1"/>
  <c r="A26" i="1"/>
  <c r="K25" i="1"/>
  <c r="I25" i="1"/>
  <c r="H25" i="1"/>
  <c r="G25" i="1"/>
  <c r="F25" i="1"/>
  <c r="E25" i="1"/>
  <c r="D25" i="1"/>
  <c r="C25" i="1"/>
  <c r="B25" i="1"/>
  <c r="A25" i="1"/>
  <c r="K24" i="1"/>
  <c r="I24" i="1"/>
  <c r="H24" i="1"/>
  <c r="G24" i="1"/>
  <c r="F24" i="1"/>
  <c r="E24" i="1"/>
  <c r="D24" i="1"/>
  <c r="C24" i="1"/>
  <c r="B24" i="1"/>
  <c r="A24" i="1"/>
  <c r="K23" i="1"/>
  <c r="I23" i="1"/>
  <c r="H23" i="1"/>
  <c r="G23" i="1"/>
  <c r="F23" i="1"/>
  <c r="E23" i="1"/>
  <c r="D23" i="1"/>
  <c r="C23" i="1"/>
  <c r="B23" i="1"/>
  <c r="A23" i="1"/>
  <c r="K22" i="1"/>
  <c r="I22" i="1"/>
  <c r="H22" i="1"/>
  <c r="G22" i="1"/>
  <c r="F22" i="1"/>
  <c r="E22" i="1"/>
  <c r="D22" i="1"/>
  <c r="C22" i="1"/>
  <c r="B22" i="1"/>
  <c r="A22" i="1"/>
  <c r="K21" i="1"/>
  <c r="I21" i="1"/>
  <c r="H21" i="1"/>
  <c r="G21" i="1"/>
  <c r="F21" i="1"/>
  <c r="E21" i="1"/>
  <c r="D21" i="1"/>
  <c r="C21" i="1"/>
  <c r="B21" i="1"/>
  <c r="A21" i="1"/>
  <c r="K20" i="1"/>
  <c r="I20" i="1"/>
  <c r="H20" i="1"/>
  <c r="G20" i="1"/>
  <c r="F20" i="1"/>
  <c r="E20" i="1"/>
  <c r="D20" i="1"/>
  <c r="C20" i="1"/>
  <c r="B20" i="1"/>
  <c r="A20" i="1"/>
  <c r="K19" i="1"/>
  <c r="I19" i="1"/>
  <c r="H19" i="1"/>
  <c r="G19" i="1"/>
  <c r="F19" i="1"/>
  <c r="E19" i="1"/>
  <c r="D19" i="1"/>
  <c r="C19" i="1"/>
  <c r="B19" i="1"/>
  <c r="A19" i="1"/>
  <c r="K18" i="1"/>
  <c r="I18" i="1"/>
  <c r="H18" i="1"/>
  <c r="G18" i="1"/>
  <c r="F18" i="1"/>
  <c r="E18" i="1"/>
  <c r="D18" i="1"/>
  <c r="C18" i="1"/>
  <c r="B18" i="1"/>
  <c r="A18" i="1"/>
  <c r="K17" i="1"/>
  <c r="I17" i="1"/>
  <c r="H17" i="1"/>
  <c r="G17" i="1"/>
  <c r="F17" i="1"/>
  <c r="E17" i="1"/>
  <c r="D17" i="1"/>
  <c r="C17" i="1"/>
  <c r="B17" i="1"/>
  <c r="A17" i="1"/>
  <c r="K16" i="1"/>
  <c r="I16" i="1"/>
  <c r="H16" i="1"/>
  <c r="G16" i="1"/>
  <c r="F16" i="1"/>
  <c r="E16" i="1"/>
  <c r="D16" i="1"/>
  <c r="C16" i="1"/>
  <c r="B16" i="1"/>
  <c r="A16" i="1"/>
  <c r="K15" i="1"/>
  <c r="I15" i="1"/>
  <c r="H15" i="1"/>
  <c r="G15" i="1"/>
  <c r="F15" i="1"/>
  <c r="E15" i="1"/>
  <c r="D15" i="1"/>
  <c r="C15" i="1"/>
  <c r="B15" i="1"/>
  <c r="A15" i="1"/>
  <c r="K14" i="1"/>
  <c r="I14" i="1"/>
  <c r="H14" i="1"/>
  <c r="G14" i="1"/>
  <c r="F14" i="1"/>
  <c r="E14" i="1"/>
  <c r="D14" i="1"/>
  <c r="C14" i="1"/>
  <c r="B14" i="1"/>
  <c r="A14" i="1"/>
  <c r="K13" i="1"/>
  <c r="I13" i="1"/>
  <c r="H13" i="1"/>
  <c r="G13" i="1"/>
  <c r="F13" i="1"/>
  <c r="E13" i="1"/>
  <c r="D13" i="1"/>
  <c r="C13" i="1"/>
  <c r="B13" i="1"/>
  <c r="A13" i="1"/>
  <c r="K12" i="1"/>
  <c r="I12" i="1"/>
  <c r="H12" i="1"/>
  <c r="G12" i="1"/>
  <c r="F12" i="1"/>
  <c r="E12" i="1"/>
  <c r="D12" i="1"/>
  <c r="C12" i="1"/>
  <c r="B12" i="1"/>
  <c r="A12" i="1"/>
  <c r="K11" i="1"/>
  <c r="I11" i="1"/>
  <c r="H11" i="1"/>
  <c r="G11" i="1"/>
  <c r="F11" i="1"/>
  <c r="E11" i="1"/>
  <c r="D11" i="1"/>
  <c r="C11" i="1"/>
  <c r="B11" i="1"/>
  <c r="A11" i="1"/>
  <c r="K10" i="1"/>
  <c r="I10" i="1"/>
  <c r="H10" i="1"/>
  <c r="G10" i="1"/>
  <c r="F10" i="1"/>
  <c r="E10" i="1"/>
  <c r="D10" i="1"/>
  <c r="C10" i="1"/>
  <c r="B10" i="1"/>
  <c r="A10" i="1"/>
  <c r="K9" i="1"/>
  <c r="I9" i="1"/>
  <c r="H9" i="1"/>
  <c r="G9" i="1"/>
  <c r="F9" i="1"/>
  <c r="E9" i="1"/>
  <c r="D9" i="1"/>
  <c r="C9" i="1"/>
  <c r="B9" i="1"/>
  <c r="A9" i="1"/>
  <c r="K8" i="1"/>
  <c r="I8" i="1"/>
  <c r="H8" i="1"/>
  <c r="G8" i="1"/>
  <c r="F8" i="1"/>
  <c r="E8" i="1"/>
  <c r="D8" i="1"/>
  <c r="C8" i="1"/>
  <c r="B8" i="1"/>
  <c r="A8" i="1"/>
  <c r="K7" i="1"/>
  <c r="I7" i="1"/>
  <c r="H7" i="1"/>
  <c r="G7" i="1"/>
  <c r="F7" i="1"/>
  <c r="E7" i="1"/>
  <c r="D7" i="1"/>
  <c r="C7" i="1"/>
  <c r="B7" i="1"/>
  <c r="A7" i="1"/>
  <c r="K6" i="1"/>
  <c r="I6" i="1"/>
  <c r="H6" i="1"/>
  <c r="G6" i="1"/>
  <c r="F6" i="1"/>
  <c r="E6" i="1"/>
  <c r="D6" i="1"/>
  <c r="C6" i="1"/>
  <c r="B6" i="1"/>
  <c r="A6" i="1"/>
  <c r="K5" i="1"/>
  <c r="I5" i="1"/>
  <c r="H5" i="1"/>
  <c r="G5" i="1"/>
  <c r="F5" i="1"/>
  <c r="E5" i="1"/>
  <c r="D5" i="1"/>
  <c r="C5" i="1"/>
  <c r="B5" i="1"/>
  <c r="A5" i="1"/>
  <c r="K4" i="1"/>
  <c r="H4" i="1"/>
  <c r="G4" i="1"/>
  <c r="F4" i="1"/>
  <c r="E4" i="1"/>
  <c r="D4" i="1"/>
  <c r="C4" i="1"/>
  <c r="B4" i="1"/>
  <c r="A4" i="1"/>
  <c r="K3" i="1"/>
  <c r="I3" i="1"/>
  <c r="H3" i="1"/>
  <c r="G3" i="1"/>
  <c r="F3" i="1"/>
  <c r="E3" i="1"/>
  <c r="D3" i="1"/>
  <c r="C3" i="1"/>
  <c r="B3" i="1"/>
  <c r="A3" i="1"/>
  <c r="K2" i="1"/>
  <c r="I2" i="1"/>
  <c r="H2" i="1"/>
  <c r="G2" i="1"/>
  <c r="F2" i="1"/>
  <c r="E2" i="1"/>
  <c r="D2" i="1"/>
  <c r="C2" i="1"/>
  <c r="B2" i="1"/>
  <c r="A2" i="1"/>
</calcChain>
</file>

<file path=xl/sharedStrings.xml><?xml version="1.0" encoding="utf-8"?>
<sst xmlns="http://schemas.openxmlformats.org/spreadsheetml/2006/main" count="11" uniqueCount="11">
  <si>
    <t>PID</t>
  </si>
  <si>
    <t>المحافظة</t>
  </si>
  <si>
    <t>المنطقة</t>
  </si>
  <si>
    <t>نوع مقدم الخدمة</t>
  </si>
  <si>
    <t>التخصص الرئيسي</t>
  </si>
  <si>
    <t>التخصص الفرعي</t>
  </si>
  <si>
    <t>إسم مقدم الخدمة</t>
  </si>
  <si>
    <t>العنوان</t>
  </si>
  <si>
    <t>التليفون</t>
  </si>
  <si>
    <t>الخط الساخن</t>
  </si>
  <si>
    <t>الاسعار المتفق عليها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</si>
</sst>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rgb="FFFFFFFF"/>
      <name val="Arial"/>
    </font>
    <font>
      <b/>
      <sz val="11"/>
      <color rgb="FFFFFFFF"/>
      <name val="Calibri"/>
    </font>
    <font>
      <sz val="10"/>
      <color theme="1"/>
      <name val="Calibri"/>
      <scheme val="minor"/>
    </font>
  </fonts>
  <fills count="3">
    <fill>
      <patternFill patternType="none"/>
    </fill>
    <fill>
      <patternFill patternType="gray125"/>
    </fill>
    <fill>
      <patternFill patternType="solid">
        <fgColor rgb="FF38761D"/>
        <bgColor rgb="FF38761D"/>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left" wrapText="1"/>
    </xf>
    <xf numFmtId="0" fontId="1" fillId="2" borderId="1" xfId="0" applyFont="1" applyFill="1" applyBorder="1" applyAlignment="1">
      <alignment horizontal="center" wrapText="1" readingOrder="2"/>
    </xf>
    <xf numFmtId="0" fontId="2" fillId="2" borderId="1" xfId="0" applyFont="1" applyFill="1" applyBorder="1" applyAlignment="1">
      <alignment horizontal="center" wrapText="1"/>
    </xf>
    <xf numFmtId="0" fontId="3" fillId="0" borderId="0" xfId="0" applyFont="1" applyAlignment="1">
      <alignment horizontal="left"/>
    </xf>
    <xf numFmtId="0" fontId="3" fillId="0" borderId="0" xfId="0" applyFont="1" applyAlignment="1">
      <alignment horizontal="right" readingOrder="2"/>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126"/>
  <sheetViews>
    <sheetView tabSelected="1" topLeftCell="A589" workbookViewId="0">
      <selection activeCell="F594" sqref="F594"/>
    </sheetView>
  </sheetViews>
  <sheetFormatPr defaultRowHeight="15" x14ac:dyDescent="0.25"/>
  <cols>
    <col min="5" max="5" width="13.7109375" customWidth="1"/>
    <col min="6" max="6" width="18.42578125" customWidth="1"/>
    <col min="7" max="7" width="28.85546875" customWidth="1"/>
    <col min="8" max="8" width="92" customWidth="1"/>
    <col min="9" max="9" width="12.5703125"/>
    <col min="10" max="10" width="12.140625" customWidth="1"/>
    <col min="11" max="11" width="89.5703125" customWidth="1"/>
  </cols>
  <sheetData>
    <row r="1" spans="1:11" ht="30" x14ac:dyDescent="0.25">
      <c r="A1" s="1" t="s">
        <v>0</v>
      </c>
      <c r="B1" s="2" t="s">
        <v>1</v>
      </c>
      <c r="C1" s="2" t="s">
        <v>2</v>
      </c>
      <c r="D1" s="2" t="s">
        <v>3</v>
      </c>
      <c r="E1" s="2" t="s">
        <v>4</v>
      </c>
      <c r="F1" s="2" t="s">
        <v>5</v>
      </c>
      <c r="G1" s="2" t="s">
        <v>6</v>
      </c>
      <c r="H1" s="2" t="s">
        <v>7</v>
      </c>
      <c r="I1" s="3" t="s">
        <v>8</v>
      </c>
      <c r="J1" s="3" t="s">
        <v>9</v>
      </c>
      <c r="K1" s="3" t="s">
        <v>10</v>
      </c>
    </row>
    <row r="2" spans="1:11" x14ac:dyDescent="0.25">
      <c r="A2" s="4" t="str">
        <f ca="1">IFERROR(__xludf.DUMMYFUNCTION("""COMPUTED_VALUE"""),"3277")</f>
        <v>3277</v>
      </c>
      <c r="B2" s="5" t="str">
        <f ca="1">IFERROR(__xludf.DUMMYFUNCTION("""COMPUTED_VALUE"""),"القاهرة")</f>
        <v>القاهرة</v>
      </c>
      <c r="C2" s="5" t="str">
        <f ca="1">IFERROR(__xludf.DUMMYFUNCTION("""COMPUTED_VALUE"""),"وسط البلد")</f>
        <v>وسط البلد</v>
      </c>
      <c r="D2" s="5" t="str">
        <f ca="1">IFERROR(__xludf.DUMMYFUNCTION("""COMPUTED_VALUE"""),"هيئة الأطباء")</f>
        <v>هيئة الأطباء</v>
      </c>
      <c r="E2" s="5" t="str">
        <f ca="1">IFERROR(__xludf.DUMMYFUNCTION("""COMPUTED_VALUE"""),"جراحة")</f>
        <v>جراحة</v>
      </c>
      <c r="F2" s="5" t="str">
        <f ca="1">IFERROR(__xludf.DUMMYFUNCTION("""COMPUTED_VALUE"""),"جراحة القلب والصدر")</f>
        <v>جراحة القلب والصدر</v>
      </c>
      <c r="G2" s="5" t="str">
        <f ca="1">IFERROR(__xludf.DUMMYFUNCTION("""COMPUTED_VALUE"""),"د/ حسن محمود السيسي")</f>
        <v>د/ حسن محمود السيسي</v>
      </c>
      <c r="H2" s="5" t="str">
        <f ca="1">IFERROR(__xludf.DUMMYFUNCTION("""COMPUTED_VALUE"""),"30 شارع المبتديان - من شارع القصر العيني")</f>
        <v>30 شارع المبتديان - من شارع القصر العيني</v>
      </c>
      <c r="I2" s="6" t="str">
        <f ca="1">IFERROR(__xludf.DUMMYFUNCTION("""COMPUTED_VALUE"""),"2027961613")</f>
        <v>2027961613</v>
      </c>
      <c r="J2" s="6"/>
      <c r="K2" s="6" t="str">
        <f ca="1">IFERROR(__xludf.DUMMYFUNCTION("""COMPUTED_VALUE""")," نسبة خصم 50%")</f>
        <v xml:space="preserve"> نسبة خصم 50%</v>
      </c>
    </row>
    <row r="3" spans="1:11" x14ac:dyDescent="0.25">
      <c r="A3" s="4" t="str">
        <f ca="1">IFERROR(__xludf.DUMMYFUNCTION("""COMPUTED_VALUE"""),"103352")</f>
        <v>103352</v>
      </c>
      <c r="B3" s="5" t="str">
        <f ca="1">IFERROR(__xludf.DUMMYFUNCTION("""COMPUTED_VALUE"""),"القاهرة")</f>
        <v>القاهرة</v>
      </c>
      <c r="C3" s="5" t="str">
        <f ca="1">IFERROR(__xludf.DUMMYFUNCTION("""COMPUTED_VALUE"""),"وسط البلد")</f>
        <v>وسط البلد</v>
      </c>
      <c r="D3" s="5" t="str">
        <f ca="1">IFERROR(__xludf.DUMMYFUNCTION("""COMPUTED_VALUE"""),"مستشفى")</f>
        <v>مستشفى</v>
      </c>
      <c r="E3" s="5" t="str">
        <f ca="1">IFERROR(__xludf.DUMMYFUNCTION("""COMPUTED_VALUE"""),"مستشفي طبي متكامل")</f>
        <v>مستشفي طبي متكامل</v>
      </c>
      <c r="F3" s="5" t="str">
        <f ca="1">IFERROR(__xludf.DUMMYFUNCTION("""COMPUTED_VALUE"""),"جميع التخصصات الطبية")</f>
        <v>جميع التخصصات الطبية</v>
      </c>
      <c r="G3" s="5" t="str">
        <f ca="1">IFERROR(__xludf.DUMMYFUNCTION("""COMPUTED_VALUE"""),"مستشفى قصر العيني التعليمي الجديد")</f>
        <v>مستشفى قصر العيني التعليمي الجديد</v>
      </c>
      <c r="H3" s="5" t="str">
        <f ca="1">IFERROR(__xludf.DUMMYFUNCTION("""COMPUTED_VALUE"""),"27 نافذة شيم الشافعي - كورنيش النيل-وسط البلد-القاهرة")</f>
        <v>27 نافذة شيم الشافعي - كورنيش النيل-وسط البلد-القاهرة</v>
      </c>
      <c r="I3" s="6" t="str">
        <f ca="1">IFERROR(__xludf.DUMMYFUNCTION("""COMPUTED_VALUE"""),"20223654088")</f>
        <v>20223654088</v>
      </c>
      <c r="J3" s="6"/>
      <c r="K3" s="6" t="str">
        <f ca="1">IFERROR(__xludf.DUMMYFUNCTION("""COMPUTED_VALUE"""),"10 % البنود التى تخضع للخصم  طبقا للائحة المستشفى ")</f>
        <v xml:space="preserve">10 % البنود التى تخضع للخصم  طبقا للائحة المستشفى </v>
      </c>
    </row>
    <row r="4" spans="1:11" x14ac:dyDescent="0.25">
      <c r="A4" s="4" t="str">
        <f ca="1">IFERROR(__xludf.DUMMYFUNCTION("""COMPUTED_VALUE"""),"104559-B")</f>
        <v>104559-B</v>
      </c>
      <c r="B4" s="5" t="str">
        <f ca="1">IFERROR(__xludf.DUMMYFUNCTION("""COMPUTED_VALUE"""),"الجيزة")</f>
        <v>الجيزة</v>
      </c>
      <c r="C4" s="5" t="str">
        <f ca="1">IFERROR(__xludf.DUMMYFUNCTION("""COMPUTED_VALUE"""),"السادس من اكتوبر")</f>
        <v>السادس من اكتوبر</v>
      </c>
      <c r="D4" s="5" t="str">
        <f ca="1">IFERROR(__xludf.DUMMYFUNCTION("""COMPUTED_VALUE"""),"مركز علاج طبيعي")</f>
        <v>مركز علاج طبيعي</v>
      </c>
      <c r="E4" s="5" t="str">
        <f ca="1">IFERROR(__xludf.DUMMYFUNCTION("""COMPUTED_VALUE"""),"علاج طبيعي")</f>
        <v>علاج طبيعي</v>
      </c>
      <c r="F4" s="5" t="str">
        <f ca="1">IFERROR(__xludf.DUMMYFUNCTION("""COMPUTED_VALUE"""),"جلسات العلاج الطبيعي")</f>
        <v>جلسات العلاج الطبيعي</v>
      </c>
      <c r="G4" s="5" t="str">
        <f ca="1">IFERROR(__xludf.DUMMYFUNCTION("""COMPUTED_VALUE"""),"د/شريف محمد السيد العوضي - مركز العوضي للعلاج الطبيعي والليزر")</f>
        <v>د/شريف محمد السيد العوضي - مركز العوضي للعلاج الطبيعي والليزر</v>
      </c>
      <c r="H4" s="5" t="str">
        <f ca="1">IFERROR(__xludf.DUMMYFUNCTION("""COMPUTED_VALUE"""),"ميدان الحصري - زمزم مول - مدخل 2 - الدور الثالث - 6 أكتوبر-الجيزة")</f>
        <v>ميدان الحصري - زمزم مول - مدخل 2 - الدور الثالث - 6 أكتوبر-الجيزة</v>
      </c>
      <c r="I4" s="6"/>
      <c r="J4" s="6"/>
      <c r="K4" s="6" t="str">
        <f ca="1">IFERROR(__xludf.DUMMYFUNCTION("""COMPUTED_VALUE"""),"25% على جميع الخدمات المقدمة")</f>
        <v>25% على جميع الخدمات المقدمة</v>
      </c>
    </row>
    <row r="5" spans="1:11" x14ac:dyDescent="0.25">
      <c r="A5" s="4" t="str">
        <f ca="1">IFERROR(__xludf.DUMMYFUNCTION("""COMPUTED_VALUE"""),"104559")</f>
        <v>104559</v>
      </c>
      <c r="B5" s="5" t="str">
        <f ca="1">IFERROR(__xludf.DUMMYFUNCTION("""COMPUTED_VALUE"""),"القاهرة")</f>
        <v>القاهرة</v>
      </c>
      <c r="C5" s="5" t="str">
        <f ca="1">IFERROR(__xludf.DUMMYFUNCTION("""COMPUTED_VALUE"""),"وسط البلد")</f>
        <v>وسط البلد</v>
      </c>
      <c r="D5" s="5" t="str">
        <f ca="1">IFERROR(__xludf.DUMMYFUNCTION("""COMPUTED_VALUE"""),"مركز علاج طبيعي")</f>
        <v>مركز علاج طبيعي</v>
      </c>
      <c r="E5" s="5" t="str">
        <f ca="1">IFERROR(__xludf.DUMMYFUNCTION("""COMPUTED_VALUE"""),"علاج طبيعي")</f>
        <v>علاج طبيعي</v>
      </c>
      <c r="F5" s="5" t="str">
        <f ca="1">IFERROR(__xludf.DUMMYFUNCTION("""COMPUTED_VALUE"""),"جلسات العلاج الطبيعي")</f>
        <v>جلسات العلاج الطبيعي</v>
      </c>
      <c r="G5" s="5" t="str">
        <f ca="1">IFERROR(__xludf.DUMMYFUNCTION("""COMPUTED_VALUE"""),"د/شريف محمد السيد العوضي - مركز العوضي للعلاج الطبيعي والليزر")</f>
        <v>د/شريف محمد السيد العوضي - مركز العوضي للعلاج الطبيعي والليزر</v>
      </c>
      <c r="H5" s="5" t="str">
        <f ca="1">IFERROR(__xludf.DUMMYFUNCTION("""COMPUTED_VALUE"""),"1ش26يوليو - شقة 802- الدور التاسع - الأزبكية - وسط البلد - القاهرة")</f>
        <v>1ش26يوليو - شقة 802- الدور التاسع - الأزبكية - وسط البلد - القاهرة</v>
      </c>
      <c r="I5" s="6" t="str">
        <f ca="1">IFERROR(__xludf.DUMMYFUNCTION("""COMPUTED_VALUE"""),"201090214999")</f>
        <v>201090214999</v>
      </c>
      <c r="J5" s="6"/>
      <c r="K5" s="6" t="str">
        <f ca="1">IFERROR(__xludf.DUMMYFUNCTION("""COMPUTED_VALUE"""),"25% على جميع الخدمات المقدمة")</f>
        <v>25% على جميع الخدمات المقدمة</v>
      </c>
    </row>
    <row r="6" spans="1:11" x14ac:dyDescent="0.25">
      <c r="A6" s="4" t="str">
        <f ca="1">IFERROR(__xludf.DUMMYFUNCTION("""COMPUTED_VALUE"""),"105834")</f>
        <v>105834</v>
      </c>
      <c r="B6" s="5" t="str">
        <f ca="1">IFERROR(__xludf.DUMMYFUNCTION("""COMPUTED_VALUE"""),"الجيزة")</f>
        <v>الجيزة</v>
      </c>
      <c r="C6" s="5" t="str">
        <f ca="1">IFERROR(__xludf.DUMMYFUNCTION("""COMPUTED_VALUE"""),"العجوزة")</f>
        <v>العجوزة</v>
      </c>
      <c r="D6" s="5" t="str">
        <f ca="1">IFERROR(__xludf.DUMMYFUNCTION("""COMPUTED_VALUE"""),"معمل")</f>
        <v>معمل</v>
      </c>
      <c r="E6" s="5" t="str">
        <f ca="1">IFERROR(__xludf.DUMMYFUNCTION("""COMPUTED_VALUE"""),"معمل")</f>
        <v>معمل</v>
      </c>
      <c r="F6" s="5" t="str">
        <f ca="1">IFERROR(__xludf.DUMMYFUNCTION("""COMPUTED_VALUE"""),"معمل التحاليل الطبية")</f>
        <v>معمل التحاليل الطبية</v>
      </c>
      <c r="G6" s="5" t="str">
        <f ca="1">IFERROR(__xludf.DUMMYFUNCTION("""COMPUTED_VALUE"""),"معامل جراند للتحاليل الطبيه")</f>
        <v>معامل جراند للتحاليل الطبيه</v>
      </c>
      <c r="H6" s="5" t="str">
        <f ca="1">IFERROR(__xludf.DUMMYFUNCTION("""COMPUTED_VALUE"""),"51 شارع احمد عرابي - العجوزه- الجيزه")</f>
        <v>51 شارع احمد عرابي - العجوزه- الجيزه</v>
      </c>
      <c r="I6" s="6" t="str">
        <f ca="1">IFERROR(__xludf.DUMMYFUNCTION("""COMPUTED_VALUE"""),"01211131019")</f>
        <v>01211131019</v>
      </c>
      <c r="J6" s="6"/>
      <c r="K6" s="6" t="str">
        <f ca="1">IFERROR(__xludf.DUMMYFUNCTION("""COMPUTED_VALUE"""),"25% على جميع الخدمات")</f>
        <v>25% على جميع الخدمات</v>
      </c>
    </row>
    <row r="7" spans="1:11" x14ac:dyDescent="0.25">
      <c r="A7" s="4" t="str">
        <f ca="1">IFERROR(__xludf.DUMMYFUNCTION("""COMPUTED_VALUE"""),"105834-B")</f>
        <v>105834-B</v>
      </c>
      <c r="B7" s="5" t="str">
        <f ca="1">IFERROR(__xludf.DUMMYFUNCTION("""COMPUTED_VALUE"""),"الجيزة")</f>
        <v>الجيزة</v>
      </c>
      <c r="C7" s="5" t="str">
        <f ca="1">IFERROR(__xludf.DUMMYFUNCTION("""COMPUTED_VALUE"""),"الدقي")</f>
        <v>الدقي</v>
      </c>
      <c r="D7" s="5" t="str">
        <f ca="1">IFERROR(__xludf.DUMMYFUNCTION("""COMPUTED_VALUE"""),"معمل")</f>
        <v>معمل</v>
      </c>
      <c r="E7" s="5" t="str">
        <f ca="1">IFERROR(__xludf.DUMMYFUNCTION("""COMPUTED_VALUE"""),"معمل")</f>
        <v>معمل</v>
      </c>
      <c r="F7" s="5" t="str">
        <f ca="1">IFERROR(__xludf.DUMMYFUNCTION("""COMPUTED_VALUE"""),"معمل التحاليل الطبية")</f>
        <v>معمل التحاليل الطبية</v>
      </c>
      <c r="G7" s="5" t="str">
        <f ca="1">IFERROR(__xludf.DUMMYFUNCTION("""COMPUTED_VALUE"""),"معامل جراند للتحاليل الطبيه")</f>
        <v>معامل جراند للتحاليل الطبيه</v>
      </c>
      <c r="H7" s="5" t="str">
        <f ca="1">IFERROR(__xludf.DUMMYFUNCTION("""COMPUTED_VALUE"""),"42 شارع الدقى - عماره مصر للتامين - ميدان الدقى")</f>
        <v>42 شارع الدقى - عماره مصر للتامين - ميدان الدقى</v>
      </c>
      <c r="I7" s="6" t="str">
        <f ca="1">IFERROR(__xludf.DUMMYFUNCTION("""COMPUTED_VALUE"""),"33375927")</f>
        <v>33375927</v>
      </c>
      <c r="J7" s="6"/>
      <c r="K7" s="6" t="str">
        <f ca="1">IFERROR(__xludf.DUMMYFUNCTION("""COMPUTED_VALUE"""),"25% على جميع الخدمات")</f>
        <v>25% على جميع الخدمات</v>
      </c>
    </row>
    <row r="8" spans="1:11" x14ac:dyDescent="0.25">
      <c r="A8" s="4" t="str">
        <f ca="1">IFERROR(__xludf.DUMMYFUNCTION("""COMPUTED_VALUE"""),"105834-B")</f>
        <v>105834-B</v>
      </c>
      <c r="B8" s="5" t="str">
        <f ca="1">IFERROR(__xludf.DUMMYFUNCTION("""COMPUTED_VALUE"""),"الجيزة")</f>
        <v>الجيزة</v>
      </c>
      <c r="C8" s="5" t="str">
        <f ca="1">IFERROR(__xludf.DUMMYFUNCTION("""COMPUTED_VALUE"""),"الهرم")</f>
        <v>الهرم</v>
      </c>
      <c r="D8" s="5" t="str">
        <f ca="1">IFERROR(__xludf.DUMMYFUNCTION("""COMPUTED_VALUE"""),"معمل")</f>
        <v>معمل</v>
      </c>
      <c r="E8" s="5" t="str">
        <f ca="1">IFERROR(__xludf.DUMMYFUNCTION("""COMPUTED_VALUE"""),"معمل")</f>
        <v>معمل</v>
      </c>
      <c r="F8" s="5" t="str">
        <f ca="1">IFERROR(__xludf.DUMMYFUNCTION("""COMPUTED_VALUE"""),"معمل التحاليل الطبية")</f>
        <v>معمل التحاليل الطبية</v>
      </c>
      <c r="G8" s="5" t="str">
        <f ca="1">IFERROR(__xludf.DUMMYFUNCTION("""COMPUTED_VALUE"""),"معامل جراند للتحاليل الطبيه")</f>
        <v>معامل جراند للتحاليل الطبيه</v>
      </c>
      <c r="H8" s="5" t="str">
        <f ca="1">IFERROR(__xludf.DUMMYFUNCTION("""COMPUTED_VALUE"""),"300 شارع الهرم - الطالبيه عمارات الاتحادية")</f>
        <v>300 شارع الهرم - الطالبيه عمارات الاتحادية</v>
      </c>
      <c r="I8" s="6" t="str">
        <f ca="1">IFERROR(__xludf.DUMMYFUNCTION("""COMPUTED_VALUE"""),"33971460")</f>
        <v>33971460</v>
      </c>
      <c r="J8" s="6"/>
      <c r="K8" s="6" t="str">
        <f ca="1">IFERROR(__xludf.DUMMYFUNCTION("""COMPUTED_VALUE"""),"25% على جميع الخدمات")</f>
        <v>25% على جميع الخدمات</v>
      </c>
    </row>
    <row r="9" spans="1:11" x14ac:dyDescent="0.25">
      <c r="A9" s="4" t="str">
        <f ca="1">IFERROR(__xludf.DUMMYFUNCTION("""COMPUTED_VALUE"""),"105834-B")</f>
        <v>105834-B</v>
      </c>
      <c r="B9" s="5" t="str">
        <f ca="1">IFERROR(__xludf.DUMMYFUNCTION("""COMPUTED_VALUE"""),"الجيزة")</f>
        <v>الجيزة</v>
      </c>
      <c r="C9" s="5" t="str">
        <f ca="1">IFERROR(__xludf.DUMMYFUNCTION("""COMPUTED_VALUE"""),"فيصل")</f>
        <v>فيصل</v>
      </c>
      <c r="D9" s="5" t="str">
        <f ca="1">IFERROR(__xludf.DUMMYFUNCTION("""COMPUTED_VALUE"""),"معمل")</f>
        <v>معمل</v>
      </c>
      <c r="E9" s="5" t="str">
        <f ca="1">IFERROR(__xludf.DUMMYFUNCTION("""COMPUTED_VALUE"""),"معمل")</f>
        <v>معمل</v>
      </c>
      <c r="F9" s="5" t="str">
        <f ca="1">IFERROR(__xludf.DUMMYFUNCTION("""COMPUTED_VALUE"""),"معمل التحاليل الطبية")</f>
        <v>معمل التحاليل الطبية</v>
      </c>
      <c r="G9" s="5" t="str">
        <f ca="1">IFERROR(__xludf.DUMMYFUNCTION("""COMPUTED_VALUE"""),"معامل جراند للتحاليل الطبيه")</f>
        <v>معامل جراند للتحاليل الطبيه</v>
      </c>
      <c r="H9" s="5" t="str">
        <f ca="1">IFERROR(__xludf.DUMMYFUNCTION("""COMPUTED_VALUE"""),"أول فيصل - برج الأطباء - 5 شارع النادى الرياضى")</f>
        <v>أول فيصل - برج الأطباء - 5 شارع النادى الرياضى</v>
      </c>
      <c r="I9" s="6" t="str">
        <f ca="1">IFERROR(__xludf.DUMMYFUNCTION("""COMPUTED_VALUE"""),"35725335")</f>
        <v>35725335</v>
      </c>
      <c r="J9" s="6"/>
      <c r="K9" s="6" t="str">
        <f ca="1">IFERROR(__xludf.DUMMYFUNCTION("""COMPUTED_VALUE"""),"25% على جميع الخدمات")</f>
        <v>25% على جميع الخدمات</v>
      </c>
    </row>
    <row r="10" spans="1:11" x14ac:dyDescent="0.25">
      <c r="A10" s="4" t="str">
        <f ca="1">IFERROR(__xludf.DUMMYFUNCTION("""COMPUTED_VALUE"""),"105834-B")</f>
        <v>105834-B</v>
      </c>
      <c r="B10" s="5" t="str">
        <f ca="1">IFERROR(__xludf.DUMMYFUNCTION("""COMPUTED_VALUE"""),"الجيزة")</f>
        <v>الجيزة</v>
      </c>
      <c r="C10" s="5" t="str">
        <f ca="1">IFERROR(__xludf.DUMMYFUNCTION("""COMPUTED_VALUE"""),"السادس من اكتوبر")</f>
        <v>السادس من اكتوبر</v>
      </c>
      <c r="D10" s="5" t="str">
        <f ca="1">IFERROR(__xludf.DUMMYFUNCTION("""COMPUTED_VALUE"""),"معمل")</f>
        <v>معمل</v>
      </c>
      <c r="E10" s="5" t="str">
        <f ca="1">IFERROR(__xludf.DUMMYFUNCTION("""COMPUTED_VALUE"""),"معمل")</f>
        <v>معمل</v>
      </c>
      <c r="F10" s="5" t="str">
        <f ca="1">IFERROR(__xludf.DUMMYFUNCTION("""COMPUTED_VALUE"""),"معمل التحاليل الطبية")</f>
        <v>معمل التحاليل الطبية</v>
      </c>
      <c r="G10" s="5" t="str">
        <f ca="1">IFERROR(__xludf.DUMMYFUNCTION("""COMPUTED_VALUE"""),"معامل جراند للتحاليل الطبيه")</f>
        <v>معامل جراند للتحاليل الطبيه</v>
      </c>
      <c r="H10" s="5" t="str">
        <f ca="1">IFERROR(__xludf.DUMMYFUNCTION("""COMPUTED_VALUE"""),"1109 عمارات البرعى بلازا - ميدان الحصرى")</f>
        <v>1109 عمارات البرعى بلازا - ميدان الحصرى</v>
      </c>
      <c r="I10" s="6" t="str">
        <f ca="1">IFERROR(__xludf.DUMMYFUNCTION("""COMPUTED_VALUE"""),"01211216961")</f>
        <v>01211216961</v>
      </c>
      <c r="J10" s="6"/>
      <c r="K10" s="6" t="str">
        <f ca="1">IFERROR(__xludf.DUMMYFUNCTION("""COMPUTED_VALUE"""),"25% على جميع الخدمات")</f>
        <v>25% على جميع الخدمات</v>
      </c>
    </row>
    <row r="11" spans="1:11" x14ac:dyDescent="0.25">
      <c r="A11" s="4" t="str">
        <f ca="1">IFERROR(__xludf.DUMMYFUNCTION("""COMPUTED_VALUE"""),"105834-B")</f>
        <v>105834-B</v>
      </c>
      <c r="B11" s="5" t="str">
        <f ca="1">IFERROR(__xludf.DUMMYFUNCTION("""COMPUTED_VALUE"""),"الجيزة")</f>
        <v>الجيزة</v>
      </c>
      <c r="C11" s="5" t="str">
        <f ca="1">IFERROR(__xludf.DUMMYFUNCTION("""COMPUTED_VALUE"""),"الشيخ زايد")</f>
        <v>الشيخ زايد</v>
      </c>
      <c r="D11" s="5" t="str">
        <f ca="1">IFERROR(__xludf.DUMMYFUNCTION("""COMPUTED_VALUE"""),"معمل")</f>
        <v>معمل</v>
      </c>
      <c r="E11" s="5" t="str">
        <f ca="1">IFERROR(__xludf.DUMMYFUNCTION("""COMPUTED_VALUE"""),"معمل")</f>
        <v>معمل</v>
      </c>
      <c r="F11" s="5" t="str">
        <f ca="1">IFERROR(__xludf.DUMMYFUNCTION("""COMPUTED_VALUE"""),"معمل التحاليل الطبية")</f>
        <v>معمل التحاليل الطبية</v>
      </c>
      <c r="G11" s="5" t="str">
        <f ca="1">IFERROR(__xludf.DUMMYFUNCTION("""COMPUTED_VALUE"""),"معامل جراند للتحاليل الطبيه")</f>
        <v>معامل جراند للتحاليل الطبيه</v>
      </c>
      <c r="H11" s="5" t="str">
        <f ca="1">IFERROR(__xludf.DUMMYFUNCTION("""COMPUTED_VALUE"""),"عيادات نيو جراند ومعمل جراند ستريب مول سوديك")</f>
        <v>عيادات نيو جراند ومعمل جراند ستريب مول سوديك</v>
      </c>
      <c r="I11" s="6" t="str">
        <f ca="1">IFERROR(__xludf.DUMMYFUNCTION("""COMPUTED_VALUE"""),"38577608")</f>
        <v>38577608</v>
      </c>
      <c r="J11" s="6"/>
      <c r="K11" s="6" t="str">
        <f ca="1">IFERROR(__xludf.DUMMYFUNCTION("""COMPUTED_VALUE"""),"25% على جميع الخدمات")</f>
        <v>25% على جميع الخدمات</v>
      </c>
    </row>
    <row r="12" spans="1:11" x14ac:dyDescent="0.25">
      <c r="A12" s="4" t="str">
        <f ca="1">IFERROR(__xludf.DUMMYFUNCTION("""COMPUTED_VALUE"""),"105834-B")</f>
        <v>105834-B</v>
      </c>
      <c r="B12" s="5" t="str">
        <f ca="1">IFERROR(__xludf.DUMMYFUNCTION("""COMPUTED_VALUE"""),"القاهرة")</f>
        <v>القاهرة</v>
      </c>
      <c r="C12" s="5" t="str">
        <f ca="1">IFERROR(__xludf.DUMMYFUNCTION("""COMPUTED_VALUE"""),"وسط البلد")</f>
        <v>وسط البلد</v>
      </c>
      <c r="D12" s="5" t="str">
        <f ca="1">IFERROR(__xludf.DUMMYFUNCTION("""COMPUTED_VALUE"""),"معمل")</f>
        <v>معمل</v>
      </c>
      <c r="E12" s="5" t="str">
        <f ca="1">IFERROR(__xludf.DUMMYFUNCTION("""COMPUTED_VALUE"""),"معمل")</f>
        <v>معمل</v>
      </c>
      <c r="F12" s="5" t="str">
        <f ca="1">IFERROR(__xludf.DUMMYFUNCTION("""COMPUTED_VALUE"""),"معمل التحاليل الطبية")</f>
        <v>معمل التحاليل الطبية</v>
      </c>
      <c r="G12" s="5" t="str">
        <f ca="1">IFERROR(__xludf.DUMMYFUNCTION("""COMPUTED_VALUE"""),"معامل جراند للتحاليل الطبيه")</f>
        <v>معامل جراند للتحاليل الطبيه</v>
      </c>
      <c r="H12" s="5" t="str">
        <f ca="1">IFERROR(__xludf.DUMMYFUNCTION("""COMPUTED_VALUE"""),"11 شارع شريف - أمام عماره اللواء")</f>
        <v>11 شارع شريف - أمام عماره اللواء</v>
      </c>
      <c r="I12" s="6" t="str">
        <f ca="1">IFERROR(__xludf.DUMMYFUNCTION("""COMPUTED_VALUE"""),"23907228")</f>
        <v>23907228</v>
      </c>
      <c r="J12" s="6"/>
      <c r="K12" s="6" t="str">
        <f ca="1">IFERROR(__xludf.DUMMYFUNCTION("""COMPUTED_VALUE"""),"25% على جميع الخدمات")</f>
        <v>25% على جميع الخدمات</v>
      </c>
    </row>
    <row r="13" spans="1:11" x14ac:dyDescent="0.25">
      <c r="A13" s="4" t="str">
        <f ca="1">IFERROR(__xludf.DUMMYFUNCTION("""COMPUTED_VALUE"""),"105834-B")</f>
        <v>105834-B</v>
      </c>
      <c r="B13" s="5" t="str">
        <f ca="1">IFERROR(__xludf.DUMMYFUNCTION("""COMPUTED_VALUE"""),"القاهرة")</f>
        <v>القاهرة</v>
      </c>
      <c r="C13" s="5" t="str">
        <f ca="1">IFERROR(__xludf.DUMMYFUNCTION("""COMPUTED_VALUE"""),"مصر الجديدة")</f>
        <v>مصر الجديدة</v>
      </c>
      <c r="D13" s="5" t="str">
        <f ca="1">IFERROR(__xludf.DUMMYFUNCTION("""COMPUTED_VALUE"""),"معمل")</f>
        <v>معمل</v>
      </c>
      <c r="E13" s="5" t="str">
        <f ca="1">IFERROR(__xludf.DUMMYFUNCTION("""COMPUTED_VALUE"""),"معمل")</f>
        <v>معمل</v>
      </c>
      <c r="F13" s="5" t="str">
        <f ca="1">IFERROR(__xludf.DUMMYFUNCTION("""COMPUTED_VALUE"""),"معمل التحاليل الطبية")</f>
        <v>معمل التحاليل الطبية</v>
      </c>
      <c r="G13" s="5" t="str">
        <f ca="1">IFERROR(__xludf.DUMMYFUNCTION("""COMPUTED_VALUE"""),"معامل جراند للتحاليل الطبيه")</f>
        <v>معامل جراند للتحاليل الطبيه</v>
      </c>
      <c r="H13" s="5" t="str">
        <f ca="1">IFERROR(__xludf.DUMMYFUNCTION("""COMPUTED_VALUE"""),"60 شارع نخله المطيعى امام البنك الاهلى - ميدان تريومف")</f>
        <v>60 شارع نخله المطيعى امام البنك الاهلى - ميدان تريومف</v>
      </c>
      <c r="I13" s="6" t="str">
        <f ca="1">IFERROR(__xludf.DUMMYFUNCTION("""COMPUTED_VALUE"""),"27758251")</f>
        <v>27758251</v>
      </c>
      <c r="J13" s="6"/>
      <c r="K13" s="6" t="str">
        <f ca="1">IFERROR(__xludf.DUMMYFUNCTION("""COMPUTED_VALUE"""),"25% على جميع الخدمات")</f>
        <v>25% على جميع الخدمات</v>
      </c>
    </row>
    <row r="14" spans="1:11" x14ac:dyDescent="0.25">
      <c r="A14" s="4" t="str">
        <f ca="1">IFERROR(__xludf.DUMMYFUNCTION("""COMPUTED_VALUE"""),"105834-B")</f>
        <v>105834-B</v>
      </c>
      <c r="B14" s="5" t="str">
        <f ca="1">IFERROR(__xludf.DUMMYFUNCTION("""COMPUTED_VALUE"""),"القاهرة")</f>
        <v>القاهرة</v>
      </c>
      <c r="C14" s="5" t="str">
        <f ca="1">IFERROR(__xludf.DUMMYFUNCTION("""COMPUTED_VALUE"""),"مصر الجديدة")</f>
        <v>مصر الجديدة</v>
      </c>
      <c r="D14" s="5" t="str">
        <f ca="1">IFERROR(__xludf.DUMMYFUNCTION("""COMPUTED_VALUE"""),"معمل")</f>
        <v>معمل</v>
      </c>
      <c r="E14" s="5" t="str">
        <f ca="1">IFERROR(__xludf.DUMMYFUNCTION("""COMPUTED_VALUE"""),"معمل")</f>
        <v>معمل</v>
      </c>
      <c r="F14" s="5" t="str">
        <f ca="1">IFERROR(__xludf.DUMMYFUNCTION("""COMPUTED_VALUE"""),"معمل التحاليل الطبية")</f>
        <v>معمل التحاليل الطبية</v>
      </c>
      <c r="G14" s="5" t="str">
        <f ca="1">IFERROR(__xludf.DUMMYFUNCTION("""COMPUTED_VALUE"""),"معامل جراند للتحاليل الطبيه")</f>
        <v>معامل جراند للتحاليل الطبيه</v>
      </c>
      <c r="H14" s="5" t="str">
        <f ca="1">IFERROR(__xludf.DUMMYFUNCTION("""COMPUTED_VALUE"""),"33شارع القبة -بجوار العبودى -ميدان روكسى")</f>
        <v>33شارع القبة -بجوار العبودى -ميدان روكسى</v>
      </c>
      <c r="I14" s="6" t="str">
        <f ca="1">IFERROR(__xludf.DUMMYFUNCTION("""COMPUTED_VALUE"""),"01285012128")</f>
        <v>01285012128</v>
      </c>
      <c r="J14" s="6"/>
      <c r="K14" s="6" t="str">
        <f ca="1">IFERROR(__xludf.DUMMYFUNCTION("""COMPUTED_VALUE"""),"25% على جميع الخدمات")</f>
        <v>25% على جميع الخدمات</v>
      </c>
    </row>
    <row r="15" spans="1:11" x14ac:dyDescent="0.25">
      <c r="A15" s="4" t="str">
        <f ca="1">IFERROR(__xludf.DUMMYFUNCTION("""COMPUTED_VALUE"""),"105834-B")</f>
        <v>105834-B</v>
      </c>
      <c r="B15" s="5" t="str">
        <f ca="1">IFERROR(__xludf.DUMMYFUNCTION("""COMPUTED_VALUE"""),"القاهرة")</f>
        <v>القاهرة</v>
      </c>
      <c r="C15" s="5" t="str">
        <f ca="1">IFERROR(__xludf.DUMMYFUNCTION("""COMPUTED_VALUE"""),"مدينة نصر")</f>
        <v>مدينة نصر</v>
      </c>
      <c r="D15" s="5" t="str">
        <f ca="1">IFERROR(__xludf.DUMMYFUNCTION("""COMPUTED_VALUE"""),"معمل")</f>
        <v>معمل</v>
      </c>
      <c r="E15" s="5" t="str">
        <f ca="1">IFERROR(__xludf.DUMMYFUNCTION("""COMPUTED_VALUE"""),"معمل")</f>
        <v>معمل</v>
      </c>
      <c r="F15" s="5" t="str">
        <f ca="1">IFERROR(__xludf.DUMMYFUNCTION("""COMPUTED_VALUE"""),"معمل التحاليل الطبية")</f>
        <v>معمل التحاليل الطبية</v>
      </c>
      <c r="G15" s="5" t="str">
        <f ca="1">IFERROR(__xludf.DUMMYFUNCTION("""COMPUTED_VALUE"""),"معامل جراند للتحاليل الطبيه")</f>
        <v>معامل جراند للتحاليل الطبيه</v>
      </c>
      <c r="H15" s="5" t="str">
        <f ca="1">IFERROR(__xludf.DUMMYFUNCTION("""COMPUTED_VALUE"""),"2 شارع محمد عبد الحليم متفرع من شارع حسنين هيكل بجوار مستشفى دار الحكمه")</f>
        <v>2 شارع محمد عبد الحليم متفرع من شارع حسنين هيكل بجوار مستشفى دار الحكمه</v>
      </c>
      <c r="I15" s="6" t="str">
        <f ca="1">IFERROR(__xludf.DUMMYFUNCTION("""COMPUTED_VALUE"""),"267406778")</f>
        <v>267406778</v>
      </c>
      <c r="J15" s="6"/>
      <c r="K15" s="6" t="str">
        <f ca="1">IFERROR(__xludf.DUMMYFUNCTION("""COMPUTED_VALUE"""),"25% على جميع الخدمات")</f>
        <v>25% على جميع الخدمات</v>
      </c>
    </row>
    <row r="16" spans="1:11" x14ac:dyDescent="0.25">
      <c r="A16" s="4" t="str">
        <f ca="1">IFERROR(__xludf.DUMMYFUNCTION("""COMPUTED_VALUE"""),"105834-B")</f>
        <v>105834-B</v>
      </c>
      <c r="B16" s="5" t="str">
        <f ca="1">IFERROR(__xludf.DUMMYFUNCTION("""COMPUTED_VALUE"""),"القاهرة")</f>
        <v>القاهرة</v>
      </c>
      <c r="C16" s="5" t="str">
        <f ca="1">IFERROR(__xludf.DUMMYFUNCTION("""COMPUTED_VALUE"""),"مدينة نصر")</f>
        <v>مدينة نصر</v>
      </c>
      <c r="D16" s="5" t="str">
        <f ca="1">IFERROR(__xludf.DUMMYFUNCTION("""COMPUTED_VALUE"""),"معمل")</f>
        <v>معمل</v>
      </c>
      <c r="E16" s="5" t="str">
        <f ca="1">IFERROR(__xludf.DUMMYFUNCTION("""COMPUTED_VALUE"""),"معمل")</f>
        <v>معمل</v>
      </c>
      <c r="F16" s="5" t="str">
        <f ca="1">IFERROR(__xludf.DUMMYFUNCTION("""COMPUTED_VALUE"""),"معمل التحاليل الطبية")</f>
        <v>معمل التحاليل الطبية</v>
      </c>
      <c r="G16" s="5" t="str">
        <f ca="1">IFERROR(__xludf.DUMMYFUNCTION("""COMPUTED_VALUE"""),"معامل جراند للتحاليل الطبيه")</f>
        <v>معامل جراند للتحاليل الطبيه</v>
      </c>
      <c r="H16" s="5" t="str">
        <f ca="1">IFERROR(__xludf.DUMMYFUNCTION("""COMPUTED_VALUE"""),"96 شارع مصطفى النحاس بمدينه نصر - برج الاطباء")</f>
        <v>96 شارع مصطفى النحاس بمدينه نصر - برج الاطباء</v>
      </c>
      <c r="I16" s="6" t="str">
        <f ca="1">IFERROR(__xludf.DUMMYFUNCTION("""COMPUTED_VALUE"""),"22744226")</f>
        <v>22744226</v>
      </c>
      <c r="J16" s="6"/>
      <c r="K16" s="6" t="str">
        <f ca="1">IFERROR(__xludf.DUMMYFUNCTION("""COMPUTED_VALUE"""),"25% على جميع الخدمات")</f>
        <v>25% على جميع الخدمات</v>
      </c>
    </row>
    <row r="17" spans="1:11" x14ac:dyDescent="0.25">
      <c r="A17" s="4" t="str">
        <f ca="1">IFERROR(__xludf.DUMMYFUNCTION("""COMPUTED_VALUE"""),"105834-B")</f>
        <v>105834-B</v>
      </c>
      <c r="B17" s="5" t="str">
        <f ca="1">IFERROR(__xludf.DUMMYFUNCTION("""COMPUTED_VALUE"""),"القاهرة")</f>
        <v>القاهرة</v>
      </c>
      <c r="C17" s="5" t="str">
        <f ca="1">IFERROR(__xludf.DUMMYFUNCTION("""COMPUTED_VALUE"""),"حلمية الزيتون")</f>
        <v>حلمية الزيتون</v>
      </c>
      <c r="D17" s="5" t="str">
        <f ca="1">IFERROR(__xludf.DUMMYFUNCTION("""COMPUTED_VALUE"""),"معمل")</f>
        <v>معمل</v>
      </c>
      <c r="E17" s="5" t="str">
        <f ca="1">IFERROR(__xludf.DUMMYFUNCTION("""COMPUTED_VALUE"""),"معمل")</f>
        <v>معمل</v>
      </c>
      <c r="F17" s="5" t="str">
        <f ca="1">IFERROR(__xludf.DUMMYFUNCTION("""COMPUTED_VALUE"""),"معمل التحاليل الطبية")</f>
        <v>معمل التحاليل الطبية</v>
      </c>
      <c r="G17" s="5" t="str">
        <f ca="1">IFERROR(__xludf.DUMMYFUNCTION("""COMPUTED_VALUE"""),"معامل جراند للتحاليل الطبيه")</f>
        <v>معامل جراند للتحاليل الطبيه</v>
      </c>
      <c r="H17" s="5" t="str">
        <f ca="1">IFERROR(__xludf.DUMMYFUNCTION("""COMPUTED_VALUE"""),"115 شارع سليم الاول - بجوار بنك قطر")</f>
        <v>115 شارع سليم الاول - بجوار بنك قطر</v>
      </c>
      <c r="I17" s="6" t="str">
        <f ca="1">IFERROR(__xludf.DUMMYFUNCTION("""COMPUTED_VALUE"""),"20674066")</f>
        <v>20674066</v>
      </c>
      <c r="J17" s="6"/>
      <c r="K17" s="6" t="str">
        <f ca="1">IFERROR(__xludf.DUMMYFUNCTION("""COMPUTED_VALUE"""),"25% على جميع الخدمات")</f>
        <v>25% على جميع الخدمات</v>
      </c>
    </row>
    <row r="18" spans="1:11" x14ac:dyDescent="0.25">
      <c r="A18" s="4" t="str">
        <f ca="1">IFERROR(__xludf.DUMMYFUNCTION("""COMPUTED_VALUE"""),"105834-B")</f>
        <v>105834-B</v>
      </c>
      <c r="B18" s="5" t="str">
        <f ca="1">IFERROR(__xludf.DUMMYFUNCTION("""COMPUTED_VALUE"""),"القاهرة")</f>
        <v>القاهرة</v>
      </c>
      <c r="C18" s="5" t="str">
        <f ca="1">IFERROR(__xludf.DUMMYFUNCTION("""COMPUTED_VALUE"""),"القاهرة الجديدة")</f>
        <v>القاهرة الجديدة</v>
      </c>
      <c r="D18" s="5" t="str">
        <f ca="1">IFERROR(__xludf.DUMMYFUNCTION("""COMPUTED_VALUE"""),"معمل")</f>
        <v>معمل</v>
      </c>
      <c r="E18" s="5" t="str">
        <f ca="1">IFERROR(__xludf.DUMMYFUNCTION("""COMPUTED_VALUE"""),"معمل")</f>
        <v>معمل</v>
      </c>
      <c r="F18" s="5" t="str">
        <f ca="1">IFERROR(__xludf.DUMMYFUNCTION("""COMPUTED_VALUE"""),"معمل التحاليل الطبية")</f>
        <v>معمل التحاليل الطبية</v>
      </c>
      <c r="G18" s="5" t="str">
        <f ca="1">IFERROR(__xludf.DUMMYFUNCTION("""COMPUTED_VALUE"""),"معامل جراند للتحاليل الطبيه")</f>
        <v>معامل جراند للتحاليل الطبيه</v>
      </c>
      <c r="H18" s="5" t="str">
        <f ca="1">IFERROR(__xludf.DUMMYFUNCTION("""COMPUTED_VALUE"""),"منطقه البنوك 114 القطاع الأول بجوار مطعم البرج وأعلى مطعم الشبراوى")</f>
        <v>منطقه البنوك 114 القطاع الأول بجوار مطعم البرج وأعلى مطعم الشبراوى</v>
      </c>
      <c r="I18" s="6" t="str">
        <f ca="1">IFERROR(__xludf.DUMMYFUNCTION("""COMPUTED_VALUE"""),"28121005")</f>
        <v>28121005</v>
      </c>
      <c r="J18" s="6"/>
      <c r="K18" s="6" t="str">
        <f ca="1">IFERROR(__xludf.DUMMYFUNCTION("""COMPUTED_VALUE"""),"25% على جميع الخدمات")</f>
        <v>25% على جميع الخدمات</v>
      </c>
    </row>
    <row r="19" spans="1:11" x14ac:dyDescent="0.25">
      <c r="A19" s="4" t="str">
        <f ca="1">IFERROR(__xludf.DUMMYFUNCTION("""COMPUTED_VALUE"""),"105834-B")</f>
        <v>105834-B</v>
      </c>
      <c r="B19" s="5" t="str">
        <f ca="1">IFERROR(__xludf.DUMMYFUNCTION("""COMPUTED_VALUE"""),"القاهرة")</f>
        <v>القاهرة</v>
      </c>
      <c r="C19" s="5" t="str">
        <f ca="1">IFERROR(__xludf.DUMMYFUNCTION("""COMPUTED_VALUE"""),"شبرا")</f>
        <v>شبرا</v>
      </c>
      <c r="D19" s="5" t="str">
        <f ca="1">IFERROR(__xludf.DUMMYFUNCTION("""COMPUTED_VALUE"""),"معمل")</f>
        <v>معمل</v>
      </c>
      <c r="E19" s="5" t="str">
        <f ca="1">IFERROR(__xludf.DUMMYFUNCTION("""COMPUTED_VALUE"""),"معمل")</f>
        <v>معمل</v>
      </c>
      <c r="F19" s="5" t="str">
        <f ca="1">IFERROR(__xludf.DUMMYFUNCTION("""COMPUTED_VALUE"""),"معمل التحاليل الطبية")</f>
        <v>معمل التحاليل الطبية</v>
      </c>
      <c r="G19" s="5" t="str">
        <f ca="1">IFERROR(__xludf.DUMMYFUNCTION("""COMPUTED_VALUE"""),"معامل جراند للتحاليل الطبيه")</f>
        <v>معامل جراند للتحاليل الطبيه</v>
      </c>
      <c r="H19" s="5" t="str">
        <f ca="1">IFERROR(__xludf.DUMMYFUNCTION("""COMPUTED_VALUE"""),"40 شارع شبرا بجوار حى شبرا")</f>
        <v>40 شارع شبرا بجوار حى شبرا</v>
      </c>
      <c r="I19" s="6" t="str">
        <f ca="1">IFERROR(__xludf.DUMMYFUNCTION("""COMPUTED_VALUE"""),"24606058")</f>
        <v>24606058</v>
      </c>
      <c r="J19" s="6"/>
      <c r="K19" s="6" t="str">
        <f ca="1">IFERROR(__xludf.DUMMYFUNCTION("""COMPUTED_VALUE"""),"25% على جميع الخدمات")</f>
        <v>25% على جميع الخدمات</v>
      </c>
    </row>
    <row r="20" spans="1:11" x14ac:dyDescent="0.25">
      <c r="A20" s="4" t="str">
        <f ca="1">IFERROR(__xludf.DUMMYFUNCTION("""COMPUTED_VALUE"""),"105834-B")</f>
        <v>105834-B</v>
      </c>
      <c r="B20" s="5" t="str">
        <f ca="1">IFERROR(__xludf.DUMMYFUNCTION("""COMPUTED_VALUE"""),"القاهرة")</f>
        <v>القاهرة</v>
      </c>
      <c r="C20" s="5" t="str">
        <f ca="1">IFERROR(__xludf.DUMMYFUNCTION("""COMPUTED_VALUE"""),"المعادى")</f>
        <v>المعادى</v>
      </c>
      <c r="D20" s="5" t="str">
        <f ca="1">IFERROR(__xludf.DUMMYFUNCTION("""COMPUTED_VALUE"""),"معمل")</f>
        <v>معمل</v>
      </c>
      <c r="E20" s="5" t="str">
        <f ca="1">IFERROR(__xludf.DUMMYFUNCTION("""COMPUTED_VALUE"""),"معمل")</f>
        <v>معمل</v>
      </c>
      <c r="F20" s="5" t="str">
        <f ca="1">IFERROR(__xludf.DUMMYFUNCTION("""COMPUTED_VALUE"""),"معمل التحاليل الطبية")</f>
        <v>معمل التحاليل الطبية</v>
      </c>
      <c r="G20" s="5" t="str">
        <f ca="1">IFERROR(__xludf.DUMMYFUNCTION("""COMPUTED_VALUE"""),"معامل جراند للتحاليل الطبيه")</f>
        <v>معامل جراند للتحاليل الطبيه</v>
      </c>
      <c r="H20" s="5" t="str">
        <f ca="1">IFERROR(__xludf.DUMMYFUNCTION("""COMPUTED_VALUE"""),"2/8 شارع النصر - امام كشرى التحرير فوق دجاج تكا")</f>
        <v>2/8 شارع النصر - امام كشرى التحرير فوق دجاج تكا</v>
      </c>
      <c r="I20" s="6" t="str">
        <f ca="1">IFERROR(__xludf.DUMMYFUNCTION("""COMPUTED_VALUE"""),"25192835")</f>
        <v>25192835</v>
      </c>
      <c r="J20" s="6"/>
      <c r="K20" s="6" t="str">
        <f ca="1">IFERROR(__xludf.DUMMYFUNCTION("""COMPUTED_VALUE"""),"25% على جميع الخدمات")</f>
        <v>25% على جميع الخدمات</v>
      </c>
    </row>
    <row r="21" spans="1:11" x14ac:dyDescent="0.25">
      <c r="A21" s="4" t="str">
        <f ca="1">IFERROR(__xludf.DUMMYFUNCTION("""COMPUTED_VALUE"""),"105834-B")</f>
        <v>105834-B</v>
      </c>
      <c r="B21" s="5" t="str">
        <f ca="1">IFERROR(__xludf.DUMMYFUNCTION("""COMPUTED_VALUE"""),"القاهرة")</f>
        <v>القاهرة</v>
      </c>
      <c r="C21" s="5" t="str">
        <f ca="1">IFERROR(__xludf.DUMMYFUNCTION("""COMPUTED_VALUE"""),"المنيل")</f>
        <v>المنيل</v>
      </c>
      <c r="D21" s="5" t="str">
        <f ca="1">IFERROR(__xludf.DUMMYFUNCTION("""COMPUTED_VALUE"""),"معمل")</f>
        <v>معمل</v>
      </c>
      <c r="E21" s="5" t="str">
        <f ca="1">IFERROR(__xludf.DUMMYFUNCTION("""COMPUTED_VALUE"""),"معمل")</f>
        <v>معمل</v>
      </c>
      <c r="F21" s="5" t="str">
        <f ca="1">IFERROR(__xludf.DUMMYFUNCTION("""COMPUTED_VALUE"""),"معمل التحاليل الطبية")</f>
        <v>معمل التحاليل الطبية</v>
      </c>
      <c r="G21" s="5" t="str">
        <f ca="1">IFERROR(__xludf.DUMMYFUNCTION("""COMPUTED_VALUE"""),"معامل جراند للتحاليل الطبيه")</f>
        <v>معامل جراند للتحاليل الطبيه</v>
      </c>
      <c r="H21" s="5" t="str">
        <f ca="1">IFERROR(__xludf.DUMMYFUNCTION("""COMPUTED_VALUE"""),"48 شارع المنيل فوق اسواق نيو ماركت")</f>
        <v>48 شارع المنيل فوق اسواق نيو ماركت</v>
      </c>
      <c r="I21" s="6" t="str">
        <f ca="1">IFERROR(__xludf.DUMMYFUNCTION("""COMPUTED_VALUE"""),"25318045")</f>
        <v>25318045</v>
      </c>
      <c r="J21" s="6"/>
      <c r="K21" s="6" t="str">
        <f ca="1">IFERROR(__xludf.DUMMYFUNCTION("""COMPUTED_VALUE"""),"25% على جميع الخدمات")</f>
        <v>25% على جميع الخدمات</v>
      </c>
    </row>
    <row r="22" spans="1:11" x14ac:dyDescent="0.25">
      <c r="A22" s="4" t="str">
        <f ca="1">IFERROR(__xludf.DUMMYFUNCTION("""COMPUTED_VALUE"""),"3886")</f>
        <v>3886</v>
      </c>
      <c r="B22" s="5" t="str">
        <f ca="1">IFERROR(__xludf.DUMMYFUNCTION("""COMPUTED_VALUE"""),"الجيزة")</f>
        <v>الجيزة</v>
      </c>
      <c r="C22" s="5" t="str">
        <f ca="1">IFERROR(__xludf.DUMMYFUNCTION("""COMPUTED_VALUE"""),"المهندسين")</f>
        <v>المهندسين</v>
      </c>
      <c r="D22" s="5" t="str">
        <f ca="1">IFERROR(__xludf.DUMMYFUNCTION("""COMPUTED_VALUE"""),"معمل")</f>
        <v>معمل</v>
      </c>
      <c r="E22" s="5" t="str">
        <f ca="1">IFERROR(__xludf.DUMMYFUNCTION("""COMPUTED_VALUE"""),"معمل")</f>
        <v>معمل</v>
      </c>
      <c r="F22" s="5" t="str">
        <f ca="1">IFERROR(__xludf.DUMMYFUNCTION("""COMPUTED_VALUE"""),"معمل التحاليل الطبية")</f>
        <v>معمل التحاليل الطبية</v>
      </c>
      <c r="G22" s="5" t="str">
        <f ca="1">IFERROR(__xludf.DUMMYFUNCTION("""COMPUTED_VALUE"""),"معمل تكنولاب")</f>
        <v>معمل تكنولاب</v>
      </c>
      <c r="H22" s="5" t="str">
        <f ca="1">IFERROR(__xludf.DUMMYFUNCTION("""COMPUTED_VALUE"""),"75شارع محي الدين ابو العز-المهندسين- الجيزة")</f>
        <v>75شارع محي الدين ابو العز-المهندسين- الجيزة</v>
      </c>
      <c r="I22" s="6" t="str">
        <f ca="1">IFERROR(__xludf.DUMMYFUNCTION("""COMPUTED_VALUE"""),"20237600965")</f>
        <v>20237600965</v>
      </c>
      <c r="J22" s="6"/>
      <c r="K22" s="6" t="str">
        <f ca="1">IFERROR(__xludf.DUMMYFUNCTION("""COMPUTED_VALUE"""),"30% على الخدمات ")</f>
        <v xml:space="preserve">30% على الخدمات </v>
      </c>
    </row>
    <row r="23" spans="1:11" x14ac:dyDescent="0.25">
      <c r="A23" s="4" t="str">
        <f ca="1">IFERROR(__xludf.DUMMYFUNCTION("""COMPUTED_VALUE"""),"3886-B")</f>
        <v>3886-B</v>
      </c>
      <c r="B23" s="5" t="str">
        <f ca="1">IFERROR(__xludf.DUMMYFUNCTION("""COMPUTED_VALUE"""),"القاهرة")</f>
        <v>القاهرة</v>
      </c>
      <c r="C23" s="5" t="str">
        <f ca="1">IFERROR(__xludf.DUMMYFUNCTION("""COMPUTED_VALUE"""),"مدينة نصر")</f>
        <v>مدينة نصر</v>
      </c>
      <c r="D23" s="5" t="str">
        <f ca="1">IFERROR(__xludf.DUMMYFUNCTION("""COMPUTED_VALUE"""),"معمل")</f>
        <v>معمل</v>
      </c>
      <c r="E23" s="5" t="str">
        <f ca="1">IFERROR(__xludf.DUMMYFUNCTION("""COMPUTED_VALUE"""),"معمل")</f>
        <v>معمل</v>
      </c>
      <c r="F23" s="5" t="str">
        <f ca="1">IFERROR(__xludf.DUMMYFUNCTION("""COMPUTED_VALUE"""),"معمل التحاليل الطبية")</f>
        <v>معمل التحاليل الطبية</v>
      </c>
      <c r="G23" s="5" t="str">
        <f ca="1">IFERROR(__xludf.DUMMYFUNCTION("""COMPUTED_VALUE"""),"معمل تكنولاب")</f>
        <v>معمل تكنولاب</v>
      </c>
      <c r="H23" s="5" t="str">
        <f ca="1">IFERROR(__xludf.DUMMYFUNCTION("""COMPUTED_VALUE"""),"5شارع عباس العقاد -مدينة نصر-القاهرة")</f>
        <v>5شارع عباس العقاد -مدينة نصر-القاهرة</v>
      </c>
      <c r="I23" s="6" t="str">
        <f ca="1">IFERROR(__xludf.DUMMYFUNCTION("""COMPUTED_VALUE"""),"20224019825")</f>
        <v>20224019825</v>
      </c>
      <c r="J23" s="6"/>
      <c r="K23" s="6" t="str">
        <f ca="1">IFERROR(__xludf.DUMMYFUNCTION("""COMPUTED_VALUE"""),"30% على الخدمات ")</f>
        <v xml:space="preserve">30% على الخدمات </v>
      </c>
    </row>
    <row r="24" spans="1:11" x14ac:dyDescent="0.25">
      <c r="A24" s="4" t="str">
        <f ca="1">IFERROR(__xludf.DUMMYFUNCTION("""COMPUTED_VALUE"""),"3886-B")</f>
        <v>3886-B</v>
      </c>
      <c r="B24" s="5" t="str">
        <f ca="1">IFERROR(__xludf.DUMMYFUNCTION("""COMPUTED_VALUE"""),"القاهرة")</f>
        <v>القاهرة</v>
      </c>
      <c r="C24" s="5" t="str">
        <f ca="1">IFERROR(__xludf.DUMMYFUNCTION("""COMPUTED_VALUE"""),"وسط البلد")</f>
        <v>وسط البلد</v>
      </c>
      <c r="D24" s="5" t="str">
        <f ca="1">IFERROR(__xludf.DUMMYFUNCTION("""COMPUTED_VALUE"""),"معمل")</f>
        <v>معمل</v>
      </c>
      <c r="E24" s="5" t="str">
        <f ca="1">IFERROR(__xludf.DUMMYFUNCTION("""COMPUTED_VALUE"""),"معمل")</f>
        <v>معمل</v>
      </c>
      <c r="F24" s="5" t="str">
        <f ca="1">IFERROR(__xludf.DUMMYFUNCTION("""COMPUTED_VALUE"""),"معمل التحاليل الطبية")</f>
        <v>معمل التحاليل الطبية</v>
      </c>
      <c r="G24" s="5" t="str">
        <f ca="1">IFERROR(__xludf.DUMMYFUNCTION("""COMPUTED_VALUE"""),"معمل تكنولاب")</f>
        <v>معمل تكنولاب</v>
      </c>
      <c r="H24" s="5" t="str">
        <f ca="1">IFERROR(__xludf.DUMMYFUNCTION("""COMPUTED_VALUE"""),"183ش التحرير- باب اللوق-وسط البلد-القاهرة")</f>
        <v>183ش التحرير- باب اللوق-وسط البلد-القاهرة</v>
      </c>
      <c r="I24" s="6" t="str">
        <f ca="1">IFERROR(__xludf.DUMMYFUNCTION("""COMPUTED_VALUE"""),"20227944922")</f>
        <v>20227944922</v>
      </c>
      <c r="J24" s="6"/>
      <c r="K24" s="6" t="str">
        <f ca="1">IFERROR(__xludf.DUMMYFUNCTION("""COMPUTED_VALUE"""),"30% على الخدمات ")</f>
        <v xml:space="preserve">30% على الخدمات </v>
      </c>
    </row>
    <row r="25" spans="1:11" x14ac:dyDescent="0.25">
      <c r="A25" s="4" t="str">
        <f ca="1">IFERROR(__xludf.DUMMYFUNCTION("""COMPUTED_VALUE"""),"1840")</f>
        <v>1840</v>
      </c>
      <c r="B25" s="5" t="str">
        <f ca="1">IFERROR(__xludf.DUMMYFUNCTION("""COMPUTED_VALUE"""),"القاهرة")</f>
        <v>القاهرة</v>
      </c>
      <c r="C25" s="5" t="str">
        <f ca="1">IFERROR(__xludf.DUMMYFUNCTION("""COMPUTED_VALUE"""),"حدائق القبة")</f>
        <v>حدائق القبة</v>
      </c>
      <c r="D25" s="5" t="str">
        <f ca="1">IFERROR(__xludf.DUMMYFUNCTION("""COMPUTED_VALUE"""),"مستشفى")</f>
        <v>مستشفى</v>
      </c>
      <c r="E25" s="5" t="str">
        <f ca="1">IFERROR(__xludf.DUMMYFUNCTION("""COMPUTED_VALUE"""),"مستشفي طبي متكامل")</f>
        <v>مستشفي طبي متكامل</v>
      </c>
      <c r="F25" s="5" t="str">
        <f ca="1">IFERROR(__xludf.DUMMYFUNCTION("""COMPUTED_VALUE"""),"جميع التخصصات الطبية")</f>
        <v>جميع التخصصات الطبية</v>
      </c>
      <c r="G25" s="5" t="str">
        <f ca="1">IFERROR(__xludf.DUMMYFUNCTION("""COMPUTED_VALUE"""),"مستشفي الامل التخصصي")</f>
        <v>مستشفي الامل التخصصي</v>
      </c>
      <c r="H25" s="5" t="str">
        <f ca="1">IFERROR(__xludf.DUMMYFUNCTION("""COMPUTED_VALUE"""),"67ش عرفات تقسيم الرقابة الادارية-حدائق القبة-القاهرة")</f>
        <v>67ش عرفات تقسيم الرقابة الادارية-حدائق القبة-القاهرة</v>
      </c>
      <c r="I25" s="6" t="str">
        <f ca="1">IFERROR(__xludf.DUMMYFUNCTION("""COMPUTED_VALUE"""),"20224531118")</f>
        <v>20224531118</v>
      </c>
      <c r="J25" s="6"/>
      <c r="K25" s="6" t="str">
        <f ca="1">IFERROR(__xludf.DUMMYFUNCTION("""COMPUTED_VALUE"""),"40% على الكشف -و الداخلى 15% على الداخلى ماعادا الرعاية - الخارجى 25% - الاشعة و التحاليل 25% و الخدمات الاخرى 20%")</f>
        <v>40% على الكشف -و الداخلى 15% على الداخلى ماعادا الرعاية - الخارجى 25% - الاشعة و التحاليل 25% و الخدمات الاخرى 20%</v>
      </c>
    </row>
    <row r="26" spans="1:11" x14ac:dyDescent="0.25">
      <c r="A26" s="4" t="str">
        <f ca="1">IFERROR(__xludf.DUMMYFUNCTION("""COMPUTED_VALUE"""),"1961-B")</f>
        <v>1961-B</v>
      </c>
      <c r="B26" s="5" t="str">
        <f ca="1">IFERROR(__xludf.DUMMYFUNCTION("""COMPUTED_VALUE"""),"الأقصر")</f>
        <v>الأقصر</v>
      </c>
      <c r="C26" s="5" t="str">
        <f ca="1">IFERROR(__xludf.DUMMYFUNCTION("""COMPUTED_VALUE"""),"العوامية")</f>
        <v>العوامية</v>
      </c>
      <c r="D26" s="5" t="str">
        <f ca="1">IFERROR(__xludf.DUMMYFUNCTION("""COMPUTED_VALUE"""),"مستشفى")</f>
        <v>مستشفى</v>
      </c>
      <c r="E26" s="5" t="str">
        <f ca="1">IFERROR(__xludf.DUMMYFUNCTION("""COMPUTED_VALUE"""),"مستشفي طبي متخصص")</f>
        <v>مستشفي طبي متخصص</v>
      </c>
      <c r="F26" s="5" t="str">
        <f ca="1">IFERROR(__xludf.DUMMYFUNCTION("""COMPUTED_VALUE"""),"رمد (جراحة عيون)")</f>
        <v>رمد (جراحة عيون)</v>
      </c>
      <c r="G26" s="5" t="str">
        <f ca="1">IFERROR(__xludf.DUMMYFUNCTION("""COMPUTED_VALUE"""),"مستشفى العيون الدولي")</f>
        <v>مستشفى العيون الدولي</v>
      </c>
      <c r="H26" s="5" t="str">
        <f ca="1">IFERROR(__xludf.DUMMYFUNCTION("""COMPUTED_VALUE"""),"شارع شجرة الدر من شارع خالد بن الوليد-نزلة الزناتى-العوامية-الاقصر")</f>
        <v>شارع شجرة الدر من شارع خالد بن الوليد-نزلة الزناتى-العوامية-الاقصر</v>
      </c>
      <c r="I26" s="6" t="str">
        <f ca="1">IFERROR(__xludf.DUMMYFUNCTION("""COMPUTED_VALUE"""),"01200005885")</f>
        <v>01200005885</v>
      </c>
      <c r="J26" s="6" t="str">
        <f ca="1">IFERROR(__xludf.DUMMYFUNCTION("""COMPUTED_VALUE"""),"19650")</f>
        <v>19650</v>
      </c>
      <c r="K26" s="6" t="str">
        <f ca="1">IFERROR(__xludf.DUMMYFUNCTION("""COMPUTED_VALUE"""),"15% علي الأسعار النقدي المعلنه")</f>
        <v>15% علي الأسعار النقدي المعلنه</v>
      </c>
    </row>
    <row r="27" spans="1:11" x14ac:dyDescent="0.25">
      <c r="A27" s="4" t="str">
        <f ca="1">IFERROR(__xludf.DUMMYFUNCTION("""COMPUTED_VALUE"""),"1961-B")</f>
        <v>1961-B</v>
      </c>
      <c r="B27" s="5" t="str">
        <f ca="1">IFERROR(__xludf.DUMMYFUNCTION("""COMPUTED_VALUE"""),"الجيزة")</f>
        <v>الجيزة</v>
      </c>
      <c r="C27" s="5" t="str">
        <f ca="1">IFERROR(__xludf.DUMMYFUNCTION("""COMPUTED_VALUE"""),"الدقي")</f>
        <v>الدقي</v>
      </c>
      <c r="D27" s="5" t="str">
        <f ca="1">IFERROR(__xludf.DUMMYFUNCTION("""COMPUTED_VALUE"""),"مستشفى")</f>
        <v>مستشفى</v>
      </c>
      <c r="E27" s="5" t="str">
        <f ca="1">IFERROR(__xludf.DUMMYFUNCTION("""COMPUTED_VALUE"""),"مستشفي طبي متخصص")</f>
        <v>مستشفي طبي متخصص</v>
      </c>
      <c r="F27" s="5" t="str">
        <f ca="1">IFERROR(__xludf.DUMMYFUNCTION("""COMPUTED_VALUE"""),"رمد (جراحة عيون)")</f>
        <v>رمد (جراحة عيون)</v>
      </c>
      <c r="G27" s="5" t="str">
        <f ca="1">IFERROR(__xludf.DUMMYFUNCTION("""COMPUTED_VALUE"""),"مستشفى العيون الدولي")</f>
        <v>مستشفى العيون الدولي</v>
      </c>
      <c r="H27" s="5" t="str">
        <f ca="1">IFERROR(__xludf.DUMMYFUNCTION("""COMPUTED_VALUE"""),"مركز عيون الاطفال: 19  شارع عادل حسين رستم السرايا سابقا-ميدان فينى-الدقى- الجيزة")</f>
        <v>مركز عيون الاطفال: 19  شارع عادل حسين رستم السرايا سابقا-ميدان فينى-الدقى- الجيزة</v>
      </c>
      <c r="I27" s="6" t="str">
        <f ca="1">IFERROR(__xludf.DUMMYFUNCTION("""COMPUTED_VALUE"""),"0233362636")</f>
        <v>0233362636</v>
      </c>
      <c r="J27" s="6" t="str">
        <f ca="1">IFERROR(__xludf.DUMMYFUNCTION("""COMPUTED_VALUE"""),"19650")</f>
        <v>19650</v>
      </c>
      <c r="K27" s="6" t="str">
        <f ca="1">IFERROR(__xludf.DUMMYFUNCTION("""COMPUTED_VALUE"""),"15% علي الأسعار النقدي المعلنه")</f>
        <v>15% علي الأسعار النقدي المعلنه</v>
      </c>
    </row>
    <row r="28" spans="1:11" x14ac:dyDescent="0.25">
      <c r="A28" s="4" t="str">
        <f ca="1">IFERROR(__xludf.DUMMYFUNCTION("""COMPUTED_VALUE"""),"1961")</f>
        <v>1961</v>
      </c>
      <c r="B28" s="5" t="str">
        <f ca="1">IFERROR(__xludf.DUMMYFUNCTION("""COMPUTED_VALUE"""),"الجيزة")</f>
        <v>الجيزة</v>
      </c>
      <c r="C28" s="5" t="str">
        <f ca="1">IFERROR(__xludf.DUMMYFUNCTION("""COMPUTED_VALUE"""),"الدقي")</f>
        <v>الدقي</v>
      </c>
      <c r="D28" s="5" t="str">
        <f ca="1">IFERROR(__xludf.DUMMYFUNCTION("""COMPUTED_VALUE"""),"مستشفى")</f>
        <v>مستشفى</v>
      </c>
      <c r="E28" s="5" t="str">
        <f ca="1">IFERROR(__xludf.DUMMYFUNCTION("""COMPUTED_VALUE"""),"مستشفي طبي متخصص")</f>
        <v>مستشفي طبي متخصص</v>
      </c>
      <c r="F28" s="5" t="str">
        <f ca="1">IFERROR(__xludf.DUMMYFUNCTION("""COMPUTED_VALUE"""),"رمد (جراحة عيون)")</f>
        <v>رمد (جراحة عيون)</v>
      </c>
      <c r="G28" s="5" t="str">
        <f ca="1">IFERROR(__xludf.DUMMYFUNCTION("""COMPUTED_VALUE"""),"مستشفى العيون الدولي")</f>
        <v>مستشفى العيون الدولي</v>
      </c>
      <c r="H28" s="5" t="str">
        <f ca="1">IFERROR(__xludf.DUMMYFUNCTION("""COMPUTED_VALUE"""),"14 شارع عادل حسين رستم (السرايا سابقاً) ميدان فيني- الدقي الجيزة")</f>
        <v>14 شارع عادل حسين رستم (السرايا سابقاً) ميدان فيني- الدقي الجيزة</v>
      </c>
      <c r="I28" s="6" t="str">
        <f ca="1">IFERROR(__xludf.DUMMYFUNCTION("""COMPUTED_VALUE"""),"20233381818")</f>
        <v>20233381818</v>
      </c>
      <c r="J28" s="6" t="str">
        <f ca="1">IFERROR(__xludf.DUMMYFUNCTION("""COMPUTED_VALUE"""),"19650")</f>
        <v>19650</v>
      </c>
      <c r="K28" s="6" t="str">
        <f ca="1">IFERROR(__xludf.DUMMYFUNCTION("""COMPUTED_VALUE"""),"15% علي الأسعار النقدي المعلنه")</f>
        <v>15% علي الأسعار النقدي المعلنه</v>
      </c>
    </row>
    <row r="29" spans="1:11" x14ac:dyDescent="0.25">
      <c r="A29" s="4" t="str">
        <f ca="1">IFERROR(__xludf.DUMMYFUNCTION("""COMPUTED_VALUE"""),"1961-B")</f>
        <v>1961-B</v>
      </c>
      <c r="B29" s="5" t="str">
        <f ca="1">IFERROR(__xludf.DUMMYFUNCTION("""COMPUTED_VALUE"""),"القاهرة")</f>
        <v>القاهرة</v>
      </c>
      <c r="C29" s="5" t="str">
        <f ca="1">IFERROR(__xludf.DUMMYFUNCTION("""COMPUTED_VALUE"""),"مصر الجديدة")</f>
        <v>مصر الجديدة</v>
      </c>
      <c r="D29" s="5" t="str">
        <f ca="1">IFERROR(__xludf.DUMMYFUNCTION("""COMPUTED_VALUE"""),"مستشفى")</f>
        <v>مستشفى</v>
      </c>
      <c r="E29" s="5" t="str">
        <f ca="1">IFERROR(__xludf.DUMMYFUNCTION("""COMPUTED_VALUE"""),"مستشفي طبي متخصص")</f>
        <v>مستشفي طبي متخصص</v>
      </c>
      <c r="F29" s="5" t="str">
        <f ca="1">IFERROR(__xludf.DUMMYFUNCTION("""COMPUTED_VALUE"""),"رمد (جراحة عيون)")</f>
        <v>رمد (جراحة عيون)</v>
      </c>
      <c r="G29" s="5" t="str">
        <f ca="1">IFERROR(__xludf.DUMMYFUNCTION("""COMPUTED_VALUE"""),"مستشفى العيون الدولي")</f>
        <v>مستشفى العيون الدولي</v>
      </c>
      <c r="H29" s="5" t="str">
        <f ca="1">IFERROR(__xludf.DUMMYFUNCTION("""COMPUTED_VALUE"""),"21 شارع الأندلس-خلف الميريلاند-روكسى-مصرالجديدة-مصر الجديدة-القاهرة")</f>
        <v>21 شارع الأندلس-خلف الميريلاند-روكسى-مصرالجديدة-مصر الجديدة-القاهرة</v>
      </c>
      <c r="I29" s="6" t="str">
        <f ca="1">IFERROR(__xludf.DUMMYFUNCTION("""COMPUTED_VALUE"""),"0224520301")</f>
        <v>0224520301</v>
      </c>
      <c r="J29" s="6" t="str">
        <f ca="1">IFERROR(__xludf.DUMMYFUNCTION("""COMPUTED_VALUE"""),"19650")</f>
        <v>19650</v>
      </c>
      <c r="K29" s="6" t="str">
        <f ca="1">IFERROR(__xludf.DUMMYFUNCTION("""COMPUTED_VALUE"""),"15% علي الأسعار النقدي المعلنه")</f>
        <v>15% علي الأسعار النقدي المعلنه</v>
      </c>
    </row>
    <row r="30" spans="1:11" x14ac:dyDescent="0.25">
      <c r="A30" s="4" t="str">
        <f ca="1">IFERROR(__xludf.DUMMYFUNCTION("""COMPUTED_VALUE"""),"1961-B")</f>
        <v>1961-B</v>
      </c>
      <c r="B30" s="5" t="str">
        <f ca="1">IFERROR(__xludf.DUMMYFUNCTION("""COMPUTED_VALUE"""),"بني سويف")</f>
        <v>بني سويف</v>
      </c>
      <c r="C30" s="5" t="str">
        <f ca="1">IFERROR(__xludf.DUMMYFUNCTION("""COMPUTED_VALUE"""),"بني سويف")</f>
        <v>بني سويف</v>
      </c>
      <c r="D30" s="5" t="str">
        <f ca="1">IFERROR(__xludf.DUMMYFUNCTION("""COMPUTED_VALUE"""),"مستشفى")</f>
        <v>مستشفى</v>
      </c>
      <c r="E30" s="5" t="str">
        <f ca="1">IFERROR(__xludf.DUMMYFUNCTION("""COMPUTED_VALUE"""),"مستشفي طبي متخصص")</f>
        <v>مستشفي طبي متخصص</v>
      </c>
      <c r="F30" s="5" t="str">
        <f ca="1">IFERROR(__xludf.DUMMYFUNCTION("""COMPUTED_VALUE"""),"رمد (جراحة عيون)")</f>
        <v>رمد (جراحة عيون)</v>
      </c>
      <c r="G30" s="5" t="str">
        <f ca="1">IFERROR(__xludf.DUMMYFUNCTION("""COMPUTED_VALUE"""),"مستشفى العيون الدولي")</f>
        <v>مستشفى العيون الدولي</v>
      </c>
      <c r="H30" s="5" t="str">
        <f ca="1">IFERROR(__xludf.DUMMYFUNCTION("""COMPUTED_VALUE"""),"شارع الفيوم الجديد بجوار مدارس الصفوة - بني سويف")</f>
        <v>شارع الفيوم الجديد بجوار مدارس الصفوة - بني سويف</v>
      </c>
      <c r="I30" s="6" t="str">
        <f ca="1">IFERROR(__xludf.DUMMYFUNCTION("""COMPUTED_VALUE"""),"0822219114")</f>
        <v>0822219114</v>
      </c>
      <c r="J30" s="6" t="str">
        <f ca="1">IFERROR(__xludf.DUMMYFUNCTION("""COMPUTED_VALUE"""),"19650")</f>
        <v>19650</v>
      </c>
      <c r="K30" s="6" t="str">
        <f ca="1">IFERROR(__xludf.DUMMYFUNCTION("""COMPUTED_VALUE"""),"15% علي الأسعار النقدي المعلنه")</f>
        <v>15% علي الأسعار النقدي المعلنه</v>
      </c>
    </row>
    <row r="31" spans="1:11" x14ac:dyDescent="0.25">
      <c r="A31" s="4" t="str">
        <f ca="1">IFERROR(__xludf.DUMMYFUNCTION("""COMPUTED_VALUE"""),"1961-B")</f>
        <v>1961-B</v>
      </c>
      <c r="B31" s="5" t="str">
        <f ca="1">IFERROR(__xludf.DUMMYFUNCTION("""COMPUTED_VALUE"""),"الفيوم")</f>
        <v>الفيوم</v>
      </c>
      <c r="C31" s="5" t="str">
        <f ca="1">IFERROR(__xludf.DUMMYFUNCTION("""COMPUTED_VALUE"""),"الفيوم")</f>
        <v>الفيوم</v>
      </c>
      <c r="D31" s="5" t="str">
        <f ca="1">IFERROR(__xludf.DUMMYFUNCTION("""COMPUTED_VALUE"""),"مستشفى")</f>
        <v>مستشفى</v>
      </c>
      <c r="E31" s="5" t="str">
        <f ca="1">IFERROR(__xludf.DUMMYFUNCTION("""COMPUTED_VALUE"""),"مستشفي طبي متخصص")</f>
        <v>مستشفي طبي متخصص</v>
      </c>
      <c r="F31" s="5" t="str">
        <f ca="1">IFERROR(__xludf.DUMMYFUNCTION("""COMPUTED_VALUE"""),"رمد (جراحة عيون)")</f>
        <v>رمد (جراحة عيون)</v>
      </c>
      <c r="G31" s="5" t="str">
        <f ca="1">IFERROR(__xludf.DUMMYFUNCTION("""COMPUTED_VALUE"""),"مستشفى العيون الدولي")</f>
        <v>مستشفى العيون الدولي</v>
      </c>
      <c r="H31" s="5" t="str">
        <f ca="1">IFERROR(__xludf.DUMMYFUNCTION("""COMPUTED_VALUE"""),"16 شارع العمدة متفرع من شارع الحرية اعلى النساجون الشرقيون-الفيوم")</f>
        <v>16 شارع العمدة متفرع من شارع الحرية اعلى النساجون الشرقيون-الفيوم</v>
      </c>
      <c r="I31" s="6" t="str">
        <f ca="1">IFERROR(__xludf.DUMMYFUNCTION("""COMPUTED_VALUE"""),"01151119650")</f>
        <v>01151119650</v>
      </c>
      <c r="J31" s="6" t="str">
        <f ca="1">IFERROR(__xludf.DUMMYFUNCTION("""COMPUTED_VALUE"""),"19650")</f>
        <v>19650</v>
      </c>
      <c r="K31" s="6" t="str">
        <f ca="1">IFERROR(__xludf.DUMMYFUNCTION("""COMPUTED_VALUE"""),"15% علي الأسعار النقدي المعلنه")</f>
        <v>15% علي الأسعار النقدي المعلنه</v>
      </c>
    </row>
    <row r="32" spans="1:11" x14ac:dyDescent="0.25">
      <c r="A32" s="4" t="str">
        <f ca="1">IFERROR(__xludf.DUMMYFUNCTION("""COMPUTED_VALUE"""),"104575")</f>
        <v>104575</v>
      </c>
      <c r="B32" s="5" t="str">
        <f ca="1">IFERROR(__xludf.DUMMYFUNCTION("""COMPUTED_VALUE"""),"الجيزة")</f>
        <v>الجيزة</v>
      </c>
      <c r="C32" s="5" t="str">
        <f ca="1">IFERROR(__xludf.DUMMYFUNCTION("""COMPUTED_VALUE"""),"فيصل")</f>
        <v>فيصل</v>
      </c>
      <c r="D32" s="5" t="str">
        <f ca="1">IFERROR(__xludf.DUMMYFUNCTION("""COMPUTED_VALUE"""),"هيئة الأطباء")</f>
        <v>هيئة الأطباء</v>
      </c>
      <c r="E32" s="5" t="str">
        <f ca="1">IFERROR(__xludf.DUMMYFUNCTION("""COMPUTED_VALUE"""),"جراحة")</f>
        <v>جراحة</v>
      </c>
      <c r="F32" s="5" t="str">
        <f ca="1">IFERROR(__xludf.DUMMYFUNCTION("""COMPUTED_VALUE"""),"جراحة عظام")</f>
        <v>جراحة عظام</v>
      </c>
      <c r="G32" s="5" t="str">
        <f ca="1">IFERROR(__xludf.DUMMYFUNCTION("""COMPUTED_VALUE"""),"د/ خالد أحمد محمد دسوقي الحوت")</f>
        <v>د/ خالد أحمد محمد دسوقي الحوت</v>
      </c>
      <c r="H32" s="5" t="str">
        <f ca="1">IFERROR(__xludf.DUMMYFUNCTION("""COMPUTED_VALUE"""),"236شارع فيصل -محطة التعاون -أعلى محل السلام - فيصل - الجيزة .")</f>
        <v>236شارع فيصل -محطة التعاون -أعلى محل السلام - فيصل - الجيزة .</v>
      </c>
      <c r="I32" s="6" t="str">
        <f ca="1">IFERROR(__xludf.DUMMYFUNCTION("""COMPUTED_VALUE"""),"20233883706")</f>
        <v>20233883706</v>
      </c>
      <c r="J32" s="6"/>
      <c r="K32" s="6" t="str">
        <f ca="1">IFERROR(__xludf.DUMMYFUNCTION("""COMPUTED_VALUE"""),"50% للكشف و 30%على باقي الخدمات الأخرى ")</f>
        <v xml:space="preserve">50% للكشف و 30%على باقي الخدمات الأخرى </v>
      </c>
    </row>
    <row r="33" spans="1:11" x14ac:dyDescent="0.25">
      <c r="A33" s="4" t="str">
        <f ca="1">IFERROR(__xludf.DUMMYFUNCTION("""COMPUTED_VALUE"""),"105976")</f>
        <v>105976</v>
      </c>
      <c r="B33" s="5" t="str">
        <f ca="1">IFERROR(__xludf.DUMMYFUNCTION("""COMPUTED_VALUE"""),"القاهرة")</f>
        <v>القاهرة</v>
      </c>
      <c r="C33" s="5" t="str">
        <f ca="1">IFERROR(__xludf.DUMMYFUNCTION("""COMPUTED_VALUE"""),"المعادى")</f>
        <v>المعادى</v>
      </c>
      <c r="D33" s="5" t="str">
        <f ca="1">IFERROR(__xludf.DUMMYFUNCTION("""COMPUTED_VALUE"""),"هيئة الأطباء")</f>
        <v>هيئة الأطباء</v>
      </c>
      <c r="E33" s="5" t="str">
        <f ca="1">IFERROR(__xludf.DUMMYFUNCTION("""COMPUTED_VALUE"""),"اسنان")</f>
        <v>اسنان</v>
      </c>
      <c r="F33" s="5" t="str">
        <f ca="1">IFERROR(__xludf.DUMMYFUNCTION("""COMPUTED_VALUE"""),"جراحة الفم والأسنان")</f>
        <v>جراحة الفم والأسنان</v>
      </c>
      <c r="G33" s="5" t="str">
        <f ca="1">IFERROR(__xludf.DUMMYFUNCTION("""COMPUTED_VALUE"""),"د/ محمود رائف عبدالفتاح صقر ( Blenda Dental Care )")</f>
        <v>د/ محمود رائف عبدالفتاح صقر ( Blenda Dental Care )</v>
      </c>
      <c r="H33" s="5" t="str">
        <f ca="1">IFERROR(__xludf.DUMMYFUNCTION("""COMPUTED_VALUE"""),"1/1 تقاطع شارع اللاسلكي من شارع النصر اعلي رضوان العجيل - المعادي - القاهره")</f>
        <v>1/1 تقاطع شارع اللاسلكي من شارع النصر اعلي رضوان العجيل - المعادي - القاهره</v>
      </c>
      <c r="I33" s="6" t="str">
        <f ca="1">IFERROR(__xludf.DUMMYFUNCTION("""COMPUTED_VALUE"""),"01102609999")</f>
        <v>01102609999</v>
      </c>
      <c r="J33" s="6"/>
      <c r="K33" s="6" t="str">
        <f ca="1">IFERROR(__xludf.DUMMYFUNCTION("""COMPUTED_VALUE"""),"50% الكشوفات ,20% على الجراءات , 15% على التركيبات ,10%على الزراعات وتقويم الاستان والفكين")</f>
        <v>50% الكشوفات ,20% على الجراءات , 15% على التركيبات ,10%على الزراعات وتقويم الاستان والفكين</v>
      </c>
    </row>
    <row r="34" spans="1:11" x14ac:dyDescent="0.25">
      <c r="A34" s="4" t="str">
        <f ca="1">IFERROR(__xludf.DUMMYFUNCTION("""COMPUTED_VALUE"""),"104867")</f>
        <v>104867</v>
      </c>
      <c r="B34" s="5" t="str">
        <f ca="1">IFERROR(__xludf.DUMMYFUNCTION("""COMPUTED_VALUE"""),"القاهرة")</f>
        <v>القاهرة</v>
      </c>
      <c r="C34" s="5" t="str">
        <f ca="1">IFERROR(__xludf.DUMMYFUNCTION("""COMPUTED_VALUE"""),"مدينة نصر")</f>
        <v>مدينة نصر</v>
      </c>
      <c r="D34" s="5" t="str">
        <f ca="1">IFERROR(__xludf.DUMMYFUNCTION("""COMPUTED_VALUE"""),"هيئة الأطباء")</f>
        <v>هيئة الأطباء</v>
      </c>
      <c r="E34" s="5" t="str">
        <f ca="1">IFERROR(__xludf.DUMMYFUNCTION("""COMPUTED_VALUE"""),"اسنان")</f>
        <v>اسنان</v>
      </c>
      <c r="F34" s="5" t="str">
        <f ca="1">IFERROR(__xludf.DUMMYFUNCTION("""COMPUTED_VALUE"""),"جراحة الفم والأسنان")</f>
        <v>جراحة الفم والأسنان</v>
      </c>
      <c r="G34" s="5" t="str">
        <f ca="1">IFERROR(__xludf.DUMMYFUNCTION("""COMPUTED_VALUE"""),"د/رغدة سعيد عبد الحميد عبد الحسن")</f>
        <v>د/رغدة سعيد عبد الحميد عبد الحسن</v>
      </c>
      <c r="H34" s="5" t="str">
        <f ca="1">IFERROR(__xludf.DUMMYFUNCTION("""COMPUTED_VALUE"""),"103 شارعالطيران -عمارة حلوانى الدمياطى-مدينة نصر -القاهرة")</f>
        <v>103 شارعالطيران -عمارة حلوانى الدمياطى-مدينة نصر -القاهرة</v>
      </c>
      <c r="I34" s="6" t="str">
        <f ca="1">IFERROR(__xludf.DUMMYFUNCTION("""COMPUTED_VALUE"""),"201112535348")</f>
        <v>201112535348</v>
      </c>
      <c r="J34" s="6"/>
      <c r="K34" s="6" t="str">
        <f ca="1">IFERROR(__xludf.DUMMYFUNCTION("""COMPUTED_VALUE"""),"70% على الكشوفات ,30% على الجراءات ,15%على التركيبات ,10%على الزراعات")</f>
        <v>70% على الكشوفات ,30% على الجراءات ,15%على التركيبات ,10%على الزراعات</v>
      </c>
    </row>
    <row r="35" spans="1:11" x14ac:dyDescent="0.25">
      <c r="A35" s="4" t="str">
        <f ca="1">IFERROR(__xludf.DUMMYFUNCTION("""COMPUTED_VALUE"""),"104867-B")</f>
        <v>104867-B</v>
      </c>
      <c r="B35" s="5" t="str">
        <f ca="1">IFERROR(__xludf.DUMMYFUNCTION("""COMPUTED_VALUE"""),"القاهرة")</f>
        <v>القاهرة</v>
      </c>
      <c r="C35" s="5" t="str">
        <f ca="1">IFERROR(__xludf.DUMMYFUNCTION("""COMPUTED_VALUE"""),"القاهرة الجديدة")</f>
        <v>القاهرة الجديدة</v>
      </c>
      <c r="D35" s="5" t="str">
        <f ca="1">IFERROR(__xludf.DUMMYFUNCTION("""COMPUTED_VALUE"""),"هيئة الأطباء")</f>
        <v>هيئة الأطباء</v>
      </c>
      <c r="E35" s="5" t="str">
        <f ca="1">IFERROR(__xludf.DUMMYFUNCTION("""COMPUTED_VALUE"""),"اسنان")</f>
        <v>اسنان</v>
      </c>
      <c r="F35" s="5" t="str">
        <f ca="1">IFERROR(__xludf.DUMMYFUNCTION("""COMPUTED_VALUE"""),"جراحة الفم والأسنان")</f>
        <v>جراحة الفم والأسنان</v>
      </c>
      <c r="G35" s="5" t="str">
        <f ca="1">IFERROR(__xludf.DUMMYFUNCTION("""COMPUTED_VALUE"""),"د/رغدة سعيد عبد الحميد عبد الحسن")</f>
        <v>د/رغدة سعيد عبد الحميد عبد الحسن</v>
      </c>
      <c r="H35" s="5" t="str">
        <f ca="1">IFERROR(__xludf.DUMMYFUNCTION("""COMPUTED_VALUE"""),"بورتو  كايرو ميديكال سنتر - امام اكاديمية الشرطة - الدةر الثاني - القاهرة الجديدة")</f>
        <v>بورتو  كايرو ميديكال سنتر - امام اكاديمية الشرطة - الدةر الثاني - القاهرة الجديدة</v>
      </c>
      <c r="I35" s="6" t="str">
        <f ca="1">IFERROR(__xludf.DUMMYFUNCTION("""COMPUTED_VALUE"""),"201097648187")</f>
        <v>201097648187</v>
      </c>
      <c r="J35" s="6"/>
      <c r="K35" s="6" t="str">
        <f ca="1">IFERROR(__xludf.DUMMYFUNCTION("""COMPUTED_VALUE"""),"70% على الكشوفات ,30% على الجراءات ,15%على التركيبات ,10%على الزراعات")</f>
        <v>70% على الكشوفات ,30% على الجراءات ,15%على التركيبات ,10%على الزراعات</v>
      </c>
    </row>
    <row r="36" spans="1:11" x14ac:dyDescent="0.25">
      <c r="A36" s="4" t="str">
        <f ca="1">IFERROR(__xludf.DUMMYFUNCTION("""COMPUTED_VALUE"""),"2914-B")</f>
        <v>2914-B</v>
      </c>
      <c r="B36" s="5" t="str">
        <f ca="1">IFERROR(__xludf.DUMMYFUNCTION("""COMPUTED_VALUE"""),"القاهرة")</f>
        <v>القاهرة</v>
      </c>
      <c r="C36" s="5" t="str">
        <f ca="1">IFERROR(__xludf.DUMMYFUNCTION("""COMPUTED_VALUE"""),"الازبكية")</f>
        <v>الازبكية</v>
      </c>
      <c r="D36" s="5" t="str">
        <f ca="1">IFERROR(__xludf.DUMMYFUNCTION("""COMPUTED_VALUE"""),"صيدلية")</f>
        <v>صيدلية</v>
      </c>
      <c r="E36" s="5" t="str">
        <f ca="1">IFERROR(__xludf.DUMMYFUNCTION("""COMPUTED_VALUE"""),"صيدلية")</f>
        <v>صيدلية</v>
      </c>
      <c r="F36" s="5" t="str">
        <f ca="1">IFERROR(__xludf.DUMMYFUNCTION("""COMPUTED_VALUE"""),"صيدلية (أدوية ومستلزمات طبية)")</f>
        <v>صيدلية (أدوية ومستلزمات طبية)</v>
      </c>
      <c r="G36" s="5" t="str">
        <f ca="1">IFERROR(__xludf.DUMMYFUNCTION("""COMPUTED_VALUE"""),"صيدلية مترو")</f>
        <v>صيدلية مترو</v>
      </c>
      <c r="H36" s="5" t="str">
        <f ca="1">IFERROR(__xludf.DUMMYFUNCTION("""COMPUTED_VALUE"""),"3ش عماد الدين-الازبكية-القاهرة")</f>
        <v>3ش عماد الدين-الازبكية-القاهرة</v>
      </c>
      <c r="I36" s="6" t="str">
        <f ca="1">IFERROR(__xludf.DUMMYFUNCTION("""COMPUTED_VALUE"""),"20225917731")</f>
        <v>20225917731</v>
      </c>
      <c r="J36" s="6"/>
      <c r="K36" s="6" t="str">
        <f ca="1">IFERROR(__xludf.DUMMYFUNCTION("""COMPUTED_VALUE"""),"نسبة الخصم 13%")</f>
        <v>نسبة الخصم 13%</v>
      </c>
    </row>
    <row r="37" spans="1:11" x14ac:dyDescent="0.25">
      <c r="A37" s="4" t="str">
        <f ca="1">IFERROR(__xludf.DUMMYFUNCTION("""COMPUTED_VALUE"""),"2914")</f>
        <v>2914</v>
      </c>
      <c r="B37" s="5" t="str">
        <f ca="1">IFERROR(__xludf.DUMMYFUNCTION("""COMPUTED_VALUE"""),"الجيزة")</f>
        <v>الجيزة</v>
      </c>
      <c r="C37" s="5" t="str">
        <f ca="1">IFERROR(__xludf.DUMMYFUNCTION("""COMPUTED_VALUE"""),"الدقي")</f>
        <v>الدقي</v>
      </c>
      <c r="D37" s="5" t="str">
        <f ca="1">IFERROR(__xludf.DUMMYFUNCTION("""COMPUTED_VALUE"""),"صيدلية")</f>
        <v>صيدلية</v>
      </c>
      <c r="E37" s="5" t="str">
        <f ca="1">IFERROR(__xludf.DUMMYFUNCTION("""COMPUTED_VALUE"""),"صيدلية")</f>
        <v>صيدلية</v>
      </c>
      <c r="F37" s="5" t="str">
        <f ca="1">IFERROR(__xludf.DUMMYFUNCTION("""COMPUTED_VALUE"""),"صيدلية (أدوية ومستلزمات طبية)")</f>
        <v>صيدلية (أدوية ومستلزمات طبية)</v>
      </c>
      <c r="G37" s="5" t="str">
        <f ca="1">IFERROR(__xludf.DUMMYFUNCTION("""COMPUTED_VALUE"""),"صيدلية اوسكار")</f>
        <v>صيدلية اوسكار</v>
      </c>
      <c r="H37" s="5" t="str">
        <f ca="1">IFERROR(__xludf.DUMMYFUNCTION("""COMPUTED_VALUE"""),"1ش سليمان جوهر الدقى-الدقي- الجيزة")</f>
        <v>1ش سليمان جوهر الدقى-الدقي- الجيزة</v>
      </c>
      <c r="I37" s="6" t="str">
        <f ca="1">IFERROR(__xludf.DUMMYFUNCTION("""COMPUTED_VALUE"""),"20233362085")</f>
        <v>20233362085</v>
      </c>
      <c r="J37" s="6"/>
      <c r="K37" s="6" t="str">
        <f ca="1">IFERROR(__xludf.DUMMYFUNCTION("""COMPUTED_VALUE"""),"نسبة الخصم 13%")</f>
        <v>نسبة الخصم 13%</v>
      </c>
    </row>
    <row r="38" spans="1:11" x14ac:dyDescent="0.25">
      <c r="A38" s="4" t="str">
        <f ca="1">IFERROR(__xludf.DUMMYFUNCTION("""COMPUTED_VALUE"""),"105682")</f>
        <v>105682</v>
      </c>
      <c r="B38" s="5" t="str">
        <f ca="1">IFERROR(__xludf.DUMMYFUNCTION("""COMPUTED_VALUE"""),"القاهرة")</f>
        <v>القاهرة</v>
      </c>
      <c r="C38" s="5" t="str">
        <f ca="1">IFERROR(__xludf.DUMMYFUNCTION("""COMPUTED_VALUE"""),"وسط البلد")</f>
        <v>وسط البلد</v>
      </c>
      <c r="D38" s="5" t="str">
        <f ca="1">IFERROR(__xludf.DUMMYFUNCTION("""COMPUTED_VALUE"""),"مستشفى")</f>
        <v>مستشفى</v>
      </c>
      <c r="E38" s="5" t="str">
        <f ca="1">IFERROR(__xludf.DUMMYFUNCTION("""COMPUTED_VALUE"""),"مستشفي طبي متخصص")</f>
        <v>مستشفي طبي متخصص</v>
      </c>
      <c r="F38" s="5" t="str">
        <f ca="1">IFERROR(__xludf.DUMMYFUNCTION("""COMPUTED_VALUE"""),"رمد (جراحة عيون)")</f>
        <v>رمد (جراحة عيون)</v>
      </c>
      <c r="G38" s="5" t="str">
        <f ca="1">IFERROR(__xludf.DUMMYFUNCTION("""COMPUTED_VALUE"""),"د/ محمد احمد عبدالحميد هندي ( مركز عين العالم لطب وجراحه العيون )")</f>
        <v>د/ محمد احمد عبدالحميد هندي ( مركز عين العالم لطب وجراحه العيون )</v>
      </c>
      <c r="H38" s="5" t="str">
        <f ca="1">IFERROR(__xludf.DUMMYFUNCTION("""COMPUTED_VALUE"""),"36 شارع رشدي - عابدين - وسط البلد - القاهره")</f>
        <v>36 شارع رشدي - عابدين - وسط البلد - القاهره</v>
      </c>
      <c r="I38" s="6" t="str">
        <f ca="1">IFERROR(__xludf.DUMMYFUNCTION("""COMPUTED_VALUE"""),"23920083")</f>
        <v>23920083</v>
      </c>
      <c r="J38" s="6"/>
      <c r="K38" s="6" t="str">
        <f ca="1">IFERROR(__xludf.DUMMYFUNCTION("""COMPUTED_VALUE"""),"خصم 50% على الكشف , خصم 35% على باقي الاجراءات")</f>
        <v>خصم 50% على الكشف , خصم 35% على باقي الاجراءات</v>
      </c>
    </row>
    <row r="39" spans="1:11" x14ac:dyDescent="0.25">
      <c r="A39" s="4" t="str">
        <f ca="1">IFERROR(__xludf.DUMMYFUNCTION("""COMPUTED_VALUE"""),"103742-B")</f>
        <v>103742-B</v>
      </c>
      <c r="B39" s="5" t="str">
        <f ca="1">IFERROR(__xludf.DUMMYFUNCTION("""COMPUTED_VALUE"""),"الجيزة")</f>
        <v>الجيزة</v>
      </c>
      <c r="C39" s="5" t="str">
        <f ca="1">IFERROR(__xludf.DUMMYFUNCTION("""COMPUTED_VALUE"""),"الدقي")</f>
        <v>الدقي</v>
      </c>
      <c r="D39" s="5" t="str">
        <f ca="1">IFERROR(__xludf.DUMMYFUNCTION("""COMPUTED_VALUE"""),"صيدلية")</f>
        <v>صيدلية</v>
      </c>
      <c r="E39" s="5" t="str">
        <f ca="1">IFERROR(__xludf.DUMMYFUNCTION("""COMPUTED_VALUE"""),"صيدلية")</f>
        <v>صيدلية</v>
      </c>
      <c r="F39" s="5" t="str">
        <f ca="1">IFERROR(__xludf.DUMMYFUNCTION("""COMPUTED_VALUE"""),"صيدلية (أدوية ومستلزمات طبية)")</f>
        <v>صيدلية (أدوية ومستلزمات طبية)</v>
      </c>
      <c r="G39" s="5" t="str">
        <f ca="1">IFERROR(__xludf.DUMMYFUNCTION("""COMPUTED_VALUE"""),"صيدليات الليثي (د/ صلاح الليثي)")</f>
        <v>صيدليات الليثي (د/ صلاح الليثي)</v>
      </c>
      <c r="H39" s="5" t="str">
        <f ca="1">IFERROR(__xludf.DUMMYFUNCTION("""COMPUTED_VALUE"""),"131 شارع التحرير امام سينما التحرير-الدقي- الجيزة")</f>
        <v>131 شارع التحرير امام سينما التحرير-الدقي- الجيزة</v>
      </c>
      <c r="I39" s="6" t="str">
        <f ca="1">IFERROR(__xludf.DUMMYFUNCTION("""COMPUTED_VALUE"""),"01009459514")</f>
        <v>01009459514</v>
      </c>
      <c r="J39" s="6" t="str">
        <f ca="1">IFERROR(__xludf.DUMMYFUNCTION("""COMPUTED_VALUE"""),"19008")</f>
        <v>19008</v>
      </c>
      <c r="K39" s="6" t="str">
        <f ca="1">IFERROR(__xludf.DUMMYFUNCTION("""COMPUTED_VALUE"""),"خصم 10% علي المحلي و 5% علي المستورد")</f>
        <v>خصم 10% علي المحلي و 5% علي المستورد</v>
      </c>
    </row>
    <row r="40" spans="1:11" x14ac:dyDescent="0.25">
      <c r="A40" s="4" t="str">
        <f ca="1">IFERROR(__xludf.DUMMYFUNCTION("""COMPUTED_VALUE"""),"103742-B")</f>
        <v>103742-B</v>
      </c>
      <c r="B40" s="5" t="str">
        <f ca="1">IFERROR(__xludf.DUMMYFUNCTION("""COMPUTED_VALUE"""),"الجيزة")</f>
        <v>الجيزة</v>
      </c>
      <c r="C40" s="5" t="str">
        <f ca="1">IFERROR(__xludf.DUMMYFUNCTION("""COMPUTED_VALUE"""),"الدقي")</f>
        <v>الدقي</v>
      </c>
      <c r="D40" s="5" t="str">
        <f ca="1">IFERROR(__xludf.DUMMYFUNCTION("""COMPUTED_VALUE"""),"صيدلية")</f>
        <v>صيدلية</v>
      </c>
      <c r="E40" s="5" t="str">
        <f ca="1">IFERROR(__xludf.DUMMYFUNCTION("""COMPUTED_VALUE"""),"صيدلية")</f>
        <v>صيدلية</v>
      </c>
      <c r="F40" s="5" t="str">
        <f ca="1">IFERROR(__xludf.DUMMYFUNCTION("""COMPUTED_VALUE"""),"صيدلية (أدوية ومستلزمات طبية)")</f>
        <v>صيدلية (أدوية ومستلزمات طبية)</v>
      </c>
      <c r="G40" s="5" t="str">
        <f ca="1">IFERROR(__xludf.DUMMYFUNCTION("""COMPUTED_VALUE"""),"صيدليات الليثي (د/ صلاح الليثي)")</f>
        <v>صيدليات الليثي (د/ صلاح الليثي)</v>
      </c>
      <c r="H40" s="5" t="str">
        <f ca="1">IFERROR(__xludf.DUMMYFUNCTION("""COMPUTED_VALUE"""),"2 شارع التحريرناصية شارع السودان-البحوث-الدقي- الجيزة")</f>
        <v>2 شارع التحريرناصية شارع السودان-البحوث-الدقي- الجيزة</v>
      </c>
      <c r="I40" s="6" t="str">
        <f ca="1">IFERROR(__xludf.DUMMYFUNCTION("""COMPUTED_VALUE"""),"20233359091")</f>
        <v>20233359091</v>
      </c>
      <c r="J40" s="6" t="str">
        <f ca="1">IFERROR(__xludf.DUMMYFUNCTION("""COMPUTED_VALUE"""),"19008")</f>
        <v>19008</v>
      </c>
      <c r="K40" s="6" t="str">
        <f ca="1">IFERROR(__xludf.DUMMYFUNCTION("""COMPUTED_VALUE"""),"خصم 10% علي المحلي و 5% علي المستورد")</f>
        <v>خصم 10% علي المحلي و 5% علي المستورد</v>
      </c>
    </row>
    <row r="41" spans="1:11" x14ac:dyDescent="0.25">
      <c r="A41" s="4" t="str">
        <f ca="1">IFERROR(__xludf.DUMMYFUNCTION("""COMPUTED_VALUE"""),"103742")</f>
        <v>103742</v>
      </c>
      <c r="B41" s="5" t="str">
        <f ca="1">IFERROR(__xludf.DUMMYFUNCTION("""COMPUTED_VALUE"""),"القاهرة")</f>
        <v>القاهرة</v>
      </c>
      <c r="C41" s="5" t="str">
        <f ca="1">IFERROR(__xludf.DUMMYFUNCTION("""COMPUTED_VALUE"""),"الزمالك")</f>
        <v>الزمالك</v>
      </c>
      <c r="D41" s="5" t="str">
        <f ca="1">IFERROR(__xludf.DUMMYFUNCTION("""COMPUTED_VALUE"""),"صيدلية")</f>
        <v>صيدلية</v>
      </c>
      <c r="E41" s="5" t="str">
        <f ca="1">IFERROR(__xludf.DUMMYFUNCTION("""COMPUTED_VALUE"""),"صيدلية")</f>
        <v>صيدلية</v>
      </c>
      <c r="F41" s="5" t="str">
        <f ca="1">IFERROR(__xludf.DUMMYFUNCTION("""COMPUTED_VALUE"""),"صيدلية (أدوية ومستلزمات طبية)")</f>
        <v>صيدلية (أدوية ومستلزمات طبية)</v>
      </c>
      <c r="G41" s="5" t="str">
        <f ca="1">IFERROR(__xludf.DUMMYFUNCTION("""COMPUTED_VALUE"""),"صيدليات الليثي (د/ صلاح الليثي)")</f>
        <v>صيدليات الليثي (د/ صلاح الليثي)</v>
      </c>
      <c r="H41" s="5" t="str">
        <f ca="1">IFERROR(__xludf.DUMMYFUNCTION("""COMPUTED_VALUE"""),"28 شارع محمد مظهر-امام فندق هيلتون-الزمالك-القاهرة")</f>
        <v>28 شارع محمد مظهر-امام فندق هيلتون-الزمالك-القاهرة</v>
      </c>
      <c r="I41" s="6" t="str">
        <f ca="1">IFERROR(__xludf.DUMMYFUNCTION("""COMPUTED_VALUE"""),"01019613080")</f>
        <v>01019613080</v>
      </c>
      <c r="J41" s="6" t="str">
        <f ca="1">IFERROR(__xludf.DUMMYFUNCTION("""COMPUTED_VALUE"""),"19008")</f>
        <v>19008</v>
      </c>
      <c r="K41" s="6" t="str">
        <f ca="1">IFERROR(__xludf.DUMMYFUNCTION("""COMPUTED_VALUE"""),"خصم 10% علي المحلي و 5% علي المستورد")</f>
        <v>خصم 10% علي المحلي و 5% علي المستورد</v>
      </c>
    </row>
    <row r="42" spans="1:11" x14ac:dyDescent="0.25">
      <c r="A42" s="4" t="str">
        <f ca="1">IFERROR(__xludf.DUMMYFUNCTION("""COMPUTED_VALUE"""),"103742-B")</f>
        <v>103742-B</v>
      </c>
      <c r="B42" s="5" t="str">
        <f ca="1">IFERROR(__xludf.DUMMYFUNCTION("""COMPUTED_VALUE"""),"القاهرة")</f>
        <v>القاهرة</v>
      </c>
      <c r="C42" s="5" t="str">
        <f ca="1">IFERROR(__xludf.DUMMYFUNCTION("""COMPUTED_VALUE"""),"السيدة زينب")</f>
        <v>السيدة زينب</v>
      </c>
      <c r="D42" s="5" t="str">
        <f ca="1">IFERROR(__xludf.DUMMYFUNCTION("""COMPUTED_VALUE"""),"صيدلية")</f>
        <v>صيدلية</v>
      </c>
      <c r="E42" s="5" t="str">
        <f ca="1">IFERROR(__xludf.DUMMYFUNCTION("""COMPUTED_VALUE"""),"صيدلية")</f>
        <v>صيدلية</v>
      </c>
      <c r="F42" s="5" t="str">
        <f ca="1">IFERROR(__xludf.DUMMYFUNCTION("""COMPUTED_VALUE"""),"صيدلية (أدوية ومستلزمات طبية)")</f>
        <v>صيدلية (أدوية ومستلزمات طبية)</v>
      </c>
      <c r="G42" s="5" t="str">
        <f ca="1">IFERROR(__xludf.DUMMYFUNCTION("""COMPUTED_VALUE"""),"صيدليات الليثي (د/ صلاح الليثي)")</f>
        <v>صيدليات الليثي (د/ صلاح الليثي)</v>
      </c>
      <c r="H42" s="5" t="str">
        <f ca="1">IFERROR(__xludf.DUMMYFUNCTION("""COMPUTED_VALUE"""),"9 شارع خليفة امام مستشفي 57357-السيدة زينب-القاهرة")</f>
        <v>9 شارع خليفة امام مستشفي 57357-السيدة زينب-القاهرة</v>
      </c>
      <c r="I42" s="6" t="str">
        <f ca="1">IFERROR(__xludf.DUMMYFUNCTION("""COMPUTED_VALUE"""),"201019350034")</f>
        <v>201019350034</v>
      </c>
      <c r="J42" s="6" t="str">
        <f ca="1">IFERROR(__xludf.DUMMYFUNCTION("""COMPUTED_VALUE"""),"19008")</f>
        <v>19008</v>
      </c>
      <c r="K42" s="6" t="str">
        <f ca="1">IFERROR(__xludf.DUMMYFUNCTION("""COMPUTED_VALUE"""),"خصم 10% علي المحلي و 5% علي المستورد")</f>
        <v>خصم 10% علي المحلي و 5% علي المستورد</v>
      </c>
    </row>
    <row r="43" spans="1:11" x14ac:dyDescent="0.25">
      <c r="A43" s="4" t="str">
        <f ca="1">IFERROR(__xludf.DUMMYFUNCTION("""COMPUTED_VALUE"""),"3848-B")</f>
        <v>3848-B</v>
      </c>
      <c r="B43" s="5" t="str">
        <f ca="1">IFERROR(__xludf.DUMMYFUNCTION("""COMPUTED_VALUE"""),"القاهرة")</f>
        <v>القاهرة</v>
      </c>
      <c r="C43" s="5" t="str">
        <f ca="1">IFERROR(__xludf.DUMMYFUNCTION("""COMPUTED_VALUE"""),"المعادى")</f>
        <v>المعادى</v>
      </c>
      <c r="D43" s="5" t="str">
        <f ca="1">IFERROR(__xludf.DUMMYFUNCTION("""COMPUTED_VALUE"""),"صيدلية")</f>
        <v>صيدلية</v>
      </c>
      <c r="E43" s="5" t="str">
        <f ca="1">IFERROR(__xludf.DUMMYFUNCTION("""COMPUTED_VALUE"""),"صيدلية")</f>
        <v>صيدلية</v>
      </c>
      <c r="F43" s="5" t="str">
        <f ca="1">IFERROR(__xludf.DUMMYFUNCTION("""COMPUTED_VALUE"""),"صيدلية (أدوية ومستلزمات طبية)")</f>
        <v>صيدلية (أدوية ومستلزمات طبية)</v>
      </c>
      <c r="G43" s="5" t="str">
        <f ca="1">IFERROR(__xludf.DUMMYFUNCTION("""COMPUTED_VALUE"""),"صيدلية منار (صيدلية د/ رضا)")</f>
        <v>صيدلية منار (صيدلية د/ رضا)</v>
      </c>
      <c r="H43" s="5" t="str">
        <f ca="1">IFERROR(__xludf.DUMMYFUNCTION("""COMPUTED_VALUE"""),"زهراء المعادي - سنترال الاتجاري - بجوار نقطة شرطة زهراء المعادي - امام نادي وادي دجله-المعادي-القاهرة")</f>
        <v>زهراء المعادي - سنترال الاتجاري - بجوار نقطة شرطة زهراء المعادي - امام نادي وادي دجله-المعادي-القاهرة</v>
      </c>
      <c r="I43" s="6" t="str">
        <f ca="1">IFERROR(__xludf.DUMMYFUNCTION("""COMPUTED_VALUE"""),"20225200971")</f>
        <v>20225200971</v>
      </c>
      <c r="J43" s="6"/>
      <c r="K43" s="6" t="str">
        <f ca="1">IFERROR(__xludf.DUMMYFUNCTION("""COMPUTED_VALUE"""),"خصم 10% علي المحلي و 5% علي المستورد")</f>
        <v>خصم 10% علي المحلي و 5% علي المستورد</v>
      </c>
    </row>
    <row r="44" spans="1:11" x14ac:dyDescent="0.25">
      <c r="A44" s="4" t="str">
        <f ca="1">IFERROR(__xludf.DUMMYFUNCTION("""COMPUTED_VALUE"""),"3848")</f>
        <v>3848</v>
      </c>
      <c r="B44" s="5" t="str">
        <f ca="1">IFERROR(__xludf.DUMMYFUNCTION("""COMPUTED_VALUE"""),"القاهرة")</f>
        <v>القاهرة</v>
      </c>
      <c r="C44" s="5" t="str">
        <f ca="1">IFERROR(__xludf.DUMMYFUNCTION("""COMPUTED_VALUE"""),"حلوان")</f>
        <v>حلوان</v>
      </c>
      <c r="D44" s="5" t="str">
        <f ca="1">IFERROR(__xludf.DUMMYFUNCTION("""COMPUTED_VALUE"""),"صيدلية")</f>
        <v>صيدلية</v>
      </c>
      <c r="E44" s="5" t="str">
        <f ca="1">IFERROR(__xludf.DUMMYFUNCTION("""COMPUTED_VALUE"""),"صيدلية")</f>
        <v>صيدلية</v>
      </c>
      <c r="F44" s="5" t="str">
        <f ca="1">IFERROR(__xludf.DUMMYFUNCTION("""COMPUTED_VALUE"""),"صيدلية (أدوية ومستلزمات طبية)")</f>
        <v>صيدلية (أدوية ومستلزمات طبية)</v>
      </c>
      <c r="G44" s="5" t="str">
        <f ca="1">IFERROR(__xludf.DUMMYFUNCTION("""COMPUTED_VALUE"""),"صيدلية د/ رضا")</f>
        <v>صيدلية د/ رضا</v>
      </c>
      <c r="H44" s="5" t="str">
        <f ca="1">IFERROR(__xludf.DUMMYFUNCTION("""COMPUTED_VALUE"""),"4 شارع محمود خاطر - ناصية شارع منصور - امام سنترال حلوان-حلوان-القاهرة")</f>
        <v>4 شارع محمود خاطر - ناصية شارع منصور - امام سنترال حلوان-حلوان-القاهرة</v>
      </c>
      <c r="I44" s="6" t="str">
        <f ca="1">IFERROR(__xludf.DUMMYFUNCTION("""COMPUTED_VALUE"""),"20227070030")</f>
        <v>20227070030</v>
      </c>
      <c r="J44" s="6"/>
      <c r="K44" s="6" t="str">
        <f ca="1">IFERROR(__xludf.DUMMYFUNCTION("""COMPUTED_VALUE"""),"خصم 10% علي المحلي و 5% علي المستورد")</f>
        <v>خصم 10% علي المحلي و 5% علي المستورد</v>
      </c>
    </row>
    <row r="45" spans="1:11" x14ac:dyDescent="0.25">
      <c r="A45" s="4" t="str">
        <f ca="1">IFERROR(__xludf.DUMMYFUNCTION("""COMPUTED_VALUE"""),"3848-B")</f>
        <v>3848-B</v>
      </c>
      <c r="B45" s="5" t="str">
        <f ca="1">IFERROR(__xludf.DUMMYFUNCTION("""COMPUTED_VALUE"""),"القاهرة")</f>
        <v>القاهرة</v>
      </c>
      <c r="C45" s="5" t="str">
        <f ca="1">IFERROR(__xludf.DUMMYFUNCTION("""COMPUTED_VALUE"""),"حلوان")</f>
        <v>حلوان</v>
      </c>
      <c r="D45" s="5" t="str">
        <f ca="1">IFERROR(__xludf.DUMMYFUNCTION("""COMPUTED_VALUE"""),"صيدلية")</f>
        <v>صيدلية</v>
      </c>
      <c r="E45" s="5" t="str">
        <f ca="1">IFERROR(__xludf.DUMMYFUNCTION("""COMPUTED_VALUE"""),"صيدلية")</f>
        <v>صيدلية</v>
      </c>
      <c r="F45" s="5" t="str">
        <f ca="1">IFERROR(__xludf.DUMMYFUNCTION("""COMPUTED_VALUE"""),"صيدلية (أدوية ومستلزمات طبية)")</f>
        <v>صيدلية (أدوية ومستلزمات طبية)</v>
      </c>
      <c r="G45" s="5" t="str">
        <f ca="1">IFERROR(__xludf.DUMMYFUNCTION("""COMPUTED_VALUE"""),"صيدلية د/ رضا (ابرام رضا - النصر سابقا)")</f>
        <v>صيدلية د/ رضا (ابرام رضا - النصر سابقا)</v>
      </c>
      <c r="H45" s="5" t="str">
        <f ca="1">IFERROR(__xludf.DUMMYFUNCTION("""COMPUTED_VALUE"""),"32 شارع جمال عبد الناصر بجوار مستشفى مارجرجس-حدائق حلوان-القاهرة")</f>
        <v>32 شارع جمال عبد الناصر بجوار مستشفى مارجرجس-حدائق حلوان-القاهرة</v>
      </c>
      <c r="I45" s="6" t="str">
        <f ca="1">IFERROR(__xludf.DUMMYFUNCTION("""COMPUTED_VALUE"""),"023778253")</f>
        <v>023778253</v>
      </c>
      <c r="J45" s="6"/>
      <c r="K45" s="6" t="str">
        <f ca="1">IFERROR(__xludf.DUMMYFUNCTION("""COMPUTED_VALUE"""),"خصم 10% علي المحلي و 5% علي المستورد")</f>
        <v>خصم 10% علي المحلي و 5% علي المستورد</v>
      </c>
    </row>
    <row r="46" spans="1:11" x14ac:dyDescent="0.25">
      <c r="A46" s="4" t="str">
        <f ca="1">IFERROR(__xludf.DUMMYFUNCTION("""COMPUTED_VALUE"""),"103742-B")</f>
        <v>103742-B</v>
      </c>
      <c r="B46" s="5" t="str">
        <f ca="1">IFERROR(__xludf.DUMMYFUNCTION("""COMPUTED_VALUE"""),"القاهرة")</f>
        <v>القاهرة</v>
      </c>
      <c r="C46" s="5" t="str">
        <f ca="1">IFERROR(__xludf.DUMMYFUNCTION("""COMPUTED_VALUE"""),"مصر الجديدة")</f>
        <v>مصر الجديدة</v>
      </c>
      <c r="D46" s="5" t="str">
        <f ca="1">IFERROR(__xludf.DUMMYFUNCTION("""COMPUTED_VALUE"""),"صيدلية")</f>
        <v>صيدلية</v>
      </c>
      <c r="E46" s="5" t="str">
        <f ca="1">IFERROR(__xludf.DUMMYFUNCTION("""COMPUTED_VALUE"""),"صيدلية")</f>
        <v>صيدلية</v>
      </c>
      <c r="F46" s="5" t="str">
        <f ca="1">IFERROR(__xludf.DUMMYFUNCTION("""COMPUTED_VALUE"""),"صيدلية (أدوية ومستلزمات طبية)")</f>
        <v>صيدلية (أدوية ومستلزمات طبية)</v>
      </c>
      <c r="G46" s="5" t="str">
        <f ca="1">IFERROR(__xludf.DUMMYFUNCTION("""COMPUTED_VALUE"""),"صيدليات الليثي (د/ صلاح الليثي)")</f>
        <v>صيدليات الليثي (د/ صلاح الليثي)</v>
      </c>
      <c r="H46" s="5" t="str">
        <f ca="1">IFERROR(__xludf.DUMMYFUNCTION("""COMPUTED_VALUE"""),"74شارع عمر ابن الخطاب-ميدان السبع عمارات")</f>
        <v>74شارع عمر ابن الخطاب-ميدان السبع عمارات</v>
      </c>
      <c r="I46" s="6" t="str">
        <f ca="1">IFERROR(__xludf.DUMMYFUNCTION("""COMPUTED_VALUE"""),"201050670097")</f>
        <v>201050670097</v>
      </c>
      <c r="J46" s="6" t="str">
        <f ca="1">IFERROR(__xludf.DUMMYFUNCTION("""COMPUTED_VALUE"""),"19008")</f>
        <v>19008</v>
      </c>
      <c r="K46" s="6" t="str">
        <f ca="1">IFERROR(__xludf.DUMMYFUNCTION("""COMPUTED_VALUE"""),"خصم 10% علي المحلي و 5% علي المستورد")</f>
        <v>خصم 10% علي المحلي و 5% علي المستورد</v>
      </c>
    </row>
    <row r="47" spans="1:11" x14ac:dyDescent="0.25">
      <c r="A47" s="4" t="str">
        <f ca="1">IFERROR(__xludf.DUMMYFUNCTION("""COMPUTED_VALUE"""),"104678")</f>
        <v>104678</v>
      </c>
      <c r="B47" s="5" t="str">
        <f ca="1">IFERROR(__xludf.DUMMYFUNCTION("""COMPUTED_VALUE"""),"القاهرة")</f>
        <v>القاهرة</v>
      </c>
      <c r="C47" s="5" t="str">
        <f ca="1">IFERROR(__xludf.DUMMYFUNCTION("""COMPUTED_VALUE"""),"حدائق القبة")</f>
        <v>حدائق القبة</v>
      </c>
      <c r="D47" s="5" t="str">
        <f ca="1">IFERROR(__xludf.DUMMYFUNCTION("""COMPUTED_VALUE"""),"صيدلية")</f>
        <v>صيدلية</v>
      </c>
      <c r="E47" s="5" t="str">
        <f ca="1">IFERROR(__xludf.DUMMYFUNCTION("""COMPUTED_VALUE"""),"صيدلية")</f>
        <v>صيدلية</v>
      </c>
      <c r="F47" s="5" t="str">
        <f ca="1">IFERROR(__xludf.DUMMYFUNCTION("""COMPUTED_VALUE"""),"صيدلية (أدوية ومستلزمات طبية)")</f>
        <v>صيدلية (أدوية ومستلزمات طبية)</v>
      </c>
      <c r="G47" s="5" t="str">
        <f ca="1">IFERROR(__xludf.DUMMYFUNCTION("""COMPUTED_VALUE"""),"صيدلية سان مايكل-حدائق القبة-القاهرة")</f>
        <v>صيدلية سان مايكل-حدائق القبة-القاهرة</v>
      </c>
      <c r="H47" s="5" t="str">
        <f ca="1">IFERROR(__xludf.DUMMYFUNCTION("""COMPUTED_VALUE"""),"80 عمارات الشركة السعودية -محل رقم 3أ- السوق التجارى - حدائق القبة")</f>
        <v>80 عمارات الشركة السعودية -محل رقم 3أ- السوق التجارى - حدائق القبة</v>
      </c>
      <c r="I47" s="6" t="str">
        <f ca="1">IFERROR(__xludf.DUMMYFUNCTION("""COMPUTED_VALUE"""),"20224529689")</f>
        <v>20224529689</v>
      </c>
      <c r="J47" s="6"/>
      <c r="K47" s="6" t="str">
        <f ca="1">IFERROR(__xludf.DUMMYFUNCTION("""COMPUTED_VALUE"""),"خصم 11% علي المحلي ,5% علي المستورد")</f>
        <v>خصم 11% علي المحلي ,5% علي المستورد</v>
      </c>
    </row>
    <row r="48" spans="1:11" x14ac:dyDescent="0.25">
      <c r="A48" s="4" t="str">
        <f ca="1">IFERROR(__xludf.DUMMYFUNCTION("""COMPUTED_VALUE"""),"104705")</f>
        <v>104705</v>
      </c>
      <c r="B48" s="5" t="str">
        <f ca="1">IFERROR(__xludf.DUMMYFUNCTION("""COMPUTED_VALUE"""),"الاسكندرية")</f>
        <v>الاسكندرية</v>
      </c>
      <c r="C48" s="5" t="str">
        <f ca="1">IFERROR(__xludf.DUMMYFUNCTION("""COMPUTED_VALUE"""),"العطارين")</f>
        <v>العطارين</v>
      </c>
      <c r="D48" s="5" t="str">
        <f ca="1">IFERROR(__xludf.DUMMYFUNCTION("""COMPUTED_VALUE"""),"صيدلية")</f>
        <v>صيدلية</v>
      </c>
      <c r="E48" s="5" t="str">
        <f ca="1">IFERROR(__xludf.DUMMYFUNCTION("""COMPUTED_VALUE"""),"صيدلية")</f>
        <v>صيدلية</v>
      </c>
      <c r="F48" s="5" t="str">
        <f ca="1">IFERROR(__xludf.DUMMYFUNCTION("""COMPUTED_VALUE"""),"صيدلية (أدوية ومستلزمات طبية)")</f>
        <v>صيدلية (أدوية ومستلزمات طبية)</v>
      </c>
      <c r="G48" s="5" t="str">
        <f ca="1">IFERROR(__xludf.DUMMYFUNCTION("""COMPUTED_VALUE"""),"صيدلية د- أشرف عامر")</f>
        <v>صيدلية د- أشرف عامر</v>
      </c>
      <c r="H48" s="5" t="str">
        <f ca="1">IFERROR(__xludf.DUMMYFUNCTION("""COMPUTED_VALUE"""),"1 شارع الليثي - ناصية 39 شارع صلاح الدين - العطارين - الاسكندرية")</f>
        <v>1 شارع الليثي - ناصية 39 شارع صلاح الدين - العطارين - الاسكندرية</v>
      </c>
      <c r="I48" s="6" t="str">
        <f ca="1">IFERROR(__xludf.DUMMYFUNCTION("""COMPUTED_VALUE"""),"01005424280")</f>
        <v>01005424280</v>
      </c>
      <c r="J48" s="6"/>
      <c r="K48" s="6" t="str">
        <f ca="1">IFERROR(__xludf.DUMMYFUNCTION("""COMPUTED_VALUE"""),"خصم 12% علي المحلي , 6% علي المستورد")</f>
        <v>خصم 12% علي المحلي , 6% علي المستورد</v>
      </c>
    </row>
    <row r="49" spans="1:11" x14ac:dyDescent="0.25">
      <c r="A49" s="4" t="str">
        <f ca="1">IFERROR(__xludf.DUMMYFUNCTION("""COMPUTED_VALUE"""),"104472")</f>
        <v>104472</v>
      </c>
      <c r="B49" s="5" t="str">
        <f ca="1">IFERROR(__xludf.DUMMYFUNCTION("""COMPUTED_VALUE"""),"الجيزة")</f>
        <v>الجيزة</v>
      </c>
      <c r="C49" s="5" t="str">
        <f ca="1">IFERROR(__xludf.DUMMYFUNCTION("""COMPUTED_VALUE"""),"أوسيم")</f>
        <v>أوسيم</v>
      </c>
      <c r="D49" s="5" t="str">
        <f ca="1">IFERROR(__xludf.DUMMYFUNCTION("""COMPUTED_VALUE"""),"صيدلية")</f>
        <v>صيدلية</v>
      </c>
      <c r="E49" s="5" t="str">
        <f ca="1">IFERROR(__xludf.DUMMYFUNCTION("""COMPUTED_VALUE"""),"صيدلية")</f>
        <v>صيدلية</v>
      </c>
      <c r="F49" s="5" t="str">
        <f ca="1">IFERROR(__xludf.DUMMYFUNCTION("""COMPUTED_VALUE"""),"صيدلية (أدوية ومستلزمات طبية)")</f>
        <v>صيدلية (أدوية ومستلزمات طبية)</v>
      </c>
      <c r="G49" s="5" t="str">
        <f ca="1">IFERROR(__xludf.DUMMYFUNCTION("""COMPUTED_VALUE"""),"صيدلية الامل-اوسيم-الجيزة")</f>
        <v>صيدلية الامل-اوسيم-الجيزة</v>
      </c>
      <c r="H49" s="5" t="str">
        <f ca="1">IFERROR(__xludf.DUMMYFUNCTION("""COMPUTED_VALUE"""),"شارع الخليفة المأمون - أمام مستشفى أوسيم - اوسيم - الجيزة")</f>
        <v>شارع الخليفة المأمون - أمام مستشفى أوسيم - اوسيم - الجيزة</v>
      </c>
      <c r="I49" s="6" t="str">
        <f ca="1">IFERROR(__xludf.DUMMYFUNCTION("""COMPUTED_VALUE"""),"01050221775")</f>
        <v>01050221775</v>
      </c>
      <c r="J49" s="6"/>
      <c r="K49" s="6" t="str">
        <f ca="1">IFERROR(__xludf.DUMMYFUNCTION("""COMPUTED_VALUE"""),"خصم 12% علي المحلي و 5% علي المستورد")</f>
        <v>خصم 12% علي المحلي و 5% علي المستورد</v>
      </c>
    </row>
    <row r="50" spans="1:11" x14ac:dyDescent="0.25">
      <c r="A50" s="4" t="str">
        <f ca="1">IFERROR(__xludf.DUMMYFUNCTION("""COMPUTED_VALUE"""),"2135")</f>
        <v>2135</v>
      </c>
      <c r="B50" s="5" t="str">
        <f ca="1">IFERROR(__xludf.DUMMYFUNCTION("""COMPUTED_VALUE"""),"الجيزة")</f>
        <v>الجيزة</v>
      </c>
      <c r="C50" s="5" t="str">
        <f ca="1">IFERROR(__xludf.DUMMYFUNCTION("""COMPUTED_VALUE"""),"السادس من اكتوبر")</f>
        <v>السادس من اكتوبر</v>
      </c>
      <c r="D50" s="5" t="str">
        <f ca="1">IFERROR(__xludf.DUMMYFUNCTION("""COMPUTED_VALUE"""),"صيدلية")</f>
        <v>صيدلية</v>
      </c>
      <c r="E50" s="5" t="str">
        <f ca="1">IFERROR(__xludf.DUMMYFUNCTION("""COMPUTED_VALUE"""),"صيدلية")</f>
        <v>صيدلية</v>
      </c>
      <c r="F50" s="5" t="str">
        <f ca="1">IFERROR(__xludf.DUMMYFUNCTION("""COMPUTED_VALUE"""),"صيدلية (أدوية ومستلزمات طبية)")</f>
        <v>صيدلية (أدوية ومستلزمات طبية)</v>
      </c>
      <c r="G50" s="5" t="str">
        <f ca="1">IFERROR(__xludf.DUMMYFUNCTION("""COMPUTED_VALUE"""),"صيدلية د/ ماجدة")</f>
        <v>صيدلية د/ ماجدة</v>
      </c>
      <c r="H50" s="5" t="str">
        <f ca="1">IFERROR(__xludf.DUMMYFUNCTION("""COMPUTED_VALUE"""),"محور خدمات الخامس و السادس - مدينة المختار-6 أكتوبر - الجيزة")</f>
        <v>محور خدمات الخامس و السادس - مدينة المختار-6 أكتوبر - الجيزة</v>
      </c>
      <c r="I50" s="6" t="str">
        <f ca="1">IFERROR(__xludf.DUMMYFUNCTION("""COMPUTED_VALUE"""),"01001534983")</f>
        <v>01001534983</v>
      </c>
      <c r="J50" s="6"/>
      <c r="K50" s="6" t="str">
        <f ca="1">IFERROR(__xludf.DUMMYFUNCTION("""COMPUTED_VALUE"""),"خصم 12% علي المحلي و 6% علي المستورد")</f>
        <v>خصم 12% علي المحلي و 6% علي المستورد</v>
      </c>
    </row>
    <row r="51" spans="1:11" x14ac:dyDescent="0.25">
      <c r="A51" s="4" t="str">
        <f ca="1">IFERROR(__xludf.DUMMYFUNCTION("""COMPUTED_VALUE"""),"3399")</f>
        <v>3399</v>
      </c>
      <c r="B51" s="5" t="str">
        <f ca="1">IFERROR(__xludf.DUMMYFUNCTION("""COMPUTED_VALUE"""),"القاهرة")</f>
        <v>القاهرة</v>
      </c>
      <c r="C51" s="5" t="str">
        <f ca="1">IFERROR(__xludf.DUMMYFUNCTION("""COMPUTED_VALUE"""),"حلوان")</f>
        <v>حلوان</v>
      </c>
      <c r="D51" s="5" t="str">
        <f ca="1">IFERROR(__xludf.DUMMYFUNCTION("""COMPUTED_VALUE"""),"صيدلية")</f>
        <v>صيدلية</v>
      </c>
      <c r="E51" s="5" t="str">
        <f ca="1">IFERROR(__xludf.DUMMYFUNCTION("""COMPUTED_VALUE"""),"صيدلية")</f>
        <v>صيدلية</v>
      </c>
      <c r="F51" s="5" t="str">
        <f ca="1">IFERROR(__xludf.DUMMYFUNCTION("""COMPUTED_VALUE"""),"صيدلية (أدوية ومستلزمات طبية)")</f>
        <v>صيدلية (أدوية ومستلزمات طبية)</v>
      </c>
      <c r="G51" s="5" t="str">
        <f ca="1">IFERROR(__xludf.DUMMYFUNCTION("""COMPUTED_VALUE"""),"صيدلية د/ أحمد نشأت")</f>
        <v>صيدلية د/ أحمد نشأت</v>
      </c>
      <c r="H51" s="5" t="str">
        <f ca="1">IFERROR(__xludf.DUMMYFUNCTION("""COMPUTED_VALUE"""),"44ب شارع جعفر تقاطع المراغي -حلوان-القاهرة")</f>
        <v>44ب شارع جعفر تقاطع المراغي -حلوان-القاهرة</v>
      </c>
      <c r="I51" s="6" t="str">
        <f ca="1">IFERROR(__xludf.DUMMYFUNCTION("""COMPUTED_VALUE"""),"20227840001")</f>
        <v>20227840001</v>
      </c>
      <c r="J51" s="6"/>
      <c r="K51" s="6" t="str">
        <f ca="1">IFERROR(__xludf.DUMMYFUNCTION("""COMPUTED_VALUE"""),"خصم 12% علي المحلي و 6% علي المستورد")</f>
        <v>خصم 12% علي المحلي و 6% علي المستورد</v>
      </c>
    </row>
    <row r="52" spans="1:11" x14ac:dyDescent="0.25">
      <c r="A52" s="4" t="str">
        <f ca="1">IFERROR(__xludf.DUMMYFUNCTION("""COMPUTED_VALUE"""),"1943")</f>
        <v>1943</v>
      </c>
      <c r="B52" s="5" t="str">
        <f ca="1">IFERROR(__xludf.DUMMYFUNCTION("""COMPUTED_VALUE"""),"القاهرة")</f>
        <v>القاهرة</v>
      </c>
      <c r="C52" s="5" t="str">
        <f ca="1">IFERROR(__xludf.DUMMYFUNCTION("""COMPUTED_VALUE"""),"شبرا")</f>
        <v>شبرا</v>
      </c>
      <c r="D52" s="5" t="str">
        <f ca="1">IFERROR(__xludf.DUMMYFUNCTION("""COMPUTED_VALUE"""),"صيدلية")</f>
        <v>صيدلية</v>
      </c>
      <c r="E52" s="5" t="str">
        <f ca="1">IFERROR(__xludf.DUMMYFUNCTION("""COMPUTED_VALUE"""),"صيدلية")</f>
        <v>صيدلية</v>
      </c>
      <c r="F52" s="5" t="str">
        <f ca="1">IFERROR(__xludf.DUMMYFUNCTION("""COMPUTED_VALUE"""),"صيدلية (أدوية ومستلزمات طبية)")</f>
        <v>صيدلية (أدوية ومستلزمات طبية)</v>
      </c>
      <c r="G52" s="5" t="str">
        <f ca="1">IFERROR(__xludf.DUMMYFUNCTION("""COMPUTED_VALUE"""),"صيدلية د/ شيري حنا")</f>
        <v>صيدلية د/ شيري حنا</v>
      </c>
      <c r="H52" s="5" t="str">
        <f ca="1">IFERROR(__xludf.DUMMYFUNCTION("""COMPUTED_VALUE"""),"12 ش المحمودي - الترعة البولاقية-شبرا-القاهرة")</f>
        <v>12 ش المحمودي - الترعة البولاقية-شبرا-القاهرة</v>
      </c>
      <c r="I52" s="6" t="str">
        <f ca="1">IFERROR(__xludf.DUMMYFUNCTION("""COMPUTED_VALUE"""),"20222394746")</f>
        <v>20222394746</v>
      </c>
      <c r="J52" s="6"/>
      <c r="K52" s="6" t="str">
        <f ca="1">IFERROR(__xludf.DUMMYFUNCTION("""COMPUTED_VALUE"""),"خصم 12% علي المحلي و 6% علي المستورد")</f>
        <v>خصم 12% علي المحلي و 6% علي المستورد</v>
      </c>
    </row>
    <row r="53" spans="1:11" x14ac:dyDescent="0.25">
      <c r="A53" s="4" t="str">
        <f ca="1">IFERROR(__xludf.DUMMYFUNCTION("""COMPUTED_VALUE"""),"104773")</f>
        <v>104773</v>
      </c>
      <c r="B53" s="5" t="str">
        <f ca="1">IFERROR(__xludf.DUMMYFUNCTION("""COMPUTED_VALUE"""),"القاهرة")</f>
        <v>القاهرة</v>
      </c>
      <c r="C53" s="5" t="str">
        <f ca="1">IFERROR(__xludf.DUMMYFUNCTION("""COMPUTED_VALUE"""),"عابدين")</f>
        <v>عابدين</v>
      </c>
      <c r="D53" s="5" t="str">
        <f ca="1">IFERROR(__xludf.DUMMYFUNCTION("""COMPUTED_VALUE"""),"صيدلية")</f>
        <v>صيدلية</v>
      </c>
      <c r="E53" s="5" t="str">
        <f ca="1">IFERROR(__xludf.DUMMYFUNCTION("""COMPUTED_VALUE"""),"صيدلية")</f>
        <v>صيدلية</v>
      </c>
      <c r="F53" s="5" t="str">
        <f ca="1">IFERROR(__xludf.DUMMYFUNCTION("""COMPUTED_VALUE"""),"صيدلية (أدوية ومستلزمات طبية)")</f>
        <v>صيدلية (أدوية ومستلزمات طبية)</v>
      </c>
      <c r="G53" s="5" t="str">
        <f ca="1">IFERROR(__xludf.DUMMYFUNCTION("""COMPUTED_VALUE"""),"صيدلية وصفي (د.عاطف نجيب فانوس تادرس)")</f>
        <v>صيدلية وصفي (د.عاطف نجيب فانوس تادرس)</v>
      </c>
      <c r="H53" s="5" t="str">
        <f ca="1">IFERROR(__xludf.DUMMYFUNCTION("""COMPUTED_VALUE"""),"40شارع رشدي - قسم عابدين - القاهرة")</f>
        <v>40شارع رشدي - قسم عابدين - القاهرة</v>
      </c>
      <c r="I53" s="6" t="str">
        <f ca="1">IFERROR(__xludf.DUMMYFUNCTION("""COMPUTED_VALUE"""),"20223912394")</f>
        <v>20223912394</v>
      </c>
      <c r="J53" s="6"/>
      <c r="K53" s="6" t="str">
        <f ca="1">IFERROR(__xludf.DUMMYFUNCTION("""COMPUTED_VALUE"""),"خصم 13% علي المحلي, 6% علي المستورد")</f>
        <v>خصم 13% علي المحلي, 6% علي المستورد</v>
      </c>
    </row>
    <row r="54" spans="1:11" x14ac:dyDescent="0.25">
      <c r="A54" s="4" t="str">
        <f ca="1">IFERROR(__xludf.DUMMYFUNCTION("""COMPUTED_VALUE"""),"104654")</f>
        <v>104654</v>
      </c>
      <c r="B54" s="5" t="str">
        <f ca="1">IFERROR(__xludf.DUMMYFUNCTION("""COMPUTED_VALUE"""),"القاهرة")</f>
        <v>القاهرة</v>
      </c>
      <c r="C54" s="5" t="str">
        <f ca="1">IFERROR(__xludf.DUMMYFUNCTION("""COMPUTED_VALUE"""),"مدينة نصر")</f>
        <v>مدينة نصر</v>
      </c>
      <c r="D54" s="5" t="str">
        <f ca="1">IFERROR(__xludf.DUMMYFUNCTION("""COMPUTED_VALUE"""),"صيدلية")</f>
        <v>صيدلية</v>
      </c>
      <c r="E54" s="5" t="str">
        <f ca="1">IFERROR(__xludf.DUMMYFUNCTION("""COMPUTED_VALUE"""),"صيدلية")</f>
        <v>صيدلية</v>
      </c>
      <c r="F54" s="5" t="str">
        <f ca="1">IFERROR(__xludf.DUMMYFUNCTION("""COMPUTED_VALUE"""),"صيدلية (أدوية ومستلزمات طبية)")</f>
        <v>صيدلية (أدوية ومستلزمات طبية)</v>
      </c>
      <c r="G54" s="5" t="str">
        <f ca="1">IFERROR(__xludf.DUMMYFUNCTION("""COMPUTED_VALUE"""),"صحة الدوائية (ش.م.م)")</f>
        <v>صحة الدوائية (ش.م.م)</v>
      </c>
      <c r="H54" s="5" t="str">
        <f ca="1">IFERROR(__xludf.DUMMYFUNCTION("""COMPUTED_VALUE"""),"54 شارع حسن المأمون - مدينة نصر - القاهرة")</f>
        <v>54 شارع حسن المأمون - مدينة نصر - القاهرة</v>
      </c>
      <c r="I54" s="6" t="str">
        <f ca="1">IFERROR(__xludf.DUMMYFUNCTION("""COMPUTED_VALUE"""),"20226773009")</f>
        <v>20226773009</v>
      </c>
      <c r="J54" s="6" t="str">
        <f ca="1">IFERROR(__xludf.DUMMYFUNCTION("""COMPUTED_VALUE"""),"16377")</f>
        <v>16377</v>
      </c>
      <c r="K54" s="6" t="str">
        <f ca="1">IFERROR(__xludf.DUMMYFUNCTION("""COMPUTED_VALUE"""),"خصم 10% علي المحلي&amp; 5% علي المستورد")</f>
        <v>خصم 10% علي المحلي&amp; 5% علي المستورد</v>
      </c>
    </row>
    <row r="55" spans="1:11" x14ac:dyDescent="0.25">
      <c r="A55" s="4" t="str">
        <f ca="1">IFERROR(__xludf.DUMMYFUNCTION("""COMPUTED_VALUE"""),"104654-B")</f>
        <v>104654-B</v>
      </c>
      <c r="B55" s="5" t="str">
        <f ca="1">IFERROR(__xludf.DUMMYFUNCTION("""COMPUTED_VALUE"""),"القاهرة")</f>
        <v>القاهرة</v>
      </c>
      <c r="C55" s="5" t="str">
        <f ca="1">IFERROR(__xludf.DUMMYFUNCTION("""COMPUTED_VALUE"""),"القاهرة الجديدة")</f>
        <v>القاهرة الجديدة</v>
      </c>
      <c r="D55" s="5" t="str">
        <f ca="1">IFERROR(__xludf.DUMMYFUNCTION("""COMPUTED_VALUE"""),"صيدلية")</f>
        <v>صيدلية</v>
      </c>
      <c r="E55" s="5" t="str">
        <f ca="1">IFERROR(__xludf.DUMMYFUNCTION("""COMPUTED_VALUE"""),"صيدلية")</f>
        <v>صيدلية</v>
      </c>
      <c r="F55" s="5" t="str">
        <f ca="1">IFERROR(__xludf.DUMMYFUNCTION("""COMPUTED_VALUE"""),"صيدلية (أدوية ومستلزمات طبية)")</f>
        <v>صيدلية (أدوية ومستلزمات طبية)</v>
      </c>
      <c r="G55" s="5" t="str">
        <f ca="1">IFERROR(__xludf.DUMMYFUNCTION("""COMPUTED_VALUE"""),"صحة الدوائية (ش.م.م)")</f>
        <v>صحة الدوائية (ش.م.م)</v>
      </c>
      <c r="H55" s="5" t="str">
        <f ca="1">IFERROR(__xludf.DUMMYFUNCTION("""COMPUTED_VALUE"""),"مبنى الميديكال بارك  2 - امام محكمة القاهرة الجديدة- القاهرة الجديدة")</f>
        <v>مبنى الميديكال بارك  2 - امام محكمة القاهرة الجديدة- القاهرة الجديدة</v>
      </c>
      <c r="I55" s="6" t="str">
        <f ca="1">IFERROR(__xludf.DUMMYFUNCTION("""COMPUTED_VALUE"""),"20226773009")</f>
        <v>20226773009</v>
      </c>
      <c r="J55" s="6" t="str">
        <f ca="1">IFERROR(__xludf.DUMMYFUNCTION("""COMPUTED_VALUE"""),"16377")</f>
        <v>16377</v>
      </c>
      <c r="K55" s="6" t="str">
        <f ca="1">IFERROR(__xludf.DUMMYFUNCTION("""COMPUTED_VALUE"""),"خصم 10% علي المحلي&amp; 5% علي المستورد")</f>
        <v>خصم 10% علي المحلي&amp; 5% علي المستورد</v>
      </c>
    </row>
    <row r="56" spans="1:11" x14ac:dyDescent="0.25">
      <c r="A56" s="4" t="str">
        <f ca="1">IFERROR(__xludf.DUMMYFUNCTION("""COMPUTED_VALUE"""),"104654-B")</f>
        <v>104654-B</v>
      </c>
      <c r="B56" s="5" t="str">
        <f ca="1">IFERROR(__xludf.DUMMYFUNCTION("""COMPUTED_VALUE"""),"القاهرة")</f>
        <v>القاهرة</v>
      </c>
      <c r="C56" s="5" t="str">
        <f ca="1">IFERROR(__xludf.DUMMYFUNCTION("""COMPUTED_VALUE"""),"القاهرة الجديدة")</f>
        <v>القاهرة الجديدة</v>
      </c>
      <c r="D56" s="5" t="str">
        <f ca="1">IFERROR(__xludf.DUMMYFUNCTION("""COMPUTED_VALUE"""),"صيدلية")</f>
        <v>صيدلية</v>
      </c>
      <c r="E56" s="5" t="str">
        <f ca="1">IFERROR(__xludf.DUMMYFUNCTION("""COMPUTED_VALUE"""),"صيدلية")</f>
        <v>صيدلية</v>
      </c>
      <c r="F56" s="5" t="str">
        <f ca="1">IFERROR(__xludf.DUMMYFUNCTION("""COMPUTED_VALUE"""),"صيدلية (أدوية ومستلزمات طبية)")</f>
        <v>صيدلية (أدوية ومستلزمات طبية)</v>
      </c>
      <c r="G56" s="5" t="str">
        <f ca="1">IFERROR(__xludf.DUMMYFUNCTION("""COMPUTED_VALUE"""),"صحة الدوائية (ش.م.م)")</f>
        <v>صحة الدوائية (ش.م.م)</v>
      </c>
      <c r="H56" s="5" t="str">
        <f ca="1">IFERROR(__xludf.DUMMYFUNCTION("""COMPUTED_VALUE"""),"مبنىى برمير  - خلف المستشفى الجوي - التجمع الخامس - القاهرة الجديدة")</f>
        <v>مبنىى برمير  - خلف المستشفى الجوي - التجمع الخامس - القاهرة الجديدة</v>
      </c>
      <c r="I56" s="6" t="str">
        <f ca="1">IFERROR(__xludf.DUMMYFUNCTION("""COMPUTED_VALUE"""),"20226773009")</f>
        <v>20226773009</v>
      </c>
      <c r="J56" s="6" t="str">
        <f ca="1">IFERROR(__xludf.DUMMYFUNCTION("""COMPUTED_VALUE"""),"16377")</f>
        <v>16377</v>
      </c>
      <c r="K56" s="6" t="str">
        <f ca="1">IFERROR(__xludf.DUMMYFUNCTION("""COMPUTED_VALUE"""),"خصم 10% علي المحلي&amp; 5% علي المستورد")</f>
        <v>خصم 10% علي المحلي&amp; 5% علي المستورد</v>
      </c>
    </row>
    <row r="57" spans="1:11" x14ac:dyDescent="0.25">
      <c r="A57" s="4" t="str">
        <f ca="1">IFERROR(__xludf.DUMMYFUNCTION("""COMPUTED_VALUE"""),"104654-B")</f>
        <v>104654-B</v>
      </c>
      <c r="B57" s="5" t="str">
        <f ca="1">IFERROR(__xludf.DUMMYFUNCTION("""COMPUTED_VALUE"""),"القاهرة")</f>
        <v>القاهرة</v>
      </c>
      <c r="C57" s="5" t="str">
        <f ca="1">IFERROR(__xludf.DUMMYFUNCTION("""COMPUTED_VALUE"""),"القاهرة الجديدة")</f>
        <v>القاهرة الجديدة</v>
      </c>
      <c r="D57" s="5" t="str">
        <f ca="1">IFERROR(__xludf.DUMMYFUNCTION("""COMPUTED_VALUE"""),"صيدلية")</f>
        <v>صيدلية</v>
      </c>
      <c r="E57" s="5" t="str">
        <f ca="1">IFERROR(__xludf.DUMMYFUNCTION("""COMPUTED_VALUE"""),"صيدلية")</f>
        <v>صيدلية</v>
      </c>
      <c r="F57" s="5" t="str">
        <f ca="1">IFERROR(__xludf.DUMMYFUNCTION("""COMPUTED_VALUE"""),"صيدلية (أدوية ومستلزمات طبية)")</f>
        <v>صيدلية (أدوية ومستلزمات طبية)</v>
      </c>
      <c r="G57" s="5" t="str">
        <f ca="1">IFERROR(__xludf.DUMMYFUNCTION("""COMPUTED_VALUE"""),"صحة الدوائية (ش.م.م)")</f>
        <v>صحة الدوائية (ش.م.م)</v>
      </c>
      <c r="H57" s="5" t="str">
        <f ca="1">IFERROR(__xludf.DUMMYFUNCTION("""COMPUTED_VALUE"""),"مركز خدمات B7  - مدينتي - القاهرة الجديدة")</f>
        <v>مركز خدمات B7  - مدينتي - القاهرة الجديدة</v>
      </c>
      <c r="I57" s="6" t="str">
        <f ca="1">IFERROR(__xludf.DUMMYFUNCTION("""COMPUTED_VALUE"""),"20226773009")</f>
        <v>20226773009</v>
      </c>
      <c r="J57" s="6" t="str">
        <f ca="1">IFERROR(__xludf.DUMMYFUNCTION("""COMPUTED_VALUE"""),"16377")</f>
        <v>16377</v>
      </c>
      <c r="K57" s="6" t="str">
        <f ca="1">IFERROR(__xludf.DUMMYFUNCTION("""COMPUTED_VALUE"""),"خصم 10% علي المحلي&amp; 5% علي المستورد")</f>
        <v>خصم 10% علي المحلي&amp; 5% علي المستورد</v>
      </c>
    </row>
    <row r="58" spans="1:11" x14ac:dyDescent="0.25">
      <c r="A58" s="4" t="str">
        <f ca="1">IFERROR(__xludf.DUMMYFUNCTION("""COMPUTED_VALUE"""),"3152-B")</f>
        <v>3152-B</v>
      </c>
      <c r="B58" s="5" t="str">
        <f ca="1">IFERROR(__xludf.DUMMYFUNCTION("""COMPUTED_VALUE"""),"الاسكندرية")</f>
        <v>الاسكندرية</v>
      </c>
      <c r="C58" s="5" t="str">
        <f ca="1">IFERROR(__xludf.DUMMYFUNCTION("""COMPUTED_VALUE"""),"زيزينيا")</f>
        <v>زيزينيا</v>
      </c>
      <c r="D58" s="5" t="str">
        <f ca="1">IFERROR(__xludf.DUMMYFUNCTION("""COMPUTED_VALUE"""),"صيدلية")</f>
        <v>صيدلية</v>
      </c>
      <c r="E58" s="5" t="str">
        <f ca="1">IFERROR(__xludf.DUMMYFUNCTION("""COMPUTED_VALUE"""),"صيدلية")</f>
        <v>صيدلية</v>
      </c>
      <c r="F58" s="5" t="str">
        <f ca="1">IFERROR(__xludf.DUMMYFUNCTION("""COMPUTED_VALUE"""),"صيدلية (أدوية ومستلزمات طبية)")</f>
        <v>صيدلية (أدوية ومستلزمات طبية)</v>
      </c>
      <c r="G58" s="5" t="str">
        <f ca="1">IFERROR(__xludf.DUMMYFUNCTION("""COMPUTED_VALUE"""),"صيدلية اليكس")</f>
        <v>صيدلية اليكس</v>
      </c>
      <c r="H58" s="5" t="str">
        <f ca="1">IFERROR(__xludf.DUMMYFUNCTION("""COMPUTED_VALUE"""),"10شارع حامد الخولي -  زيزينيا  -خلف فندق بلازا-الاسكندرية")</f>
        <v>10شارع حامد الخولي -  زيزينيا  -خلف فندق بلازا-الاسكندرية</v>
      </c>
      <c r="I58" s="6" t="str">
        <f ca="1">IFERROR(__xludf.DUMMYFUNCTION("""COMPUTED_VALUE"""),"2035855851")</f>
        <v>2035855851</v>
      </c>
      <c r="J58" s="6"/>
      <c r="K58" s="6" t="str">
        <f ca="1">IFERROR(__xludf.DUMMYFUNCTION("""COMPUTED_VALUE"""),"خصم 13% محلي و 6% المستورد")</f>
        <v>خصم 13% محلي و 6% المستورد</v>
      </c>
    </row>
    <row r="59" spans="1:11" x14ac:dyDescent="0.25">
      <c r="A59" s="4" t="str">
        <f ca="1">IFERROR(__xludf.DUMMYFUNCTION("""COMPUTED_VALUE"""),"3152")</f>
        <v>3152</v>
      </c>
      <c r="B59" s="5" t="str">
        <f ca="1">IFERROR(__xludf.DUMMYFUNCTION("""COMPUTED_VALUE"""),"الاسكندرية")</f>
        <v>الاسكندرية</v>
      </c>
      <c r="C59" s="5" t="str">
        <f ca="1">IFERROR(__xludf.DUMMYFUNCTION("""COMPUTED_VALUE"""),"لوران")</f>
        <v>لوران</v>
      </c>
      <c r="D59" s="5" t="str">
        <f ca="1">IFERROR(__xludf.DUMMYFUNCTION("""COMPUTED_VALUE"""),"صيدلية")</f>
        <v>صيدلية</v>
      </c>
      <c r="E59" s="5" t="str">
        <f ca="1">IFERROR(__xludf.DUMMYFUNCTION("""COMPUTED_VALUE"""),"صيدلية")</f>
        <v>صيدلية</v>
      </c>
      <c r="F59" s="5" t="str">
        <f ca="1">IFERROR(__xludf.DUMMYFUNCTION("""COMPUTED_VALUE"""),"صيدلية (أدوية ومستلزمات طبية)")</f>
        <v>صيدلية (أدوية ومستلزمات طبية)</v>
      </c>
      <c r="G59" s="5" t="str">
        <f ca="1">IFERROR(__xludf.DUMMYFUNCTION("""COMPUTED_VALUE"""),"صيدلية اليكس")</f>
        <v>صيدلية اليكس</v>
      </c>
      <c r="H59" s="5" t="str">
        <f ca="1">IFERROR(__xludf.DUMMYFUNCTION("""COMPUTED_VALUE"""),"38شارع الاقبال ، السرايا ، الإسكندرية")</f>
        <v>38شارع الاقبال ، السرايا ، الإسكندرية</v>
      </c>
      <c r="I59" s="6" t="str">
        <f ca="1">IFERROR(__xludf.DUMMYFUNCTION("""COMPUTED_VALUE"""),"2033593300")</f>
        <v>2033593300</v>
      </c>
      <c r="J59" s="6"/>
      <c r="K59" s="6" t="str">
        <f ca="1">IFERROR(__xludf.DUMMYFUNCTION("""COMPUTED_VALUE"""),"خصم 13% محلي و 6% المستورد")</f>
        <v>خصم 13% محلي و 6% المستورد</v>
      </c>
    </row>
    <row r="60" spans="1:11" x14ac:dyDescent="0.25">
      <c r="A60" s="4" t="str">
        <f ca="1">IFERROR(__xludf.DUMMYFUNCTION("""COMPUTED_VALUE"""),"3152-B")</f>
        <v>3152-B</v>
      </c>
      <c r="B60" s="5" t="str">
        <f ca="1">IFERROR(__xludf.DUMMYFUNCTION("""COMPUTED_VALUE"""),"الاسكندرية")</f>
        <v>الاسكندرية</v>
      </c>
      <c r="C60" s="5" t="str">
        <f ca="1">IFERROR(__xludf.DUMMYFUNCTION("""COMPUTED_VALUE"""),"لوران")</f>
        <v>لوران</v>
      </c>
      <c r="D60" s="5" t="str">
        <f ca="1">IFERROR(__xludf.DUMMYFUNCTION("""COMPUTED_VALUE"""),"صيدلية")</f>
        <v>صيدلية</v>
      </c>
      <c r="E60" s="5" t="str">
        <f ca="1">IFERROR(__xludf.DUMMYFUNCTION("""COMPUTED_VALUE"""),"صيدلية")</f>
        <v>صيدلية</v>
      </c>
      <c r="F60" s="5" t="str">
        <f ca="1">IFERROR(__xludf.DUMMYFUNCTION("""COMPUTED_VALUE"""),"صيدلية (أدوية ومستلزمات طبية)")</f>
        <v>صيدلية (أدوية ومستلزمات طبية)</v>
      </c>
      <c r="G60" s="5" t="str">
        <f ca="1">IFERROR(__xludf.DUMMYFUNCTION("""COMPUTED_VALUE"""),"صيدلية اليكس")</f>
        <v>صيدلية اليكس</v>
      </c>
      <c r="H60" s="5" t="str">
        <f ca="1">IFERROR(__xludf.DUMMYFUNCTION("""COMPUTED_VALUE"""),"9ش حسن أمين متفرع من ش الاقبال - السرايا - لوران - الاسكندرية")</f>
        <v>9ش حسن أمين متفرع من ش الاقبال - السرايا - لوران - الاسكندرية</v>
      </c>
      <c r="I60" s="6" t="str">
        <f ca="1">IFERROR(__xludf.DUMMYFUNCTION("""COMPUTED_VALUE"""),"2033593300")</f>
        <v>2033593300</v>
      </c>
      <c r="J60" s="6"/>
      <c r="K60" s="6" t="str">
        <f ca="1">IFERROR(__xludf.DUMMYFUNCTION("""COMPUTED_VALUE"""),"خصم 13% محلي و 6% المستورد")</f>
        <v>خصم 13% محلي و 6% المستورد</v>
      </c>
    </row>
    <row r="61" spans="1:11" x14ac:dyDescent="0.25">
      <c r="A61" s="4" t="str">
        <f ca="1">IFERROR(__xludf.DUMMYFUNCTION("""COMPUTED_VALUE"""),"104333")</f>
        <v>104333</v>
      </c>
      <c r="B61" s="5" t="str">
        <f ca="1">IFERROR(__xludf.DUMMYFUNCTION("""COMPUTED_VALUE"""),"الاسكندرية")</f>
        <v>الاسكندرية</v>
      </c>
      <c r="C61" s="5" t="str">
        <f ca="1">IFERROR(__xludf.DUMMYFUNCTION("""COMPUTED_VALUE"""),"محطه مصر")</f>
        <v>محطه مصر</v>
      </c>
      <c r="D61" s="5" t="str">
        <f ca="1">IFERROR(__xludf.DUMMYFUNCTION("""COMPUTED_VALUE"""),"صيدلية")</f>
        <v>صيدلية</v>
      </c>
      <c r="E61" s="5" t="str">
        <f ca="1">IFERROR(__xludf.DUMMYFUNCTION("""COMPUTED_VALUE"""),"صيدلية")</f>
        <v>صيدلية</v>
      </c>
      <c r="F61" s="5" t="str">
        <f ca="1">IFERROR(__xludf.DUMMYFUNCTION("""COMPUTED_VALUE"""),"صيدلية (أدوية ومستلزمات طبية)")</f>
        <v>صيدلية (أدوية ومستلزمات طبية)</v>
      </c>
      <c r="G61" s="5" t="str">
        <f ca="1">IFERROR(__xludf.DUMMYFUNCTION("""COMPUTED_VALUE"""),"صيدلية د/مجدى سويفي")</f>
        <v>صيدلية د/مجدى سويفي</v>
      </c>
      <c r="H61" s="5" t="str">
        <f ca="1">IFERROR(__xludf.DUMMYFUNCTION("""COMPUTED_VALUE"""),"محطة مصر - ميدان الشهداء - بجوار مستشفى احمد ماهر - الاسكندرية")</f>
        <v>محطة مصر - ميدان الشهداء - بجوار مستشفى احمد ماهر - الاسكندرية</v>
      </c>
      <c r="I61" s="6" t="str">
        <f ca="1">IFERROR(__xludf.DUMMYFUNCTION("""COMPUTED_VALUE"""),"2034961328")</f>
        <v>2034961328</v>
      </c>
      <c r="J61" s="6"/>
      <c r="K61" s="6" t="str">
        <f ca="1">IFERROR(__xludf.DUMMYFUNCTION("""COMPUTED_VALUE"""),"خصم 14% علي المحلي و 7% علي المستورد")</f>
        <v>خصم 14% علي المحلي و 7% علي المستورد</v>
      </c>
    </row>
    <row r="62" spans="1:11" x14ac:dyDescent="0.25">
      <c r="A62" s="4" t="str">
        <f ca="1">IFERROR(__xludf.DUMMYFUNCTION("""COMPUTED_VALUE"""),"3746")</f>
        <v>3746</v>
      </c>
      <c r="B62" s="5" t="str">
        <f ca="1">IFERROR(__xludf.DUMMYFUNCTION("""COMPUTED_VALUE"""),"الاسكندرية")</f>
        <v>الاسكندرية</v>
      </c>
      <c r="C62" s="5" t="str">
        <f ca="1">IFERROR(__xludf.DUMMYFUNCTION("""COMPUTED_VALUE"""),"المندرة")</f>
        <v>المندرة</v>
      </c>
      <c r="D62" s="5" t="str">
        <f ca="1">IFERROR(__xludf.DUMMYFUNCTION("""COMPUTED_VALUE"""),"صيدلية")</f>
        <v>صيدلية</v>
      </c>
      <c r="E62" s="5" t="str">
        <f ca="1">IFERROR(__xludf.DUMMYFUNCTION("""COMPUTED_VALUE"""),"صيدلية")</f>
        <v>صيدلية</v>
      </c>
      <c r="F62" s="5" t="str">
        <f ca="1">IFERROR(__xludf.DUMMYFUNCTION("""COMPUTED_VALUE"""),"صيدلية (أدوية ومستلزمات طبية)")</f>
        <v>صيدلية (أدوية ومستلزمات طبية)</v>
      </c>
      <c r="G62" s="5" t="str">
        <f ca="1">IFERROR(__xludf.DUMMYFUNCTION("""COMPUTED_VALUE"""),"صيدلية شريهاب")</f>
        <v>صيدلية شريهاب</v>
      </c>
      <c r="H62" s="5" t="str">
        <f ca="1">IFERROR(__xludf.DUMMYFUNCTION("""COMPUTED_VALUE"""),"446شارع جمال عبدالناصر المندرة-الاسكندرية")</f>
        <v>446شارع جمال عبدالناصر المندرة-الاسكندرية</v>
      </c>
      <c r="I62" s="6" t="str">
        <f ca="1">IFERROR(__xludf.DUMMYFUNCTION("""COMPUTED_VALUE"""),"2035558696")</f>
        <v>2035558696</v>
      </c>
      <c r="J62" s="6"/>
      <c r="K62" s="6" t="str">
        <f ca="1">IFERROR(__xludf.DUMMYFUNCTION("""COMPUTED_VALUE"""),"خصم 15% علي المحلي و 5% علي المستورد")</f>
        <v>خصم 15% علي المحلي و 5% علي المستورد</v>
      </c>
    </row>
    <row r="63" spans="1:11" x14ac:dyDescent="0.25">
      <c r="A63" s="4" t="str">
        <f ca="1">IFERROR(__xludf.DUMMYFUNCTION("""COMPUTED_VALUE"""),"3135")</f>
        <v>3135</v>
      </c>
      <c r="B63" s="5" t="str">
        <f ca="1">IFERROR(__xludf.DUMMYFUNCTION("""COMPUTED_VALUE"""),"القاهرة")</f>
        <v>القاهرة</v>
      </c>
      <c r="C63" s="5" t="str">
        <f ca="1">IFERROR(__xludf.DUMMYFUNCTION("""COMPUTED_VALUE"""),"مدينة نصر")</f>
        <v>مدينة نصر</v>
      </c>
      <c r="D63" s="5" t="str">
        <f ca="1">IFERROR(__xludf.DUMMYFUNCTION("""COMPUTED_VALUE"""),"صيدلية")</f>
        <v>صيدلية</v>
      </c>
      <c r="E63" s="5" t="str">
        <f ca="1">IFERROR(__xludf.DUMMYFUNCTION("""COMPUTED_VALUE"""),"صيدلية")</f>
        <v>صيدلية</v>
      </c>
      <c r="F63" s="5" t="str">
        <f ca="1">IFERROR(__xludf.DUMMYFUNCTION("""COMPUTED_VALUE"""),"صيدلية (أدوية ومستلزمات طبية)")</f>
        <v>صيدلية (أدوية ومستلزمات طبية)</v>
      </c>
      <c r="G63" s="5" t="str">
        <f ca="1">IFERROR(__xludf.DUMMYFUNCTION("""COMPUTED_VALUE"""),"صيدلية شيرين -مدينة نصر")</f>
        <v>صيدلية شيرين -مدينة نصر</v>
      </c>
      <c r="H63" s="5" t="str">
        <f ca="1">IFERROR(__xludf.DUMMYFUNCTION("""COMPUTED_VALUE"""),"32شارع عطية الصوالحى - الحي الثامن – أمام السراج مول – برج 3-مدينة نصر-القاهرة")</f>
        <v>32شارع عطية الصوالحى - الحي الثامن – أمام السراج مول – برج 3-مدينة نصر-القاهرة</v>
      </c>
      <c r="I63" s="6" t="str">
        <f ca="1">IFERROR(__xludf.DUMMYFUNCTION("""COMPUTED_VALUE"""),"20222874993")</f>
        <v>20222874993</v>
      </c>
      <c r="J63" s="6"/>
      <c r="K63" s="6" t="str">
        <f ca="1">IFERROR(__xludf.DUMMYFUNCTION("""COMPUTED_VALUE"""),"خصم 15% علي المحلي و 6% علي المستورد")</f>
        <v>خصم 15% علي المحلي و 6% علي المستورد</v>
      </c>
    </row>
    <row r="64" spans="1:11" x14ac:dyDescent="0.25">
      <c r="A64" s="4" t="str">
        <f ca="1">IFERROR(__xludf.DUMMYFUNCTION("""COMPUTED_VALUE"""),"104482")</f>
        <v>104482</v>
      </c>
      <c r="B64" s="5" t="str">
        <f ca="1">IFERROR(__xludf.DUMMYFUNCTION("""COMPUTED_VALUE"""),"القاهرة")</f>
        <v>القاهرة</v>
      </c>
      <c r="C64" s="5" t="str">
        <f ca="1">IFERROR(__xludf.DUMMYFUNCTION("""COMPUTED_VALUE"""),"مدينة نصر")</f>
        <v>مدينة نصر</v>
      </c>
      <c r="D64" s="5" t="str">
        <f ca="1">IFERROR(__xludf.DUMMYFUNCTION("""COMPUTED_VALUE"""),"مستشفى")</f>
        <v>مستشفى</v>
      </c>
      <c r="E64" s="5" t="str">
        <f ca="1">IFERROR(__xludf.DUMMYFUNCTION("""COMPUTED_VALUE"""),"مستشفي طبي متكامل")</f>
        <v>مستشفي طبي متكامل</v>
      </c>
      <c r="F64" s="5" t="str">
        <f ca="1">IFERROR(__xludf.DUMMYFUNCTION("""COMPUTED_VALUE"""),"جميع التخصصات الطبية")</f>
        <v>جميع التخصصات الطبية</v>
      </c>
      <c r="G64" s="5" t="str">
        <f ca="1">IFERROR(__xludf.DUMMYFUNCTION("""COMPUTED_VALUE"""),"مستشفى الماسة (أفا ابرام جروب للاسكان والاستثمار العقاري والخدمات الطبية )")</f>
        <v>مستشفى الماسة (أفا ابرام جروب للاسكان والاستثمار العقاري والخدمات الطبية )</v>
      </c>
      <c r="H64" s="5" t="str">
        <f ca="1">IFERROR(__xludf.DUMMYFUNCTION("""COMPUTED_VALUE"""),"26 شارع متولي الشعراوي - الحي العاشر - مدينة نصر .")</f>
        <v>26 شارع متولي الشعراوي - الحي العاشر - مدينة نصر .</v>
      </c>
      <c r="I64" s="6" t="str">
        <f ca="1">IFERROR(__xludf.DUMMYFUNCTION("""COMPUTED_VALUE"""),"20223575163")</f>
        <v>20223575163</v>
      </c>
      <c r="J64" s="6"/>
      <c r="K64" s="6" t="str">
        <f ca="1">IFERROR(__xludf.DUMMYFUNCTION("""COMPUTED_VALUE"""),"خصم 20% على الكشف -15% على الاجرائات الاخرى ")</f>
        <v xml:space="preserve">خصم 20% على الكشف -15% على الاجرائات الاخرى </v>
      </c>
    </row>
    <row r="65" spans="1:11" x14ac:dyDescent="0.25">
      <c r="A65" s="4" t="str">
        <f ca="1">IFERROR(__xludf.DUMMYFUNCTION("""COMPUTED_VALUE"""),"104615")</f>
        <v>104615</v>
      </c>
      <c r="B65" s="5" t="str">
        <f ca="1">IFERROR(__xludf.DUMMYFUNCTION("""COMPUTED_VALUE"""),"القاهرة")</f>
        <v>القاهرة</v>
      </c>
      <c r="C65" s="5" t="str">
        <f ca="1">IFERROR(__xludf.DUMMYFUNCTION("""COMPUTED_VALUE"""),"مصر الجديدة")</f>
        <v>مصر الجديدة</v>
      </c>
      <c r="D65" s="5" t="str">
        <f ca="1">IFERROR(__xludf.DUMMYFUNCTION("""COMPUTED_VALUE"""),"هيئة الأطباء")</f>
        <v>هيئة الأطباء</v>
      </c>
      <c r="E65" s="5" t="str">
        <f ca="1">IFERROR(__xludf.DUMMYFUNCTION("""COMPUTED_VALUE"""),"جراحة")</f>
        <v>جراحة</v>
      </c>
      <c r="F65" s="5" t="str">
        <f ca="1">IFERROR(__xludf.DUMMYFUNCTION("""COMPUTED_VALUE"""),"جراحة عظام")</f>
        <v>جراحة عظام</v>
      </c>
      <c r="G65" s="5" t="str">
        <f ca="1">IFERROR(__xludf.DUMMYFUNCTION("""COMPUTED_VALUE"""),"د/رضوان جمال الدين عبدالحميد")</f>
        <v>د/رضوان جمال الدين عبدالحميد</v>
      </c>
      <c r="H65" s="5" t="str">
        <f ca="1">IFERROR(__xludf.DUMMYFUNCTION("""COMPUTED_VALUE"""),"102ب- شارع الميرغني - مصر الجديدة - القاهرة")</f>
        <v>102ب- شارع الميرغني - مصر الجديدة - القاهرة</v>
      </c>
      <c r="I65" s="6" t="str">
        <f ca="1">IFERROR(__xludf.DUMMYFUNCTION("""COMPUTED_VALUE"""),"201272221906")</f>
        <v>201272221906</v>
      </c>
      <c r="J65" s="6"/>
      <c r="K65" s="6" t="str">
        <f ca="1">IFERROR(__xludf.DUMMYFUNCTION("""COMPUTED_VALUE"""),"خصم 35%")</f>
        <v>خصم 35%</v>
      </c>
    </row>
    <row r="66" spans="1:11" x14ac:dyDescent="0.25">
      <c r="A66" s="4" t="str">
        <f ca="1">IFERROR(__xludf.DUMMYFUNCTION("""COMPUTED_VALUE"""),"104686")</f>
        <v>104686</v>
      </c>
      <c r="B66" s="5" t="str">
        <f ca="1">IFERROR(__xludf.DUMMYFUNCTION("""COMPUTED_VALUE"""),"القاهرة")</f>
        <v>القاهرة</v>
      </c>
      <c r="C66" s="5" t="str">
        <f ca="1">IFERROR(__xludf.DUMMYFUNCTION("""COMPUTED_VALUE"""),"مصر الجديدة")</f>
        <v>مصر الجديدة</v>
      </c>
      <c r="D66" s="5" t="str">
        <f ca="1">IFERROR(__xludf.DUMMYFUNCTION("""COMPUTED_VALUE"""),"هيئة الأطباء")</f>
        <v>هيئة الأطباء</v>
      </c>
      <c r="E66" s="5" t="str">
        <f ca="1">IFERROR(__xludf.DUMMYFUNCTION("""COMPUTED_VALUE"""),"اسنان")</f>
        <v>اسنان</v>
      </c>
      <c r="F66" s="5" t="str">
        <f ca="1">IFERROR(__xludf.DUMMYFUNCTION("""COMPUTED_VALUE"""),"جراحة الفم والأسنان")</f>
        <v>جراحة الفم والأسنان</v>
      </c>
      <c r="G66" s="5" t="str">
        <f ca="1">IFERROR(__xludf.DUMMYFUNCTION("""COMPUTED_VALUE"""),"سمارت دنتال كلينيك")</f>
        <v>سمارت دنتال كلينيك</v>
      </c>
      <c r="H66" s="5" t="str">
        <f ca="1">IFERROR(__xludf.DUMMYFUNCTION("""COMPUTED_VALUE"""),"11 شارع الاهرام -الدور 4-شقة 10- مصر الجديدة")</f>
        <v>11 شارع الاهرام -الدور 4-شقة 10- مصر الجديدة</v>
      </c>
      <c r="I66" s="6" t="str">
        <f ca="1">IFERROR(__xludf.DUMMYFUNCTION("""COMPUTED_VALUE"""),"20222904404")</f>
        <v>20222904404</v>
      </c>
      <c r="J66" s="6"/>
      <c r="K66" s="6" t="str">
        <f ca="1">IFERROR(__xludf.DUMMYFUNCTION("""COMPUTED_VALUE"""),"50% على الكشوفات ,10% على باقى الإجراءات")</f>
        <v>50% على الكشوفات ,10% على باقى الإجراءات</v>
      </c>
    </row>
    <row r="67" spans="1:11" x14ac:dyDescent="0.25">
      <c r="A67" s="4" t="str">
        <f ca="1">IFERROR(__xludf.DUMMYFUNCTION("""COMPUTED_VALUE"""),"104686-B")</f>
        <v>104686-B</v>
      </c>
      <c r="B67" s="5" t="str">
        <f ca="1">IFERROR(__xludf.DUMMYFUNCTION("""COMPUTED_VALUE"""),"الجيزة")</f>
        <v>الجيزة</v>
      </c>
      <c r="C67" s="5" t="str">
        <f ca="1">IFERROR(__xludf.DUMMYFUNCTION("""COMPUTED_VALUE"""),"المهندسين")</f>
        <v>المهندسين</v>
      </c>
      <c r="D67" s="5" t="str">
        <f ca="1">IFERROR(__xludf.DUMMYFUNCTION("""COMPUTED_VALUE"""),"هيئة الأطباء")</f>
        <v>هيئة الأطباء</v>
      </c>
      <c r="E67" s="5" t="str">
        <f ca="1">IFERROR(__xludf.DUMMYFUNCTION("""COMPUTED_VALUE"""),"اسنان")</f>
        <v>اسنان</v>
      </c>
      <c r="F67" s="5" t="str">
        <f ca="1">IFERROR(__xludf.DUMMYFUNCTION("""COMPUTED_VALUE"""),"جراحة الفم والأسنان")</f>
        <v>جراحة الفم والأسنان</v>
      </c>
      <c r="G67" s="5" t="str">
        <f ca="1">IFERROR(__xludf.DUMMYFUNCTION("""COMPUTED_VALUE"""),"سمارت دنتال كلينيك")</f>
        <v>سمارت دنتال كلينيك</v>
      </c>
      <c r="H67" s="5" t="str">
        <f ca="1">IFERROR(__xludf.DUMMYFUNCTION("""COMPUTED_VALUE"""),"17ش جامعة الدول -أمام مسجد مصطفى محمود- المهندسين")</f>
        <v>17ش جامعة الدول -أمام مسجد مصطفى محمود- المهندسين</v>
      </c>
      <c r="I67" s="6" t="str">
        <f ca="1">IFERROR(__xludf.DUMMYFUNCTION("""COMPUTED_VALUE"""),"20233456454")</f>
        <v>20233456454</v>
      </c>
      <c r="J67" s="6"/>
      <c r="K67" s="6" t="str">
        <f ca="1">IFERROR(__xludf.DUMMYFUNCTION("""COMPUTED_VALUE"""),"50% على الكشوفات ,10% على باقى الإجراءات")</f>
        <v>50% على الكشوفات ,10% على باقى الإجراءات</v>
      </c>
    </row>
    <row r="68" spans="1:11" x14ac:dyDescent="0.25">
      <c r="A68" s="4" t="str">
        <f ca="1">IFERROR(__xludf.DUMMYFUNCTION("""COMPUTED_VALUE"""),"104686-B")</f>
        <v>104686-B</v>
      </c>
      <c r="B68" s="5" t="str">
        <f ca="1">IFERROR(__xludf.DUMMYFUNCTION("""COMPUTED_VALUE"""),"الجيزة")</f>
        <v>الجيزة</v>
      </c>
      <c r="C68" s="5" t="str">
        <f ca="1">IFERROR(__xludf.DUMMYFUNCTION("""COMPUTED_VALUE"""),"الشيخ زايد")</f>
        <v>الشيخ زايد</v>
      </c>
      <c r="D68" s="5" t="str">
        <f ca="1">IFERROR(__xludf.DUMMYFUNCTION("""COMPUTED_VALUE"""),"هيئة الأطباء")</f>
        <v>هيئة الأطباء</v>
      </c>
      <c r="E68" s="5" t="str">
        <f ca="1">IFERROR(__xludf.DUMMYFUNCTION("""COMPUTED_VALUE"""),"اسنان")</f>
        <v>اسنان</v>
      </c>
      <c r="F68" s="5" t="str">
        <f ca="1">IFERROR(__xludf.DUMMYFUNCTION("""COMPUTED_VALUE"""),"جراحة الفم والأسنان")</f>
        <v>جراحة الفم والأسنان</v>
      </c>
      <c r="G68" s="5" t="str">
        <f ca="1">IFERROR(__xludf.DUMMYFUNCTION("""COMPUTED_VALUE"""),"سمارت دنتال كلينيك")</f>
        <v>سمارت دنتال كلينيك</v>
      </c>
      <c r="H68" s="5" t="str">
        <f ca="1">IFERROR(__xludf.DUMMYFUNCTION("""COMPUTED_VALUE"""),"143المجاورة الاولى - الحي السابع - الشيخ زايد")</f>
        <v>143المجاورة الاولى - الحي السابع - الشيخ زايد</v>
      </c>
      <c r="I68" s="6" t="str">
        <f ca="1">IFERROR(__xludf.DUMMYFUNCTION("""COMPUTED_VALUE"""),"20238511933")</f>
        <v>20238511933</v>
      </c>
      <c r="J68" s="6"/>
      <c r="K68" s="6" t="str">
        <f ca="1">IFERROR(__xludf.DUMMYFUNCTION("""COMPUTED_VALUE"""),"50% على الكشوفات ,10% على باقى الإجراءات")</f>
        <v>50% على الكشوفات ,10% على باقى الإجراءات</v>
      </c>
    </row>
    <row r="69" spans="1:11" x14ac:dyDescent="0.25">
      <c r="A69" s="4" t="str">
        <f ca="1">IFERROR(__xludf.DUMMYFUNCTION("""COMPUTED_VALUE"""),"104686-B")</f>
        <v>104686-B</v>
      </c>
      <c r="B69" s="5" t="str">
        <f ca="1">IFERROR(__xludf.DUMMYFUNCTION("""COMPUTED_VALUE"""),"القاهرة")</f>
        <v>القاهرة</v>
      </c>
      <c r="C69" s="5" t="str">
        <f ca="1">IFERROR(__xludf.DUMMYFUNCTION("""COMPUTED_VALUE"""),"السيدة زينب")</f>
        <v>السيدة زينب</v>
      </c>
      <c r="D69" s="5" t="str">
        <f ca="1">IFERROR(__xludf.DUMMYFUNCTION("""COMPUTED_VALUE"""),"هيئة الأطباء")</f>
        <v>هيئة الأطباء</v>
      </c>
      <c r="E69" s="5" t="str">
        <f ca="1">IFERROR(__xludf.DUMMYFUNCTION("""COMPUTED_VALUE"""),"اسنان")</f>
        <v>اسنان</v>
      </c>
      <c r="F69" s="5" t="str">
        <f ca="1">IFERROR(__xludf.DUMMYFUNCTION("""COMPUTED_VALUE"""),"جراحة الفم والأسنان")</f>
        <v>جراحة الفم والأسنان</v>
      </c>
      <c r="G69" s="5" t="str">
        <f ca="1">IFERROR(__xludf.DUMMYFUNCTION("""COMPUTED_VALUE"""),"سمارت دنتال كلينيك")</f>
        <v>سمارت دنتال كلينيك</v>
      </c>
      <c r="H69" s="5" t="str">
        <f ca="1">IFERROR(__xludf.DUMMYFUNCTION("""COMPUTED_VALUE"""),"34 الكومي - وسط البلد - امام مدرسة السنية - السيدة زينب")</f>
        <v>34 الكومي - وسط البلد - امام مدرسة السنية - السيدة زينب</v>
      </c>
      <c r="I69" s="6" t="str">
        <f ca="1">IFERROR(__xludf.DUMMYFUNCTION("""COMPUTED_VALUE"""),"20223688336")</f>
        <v>20223688336</v>
      </c>
      <c r="J69" s="6"/>
      <c r="K69" s="6" t="str">
        <f ca="1">IFERROR(__xludf.DUMMYFUNCTION("""COMPUTED_VALUE"""),"50% على الكشوفات ,10% على باقى الإجراءات")</f>
        <v>50% على الكشوفات ,10% على باقى الإجراءات</v>
      </c>
    </row>
    <row r="70" spans="1:11" x14ac:dyDescent="0.25">
      <c r="A70" s="4" t="str">
        <f ca="1">IFERROR(__xludf.DUMMYFUNCTION("""COMPUTED_VALUE"""),"104686-B")</f>
        <v>104686-B</v>
      </c>
      <c r="B70" s="5" t="str">
        <f ca="1">IFERROR(__xludf.DUMMYFUNCTION("""COMPUTED_VALUE"""),"البحر الاحمر")</f>
        <v>البحر الاحمر</v>
      </c>
      <c r="C70" s="5" t="str">
        <f ca="1">IFERROR(__xludf.DUMMYFUNCTION("""COMPUTED_VALUE"""),"الغردقة")</f>
        <v>الغردقة</v>
      </c>
      <c r="D70" s="5" t="str">
        <f ca="1">IFERROR(__xludf.DUMMYFUNCTION("""COMPUTED_VALUE"""),"هيئة الأطباء")</f>
        <v>هيئة الأطباء</v>
      </c>
      <c r="E70" s="5" t="str">
        <f ca="1">IFERROR(__xludf.DUMMYFUNCTION("""COMPUTED_VALUE"""),"اسنان")</f>
        <v>اسنان</v>
      </c>
      <c r="F70" s="5" t="str">
        <f ca="1">IFERROR(__xludf.DUMMYFUNCTION("""COMPUTED_VALUE"""),"جراحة الفم والأسنان")</f>
        <v>جراحة الفم والأسنان</v>
      </c>
      <c r="G70" s="5" t="str">
        <f ca="1">IFERROR(__xludf.DUMMYFUNCTION("""COMPUTED_VALUE"""),"سمارت دنتال كلينيك")</f>
        <v>سمارت دنتال كلينيك</v>
      </c>
      <c r="H70" s="5" t="str">
        <f ca="1">IFERROR(__xludf.DUMMYFUNCTION("""COMPUTED_VALUE"""),"142 شارع الكوثر الغردقة البحر الاحمر")</f>
        <v>142 شارع الكوثر الغردقة البحر الاحمر</v>
      </c>
      <c r="I70" s="6" t="str">
        <f ca="1">IFERROR(__xludf.DUMMYFUNCTION("""COMPUTED_VALUE"""),"0653407309")</f>
        <v>0653407309</v>
      </c>
      <c r="J70" s="6"/>
      <c r="K70" s="6" t="str">
        <f ca="1">IFERROR(__xludf.DUMMYFUNCTION("""COMPUTED_VALUE"""),"50% على الكشوفات ,10% على باقى الإجراءات")</f>
        <v>50% على الكشوفات ,10% على باقى الإجراءات</v>
      </c>
    </row>
    <row r="71" spans="1:11" x14ac:dyDescent="0.25">
      <c r="A71" s="4" t="str">
        <f ca="1">IFERROR(__xludf.DUMMYFUNCTION("""COMPUTED_VALUE"""),"4122")</f>
        <v>4122</v>
      </c>
      <c r="B71" s="5" t="str">
        <f ca="1">IFERROR(__xludf.DUMMYFUNCTION("""COMPUTED_VALUE"""),"القاهرة")</f>
        <v>القاهرة</v>
      </c>
      <c r="C71" s="5" t="str">
        <f ca="1">IFERROR(__xludf.DUMMYFUNCTION("""COMPUTED_VALUE"""),"المنيل")</f>
        <v>المنيل</v>
      </c>
      <c r="D71" s="5" t="str">
        <f ca="1">IFERROR(__xludf.DUMMYFUNCTION("""COMPUTED_VALUE"""),"هيئة الأطباء")</f>
        <v>هيئة الأطباء</v>
      </c>
      <c r="E71" s="5" t="str">
        <f ca="1">IFERROR(__xludf.DUMMYFUNCTION("""COMPUTED_VALUE"""),"أنف وأذن وحنجرة")</f>
        <v>أنف وأذن وحنجرة</v>
      </c>
      <c r="F71" s="5" t="str">
        <f ca="1">IFERROR(__xludf.DUMMYFUNCTION("""COMPUTED_VALUE"""),"أنف وأذن وحنجرة")</f>
        <v>أنف وأذن وحنجرة</v>
      </c>
      <c r="G71" s="5" t="str">
        <f ca="1">IFERROR(__xludf.DUMMYFUNCTION("""COMPUTED_VALUE"""),"د/ أحمد الخربوطلى")</f>
        <v>د/ أحمد الخربوطلى</v>
      </c>
      <c r="H71" s="5" t="str">
        <f ca="1">IFERROR(__xludf.DUMMYFUNCTION("""COMPUTED_VALUE"""),"84 شارع المنيل - الغمراوى-مصر القديمة-المنيل")</f>
        <v>84 شارع المنيل - الغمراوى-مصر القديمة-المنيل</v>
      </c>
      <c r="I71" s="6" t="str">
        <f ca="1">IFERROR(__xludf.DUMMYFUNCTION("""COMPUTED_VALUE"""),"20223630707")</f>
        <v>20223630707</v>
      </c>
      <c r="J71" s="6"/>
      <c r="K71" s="6" t="str">
        <f ca="1">IFERROR(__xludf.DUMMYFUNCTION("""COMPUTED_VALUE"""),"خصم 50% علي الكشف ، خصم 30% علي باقى الخدمات")</f>
        <v>خصم 50% علي الكشف ، خصم 30% علي باقى الخدمات</v>
      </c>
    </row>
    <row r="72" spans="1:11" x14ac:dyDescent="0.25">
      <c r="A72" s="4" t="str">
        <f ca="1">IFERROR(__xludf.DUMMYFUNCTION("""COMPUTED_VALUE"""),"105044")</f>
        <v>105044</v>
      </c>
      <c r="B72" s="5" t="str">
        <f ca="1">IFERROR(__xludf.DUMMYFUNCTION("""COMPUTED_VALUE"""),"الاسكندرية")</f>
        <v>الاسكندرية</v>
      </c>
      <c r="C72" s="5" t="str">
        <f ca="1">IFERROR(__xludf.DUMMYFUNCTION("""COMPUTED_VALUE"""),"جناكليس")</f>
        <v>جناكليس</v>
      </c>
      <c r="D72" s="5" t="str">
        <f ca="1">IFERROR(__xludf.DUMMYFUNCTION("""COMPUTED_VALUE"""),"هيئة الأطباء")</f>
        <v>هيئة الأطباء</v>
      </c>
      <c r="E72" s="5" t="str">
        <f ca="1">IFERROR(__xludf.DUMMYFUNCTION("""COMPUTED_VALUE"""),"اسنان")</f>
        <v>اسنان</v>
      </c>
      <c r="F72" s="5" t="str">
        <f ca="1">IFERROR(__xludf.DUMMYFUNCTION("""COMPUTED_VALUE"""),"جراحة الفم والأسنان")</f>
        <v>جراحة الفم والأسنان</v>
      </c>
      <c r="G72" s="5" t="str">
        <f ca="1">IFERROR(__xludf.DUMMYFUNCTION("""COMPUTED_VALUE"""),"مركز تاج لعلاج الاسنان (شركة انترناشيونال ميديكال كير للخدمات الطبية )")</f>
        <v>مركز تاج لعلاج الاسنان (شركة انترناشيونال ميديكال كير للخدمات الطبية )</v>
      </c>
      <c r="H72" s="5" t="str">
        <f ca="1">IFERROR(__xludf.DUMMYFUNCTION("""COMPUTED_VALUE"""),"5ش صبري - محطة ترام جناكليس - اعلى فتح الله ماركت-جناكليس-الاسكندرية")</f>
        <v>5ش صبري - محطة ترام جناكليس - اعلى فتح الله ماركت-جناكليس-الاسكندرية</v>
      </c>
      <c r="I72" s="6" t="str">
        <f ca="1">IFERROR(__xludf.DUMMYFUNCTION("""COMPUTED_VALUE"""),"2035841957")</f>
        <v>2035841957</v>
      </c>
      <c r="J72" s="6"/>
      <c r="K72" s="6" t="str">
        <f ca="1">IFERROR(__xludf.DUMMYFUNCTION("""COMPUTED_VALUE"""),"خصم 50% علي الكشف ، خصم 30% علي باقى الإجراءات ماعدا الإجراءات التجملية")</f>
        <v>خصم 50% علي الكشف ، خصم 30% علي باقى الإجراءات ماعدا الإجراءات التجملية</v>
      </c>
    </row>
    <row r="73" spans="1:11" x14ac:dyDescent="0.25">
      <c r="A73" s="4" t="str">
        <f ca="1">IFERROR(__xludf.DUMMYFUNCTION("""COMPUTED_VALUE"""),"105044-B")</f>
        <v>105044-B</v>
      </c>
      <c r="B73" s="5" t="str">
        <f ca="1">IFERROR(__xludf.DUMMYFUNCTION("""COMPUTED_VALUE"""),"الاسكندرية")</f>
        <v>الاسكندرية</v>
      </c>
      <c r="C73" s="5" t="str">
        <f ca="1">IFERROR(__xludf.DUMMYFUNCTION("""COMPUTED_VALUE"""),"سموحة")</f>
        <v>سموحة</v>
      </c>
      <c r="D73" s="5" t="str">
        <f ca="1">IFERROR(__xludf.DUMMYFUNCTION("""COMPUTED_VALUE"""),"هيئة الأطباء")</f>
        <v>هيئة الأطباء</v>
      </c>
      <c r="E73" s="5" t="str">
        <f ca="1">IFERROR(__xludf.DUMMYFUNCTION("""COMPUTED_VALUE"""),"اسنان")</f>
        <v>اسنان</v>
      </c>
      <c r="F73" s="5" t="str">
        <f ca="1">IFERROR(__xludf.DUMMYFUNCTION("""COMPUTED_VALUE"""),"جراحة الفم والأسنان")</f>
        <v>جراحة الفم والأسنان</v>
      </c>
      <c r="G73" s="5" t="str">
        <f ca="1">IFERROR(__xludf.DUMMYFUNCTION("""COMPUTED_VALUE"""),"مركز تاج لعلاج الاسنان (شركة انترناشيونال ميديكال كير للخدمات الطبية )")</f>
        <v>مركز تاج لعلاج الاسنان (شركة انترناشيونال ميديكال كير للخدمات الطبية )</v>
      </c>
      <c r="H73" s="5" t="str">
        <f ca="1">IFERROR(__xludf.DUMMYFUNCTION("""COMPUTED_VALUE"""),"شارع فوزي معاذ - امام مفكو حلوان-سموحة-الاسكندرية")</f>
        <v>شارع فوزي معاذ - امام مفكو حلوان-سموحة-الاسكندرية</v>
      </c>
      <c r="I73" s="6" t="str">
        <f ca="1">IFERROR(__xludf.DUMMYFUNCTION("""COMPUTED_VALUE"""),"034293645")</f>
        <v>034293645</v>
      </c>
      <c r="J73" s="6"/>
      <c r="K73" s="6" t="str">
        <f ca="1">IFERROR(__xludf.DUMMYFUNCTION("""COMPUTED_VALUE"""),"خصم 50% علي الكشف ، خصم 30% علي باقى الإجراءات ماعدا الإجراءات التجملية")</f>
        <v>خصم 50% علي الكشف ، خصم 30% علي باقى الإجراءات ماعدا الإجراءات التجملية</v>
      </c>
    </row>
    <row r="74" spans="1:11" x14ac:dyDescent="0.25">
      <c r="A74" s="4" t="str">
        <f ca="1">IFERROR(__xludf.DUMMYFUNCTION("""COMPUTED_VALUE"""),"1681")</f>
        <v>1681</v>
      </c>
      <c r="B74" s="5" t="str">
        <f ca="1">IFERROR(__xludf.DUMMYFUNCTION("""COMPUTED_VALUE"""),"القاهرة")</f>
        <v>القاهرة</v>
      </c>
      <c r="C74" s="5" t="str">
        <f ca="1">IFERROR(__xludf.DUMMYFUNCTION("""COMPUTED_VALUE"""),"حدائق القبة")</f>
        <v>حدائق القبة</v>
      </c>
      <c r="D74" s="5" t="str">
        <f ca="1">IFERROR(__xludf.DUMMYFUNCTION("""COMPUTED_VALUE"""),"هيئة الأطباء")</f>
        <v>هيئة الأطباء</v>
      </c>
      <c r="E74" s="5" t="str">
        <f ca="1">IFERROR(__xludf.DUMMYFUNCTION("""COMPUTED_VALUE"""),"رمد")</f>
        <v>رمد</v>
      </c>
      <c r="F74" s="5" t="str">
        <f ca="1">IFERROR(__xludf.DUMMYFUNCTION("""COMPUTED_VALUE"""),"رمد (جراحة عيون)")</f>
        <v>رمد (جراحة عيون)</v>
      </c>
      <c r="G74" s="5" t="str">
        <f ca="1">IFERROR(__xludf.DUMMYFUNCTION("""COMPUTED_VALUE"""),"د/ سهير محمد السيد نصار")</f>
        <v>د/ سهير محمد السيد نصار</v>
      </c>
      <c r="H74" s="5" t="str">
        <f ca="1">IFERROR(__xludf.DUMMYFUNCTION("""COMPUTED_VALUE"""),"297ش سكة الوايلي  -حدائق القبة-القاهرة")</f>
        <v>297ش سكة الوايلي  -حدائق القبة-القاهرة</v>
      </c>
      <c r="I74" s="6" t="str">
        <f ca="1">IFERROR(__xludf.DUMMYFUNCTION("""COMPUTED_VALUE"""),"20226014430")</f>
        <v>20226014430</v>
      </c>
      <c r="J74" s="6"/>
      <c r="K74" s="6" t="str">
        <f ca="1">IFERROR(__xludf.DUMMYFUNCTION("""COMPUTED_VALUE"""),"نسبة الخصم 30%")</f>
        <v>نسبة الخصم 30%</v>
      </c>
    </row>
    <row r="75" spans="1:11" x14ac:dyDescent="0.25">
      <c r="A75" s="4" t="str">
        <f ca="1">IFERROR(__xludf.DUMMYFUNCTION("""COMPUTED_VALUE"""),"105619")</f>
        <v>105619</v>
      </c>
      <c r="B75" s="5" t="str">
        <f ca="1">IFERROR(__xludf.DUMMYFUNCTION("""COMPUTED_VALUE"""),"الاسكندرية")</f>
        <v>الاسكندرية</v>
      </c>
      <c r="C75" s="5" t="str">
        <f ca="1">IFERROR(__xludf.DUMMYFUNCTION("""COMPUTED_VALUE"""),"برج العرب")</f>
        <v>برج العرب</v>
      </c>
      <c r="D75" s="5" t="str">
        <f ca="1">IFERROR(__xludf.DUMMYFUNCTION("""COMPUTED_VALUE"""),"مستشفى")</f>
        <v>مستشفى</v>
      </c>
      <c r="E75" s="5" t="str">
        <f ca="1">IFERROR(__xludf.DUMMYFUNCTION("""COMPUTED_VALUE"""),"مستشفي طبي متكامل")</f>
        <v>مستشفي طبي متكامل</v>
      </c>
      <c r="F75" s="5" t="str">
        <f ca="1">IFERROR(__xludf.DUMMYFUNCTION("""COMPUTED_VALUE"""),"جميع التخصصات الطبية")</f>
        <v>جميع التخصصات الطبية</v>
      </c>
      <c r="G75" s="5" t="str">
        <f ca="1">IFERROR(__xludf.DUMMYFUNCTION("""COMPUTED_VALUE"""),"مستشفى السلام الملكى التخصيصى(د/ سلوى عبداللطيف على جاد وشركاها)")</f>
        <v>مستشفى السلام الملكى التخصيصى(د/ سلوى عبداللطيف على جاد وشركاها)</v>
      </c>
      <c r="H75" s="5" t="str">
        <f ca="1">IFERROR(__xludf.DUMMYFUNCTION("""COMPUTED_VALUE"""),"قطعة 54 و 57 الحى الأول - مجتاورة 6 بجوار بنك تنمية الصادرات - برج العرب الجديدة")</f>
        <v>قطعة 54 و 57 الحى الأول - مجتاورة 6 بجوار بنك تنمية الصادرات - برج العرب الجديدة</v>
      </c>
      <c r="I75" s="6" t="str">
        <f ca="1">IFERROR(__xludf.DUMMYFUNCTION("""COMPUTED_VALUE"""),"2034600060")</f>
        <v>2034600060</v>
      </c>
      <c r="J75" s="6"/>
      <c r="K75" s="6" t="str">
        <f ca="1">IFERROR(__xludf.DUMMYFUNCTION("""COMPUTED_VALUE"""),"10% على التحاليل والاشعة وخدمات وإجراءات الخارجية والإقامة , فيما عدا الادوية المستلزمات")</f>
        <v>10% على التحاليل والاشعة وخدمات وإجراءات الخارجية والإقامة , فيما عدا الادوية المستلزمات</v>
      </c>
    </row>
    <row r="76" spans="1:11" x14ac:dyDescent="0.25">
      <c r="A76" s="4" t="str">
        <f ca="1">IFERROR(__xludf.DUMMYFUNCTION("""COMPUTED_VALUE"""),"104317")</f>
        <v>104317</v>
      </c>
      <c r="B76" s="5" t="str">
        <f ca="1">IFERROR(__xludf.DUMMYFUNCTION("""COMPUTED_VALUE"""),"الجيزة")</f>
        <v>الجيزة</v>
      </c>
      <c r="C76" s="5" t="str">
        <f ca="1">IFERROR(__xludf.DUMMYFUNCTION("""COMPUTED_VALUE"""),"الحوامدية")</f>
        <v>الحوامدية</v>
      </c>
      <c r="D76" s="5" t="str">
        <f ca="1">IFERROR(__xludf.DUMMYFUNCTION("""COMPUTED_VALUE"""),"هيئة الأطباء")</f>
        <v>هيئة الأطباء</v>
      </c>
      <c r="E76" s="5" t="str">
        <f ca="1">IFERROR(__xludf.DUMMYFUNCTION("""COMPUTED_VALUE"""),"باطنة")</f>
        <v>باطنة</v>
      </c>
      <c r="F76" s="5" t="str">
        <f ca="1">IFERROR(__xludf.DUMMYFUNCTION("""COMPUTED_VALUE"""),"كبد وجهاز هضمي")</f>
        <v>كبد وجهاز هضمي</v>
      </c>
      <c r="G76" s="5" t="str">
        <f ca="1">IFERROR(__xludf.DUMMYFUNCTION("""COMPUTED_VALUE"""),"د/ حسن عبدالحفيظ محمود")</f>
        <v>د/ حسن عبدالحفيظ محمود</v>
      </c>
      <c r="H76" s="5" t="str">
        <f ca="1">IFERROR(__xludf.DUMMYFUNCTION("""COMPUTED_VALUE"""),"13ش أل ياسر - شارع طراد النيل - الحوامدية - الجيزة")</f>
        <v>13ش أل ياسر - شارع طراد النيل - الحوامدية - الجيزة</v>
      </c>
      <c r="I76" s="6" t="str">
        <f ca="1">IFERROR(__xludf.DUMMYFUNCTION("""COMPUTED_VALUE"""),"201118945722")</f>
        <v>201118945722</v>
      </c>
      <c r="J76" s="6"/>
      <c r="K76" s="6" t="str">
        <f ca="1">IFERROR(__xludf.DUMMYFUNCTION("""COMPUTED_VALUE"""),"نسبة خصم 20%")</f>
        <v>نسبة خصم 20%</v>
      </c>
    </row>
    <row r="77" spans="1:11" x14ac:dyDescent="0.25">
      <c r="A77" s="4" t="str">
        <f ca="1">IFERROR(__xludf.DUMMYFUNCTION("""COMPUTED_VALUE"""),"104805")</f>
        <v>104805</v>
      </c>
      <c r="B77" s="5" t="str">
        <f ca="1">IFERROR(__xludf.DUMMYFUNCTION("""COMPUTED_VALUE"""),"القاهرة")</f>
        <v>القاهرة</v>
      </c>
      <c r="C77" s="5" t="str">
        <f ca="1">IFERROR(__xludf.DUMMYFUNCTION("""COMPUTED_VALUE"""),"مدينة نصر")</f>
        <v>مدينة نصر</v>
      </c>
      <c r="D77" s="5" t="str">
        <f ca="1">IFERROR(__xludf.DUMMYFUNCTION("""COMPUTED_VALUE"""),"مستشفى")</f>
        <v>مستشفى</v>
      </c>
      <c r="E77" s="5" t="str">
        <f ca="1">IFERROR(__xludf.DUMMYFUNCTION("""COMPUTED_VALUE"""),"مستشفي طبي متكامل")</f>
        <v>مستشفي طبي متكامل</v>
      </c>
      <c r="F77" s="5" t="str">
        <f ca="1">IFERROR(__xludf.DUMMYFUNCTION("""COMPUTED_VALUE"""),"جميع التخصصات الطبية")</f>
        <v>جميع التخصصات الطبية</v>
      </c>
      <c r="G77" s="5" t="str">
        <f ca="1">IFERROR(__xludf.DUMMYFUNCTION("""COMPUTED_VALUE"""),"مستشفى فيفا العقاد")</f>
        <v>مستشفى فيفا العقاد</v>
      </c>
      <c r="H77" s="5" t="str">
        <f ca="1">IFERROR(__xludf.DUMMYFUNCTION("""COMPUTED_VALUE"""),"12ش محمد مصطفى حمام - المنطقة الأولى - مدينة نصر - القاهرة")</f>
        <v>12ش محمد مصطفى حمام - المنطقة الأولى - مدينة نصر - القاهرة</v>
      </c>
      <c r="I77" s="6" t="str">
        <f ca="1">IFERROR(__xludf.DUMMYFUNCTION("""COMPUTED_VALUE"""),"20222610040")</f>
        <v>20222610040</v>
      </c>
      <c r="J77" s="6"/>
      <c r="K77" s="6" t="str">
        <f ca="1">IFERROR(__xludf.DUMMYFUNCTION("""COMPUTED_VALUE"""),"20% على جميع الخدمات")</f>
        <v>20% على جميع الخدمات</v>
      </c>
    </row>
    <row r="78" spans="1:11" x14ac:dyDescent="0.25">
      <c r="A78" s="4" t="str">
        <f ca="1">IFERROR(__xludf.DUMMYFUNCTION("""COMPUTED_VALUE"""),"105136-B")</f>
        <v>105136-B</v>
      </c>
      <c r="B78" s="5" t="str">
        <f ca="1">IFERROR(__xludf.DUMMYFUNCTION("""COMPUTED_VALUE"""),"الجيزة")</f>
        <v>الجيزة</v>
      </c>
      <c r="C78" s="5" t="str">
        <f ca="1">IFERROR(__xludf.DUMMYFUNCTION("""COMPUTED_VALUE"""),"الشيخ زايد")</f>
        <v>الشيخ زايد</v>
      </c>
      <c r="D78" s="5" t="str">
        <f ca="1">IFERROR(__xludf.DUMMYFUNCTION("""COMPUTED_VALUE"""),"مجمع عيادات")</f>
        <v>مجمع عيادات</v>
      </c>
      <c r="E78" s="5" t="str">
        <f ca="1">IFERROR(__xludf.DUMMYFUNCTION("""COMPUTED_VALUE"""),"جميع التخصصات")</f>
        <v>جميع التخصصات</v>
      </c>
      <c r="F78" s="5" t="str">
        <f ca="1">IFERROR(__xludf.DUMMYFUNCTION("""COMPUTED_VALUE"""),"جميع التخصصات الطبية")</f>
        <v>جميع التخصصات الطبية</v>
      </c>
      <c r="G78" s="5" t="str">
        <f ca="1">IFERROR(__xludf.DUMMYFUNCTION("""COMPUTED_VALUE"""),"سيتي كلينك للخدمات الطبية")</f>
        <v>سيتي كلينك للخدمات الطبية</v>
      </c>
      <c r="H78" s="5" t="str">
        <f ca="1">IFERROR(__xludf.DUMMYFUNCTION("""COMPUTED_VALUE"""),"حي الندي مدخل زايد 2-الشيخ زايد- الجيزة")</f>
        <v>حي الندي مدخل زايد 2-الشيخ زايد- الجيزة</v>
      </c>
      <c r="I78" s="6" t="str">
        <f ca="1">IFERROR(__xludf.DUMMYFUNCTION("""COMPUTED_VALUE"""),"20238571619")</f>
        <v>20238571619</v>
      </c>
      <c r="J78" s="6"/>
      <c r="K78" s="6" t="str">
        <f ca="1">IFERROR(__xludf.DUMMYFUNCTION("""COMPUTED_VALUE"""),"20% نسبة خصم")</f>
        <v>20% نسبة خصم</v>
      </c>
    </row>
    <row r="79" spans="1:11" x14ac:dyDescent="0.25">
      <c r="A79" s="4" t="str">
        <f ca="1">IFERROR(__xludf.DUMMYFUNCTION("""COMPUTED_VALUE"""),"105136")</f>
        <v>105136</v>
      </c>
      <c r="B79" s="5" t="str">
        <f ca="1">IFERROR(__xludf.DUMMYFUNCTION("""COMPUTED_VALUE"""),"الجيزة")</f>
        <v>الجيزة</v>
      </c>
      <c r="C79" s="5" t="str">
        <f ca="1">IFERROR(__xludf.DUMMYFUNCTION("""COMPUTED_VALUE"""),"حدائق الاهرام")</f>
        <v>حدائق الاهرام</v>
      </c>
      <c r="D79" s="5" t="str">
        <f ca="1">IFERROR(__xludf.DUMMYFUNCTION("""COMPUTED_VALUE"""),"مجمع عيادات")</f>
        <v>مجمع عيادات</v>
      </c>
      <c r="E79" s="5" t="str">
        <f ca="1">IFERROR(__xludf.DUMMYFUNCTION("""COMPUTED_VALUE"""),"جميع التخصصات")</f>
        <v>جميع التخصصات</v>
      </c>
      <c r="F79" s="5" t="str">
        <f ca="1">IFERROR(__xludf.DUMMYFUNCTION("""COMPUTED_VALUE"""),"جميع التخصصات الطبية")</f>
        <v>جميع التخصصات الطبية</v>
      </c>
      <c r="G79" s="5" t="str">
        <f ca="1">IFERROR(__xludf.DUMMYFUNCTION("""COMPUTED_VALUE"""),"سيتي كلينك للخدمات الطبية")</f>
        <v>سيتي كلينك للخدمات الطبية</v>
      </c>
      <c r="H79" s="5" t="str">
        <f ca="1">IFERROR(__xludf.DUMMYFUNCTION("""COMPUTED_VALUE"""),"184 ع حدائق الاهرام (البوابة الرابعة) طريق الجيش بجوار صيدليه الفار-حدائق الاهرام- الجيزة")</f>
        <v>184 ع حدائق الاهرام (البوابة الرابعة) طريق الجيش بجوار صيدليه الفار-حدائق الاهرام- الجيزة</v>
      </c>
      <c r="I79" s="6" t="str">
        <f ca="1">IFERROR(__xludf.DUMMYFUNCTION("""COMPUTED_VALUE"""),"20239808467")</f>
        <v>20239808467</v>
      </c>
      <c r="J79" s="6"/>
      <c r="K79" s="6" t="str">
        <f ca="1">IFERROR(__xludf.DUMMYFUNCTION("""COMPUTED_VALUE"""),"20% نسبة خصم")</f>
        <v>20% نسبة خصم</v>
      </c>
    </row>
    <row r="80" spans="1:11" x14ac:dyDescent="0.25">
      <c r="A80" s="4" t="str">
        <f ca="1">IFERROR(__xludf.DUMMYFUNCTION("""COMPUTED_VALUE"""),"105136-B")</f>
        <v>105136-B</v>
      </c>
      <c r="B80" s="5" t="str">
        <f ca="1">IFERROR(__xludf.DUMMYFUNCTION("""COMPUTED_VALUE"""),"الجيزة")</f>
        <v>الجيزة</v>
      </c>
      <c r="C80" s="5" t="str">
        <f ca="1">IFERROR(__xludf.DUMMYFUNCTION("""COMPUTED_VALUE"""),"الشيخ زايد")</f>
        <v>الشيخ زايد</v>
      </c>
      <c r="D80" s="5" t="str">
        <f ca="1">IFERROR(__xludf.DUMMYFUNCTION("""COMPUTED_VALUE"""),"مجمع عيادات")</f>
        <v>مجمع عيادات</v>
      </c>
      <c r="E80" s="5" t="str">
        <f ca="1">IFERROR(__xludf.DUMMYFUNCTION("""COMPUTED_VALUE"""),"جميع التخصصات")</f>
        <v>جميع التخصصات</v>
      </c>
      <c r="F80" s="5" t="str">
        <f ca="1">IFERROR(__xludf.DUMMYFUNCTION("""COMPUTED_VALUE"""),"جميع التخصصات الطبية")</f>
        <v>جميع التخصصات الطبية</v>
      </c>
      <c r="G80" s="5" t="str">
        <f ca="1">IFERROR(__xludf.DUMMYFUNCTION("""COMPUTED_VALUE"""),"سيتي كلينك للخدمات الطبية")</f>
        <v>سيتي كلينك للخدمات الطبية</v>
      </c>
      <c r="H80" s="5" t="str">
        <f ca="1">IFERROR(__xludf.DUMMYFUNCTION("""COMPUTED_VALUE"""),"مول الجزيرة بلازا بجوار اركان مول - الشيخ زايد - الجيزة")</f>
        <v>مول الجزيرة بلازا بجوار اركان مول - الشيخ زايد - الجيزة</v>
      </c>
      <c r="I80" s="6" t="str">
        <f ca="1">IFERROR(__xludf.DUMMYFUNCTION("""COMPUTED_VALUE"""),"201000047970")</f>
        <v>201000047970</v>
      </c>
      <c r="J80" s="6"/>
      <c r="K80" s="6" t="str">
        <f ca="1">IFERROR(__xludf.DUMMYFUNCTION("""COMPUTED_VALUE"""),"20% نسبة خصم")</f>
        <v>20% نسبة خصم</v>
      </c>
    </row>
    <row r="81" spans="1:11" x14ac:dyDescent="0.25">
      <c r="A81" s="4" t="str">
        <f ca="1">IFERROR(__xludf.DUMMYFUNCTION("""COMPUTED_VALUE"""),"105136-B")</f>
        <v>105136-B</v>
      </c>
      <c r="B81" s="5" t="str">
        <f ca="1">IFERROR(__xludf.DUMMYFUNCTION("""COMPUTED_VALUE"""),"الجيزة")</f>
        <v>الجيزة</v>
      </c>
      <c r="C81" s="5" t="str">
        <f ca="1">IFERROR(__xludf.DUMMYFUNCTION("""COMPUTED_VALUE"""),"الشيخ زايد")</f>
        <v>الشيخ زايد</v>
      </c>
      <c r="D81" s="5" t="str">
        <f ca="1">IFERROR(__xludf.DUMMYFUNCTION("""COMPUTED_VALUE"""),"مجمع عيادات")</f>
        <v>مجمع عيادات</v>
      </c>
      <c r="E81" s="5" t="str">
        <f ca="1">IFERROR(__xludf.DUMMYFUNCTION("""COMPUTED_VALUE"""),"جميع التخصصات")</f>
        <v>جميع التخصصات</v>
      </c>
      <c r="F81" s="5" t="str">
        <f ca="1">IFERROR(__xludf.DUMMYFUNCTION("""COMPUTED_VALUE"""),"جميع التخصصات الطبية")</f>
        <v>جميع التخصصات الطبية</v>
      </c>
      <c r="G81" s="5" t="str">
        <f ca="1">IFERROR(__xludf.DUMMYFUNCTION("""COMPUTED_VALUE"""),"سيتي كلينك للخدمات الطبية")</f>
        <v>سيتي كلينك للخدمات الطبية</v>
      </c>
      <c r="H81" s="5" t="str">
        <f ca="1">IFERROR(__xludf.DUMMYFUNCTION("""COMPUTED_VALUE"""),"بفرلي هيلز الشيخ زايد - المبنى الاداري رقم 4 الدور الاول - الشيخ زايد- الجيزة")</f>
        <v>بفرلي هيلز الشيخ زايد - المبنى الاداري رقم 4 الدور الاول - الشيخ زايد- الجيزة</v>
      </c>
      <c r="I81" s="6" t="str">
        <f ca="1">IFERROR(__xludf.DUMMYFUNCTION("""COMPUTED_VALUE"""),"20228571591")</f>
        <v>20228571591</v>
      </c>
      <c r="J81" s="6"/>
      <c r="K81" s="6" t="str">
        <f ca="1">IFERROR(__xludf.DUMMYFUNCTION("""COMPUTED_VALUE"""),"20% نسبة خصم")</f>
        <v>20% نسبة خصم</v>
      </c>
    </row>
    <row r="82" spans="1:11" x14ac:dyDescent="0.25">
      <c r="A82" s="4" t="str">
        <f ca="1">IFERROR(__xludf.DUMMYFUNCTION("""COMPUTED_VALUE"""),"105765")</f>
        <v>105765</v>
      </c>
      <c r="B82" s="5" t="str">
        <f ca="1">IFERROR(__xludf.DUMMYFUNCTION("""COMPUTED_VALUE"""),"الجيزة")</f>
        <v>الجيزة</v>
      </c>
      <c r="C82" s="5" t="str">
        <f ca="1">IFERROR(__xludf.DUMMYFUNCTION("""COMPUTED_VALUE"""),"السادس من اكتوبر")</f>
        <v>السادس من اكتوبر</v>
      </c>
      <c r="D82" s="5" t="str">
        <f ca="1">IFERROR(__xludf.DUMMYFUNCTION("""COMPUTED_VALUE"""),"مستشفى")</f>
        <v>مستشفى</v>
      </c>
      <c r="E82" s="5" t="str">
        <f ca="1">IFERROR(__xludf.DUMMYFUNCTION("""COMPUTED_VALUE"""),"مستشفي طبي متكامل")</f>
        <v>مستشفي طبي متكامل</v>
      </c>
      <c r="F82" s="5" t="str">
        <f ca="1">IFERROR(__xludf.DUMMYFUNCTION("""COMPUTED_VALUE"""),"جميع التخصصات الطبية")</f>
        <v>جميع التخصصات الطبية</v>
      </c>
      <c r="G82" s="5" t="str">
        <f ca="1">IFERROR(__xludf.DUMMYFUNCTION("""COMPUTED_VALUE"""),"شركه نيورو كير للخدمات الطبيه ( مستشفي جراحه المخ والاعصاب نيورواسبتاليا )")</f>
        <v>شركه نيورو كير للخدمات الطبيه ( مستشفي جراحه المخ والاعصاب نيورواسبتاليا )</v>
      </c>
      <c r="H82" s="5" t="str">
        <f ca="1">IFERROR(__xludf.DUMMYFUNCTION("""COMPUTED_VALUE"""),"52 شارع عبد العزيز باشا فهمي - الحي المتميز - 6 اكتوبر")</f>
        <v>52 شارع عبد العزيز باشا فهمي - الحي المتميز - 6 اكتوبر</v>
      </c>
      <c r="I82" s="6" t="str">
        <f ca="1">IFERROR(__xludf.DUMMYFUNCTION("""COMPUTED_VALUE"""),"20225869777")</f>
        <v>20225869777</v>
      </c>
      <c r="J82" s="6" t="str">
        <f ca="1">IFERROR(__xludf.DUMMYFUNCTION("""COMPUTED_VALUE"""),"15235")</f>
        <v>15235</v>
      </c>
      <c r="K82" s="6" t="str">
        <f ca="1">IFERROR(__xludf.DUMMYFUNCTION("""COMPUTED_VALUE"""),"35%على خدمات العيادة الخارجية والداخلية والاشعة والتحاليل ,20%على اتعاب الجراحين وفتح غرف العمليات و الصفقات الشاملة و رسوم استخدام الأجهزة")</f>
        <v>35%على خدمات العيادة الخارجية والداخلية والاشعة والتحاليل ,20%على اتعاب الجراحين وفتح غرف العمليات و الصفقات الشاملة و رسوم استخدام الأجهزة</v>
      </c>
    </row>
    <row r="83" spans="1:11" x14ac:dyDescent="0.25">
      <c r="A83" s="4" t="str">
        <f ca="1">IFERROR(__xludf.DUMMYFUNCTION("""COMPUTED_VALUE"""),"105046")</f>
        <v>105046</v>
      </c>
      <c r="B83" s="5" t="str">
        <f ca="1">IFERROR(__xludf.DUMMYFUNCTION("""COMPUTED_VALUE"""),"الجيزة")</f>
        <v>الجيزة</v>
      </c>
      <c r="C83" s="5" t="str">
        <f ca="1">IFERROR(__xludf.DUMMYFUNCTION("""COMPUTED_VALUE"""),"العجوزة")</f>
        <v>العجوزة</v>
      </c>
      <c r="D83" s="5" t="str">
        <f ca="1">IFERROR(__xludf.DUMMYFUNCTION("""COMPUTED_VALUE"""),"مركز علاج طبيعي")</f>
        <v>مركز علاج طبيعي</v>
      </c>
      <c r="E83" s="5" t="str">
        <f ca="1">IFERROR(__xludf.DUMMYFUNCTION("""COMPUTED_VALUE"""),"علاج طبيعي")</f>
        <v>علاج طبيعي</v>
      </c>
      <c r="F83" s="5" t="str">
        <f ca="1">IFERROR(__xludf.DUMMYFUNCTION("""COMPUTED_VALUE"""),"جلسات العلاج الطبيعي")</f>
        <v>جلسات العلاج الطبيعي</v>
      </c>
      <c r="G83" s="5" t="str">
        <f ca="1">IFERROR(__xludf.DUMMYFUNCTION("""COMPUTED_VALUE"""),"مركز النيل للعلاج الطبيعي")</f>
        <v>مركز النيل للعلاج الطبيعي</v>
      </c>
      <c r="H83" s="5" t="str">
        <f ca="1">IFERROR(__xludf.DUMMYFUNCTION("""COMPUTED_VALUE"""),"146 شارع 26 يوليو – ميدان سفنكس- اعلى موبيليات القصر -العجوزة- الجيزة")</f>
        <v>146 شارع 26 يوليو – ميدان سفنكس- اعلى موبيليات القصر -العجوزة- الجيزة</v>
      </c>
      <c r="I83" s="6" t="str">
        <f ca="1">IFERROR(__xludf.DUMMYFUNCTION("""COMPUTED_VALUE"""),"20233474849")</f>
        <v>20233474849</v>
      </c>
      <c r="J83" s="6"/>
      <c r="K83" s="6" t="str">
        <f ca="1">IFERROR(__xludf.DUMMYFUNCTION("""COMPUTED_VALUE"""),"25% نسبة خصم")</f>
        <v>25% نسبة خصم</v>
      </c>
    </row>
    <row r="84" spans="1:11" x14ac:dyDescent="0.25">
      <c r="A84" s="4" t="str">
        <f ca="1">IFERROR(__xludf.DUMMYFUNCTION("""COMPUTED_VALUE"""),"105046-B")</f>
        <v>105046-B</v>
      </c>
      <c r="B84" s="5" t="str">
        <f ca="1">IFERROR(__xludf.DUMMYFUNCTION("""COMPUTED_VALUE"""),"الجيزة")</f>
        <v>الجيزة</v>
      </c>
      <c r="C84" s="5" t="str">
        <f ca="1">IFERROR(__xludf.DUMMYFUNCTION("""COMPUTED_VALUE"""),"الهرم")</f>
        <v>الهرم</v>
      </c>
      <c r="D84" s="5" t="str">
        <f ca="1">IFERROR(__xludf.DUMMYFUNCTION("""COMPUTED_VALUE"""),"مركز علاج طبيعي")</f>
        <v>مركز علاج طبيعي</v>
      </c>
      <c r="E84" s="5" t="str">
        <f ca="1">IFERROR(__xludf.DUMMYFUNCTION("""COMPUTED_VALUE"""),"علاج طبيعي")</f>
        <v>علاج طبيعي</v>
      </c>
      <c r="F84" s="5" t="str">
        <f ca="1">IFERROR(__xludf.DUMMYFUNCTION("""COMPUTED_VALUE"""),"جلسات العلاج الطبيعي")</f>
        <v>جلسات العلاج الطبيعي</v>
      </c>
      <c r="G84" s="5" t="str">
        <f ca="1">IFERROR(__xludf.DUMMYFUNCTION("""COMPUTED_VALUE"""),"مركز النيل للعلاج الطبيعي")</f>
        <v>مركز النيل للعلاج الطبيعي</v>
      </c>
      <c r="H84" s="5" t="str">
        <f ca="1">IFERROR(__xludf.DUMMYFUNCTION("""COMPUTED_VALUE"""),"برج ريتاج شارع حسن محمد علي شارع الهرم الرئيسي بجوار السنترال")</f>
        <v>برج ريتاج شارع حسن محمد علي شارع الهرم الرئيسي بجوار السنترال</v>
      </c>
      <c r="I84" s="6" t="str">
        <f ca="1">IFERROR(__xludf.DUMMYFUNCTION("""COMPUTED_VALUE"""),"01202938460")</f>
        <v>01202938460</v>
      </c>
      <c r="J84" s="6"/>
      <c r="K84" s="6" t="str">
        <f ca="1">IFERROR(__xludf.DUMMYFUNCTION("""COMPUTED_VALUE"""),"25% نسبة خصم")</f>
        <v>25% نسبة خصم</v>
      </c>
    </row>
    <row r="85" spans="1:11" x14ac:dyDescent="0.25">
      <c r="A85" s="4" t="str">
        <f ca="1">IFERROR(__xludf.DUMMYFUNCTION("""COMPUTED_VALUE"""),"105046-B")</f>
        <v>105046-B</v>
      </c>
      <c r="B85" s="5" t="str">
        <f ca="1">IFERROR(__xludf.DUMMYFUNCTION("""COMPUTED_VALUE"""),"الجيزة")</f>
        <v>الجيزة</v>
      </c>
      <c r="C85" s="5" t="str">
        <f ca="1">IFERROR(__xludf.DUMMYFUNCTION("""COMPUTED_VALUE"""),"العجوزة")</f>
        <v>العجوزة</v>
      </c>
      <c r="D85" s="5" t="str">
        <f ca="1">IFERROR(__xludf.DUMMYFUNCTION("""COMPUTED_VALUE"""),"مركز علاج طبيعي")</f>
        <v>مركز علاج طبيعي</v>
      </c>
      <c r="E85" s="5" t="str">
        <f ca="1">IFERROR(__xludf.DUMMYFUNCTION("""COMPUTED_VALUE"""),"علاج طبيعي")</f>
        <v>علاج طبيعي</v>
      </c>
      <c r="F85" s="5" t="str">
        <f ca="1">IFERROR(__xludf.DUMMYFUNCTION("""COMPUTED_VALUE"""),"جلسات العلاج الطبيعي")</f>
        <v>جلسات العلاج الطبيعي</v>
      </c>
      <c r="G85" s="5" t="str">
        <f ca="1">IFERROR(__xludf.DUMMYFUNCTION("""COMPUTED_VALUE"""),"مركز النيل للعلاج الطبيعي")</f>
        <v>مركز النيل للعلاج الطبيعي</v>
      </c>
      <c r="H85" s="5" t="str">
        <f ca="1">IFERROR(__xludf.DUMMYFUNCTION("""COMPUTED_VALUE"""),"26 يوليو خلف مسرح البالون - عمارة النصر - العجوزة - الجيزة")</f>
        <v>26 يوليو خلف مسرح البالون - عمارة النصر - العجوزة - الجيزة</v>
      </c>
      <c r="I85" s="6" t="str">
        <f ca="1">IFERROR(__xludf.DUMMYFUNCTION("""COMPUTED_VALUE"""),"20235728777")</f>
        <v>20235728777</v>
      </c>
      <c r="J85" s="6"/>
      <c r="K85" s="6" t="str">
        <f ca="1">IFERROR(__xludf.DUMMYFUNCTION("""COMPUTED_VALUE"""),"25% نسبة خصم")</f>
        <v>25% نسبة خصم</v>
      </c>
    </row>
    <row r="86" spans="1:11" x14ac:dyDescent="0.25">
      <c r="A86" s="4" t="str">
        <f ca="1">IFERROR(__xludf.DUMMYFUNCTION("""COMPUTED_VALUE"""),"105046-B")</f>
        <v>105046-B</v>
      </c>
      <c r="B86" s="5" t="str">
        <f ca="1">IFERROR(__xludf.DUMMYFUNCTION("""COMPUTED_VALUE"""),"الجيزة")</f>
        <v>الجيزة</v>
      </c>
      <c r="C86" s="5" t="str">
        <f ca="1">IFERROR(__xludf.DUMMYFUNCTION("""COMPUTED_VALUE"""),"السادس من اكتوبر")</f>
        <v>السادس من اكتوبر</v>
      </c>
      <c r="D86" s="5" t="str">
        <f ca="1">IFERROR(__xludf.DUMMYFUNCTION("""COMPUTED_VALUE"""),"مركز علاج طبيعي")</f>
        <v>مركز علاج طبيعي</v>
      </c>
      <c r="E86" s="5" t="str">
        <f ca="1">IFERROR(__xludf.DUMMYFUNCTION("""COMPUTED_VALUE"""),"علاج طبيعي")</f>
        <v>علاج طبيعي</v>
      </c>
      <c r="F86" s="5" t="str">
        <f ca="1">IFERROR(__xludf.DUMMYFUNCTION("""COMPUTED_VALUE"""),"جلسات العلاج الطبيعي")</f>
        <v>جلسات العلاج الطبيعي</v>
      </c>
      <c r="G86" s="5" t="str">
        <f ca="1">IFERROR(__xludf.DUMMYFUNCTION("""COMPUTED_VALUE"""),"مركز النيل للعلاج الطبيعي")</f>
        <v>مركز النيل للعلاج الطبيعي</v>
      </c>
      <c r="H86" s="5" t="str">
        <f ca="1">IFERROR(__xludf.DUMMYFUNCTION("""COMPUTED_VALUE"""),"عمارة ز سيتي مول من جامع الحصري بجوار برج زمزم الحي السابع-6 أكتوبر - الجيزة")</f>
        <v>عمارة ز سيتي مول من جامع الحصري بجوار برج زمزم الحي السابع-6 أكتوبر - الجيزة</v>
      </c>
      <c r="I86" s="6" t="str">
        <f ca="1">IFERROR(__xludf.DUMMYFUNCTION("""COMPUTED_VALUE"""),"201111120054")</f>
        <v>201111120054</v>
      </c>
      <c r="J86" s="6"/>
      <c r="K86" s="6" t="str">
        <f ca="1">IFERROR(__xludf.DUMMYFUNCTION("""COMPUTED_VALUE"""),"25% نسبة خصم")</f>
        <v>25% نسبة خصم</v>
      </c>
    </row>
    <row r="87" spans="1:11" x14ac:dyDescent="0.25">
      <c r="A87" s="4" t="str">
        <f ca="1">IFERROR(__xludf.DUMMYFUNCTION("""COMPUTED_VALUE"""),"105854")</f>
        <v>105854</v>
      </c>
      <c r="B87" s="5" t="str">
        <f ca="1">IFERROR(__xludf.DUMMYFUNCTION("""COMPUTED_VALUE"""),"الجيزة")</f>
        <v>الجيزة</v>
      </c>
      <c r="C87" s="5" t="str">
        <f ca="1">IFERROR(__xludf.DUMMYFUNCTION("""COMPUTED_VALUE"""),"العياط")</f>
        <v>العياط</v>
      </c>
      <c r="D87" s="5" t="str">
        <f ca="1">IFERROR(__xludf.DUMMYFUNCTION("""COMPUTED_VALUE"""),"مركز أشعة")</f>
        <v>مركز أشعة</v>
      </c>
      <c r="E87" s="5" t="str">
        <f ca="1">IFERROR(__xludf.DUMMYFUNCTION("""COMPUTED_VALUE"""),"مركز أشعة")</f>
        <v>مركز أشعة</v>
      </c>
      <c r="F87" s="5" t="str">
        <f ca="1">IFERROR(__xludf.DUMMYFUNCTION("""COMPUTED_VALUE"""),"مركز الأشعة التشخيصية")</f>
        <v>مركز الأشعة التشخيصية</v>
      </c>
      <c r="G87" s="5" t="str">
        <f ca="1">IFERROR(__xludf.DUMMYFUNCTION("""COMPUTED_VALUE"""),"د/ احمد فتحي سلام سيد ( مركز الترا سكان )")</f>
        <v>د/ احمد فتحي سلام سيد ( مركز الترا سكان )</v>
      </c>
      <c r="H87" s="5" t="str">
        <f ca="1">IFERROR(__xludf.DUMMYFUNCTION("""COMPUTED_VALUE"""),"شارع المحطه اعلي كافيتريا الشلنك - العياط - الجيزه")</f>
        <v>شارع المحطه اعلي كافيتريا الشلنك - العياط - الجيزه</v>
      </c>
      <c r="I87" s="6" t="str">
        <f ca="1">IFERROR(__xludf.DUMMYFUNCTION("""COMPUTED_VALUE"""),"01008223819")</f>
        <v>01008223819</v>
      </c>
      <c r="J87" s="6"/>
      <c r="K87" s="6" t="str">
        <f ca="1">IFERROR(__xludf.DUMMYFUNCTION("""COMPUTED_VALUE"""),"نسبة خصم 25%")</f>
        <v>نسبة خصم 25%</v>
      </c>
    </row>
    <row r="88" spans="1:11" x14ac:dyDescent="0.25">
      <c r="A88" s="4" t="str">
        <f ca="1">IFERROR(__xludf.DUMMYFUNCTION("""COMPUTED_VALUE"""),"2798")</f>
        <v>2798</v>
      </c>
      <c r="B88" s="5" t="str">
        <f ca="1">IFERROR(__xludf.DUMMYFUNCTION("""COMPUTED_VALUE"""),"القاهرة")</f>
        <v>القاهرة</v>
      </c>
      <c r="C88" s="5" t="str">
        <f ca="1">IFERROR(__xludf.DUMMYFUNCTION("""COMPUTED_VALUE"""),"الزمالك")</f>
        <v>الزمالك</v>
      </c>
      <c r="D88" s="5" t="str">
        <f ca="1">IFERROR(__xludf.DUMMYFUNCTION("""COMPUTED_VALUE"""),"هيئة الأطباء")</f>
        <v>هيئة الأطباء</v>
      </c>
      <c r="E88" s="5" t="str">
        <f ca="1">IFERROR(__xludf.DUMMYFUNCTION("""COMPUTED_VALUE"""),"باطنة")</f>
        <v>باطنة</v>
      </c>
      <c r="F88" s="5" t="str">
        <f ca="1">IFERROR(__xludf.DUMMYFUNCTION("""COMPUTED_VALUE"""),"روماتيزم و مفاصل")</f>
        <v>روماتيزم و مفاصل</v>
      </c>
      <c r="G88" s="5" t="str">
        <f ca="1">IFERROR(__xludf.DUMMYFUNCTION("""COMPUTED_VALUE"""),"د/ سعادات الغوابي")</f>
        <v>د/ سعادات الغوابي</v>
      </c>
      <c r="H88" s="5" t="str">
        <f ca="1">IFERROR(__xludf.DUMMYFUNCTION("""COMPUTED_VALUE"""),"2شارع الملك الأفضل-الزمالك-القاهرة")</f>
        <v>2شارع الملك الأفضل-الزمالك-القاهرة</v>
      </c>
      <c r="I88" s="6" t="str">
        <f ca="1">IFERROR(__xludf.DUMMYFUNCTION("""COMPUTED_VALUE"""),"20227355523")</f>
        <v>20227355523</v>
      </c>
      <c r="J88" s="6"/>
      <c r="K88" s="6" t="str">
        <f ca="1">IFERROR(__xludf.DUMMYFUNCTION("""COMPUTED_VALUE"""),"نسبة خصم 30%")</f>
        <v>نسبة خصم 30%</v>
      </c>
    </row>
    <row r="89" spans="1:11" x14ac:dyDescent="0.25">
      <c r="A89" s="4" t="str">
        <f ca="1">IFERROR(__xludf.DUMMYFUNCTION("""COMPUTED_VALUE"""),"104296-B")</f>
        <v>104296-B</v>
      </c>
      <c r="B89" s="5" t="str">
        <f ca="1">IFERROR(__xludf.DUMMYFUNCTION("""COMPUTED_VALUE"""),"القاهرة")</f>
        <v>القاهرة</v>
      </c>
      <c r="C89" s="5" t="str">
        <f ca="1">IFERROR(__xludf.DUMMYFUNCTION("""COMPUTED_VALUE"""),"القاهرة الجديدة")</f>
        <v>القاهرة الجديدة</v>
      </c>
      <c r="D89" s="5" t="str">
        <f ca="1">IFERROR(__xludf.DUMMYFUNCTION("""COMPUTED_VALUE"""),"مركز علاج طبيعي")</f>
        <v>مركز علاج طبيعي</v>
      </c>
      <c r="E89" s="5" t="str">
        <f ca="1">IFERROR(__xludf.DUMMYFUNCTION("""COMPUTED_VALUE"""),"علاج طبيعي")</f>
        <v>علاج طبيعي</v>
      </c>
      <c r="F89" s="5" t="str">
        <f ca="1">IFERROR(__xludf.DUMMYFUNCTION("""COMPUTED_VALUE"""),"جلسات العلاج الطبيعي")</f>
        <v>جلسات العلاج الطبيعي</v>
      </c>
      <c r="G89" s="5" t="str">
        <f ca="1">IFERROR(__xludf.DUMMYFUNCTION("""COMPUTED_VALUE"""),"مركز ألفا كير للعلاج الطبيعي (د.كريم عبدالقوى عبدالله)")</f>
        <v>مركز ألفا كير للعلاج الطبيعي (د.كريم عبدالقوى عبدالله)</v>
      </c>
      <c r="H89" s="5" t="str">
        <f ca="1">IFERROR(__xludf.DUMMYFUNCTION("""COMPUTED_VALUE"""),"(مركز الطبيب) 3 ش الطبيب من ش اخناتون - خلف سوبر ماركت سعودي - التجمع الخامس")</f>
        <v>(مركز الطبيب) 3 ش الطبيب من ش اخناتون - خلف سوبر ماركت سعودي - التجمع الخامس</v>
      </c>
      <c r="I89" s="6" t="str">
        <f ca="1">IFERROR(__xludf.DUMMYFUNCTION("""COMPUTED_VALUE"""),"01029927551")</f>
        <v>01029927551</v>
      </c>
      <c r="J89" s="6" t="str">
        <f ca="1">IFERROR(__xludf.DUMMYFUNCTION("""COMPUTED_VALUE"""),"15662")</f>
        <v>15662</v>
      </c>
      <c r="K89" s="6" t="str">
        <f ca="1">IFERROR(__xludf.DUMMYFUNCTION("""COMPUTED_VALUE"""),"30% على جميع الخدمات")</f>
        <v>30% على جميع الخدمات</v>
      </c>
    </row>
    <row r="90" spans="1:11" x14ac:dyDescent="0.25">
      <c r="A90" s="4" t="str">
        <f ca="1">IFERROR(__xludf.DUMMYFUNCTION("""COMPUTED_VALUE"""),"104296-B")</f>
        <v>104296-B</v>
      </c>
      <c r="B90" s="5" t="str">
        <f ca="1">IFERROR(__xludf.DUMMYFUNCTION("""COMPUTED_VALUE"""),"القاهرة")</f>
        <v>القاهرة</v>
      </c>
      <c r="C90" s="5" t="str">
        <f ca="1">IFERROR(__xludf.DUMMYFUNCTION("""COMPUTED_VALUE"""),"رمسيس")</f>
        <v>رمسيس</v>
      </c>
      <c r="D90" s="5" t="str">
        <f ca="1">IFERROR(__xludf.DUMMYFUNCTION("""COMPUTED_VALUE"""),"مركز علاج طبيعي")</f>
        <v>مركز علاج طبيعي</v>
      </c>
      <c r="E90" s="5" t="str">
        <f ca="1">IFERROR(__xludf.DUMMYFUNCTION("""COMPUTED_VALUE"""),"علاج طبيعي")</f>
        <v>علاج طبيعي</v>
      </c>
      <c r="F90" s="5" t="str">
        <f ca="1">IFERROR(__xludf.DUMMYFUNCTION("""COMPUTED_VALUE"""),"جلسات العلاج الطبيعي")</f>
        <v>جلسات العلاج الطبيعي</v>
      </c>
      <c r="G90" s="5" t="str">
        <f ca="1">IFERROR(__xludf.DUMMYFUNCTION("""COMPUTED_VALUE"""),"مركز ألفا كير للعلاج الطبيعي (د.كريم عبدالقوى عبدالله)")</f>
        <v>مركز ألفا كير للعلاج الطبيعي (د.كريم عبدالقوى عبدالله)</v>
      </c>
      <c r="H90" s="5" t="str">
        <f ca="1">IFERROR(__xludf.DUMMYFUNCTION("""COMPUTED_VALUE"""),"38ش رمسيس تقاطع عماد الدين بجوار مستشفى الهلال - الدور الثامن (عماره التأمينات )")</f>
        <v>38ش رمسيس تقاطع عماد الدين بجوار مستشفى الهلال - الدور الثامن (عماره التأمينات )</v>
      </c>
      <c r="I90" s="6" t="str">
        <f ca="1">IFERROR(__xludf.DUMMYFUNCTION("""COMPUTED_VALUE"""),"01029927554")</f>
        <v>01029927554</v>
      </c>
      <c r="J90" s="6" t="str">
        <f ca="1">IFERROR(__xludf.DUMMYFUNCTION("""COMPUTED_VALUE"""),"15662")</f>
        <v>15662</v>
      </c>
      <c r="K90" s="6" t="str">
        <f ca="1">IFERROR(__xludf.DUMMYFUNCTION("""COMPUTED_VALUE"""),"30% على جميع الخدمات")</f>
        <v>30% على جميع الخدمات</v>
      </c>
    </row>
    <row r="91" spans="1:11" x14ac:dyDescent="0.25">
      <c r="A91" s="4" t="str">
        <f ca="1">IFERROR(__xludf.DUMMYFUNCTION("""COMPUTED_VALUE"""),"104296-B")</f>
        <v>104296-B</v>
      </c>
      <c r="B91" s="5" t="str">
        <f ca="1">IFERROR(__xludf.DUMMYFUNCTION("""COMPUTED_VALUE"""),"القاهرة")</f>
        <v>القاهرة</v>
      </c>
      <c r="C91" s="5" t="str">
        <f ca="1">IFERROR(__xludf.DUMMYFUNCTION("""COMPUTED_VALUE"""),"مدينة نصر")</f>
        <v>مدينة نصر</v>
      </c>
      <c r="D91" s="5" t="str">
        <f ca="1">IFERROR(__xludf.DUMMYFUNCTION("""COMPUTED_VALUE"""),"مركز علاج طبيعي")</f>
        <v>مركز علاج طبيعي</v>
      </c>
      <c r="E91" s="5" t="str">
        <f ca="1">IFERROR(__xludf.DUMMYFUNCTION("""COMPUTED_VALUE"""),"علاج طبيعي")</f>
        <v>علاج طبيعي</v>
      </c>
      <c r="F91" s="5" t="str">
        <f ca="1">IFERROR(__xludf.DUMMYFUNCTION("""COMPUTED_VALUE"""),"جلسات العلاج الطبيعي")</f>
        <v>جلسات العلاج الطبيعي</v>
      </c>
      <c r="G91" s="5" t="str">
        <f ca="1">IFERROR(__xludf.DUMMYFUNCTION("""COMPUTED_VALUE"""),"مركز ألفا كير للعلاج الطبيعي (د.كريم عبدالقوى عبدالله)")</f>
        <v>مركز ألفا كير للعلاج الطبيعي (د.كريم عبدالقوى عبدالله)</v>
      </c>
      <c r="H91" s="5" t="str">
        <f ca="1">IFERROR(__xludf.DUMMYFUNCTION("""COMPUTED_VALUE"""),"14ش عطية الصوالحي متفرع من مكرم عبيد -( أمام السراج مول)  مدينة نصر")</f>
        <v>14ش عطية الصوالحي متفرع من مكرم عبيد -( أمام السراج مول)  مدينة نصر</v>
      </c>
      <c r="I91" s="6" t="str">
        <f ca="1">IFERROR(__xludf.DUMMYFUNCTION("""COMPUTED_VALUE"""),"20222703454")</f>
        <v>20222703454</v>
      </c>
      <c r="J91" s="6" t="str">
        <f ca="1">IFERROR(__xludf.DUMMYFUNCTION("""COMPUTED_VALUE"""),"011222230063")</f>
        <v>011222230063</v>
      </c>
      <c r="K91" s="6" t="str">
        <f ca="1">IFERROR(__xludf.DUMMYFUNCTION("""COMPUTED_VALUE"""),"30% على جميع الخدمات")</f>
        <v>30% على جميع الخدمات</v>
      </c>
    </row>
    <row r="92" spans="1:11" x14ac:dyDescent="0.25">
      <c r="A92" s="4" t="str">
        <f ca="1">IFERROR(__xludf.DUMMYFUNCTION("""COMPUTED_VALUE"""),"104296-B")</f>
        <v>104296-B</v>
      </c>
      <c r="B92" s="5" t="str">
        <f ca="1">IFERROR(__xludf.DUMMYFUNCTION("""COMPUTED_VALUE"""),"القاهرة")</f>
        <v>القاهرة</v>
      </c>
      <c r="C92" s="5" t="str">
        <f ca="1">IFERROR(__xludf.DUMMYFUNCTION("""COMPUTED_VALUE"""),"المقطم")</f>
        <v>المقطم</v>
      </c>
      <c r="D92" s="5" t="str">
        <f ca="1">IFERROR(__xludf.DUMMYFUNCTION("""COMPUTED_VALUE"""),"مركز علاج طبيعي")</f>
        <v>مركز علاج طبيعي</v>
      </c>
      <c r="E92" s="5" t="str">
        <f ca="1">IFERROR(__xludf.DUMMYFUNCTION("""COMPUTED_VALUE"""),"علاج طبيعي")</f>
        <v>علاج طبيعي</v>
      </c>
      <c r="F92" s="5" t="str">
        <f ca="1">IFERROR(__xludf.DUMMYFUNCTION("""COMPUTED_VALUE"""),"جلسات العلاج الطبيعي")</f>
        <v>جلسات العلاج الطبيعي</v>
      </c>
      <c r="G92" s="5" t="str">
        <f ca="1">IFERROR(__xludf.DUMMYFUNCTION("""COMPUTED_VALUE"""),"مركز ألفا كير للعلاج الطبيعي (د.كريم عبدالقوى عبدالله)")</f>
        <v>مركز ألفا كير للعلاج الطبيعي (د.كريم عبدالقوى عبدالله)</v>
      </c>
      <c r="H92" s="5" t="str">
        <f ca="1">IFERROR(__xludf.DUMMYFUNCTION("""COMPUTED_VALUE"""),"504 ش 9 - بجوار مستشفى دار الام وامام بنك باركليز- المقطم .")</f>
        <v>504 ش 9 - بجوار مستشفى دار الام وامام بنك باركليز- المقطم .</v>
      </c>
      <c r="I92" s="6" t="str">
        <f ca="1">IFERROR(__xludf.DUMMYFUNCTION("""COMPUTED_VALUE"""),"01557088168")</f>
        <v>01557088168</v>
      </c>
      <c r="J92" s="6" t="str">
        <f ca="1">IFERROR(__xludf.DUMMYFUNCTION("""COMPUTED_VALUE"""),"15662")</f>
        <v>15662</v>
      </c>
      <c r="K92" s="6" t="str">
        <f ca="1">IFERROR(__xludf.DUMMYFUNCTION("""COMPUTED_VALUE"""),"30% على جميع الخدمات")</f>
        <v>30% على جميع الخدمات</v>
      </c>
    </row>
    <row r="93" spans="1:11" x14ac:dyDescent="0.25">
      <c r="A93" s="4" t="str">
        <f ca="1">IFERROR(__xludf.DUMMYFUNCTION("""COMPUTED_VALUE"""),"104296-B")</f>
        <v>104296-B</v>
      </c>
      <c r="B93" s="5" t="str">
        <f ca="1">IFERROR(__xludf.DUMMYFUNCTION("""COMPUTED_VALUE"""),"الدقهلية")</f>
        <v>الدقهلية</v>
      </c>
      <c r="C93" s="5" t="str">
        <f ca="1">IFERROR(__xludf.DUMMYFUNCTION("""COMPUTED_VALUE"""),"المنصورة")</f>
        <v>المنصورة</v>
      </c>
      <c r="D93" s="5" t="str">
        <f ca="1">IFERROR(__xludf.DUMMYFUNCTION("""COMPUTED_VALUE"""),"مركز علاج طبيعي")</f>
        <v>مركز علاج طبيعي</v>
      </c>
      <c r="E93" s="5" t="str">
        <f ca="1">IFERROR(__xludf.DUMMYFUNCTION("""COMPUTED_VALUE"""),"علاج طبيعي")</f>
        <v>علاج طبيعي</v>
      </c>
      <c r="F93" s="5" t="str">
        <f ca="1">IFERROR(__xludf.DUMMYFUNCTION("""COMPUTED_VALUE"""),"جلسات العلاج الطبيعي")</f>
        <v>جلسات العلاج الطبيعي</v>
      </c>
      <c r="G93" s="5" t="str">
        <f ca="1">IFERROR(__xludf.DUMMYFUNCTION("""COMPUTED_VALUE"""),"مركز ألفا كير للعلاج الطبيعي (د.كريم عبدالقوى عبدالله)")</f>
        <v>مركز ألفا كير للعلاج الطبيعي (د.كريم عبدالقوى عبدالله)</v>
      </c>
      <c r="H93" s="5" t="str">
        <f ca="1">IFERROR(__xludf.DUMMYFUNCTION("""COMPUTED_VALUE"""),"ش الجمهورية - برج السوسن بلازا - المنصورة")</f>
        <v>ش الجمهورية - برج السوسن بلازا - المنصورة</v>
      </c>
      <c r="I93" s="6" t="str">
        <f ca="1">IFERROR(__xludf.DUMMYFUNCTION("""COMPUTED_VALUE"""),"201000409447")</f>
        <v>201000409447</v>
      </c>
      <c r="J93" s="6" t="str">
        <f ca="1">IFERROR(__xludf.DUMMYFUNCTION("""COMPUTED_VALUE"""),"15662")</f>
        <v>15662</v>
      </c>
      <c r="K93" s="6" t="str">
        <f ca="1">IFERROR(__xludf.DUMMYFUNCTION("""COMPUTED_VALUE"""),"30% على جميع الخدمات")</f>
        <v>30% على جميع الخدمات</v>
      </c>
    </row>
    <row r="94" spans="1:11" x14ac:dyDescent="0.25">
      <c r="A94" s="4" t="str">
        <f ca="1">IFERROR(__xludf.DUMMYFUNCTION("""COMPUTED_VALUE"""),"104248-B")</f>
        <v>104248-B</v>
      </c>
      <c r="B94" s="5" t="str">
        <f ca="1">IFERROR(__xludf.DUMMYFUNCTION("""COMPUTED_VALUE"""),"القاهرة")</f>
        <v>القاهرة</v>
      </c>
      <c r="C94" s="5" t="str">
        <f ca="1">IFERROR(__xludf.DUMMYFUNCTION("""COMPUTED_VALUE"""),"المعادى")</f>
        <v>المعادى</v>
      </c>
      <c r="D94" s="5" t="str">
        <f ca="1">IFERROR(__xludf.DUMMYFUNCTION("""COMPUTED_VALUE"""),"شركة")</f>
        <v>شركة</v>
      </c>
      <c r="E94" s="5" t="str">
        <f ca="1">IFERROR(__xludf.DUMMYFUNCTION("""COMPUTED_VALUE"""),"شركة اجهزة طبية")</f>
        <v>شركة اجهزة طبية</v>
      </c>
      <c r="F94" s="5" t="str">
        <f ca="1">IFERROR(__xludf.DUMMYFUNCTION("""COMPUTED_VALUE"""),"مركز بصريات")</f>
        <v>مركز بصريات</v>
      </c>
      <c r="G94" s="5" t="str">
        <f ca="1">IFERROR(__xludf.DUMMYFUNCTION("""COMPUTED_VALUE"""),"شركة منير نصيف للبصريات")</f>
        <v>شركة منير نصيف للبصريات</v>
      </c>
      <c r="H94" s="5" t="str">
        <f ca="1">IFERROR(__xludf.DUMMYFUNCTION("""COMPUTED_VALUE"""),"68 شارع 9-المعادي-القاهرة")</f>
        <v>68 شارع 9-المعادي-القاهرة</v>
      </c>
      <c r="I94" s="6" t="str">
        <f ca="1">IFERROR(__xludf.DUMMYFUNCTION("""COMPUTED_VALUE"""),"20223784233")</f>
        <v>20223784233</v>
      </c>
      <c r="J94" s="6"/>
      <c r="K94" s="6" t="str">
        <f ca="1">IFERROR(__xludf.DUMMYFUNCTION("""COMPUTED_VALUE"""),"30% على النظارات الشمسية والطبية والعدسات المحلية")</f>
        <v>30% على النظارات الشمسية والطبية والعدسات المحلية</v>
      </c>
    </row>
    <row r="95" spans="1:11" x14ac:dyDescent="0.25">
      <c r="A95" s="4" t="str">
        <f ca="1">IFERROR(__xludf.DUMMYFUNCTION("""COMPUTED_VALUE"""),"104248-B")</f>
        <v>104248-B</v>
      </c>
      <c r="B95" s="5" t="str">
        <f ca="1">IFERROR(__xludf.DUMMYFUNCTION("""COMPUTED_VALUE"""),"الجيزة")</f>
        <v>الجيزة</v>
      </c>
      <c r="C95" s="5" t="str">
        <f ca="1">IFERROR(__xludf.DUMMYFUNCTION("""COMPUTED_VALUE"""),"المهندسين")</f>
        <v>المهندسين</v>
      </c>
      <c r="D95" s="5" t="str">
        <f ca="1">IFERROR(__xludf.DUMMYFUNCTION("""COMPUTED_VALUE"""),"شركة")</f>
        <v>شركة</v>
      </c>
      <c r="E95" s="5" t="str">
        <f ca="1">IFERROR(__xludf.DUMMYFUNCTION("""COMPUTED_VALUE"""),"شركة اجهزة طبية")</f>
        <v>شركة اجهزة طبية</v>
      </c>
      <c r="F95" s="5" t="str">
        <f ca="1">IFERROR(__xludf.DUMMYFUNCTION("""COMPUTED_VALUE"""),"مركز بصريات")</f>
        <v>مركز بصريات</v>
      </c>
      <c r="G95" s="5" t="str">
        <f ca="1">IFERROR(__xludf.DUMMYFUNCTION("""COMPUTED_VALUE"""),"شركة منير نصيف للبصريات")</f>
        <v>شركة منير نصيف للبصريات</v>
      </c>
      <c r="H95" s="5" t="str">
        <f ca="1">IFERROR(__xludf.DUMMYFUNCTION("""COMPUTED_VALUE"""),"4 شارع شهاب-المهندسين- الجيزة")</f>
        <v>4 شارع شهاب-المهندسين- الجيزة</v>
      </c>
      <c r="I95" s="6" t="str">
        <f ca="1">IFERROR(__xludf.DUMMYFUNCTION("""COMPUTED_VALUE"""),"02 33360819")</f>
        <v>02 33360819</v>
      </c>
      <c r="J95" s="6"/>
      <c r="K95" s="6" t="str">
        <f ca="1">IFERROR(__xludf.DUMMYFUNCTION("""COMPUTED_VALUE"""),"30% على النظارات الشمسية والطبية والعدسات المحلية")</f>
        <v>30% على النظارات الشمسية والطبية والعدسات المحلية</v>
      </c>
    </row>
    <row r="96" spans="1:11" x14ac:dyDescent="0.25">
      <c r="A96" s="4" t="str">
        <f ca="1">IFERROR(__xludf.DUMMYFUNCTION("""COMPUTED_VALUE"""),"104248-B")</f>
        <v>104248-B</v>
      </c>
      <c r="B96" s="5" t="str">
        <f ca="1">IFERROR(__xludf.DUMMYFUNCTION("""COMPUTED_VALUE"""),"القاهرة")</f>
        <v>القاهرة</v>
      </c>
      <c r="C96" s="5" t="str">
        <f ca="1">IFERROR(__xludf.DUMMYFUNCTION("""COMPUTED_VALUE"""),"شبرا")</f>
        <v>شبرا</v>
      </c>
      <c r="D96" s="5" t="str">
        <f ca="1">IFERROR(__xludf.DUMMYFUNCTION("""COMPUTED_VALUE"""),"شركة")</f>
        <v>شركة</v>
      </c>
      <c r="E96" s="5" t="str">
        <f ca="1">IFERROR(__xludf.DUMMYFUNCTION("""COMPUTED_VALUE"""),"شركة اجهزة طبية")</f>
        <v>شركة اجهزة طبية</v>
      </c>
      <c r="F96" s="5" t="str">
        <f ca="1">IFERROR(__xludf.DUMMYFUNCTION("""COMPUTED_VALUE"""),"مركز بصريات")</f>
        <v>مركز بصريات</v>
      </c>
      <c r="G96" s="5" t="str">
        <f ca="1">IFERROR(__xludf.DUMMYFUNCTION("""COMPUTED_VALUE"""),"شركة منير نصيف للبصريات")</f>
        <v>شركة منير نصيف للبصريات</v>
      </c>
      <c r="H96" s="5" t="str">
        <f ca="1">IFERROR(__xludf.DUMMYFUNCTION("""COMPUTED_VALUE"""),"46 شارع شبرا-شبرا-القاهرة")</f>
        <v>46 شارع شبرا-شبرا-القاهرة</v>
      </c>
      <c r="I96" s="6" t="str">
        <f ca="1">IFERROR(__xludf.DUMMYFUNCTION("""COMPUTED_VALUE"""),"20224609205")</f>
        <v>20224609205</v>
      </c>
      <c r="J96" s="6"/>
      <c r="K96" s="6" t="str">
        <f ca="1">IFERROR(__xludf.DUMMYFUNCTION("""COMPUTED_VALUE"""),"30% على النظارات الشمسية والطبية والعدسات المحلية")</f>
        <v>30% على النظارات الشمسية والطبية والعدسات المحلية</v>
      </c>
    </row>
    <row r="97" spans="1:11" x14ac:dyDescent="0.25">
      <c r="A97" s="4" t="str">
        <f ca="1">IFERROR(__xludf.DUMMYFUNCTION("""COMPUTED_VALUE"""),"104248-B")</f>
        <v>104248-B</v>
      </c>
      <c r="B97" s="5" t="str">
        <f ca="1">IFERROR(__xludf.DUMMYFUNCTION("""COMPUTED_VALUE"""),"القاهرة")</f>
        <v>القاهرة</v>
      </c>
      <c r="C97" s="5" t="str">
        <f ca="1">IFERROR(__xludf.DUMMYFUNCTION("""COMPUTED_VALUE"""),"مدينة نصر")</f>
        <v>مدينة نصر</v>
      </c>
      <c r="D97" s="5" t="str">
        <f ca="1">IFERROR(__xludf.DUMMYFUNCTION("""COMPUTED_VALUE"""),"شركة")</f>
        <v>شركة</v>
      </c>
      <c r="E97" s="5" t="str">
        <f ca="1">IFERROR(__xludf.DUMMYFUNCTION("""COMPUTED_VALUE"""),"شركة اجهزة طبية")</f>
        <v>شركة اجهزة طبية</v>
      </c>
      <c r="F97" s="5" t="str">
        <f ca="1">IFERROR(__xludf.DUMMYFUNCTION("""COMPUTED_VALUE"""),"مركز بصريات")</f>
        <v>مركز بصريات</v>
      </c>
      <c r="G97" s="5" t="str">
        <f ca="1">IFERROR(__xludf.DUMMYFUNCTION("""COMPUTED_VALUE"""),"شركة منير نصيف للبصريات")</f>
        <v>شركة منير نصيف للبصريات</v>
      </c>
      <c r="H97" s="5" t="str">
        <f ca="1">IFERROR(__xludf.DUMMYFUNCTION("""COMPUTED_VALUE"""),"سيتي ستارز مول- محل رقم 264 - الدور الاول-مدينة نصر-القاهرة")</f>
        <v>سيتي ستارز مول- محل رقم 264 - الدور الاول-مدينة نصر-القاهرة</v>
      </c>
      <c r="I97" s="6" t="str">
        <f ca="1">IFERROR(__xludf.DUMMYFUNCTION("""COMPUTED_VALUE"""),"01020039145")</f>
        <v>01020039145</v>
      </c>
      <c r="J97" s="6"/>
      <c r="K97" s="6" t="str">
        <f ca="1">IFERROR(__xludf.DUMMYFUNCTION("""COMPUTED_VALUE"""),"30% على النظارات الشمسية والطبية والعدسات المحلية")</f>
        <v>30% على النظارات الشمسية والطبية والعدسات المحلية</v>
      </c>
    </row>
    <row r="98" spans="1:11" x14ac:dyDescent="0.25">
      <c r="A98" s="4" t="str">
        <f ca="1">IFERROR(__xludf.DUMMYFUNCTION("""COMPUTED_VALUE"""),"104248-B")</f>
        <v>104248-B</v>
      </c>
      <c r="B98" s="5" t="str">
        <f ca="1">IFERROR(__xludf.DUMMYFUNCTION("""COMPUTED_VALUE"""),"القاهرة")</f>
        <v>القاهرة</v>
      </c>
      <c r="C98" s="5" t="str">
        <f ca="1">IFERROR(__xludf.DUMMYFUNCTION("""COMPUTED_VALUE"""),"مصر الجديدة")</f>
        <v>مصر الجديدة</v>
      </c>
      <c r="D98" s="5" t="str">
        <f ca="1">IFERROR(__xludf.DUMMYFUNCTION("""COMPUTED_VALUE"""),"شركة")</f>
        <v>شركة</v>
      </c>
      <c r="E98" s="5" t="str">
        <f ca="1">IFERROR(__xludf.DUMMYFUNCTION("""COMPUTED_VALUE"""),"شركة اجهزة طبية")</f>
        <v>شركة اجهزة طبية</v>
      </c>
      <c r="F98" s="5" t="str">
        <f ca="1">IFERROR(__xludf.DUMMYFUNCTION("""COMPUTED_VALUE"""),"مركز بصريات")</f>
        <v>مركز بصريات</v>
      </c>
      <c r="G98" s="5" t="str">
        <f ca="1">IFERROR(__xludf.DUMMYFUNCTION("""COMPUTED_VALUE"""),"شركة منير نصيف للبصريات")</f>
        <v>شركة منير نصيف للبصريات</v>
      </c>
      <c r="H98" s="5" t="str">
        <f ca="1">IFERROR(__xludf.DUMMYFUNCTION("""COMPUTED_VALUE"""),"18 شارع دمشق-مصر الجديدة-القاهرة")</f>
        <v>18 شارع دمشق-مصر الجديدة-القاهرة</v>
      </c>
      <c r="I98" s="6" t="str">
        <f ca="1">IFERROR(__xludf.DUMMYFUNCTION("""COMPUTED_VALUE"""),"20222584603")</f>
        <v>20222584603</v>
      </c>
      <c r="J98" s="6"/>
      <c r="K98" s="6" t="str">
        <f ca="1">IFERROR(__xludf.DUMMYFUNCTION("""COMPUTED_VALUE"""),"30% على النظارات الشمسية والطبية والعدسات المحلية")</f>
        <v>30% على النظارات الشمسية والطبية والعدسات المحلية</v>
      </c>
    </row>
    <row r="99" spans="1:11" x14ac:dyDescent="0.25">
      <c r="A99" s="4" t="str">
        <f ca="1">IFERROR(__xludf.DUMMYFUNCTION("""COMPUTED_VALUE"""),"104248-B")</f>
        <v>104248-B</v>
      </c>
      <c r="B99" s="5" t="str">
        <f ca="1">IFERROR(__xludf.DUMMYFUNCTION("""COMPUTED_VALUE"""),"القاهرة")</f>
        <v>القاهرة</v>
      </c>
      <c r="C99" s="5" t="str">
        <f ca="1">IFERROR(__xludf.DUMMYFUNCTION("""COMPUTED_VALUE"""),"مصر الجديدة")</f>
        <v>مصر الجديدة</v>
      </c>
      <c r="D99" s="5" t="str">
        <f ca="1">IFERROR(__xludf.DUMMYFUNCTION("""COMPUTED_VALUE"""),"شركة")</f>
        <v>شركة</v>
      </c>
      <c r="E99" s="5" t="str">
        <f ca="1">IFERROR(__xludf.DUMMYFUNCTION("""COMPUTED_VALUE"""),"شركة اجهزة طبية")</f>
        <v>شركة اجهزة طبية</v>
      </c>
      <c r="F99" s="5" t="str">
        <f ca="1">IFERROR(__xludf.DUMMYFUNCTION("""COMPUTED_VALUE"""),"مركز بصريات")</f>
        <v>مركز بصريات</v>
      </c>
      <c r="G99" s="5" t="str">
        <f ca="1">IFERROR(__xludf.DUMMYFUNCTION("""COMPUTED_VALUE"""),"شركة منير نصيف للبصريات")</f>
        <v>شركة منير نصيف للبصريات</v>
      </c>
      <c r="H99" s="5" t="str">
        <f ca="1">IFERROR(__xludf.DUMMYFUNCTION("""COMPUTED_VALUE"""),"211 شارع الحجاز (المستشفى الوطني للعيون)-مصر الجديدة-القاهرة")</f>
        <v>211 شارع الحجاز (المستشفى الوطني للعيون)-مصر الجديدة-القاهرة</v>
      </c>
      <c r="I99" s="6" t="str">
        <f ca="1">IFERROR(__xludf.DUMMYFUNCTION("""COMPUTED_VALUE"""),"20226242188")</f>
        <v>20226242188</v>
      </c>
      <c r="J99" s="6"/>
      <c r="K99" s="6" t="str">
        <f ca="1">IFERROR(__xludf.DUMMYFUNCTION("""COMPUTED_VALUE"""),"30% على النظارات الشمسية والطبية والعدسات المحلية")</f>
        <v>30% على النظارات الشمسية والطبية والعدسات المحلية</v>
      </c>
    </row>
    <row r="100" spans="1:11" x14ac:dyDescent="0.25">
      <c r="A100" s="4" t="str">
        <f ca="1">IFERROR(__xludf.DUMMYFUNCTION("""COMPUTED_VALUE"""),"104248-B")</f>
        <v>104248-B</v>
      </c>
      <c r="B100" s="5" t="str">
        <f ca="1">IFERROR(__xludf.DUMMYFUNCTION("""COMPUTED_VALUE"""),"القاهرة")</f>
        <v>القاهرة</v>
      </c>
      <c r="C100" s="5" t="str">
        <f ca="1">IFERROR(__xludf.DUMMYFUNCTION("""COMPUTED_VALUE"""),"مصر الجديدة")</f>
        <v>مصر الجديدة</v>
      </c>
      <c r="D100" s="5" t="str">
        <f ca="1">IFERROR(__xludf.DUMMYFUNCTION("""COMPUTED_VALUE"""),"شركة")</f>
        <v>شركة</v>
      </c>
      <c r="E100" s="5" t="str">
        <f ca="1">IFERROR(__xludf.DUMMYFUNCTION("""COMPUTED_VALUE"""),"شركة اجهزة طبية")</f>
        <v>شركة اجهزة طبية</v>
      </c>
      <c r="F100" s="5" t="str">
        <f ca="1">IFERROR(__xludf.DUMMYFUNCTION("""COMPUTED_VALUE"""),"مركز بصريات")</f>
        <v>مركز بصريات</v>
      </c>
      <c r="G100" s="5" t="str">
        <f ca="1">IFERROR(__xludf.DUMMYFUNCTION("""COMPUTED_VALUE"""),"شركة منير نصيف للبصريات")</f>
        <v>شركة منير نصيف للبصريات</v>
      </c>
      <c r="H100" s="5" t="str">
        <f ca="1">IFERROR(__xludf.DUMMYFUNCTION("""COMPUTED_VALUE"""),"57 شارع الخليفة المأمون- روكسي-مصر الجديدة-القاهرة")</f>
        <v>57 شارع الخليفة المأمون- روكسي-مصر الجديدة-القاهرة</v>
      </c>
      <c r="I100" s="6" t="str">
        <f ca="1">IFERROR(__xludf.DUMMYFUNCTION("""COMPUTED_VALUE"""),"0222562062")</f>
        <v>0222562062</v>
      </c>
      <c r="J100" s="6"/>
      <c r="K100" s="6" t="str">
        <f ca="1">IFERROR(__xludf.DUMMYFUNCTION("""COMPUTED_VALUE"""),"30% على النظارات الشمسية والطبية والعدسات المحلية")</f>
        <v>30% على النظارات الشمسية والطبية والعدسات المحلية</v>
      </c>
    </row>
    <row r="101" spans="1:11" x14ac:dyDescent="0.25">
      <c r="A101" s="4" t="str">
        <f ca="1">IFERROR(__xludf.DUMMYFUNCTION("""COMPUTED_VALUE"""),"104248")</f>
        <v>104248</v>
      </c>
      <c r="B101" s="5" t="str">
        <f ca="1">IFERROR(__xludf.DUMMYFUNCTION("""COMPUTED_VALUE"""),"القاهرة")</f>
        <v>القاهرة</v>
      </c>
      <c r="C101" s="5" t="str">
        <f ca="1">IFERROR(__xludf.DUMMYFUNCTION("""COMPUTED_VALUE"""),"وسط البلد")</f>
        <v>وسط البلد</v>
      </c>
      <c r="D101" s="5" t="str">
        <f ca="1">IFERROR(__xludf.DUMMYFUNCTION("""COMPUTED_VALUE"""),"شركة")</f>
        <v>شركة</v>
      </c>
      <c r="E101" s="5" t="str">
        <f ca="1">IFERROR(__xludf.DUMMYFUNCTION("""COMPUTED_VALUE"""),"شركة اجهزة طبية")</f>
        <v>شركة اجهزة طبية</v>
      </c>
      <c r="F101" s="5" t="str">
        <f ca="1">IFERROR(__xludf.DUMMYFUNCTION("""COMPUTED_VALUE"""),"مركز بصريات")</f>
        <v>مركز بصريات</v>
      </c>
      <c r="G101" s="5" t="str">
        <f ca="1">IFERROR(__xludf.DUMMYFUNCTION("""COMPUTED_VALUE"""),"شركة منير نصيف للبصريات")</f>
        <v>شركة منير نصيف للبصريات</v>
      </c>
      <c r="H101" s="5" t="str">
        <f ca="1">IFERROR(__xludf.DUMMYFUNCTION("""COMPUTED_VALUE"""),"27 شارع طلعت حرب-وسط البلد-القاهرة")</f>
        <v>27 شارع طلعت حرب-وسط البلد-القاهرة</v>
      </c>
      <c r="I101" s="6" t="str">
        <f ca="1">IFERROR(__xludf.DUMMYFUNCTION("""COMPUTED_VALUE"""),"0225745505")</f>
        <v>0225745505</v>
      </c>
      <c r="J101" s="6"/>
      <c r="K101" s="6" t="str">
        <f ca="1">IFERROR(__xludf.DUMMYFUNCTION("""COMPUTED_VALUE"""),"30% على النظارات الشمسية والطبية والعدسات المحلية")</f>
        <v>30% على النظارات الشمسية والطبية والعدسات المحلية</v>
      </c>
    </row>
    <row r="102" spans="1:11" x14ac:dyDescent="0.25">
      <c r="A102" s="4" t="str">
        <f ca="1">IFERROR(__xludf.DUMMYFUNCTION("""COMPUTED_VALUE"""),"4700")</f>
        <v>4700</v>
      </c>
      <c r="B102" s="5" t="str">
        <f ca="1">IFERROR(__xludf.DUMMYFUNCTION("""COMPUTED_VALUE"""),"القاهرة")</f>
        <v>القاهرة</v>
      </c>
      <c r="C102" s="5" t="str">
        <f ca="1">IFERROR(__xludf.DUMMYFUNCTION("""COMPUTED_VALUE"""),"شبرا")</f>
        <v>شبرا</v>
      </c>
      <c r="D102" s="5" t="str">
        <f ca="1">IFERROR(__xludf.DUMMYFUNCTION("""COMPUTED_VALUE"""),"هيئة الأطباء")</f>
        <v>هيئة الأطباء</v>
      </c>
      <c r="E102" s="5" t="str">
        <f ca="1">IFERROR(__xludf.DUMMYFUNCTION("""COMPUTED_VALUE"""),"باطنة")</f>
        <v>باطنة</v>
      </c>
      <c r="F102" s="5" t="str">
        <f ca="1">IFERROR(__xludf.DUMMYFUNCTION("""COMPUTED_VALUE"""),"كبد وجهاز هضمي")</f>
        <v>كبد وجهاز هضمي</v>
      </c>
      <c r="G102" s="5" t="str">
        <f ca="1">IFERROR(__xludf.DUMMYFUNCTION("""COMPUTED_VALUE"""),"د/ عزت عبدالفتاح عفيفى")</f>
        <v>د/ عزت عبدالفتاح عفيفى</v>
      </c>
      <c r="H102" s="5" t="str">
        <f ca="1">IFERROR(__xludf.DUMMYFUNCTION("""COMPUTED_VALUE"""),"188شارع شبرا محطة مترو سانت تريزا")</f>
        <v>188شارع شبرا محطة مترو سانت تريزا</v>
      </c>
      <c r="I102" s="6" t="str">
        <f ca="1">IFERROR(__xludf.DUMMYFUNCTION("""COMPUTED_VALUE"""),"222020423")</f>
        <v>222020423</v>
      </c>
      <c r="J102" s="6"/>
      <c r="K102" s="6" t="str">
        <f ca="1">IFERROR(__xludf.DUMMYFUNCTION("""COMPUTED_VALUE"""),"نسبة خصم 30%")</f>
        <v>نسبة خصم 30%</v>
      </c>
    </row>
    <row r="103" spans="1:11" x14ac:dyDescent="0.25">
      <c r="A103" s="4" t="str">
        <f ca="1">IFERROR(__xludf.DUMMYFUNCTION("""COMPUTED_VALUE"""),"4700-B")</f>
        <v>4700-B</v>
      </c>
      <c r="B103" s="5" t="str">
        <f ca="1">IFERROR(__xludf.DUMMYFUNCTION("""COMPUTED_VALUE"""),"القاهرة")</f>
        <v>القاهرة</v>
      </c>
      <c r="C103" s="5" t="str">
        <f ca="1">IFERROR(__xludf.DUMMYFUNCTION("""COMPUTED_VALUE"""),"مدينة نصر")</f>
        <v>مدينة نصر</v>
      </c>
      <c r="D103" s="5" t="str">
        <f ca="1">IFERROR(__xludf.DUMMYFUNCTION("""COMPUTED_VALUE"""),"هيئة الأطباء")</f>
        <v>هيئة الأطباء</v>
      </c>
      <c r="E103" s="5" t="str">
        <f ca="1">IFERROR(__xludf.DUMMYFUNCTION("""COMPUTED_VALUE"""),"باطنة")</f>
        <v>باطنة</v>
      </c>
      <c r="F103" s="5" t="str">
        <f ca="1">IFERROR(__xludf.DUMMYFUNCTION("""COMPUTED_VALUE"""),"كبد وجهاز هضمي")</f>
        <v>كبد وجهاز هضمي</v>
      </c>
      <c r="G103" s="5" t="str">
        <f ca="1">IFERROR(__xludf.DUMMYFUNCTION("""COMPUTED_VALUE"""),"د/ عزت عبدالفتاح عفيفى")</f>
        <v>د/ عزت عبدالفتاح عفيفى</v>
      </c>
      <c r="H103" s="5" t="str">
        <f ca="1">IFERROR(__xludf.DUMMYFUNCTION("""COMPUTED_VALUE"""),"8شارع احمد قاسم جودة - خلف ماكدونالدز عباس العقاد -مدينة نصر-القاهرة")</f>
        <v>8شارع احمد قاسم جودة - خلف ماكدونالدز عباس العقاد -مدينة نصر-القاهرة</v>
      </c>
      <c r="I103" s="6" t="str">
        <f ca="1">IFERROR(__xludf.DUMMYFUNCTION("""COMPUTED_VALUE"""),"20224034042")</f>
        <v>20224034042</v>
      </c>
      <c r="J103" s="6"/>
      <c r="K103" s="6" t="str">
        <f ca="1">IFERROR(__xludf.DUMMYFUNCTION("""COMPUTED_VALUE"""),"نسبة خصم 30%")</f>
        <v>نسبة خصم 30%</v>
      </c>
    </row>
    <row r="104" spans="1:11" x14ac:dyDescent="0.25">
      <c r="A104" s="4" t="str">
        <f ca="1">IFERROR(__xludf.DUMMYFUNCTION("""COMPUTED_VALUE"""),"4700-B")</f>
        <v>4700-B</v>
      </c>
      <c r="B104" s="5" t="str">
        <f ca="1">IFERROR(__xludf.DUMMYFUNCTION("""COMPUTED_VALUE"""),"القليوبية")</f>
        <v>القليوبية</v>
      </c>
      <c r="C104" s="5" t="str">
        <f ca="1">IFERROR(__xludf.DUMMYFUNCTION("""COMPUTED_VALUE"""),"شبرا الخيمة")</f>
        <v>شبرا الخيمة</v>
      </c>
      <c r="D104" s="5" t="str">
        <f ca="1">IFERROR(__xludf.DUMMYFUNCTION("""COMPUTED_VALUE"""),"هيئة الأطباء")</f>
        <v>هيئة الأطباء</v>
      </c>
      <c r="E104" s="5" t="str">
        <f ca="1">IFERROR(__xludf.DUMMYFUNCTION("""COMPUTED_VALUE"""),"باطنة")</f>
        <v>باطنة</v>
      </c>
      <c r="F104" s="5" t="str">
        <f ca="1">IFERROR(__xludf.DUMMYFUNCTION("""COMPUTED_VALUE"""),"كبد وجهاز هضمي")</f>
        <v>كبد وجهاز هضمي</v>
      </c>
      <c r="G104" s="5" t="str">
        <f ca="1">IFERROR(__xludf.DUMMYFUNCTION("""COMPUTED_VALUE"""),"د/ عزت عبدالفتاح عفيفى")</f>
        <v>د/ عزت عبدالفتاح عفيفى</v>
      </c>
      <c r="H104" s="5" t="str">
        <f ca="1">IFERROR(__xludf.DUMMYFUNCTION("""COMPUTED_VALUE"""),"شارع احمد عرابي- ناصية شارع المشير - امام سينما الاهلي-شبرا الخيمة-القليوبية")</f>
        <v>شارع احمد عرابي- ناصية شارع المشير - امام سينما الاهلي-شبرا الخيمة-القليوبية</v>
      </c>
      <c r="I104" s="6" t="str">
        <f ca="1">IFERROR(__xludf.DUMMYFUNCTION("""COMPUTED_VALUE"""),"20242202638")</f>
        <v>20242202638</v>
      </c>
      <c r="J104" s="6"/>
      <c r="K104" s="6" t="str">
        <f ca="1">IFERROR(__xludf.DUMMYFUNCTION("""COMPUTED_VALUE"""),"نسبة خصم 30%")</f>
        <v>نسبة خصم 30%</v>
      </c>
    </row>
    <row r="105" spans="1:11" x14ac:dyDescent="0.25">
      <c r="A105" s="4" t="str">
        <f ca="1">IFERROR(__xludf.DUMMYFUNCTION("""COMPUTED_VALUE"""),"104942")</f>
        <v>104942</v>
      </c>
      <c r="B105" s="5" t="str">
        <f ca="1">IFERROR(__xludf.DUMMYFUNCTION("""COMPUTED_VALUE"""),"الجيزة")</f>
        <v>الجيزة</v>
      </c>
      <c r="C105" s="5" t="str">
        <f ca="1">IFERROR(__xludf.DUMMYFUNCTION("""COMPUTED_VALUE"""),"فيصل")</f>
        <v>فيصل</v>
      </c>
      <c r="D105" s="5" t="str">
        <f ca="1">IFERROR(__xludf.DUMMYFUNCTION("""COMPUTED_VALUE"""),"هيئة الأطباء")</f>
        <v>هيئة الأطباء</v>
      </c>
      <c r="E105" s="5" t="str">
        <f ca="1">IFERROR(__xludf.DUMMYFUNCTION("""COMPUTED_VALUE"""),"اسنان")</f>
        <v>اسنان</v>
      </c>
      <c r="F105" s="5" t="str">
        <f ca="1">IFERROR(__xludf.DUMMYFUNCTION("""COMPUTED_VALUE"""),"جراحة الفم والأسنان")</f>
        <v>جراحة الفم والأسنان</v>
      </c>
      <c r="G105" s="5" t="str">
        <f ca="1">IFERROR(__xludf.DUMMYFUNCTION("""COMPUTED_VALUE"""),"عيادات الجمل للاسنان (د/ اشرف لطفى عبد اللطيف سليمان)")</f>
        <v>عيادات الجمل للاسنان (د/ اشرف لطفى عبد اللطيف سليمان)</v>
      </c>
      <c r="H105" s="5" t="str">
        <f ca="1">IFERROR(__xludf.DUMMYFUNCTION("""COMPUTED_VALUE"""),"401 شارع فيصل- الدور الرابع - شقة 13- فيصل - الجيزة")</f>
        <v>401 شارع فيصل- الدور الرابع - شقة 13- فيصل - الجيزة</v>
      </c>
      <c r="I105" s="6" t="str">
        <f ca="1">IFERROR(__xludf.DUMMYFUNCTION("""COMPUTED_VALUE"""),"201002682486")</f>
        <v>201002682486</v>
      </c>
      <c r="J105" s="6"/>
      <c r="K105" s="6" t="str">
        <f ca="1">IFERROR(__xludf.DUMMYFUNCTION("""COMPUTED_VALUE"""),"30% على جميع الخدمات")</f>
        <v>30% على جميع الخدمات</v>
      </c>
    </row>
    <row r="106" spans="1:11" x14ac:dyDescent="0.25">
      <c r="A106" s="4" t="str">
        <f ca="1">IFERROR(__xludf.DUMMYFUNCTION("""COMPUTED_VALUE"""),"105128")</f>
        <v>105128</v>
      </c>
      <c r="B106" s="5" t="str">
        <f ca="1">IFERROR(__xludf.DUMMYFUNCTION("""COMPUTED_VALUE"""),"الجيزة")</f>
        <v>الجيزة</v>
      </c>
      <c r="C106" s="5" t="str">
        <f ca="1">IFERROR(__xludf.DUMMYFUNCTION("""COMPUTED_VALUE"""),"الدقي")</f>
        <v>الدقي</v>
      </c>
      <c r="D106" s="5" t="str">
        <f ca="1">IFERROR(__xludf.DUMMYFUNCTION("""COMPUTED_VALUE"""),"مركز علاج طبيعي")</f>
        <v>مركز علاج طبيعي</v>
      </c>
      <c r="E106" s="5" t="str">
        <f ca="1">IFERROR(__xludf.DUMMYFUNCTION("""COMPUTED_VALUE"""),"علاج طبيعي")</f>
        <v>علاج طبيعي</v>
      </c>
      <c r="F106" s="5" t="str">
        <f ca="1">IFERROR(__xludf.DUMMYFUNCTION("""COMPUTED_VALUE"""),"جلسات العلاج الطبيعي")</f>
        <v>جلسات العلاج الطبيعي</v>
      </c>
      <c r="G106" s="5" t="str">
        <f ca="1">IFERROR(__xludf.DUMMYFUNCTION("""COMPUTED_VALUE"""),"مركز د/ محمد نبيل البحراوي  للعلاج الطبيعي")</f>
        <v>مركز د/ محمد نبيل البحراوي  للعلاج الطبيعي</v>
      </c>
      <c r="H106" s="5" t="str">
        <f ca="1">IFERROR(__xludf.DUMMYFUNCTION("""COMPUTED_VALUE"""),"92شارع التحرير – برج ساريدار الطبى – ميدان الدقى-الدقي- الجيزة")</f>
        <v>92شارع التحرير – برج ساريدار الطبى – ميدان الدقى-الدقي- الجيزة</v>
      </c>
      <c r="I106" s="6" t="str">
        <f ca="1">IFERROR(__xludf.DUMMYFUNCTION("""COMPUTED_VALUE"""),"20237618186")</f>
        <v>20237618186</v>
      </c>
      <c r="J106" s="6"/>
      <c r="K106" s="6" t="str">
        <f ca="1">IFERROR(__xludf.DUMMYFUNCTION("""COMPUTED_VALUE"""),"30% نسبة خصم")</f>
        <v>30% نسبة خصم</v>
      </c>
    </row>
    <row r="107" spans="1:11" x14ac:dyDescent="0.25">
      <c r="A107" s="4" t="str">
        <f ca="1">IFERROR(__xludf.DUMMYFUNCTION("""COMPUTED_VALUE"""),"105128-B")</f>
        <v>105128-B</v>
      </c>
      <c r="B107" s="5" t="str">
        <f ca="1">IFERROR(__xludf.DUMMYFUNCTION("""COMPUTED_VALUE"""),"الجيزة")</f>
        <v>الجيزة</v>
      </c>
      <c r="C107" s="5" t="str">
        <f ca="1">IFERROR(__xludf.DUMMYFUNCTION("""COMPUTED_VALUE"""),"السادس من اكتوبر")</f>
        <v>السادس من اكتوبر</v>
      </c>
      <c r="D107" s="5" t="str">
        <f ca="1">IFERROR(__xludf.DUMMYFUNCTION("""COMPUTED_VALUE"""),"مركز علاج طبيعي")</f>
        <v>مركز علاج طبيعي</v>
      </c>
      <c r="E107" s="5" t="str">
        <f ca="1">IFERROR(__xludf.DUMMYFUNCTION("""COMPUTED_VALUE"""),"علاج طبيعي")</f>
        <v>علاج طبيعي</v>
      </c>
      <c r="F107" s="5" t="str">
        <f ca="1">IFERROR(__xludf.DUMMYFUNCTION("""COMPUTED_VALUE"""),"جلسات العلاج الطبيعي")</f>
        <v>جلسات العلاج الطبيعي</v>
      </c>
      <c r="G107" s="5" t="str">
        <f ca="1">IFERROR(__xludf.DUMMYFUNCTION("""COMPUTED_VALUE"""),"مركز د/ محمد نبيل البحراوي  للعلاج الطبيعي")</f>
        <v>مركز د/ محمد نبيل البحراوي  للعلاج الطبيعي</v>
      </c>
      <c r="H107" s="5" t="str">
        <f ca="1">IFERROR(__xludf.DUMMYFUNCTION("""COMPUTED_VALUE"""),"1/17 ب - المحور المركزى خلف مستشفى نيوروسبين - الدور الثالث - 6أكتوبر - الجيزة")</f>
        <v>1/17 ب - المحور المركزى خلف مستشفى نيوروسبين - الدور الثالث - 6أكتوبر - الجيزة</v>
      </c>
      <c r="I107" s="6" t="str">
        <f ca="1">IFERROR(__xludf.DUMMYFUNCTION("""COMPUTED_VALUE"""),"01111112829")</f>
        <v>01111112829</v>
      </c>
      <c r="J107" s="6"/>
      <c r="K107" s="6" t="str">
        <f ca="1">IFERROR(__xludf.DUMMYFUNCTION("""COMPUTED_VALUE"""),"30% نسبة خصم")</f>
        <v>30% نسبة خصم</v>
      </c>
    </row>
    <row r="108" spans="1:11" x14ac:dyDescent="0.25">
      <c r="A108" s="4" t="str">
        <f ca="1">IFERROR(__xludf.DUMMYFUNCTION("""COMPUTED_VALUE"""),"104296-B")</f>
        <v>104296-B</v>
      </c>
      <c r="B108" s="5" t="str">
        <f ca="1">IFERROR(__xludf.DUMMYFUNCTION("""COMPUTED_VALUE"""),"الاسكندرية")</f>
        <v>الاسكندرية</v>
      </c>
      <c r="C108" s="5" t="str">
        <f ca="1">IFERROR(__xludf.DUMMYFUNCTION("""COMPUTED_VALUE"""),"الازاريطا")</f>
        <v>الازاريطا</v>
      </c>
      <c r="D108" s="5" t="str">
        <f ca="1">IFERROR(__xludf.DUMMYFUNCTION("""COMPUTED_VALUE"""),"مركز علاج طبيعي")</f>
        <v>مركز علاج طبيعي</v>
      </c>
      <c r="E108" s="5" t="str">
        <f ca="1">IFERROR(__xludf.DUMMYFUNCTION("""COMPUTED_VALUE"""),"علاج طبيعي")</f>
        <v>علاج طبيعي</v>
      </c>
      <c r="F108" s="5" t="str">
        <f ca="1">IFERROR(__xludf.DUMMYFUNCTION("""COMPUTED_VALUE"""),"جلسات العلاج الطبيعي")</f>
        <v>جلسات العلاج الطبيعي</v>
      </c>
      <c r="G108" s="5" t="str">
        <f ca="1">IFERROR(__xludf.DUMMYFUNCTION("""COMPUTED_VALUE"""),"مركز ألفا كير للعلاج الطبيعي (د.كريم عبدالقوى عبدالله)")</f>
        <v>مركز ألفا كير للعلاج الطبيعي (د.كريم عبدالقوى عبدالله)</v>
      </c>
      <c r="H108" s="5" t="str">
        <f ca="1">IFERROR(__xludf.DUMMYFUNCTION("""COMPUTED_VALUE"""),"127 ميدان الحريه - ميدان الشلالات - ناصيه شارع فؤاد")</f>
        <v>127 ميدان الحريه - ميدان الشلالات - ناصيه شارع فؤاد</v>
      </c>
      <c r="I108" s="6" t="str">
        <f ca="1">IFERROR(__xludf.DUMMYFUNCTION("""COMPUTED_VALUE"""),"01030433690")</f>
        <v>01030433690</v>
      </c>
      <c r="J108" s="6" t="str">
        <f ca="1">IFERROR(__xludf.DUMMYFUNCTION("""COMPUTED_VALUE"""),"15662")</f>
        <v>15662</v>
      </c>
      <c r="K108" s="6" t="str">
        <f ca="1">IFERROR(__xludf.DUMMYFUNCTION("""COMPUTED_VALUE"""),"30% على جميع الخدمات")</f>
        <v>30% على جميع الخدمات</v>
      </c>
    </row>
    <row r="109" spans="1:11" x14ac:dyDescent="0.25">
      <c r="A109" s="4" t="str">
        <f ca="1">IFERROR(__xludf.DUMMYFUNCTION("""COMPUTED_VALUE"""),"104296-B")</f>
        <v>104296-B</v>
      </c>
      <c r="B109" s="5" t="str">
        <f ca="1">IFERROR(__xludf.DUMMYFUNCTION("""COMPUTED_VALUE"""),"الشرقية")</f>
        <v>الشرقية</v>
      </c>
      <c r="C109" s="5" t="str">
        <f ca="1">IFERROR(__xludf.DUMMYFUNCTION("""COMPUTED_VALUE"""),"العاشر من رمضان")</f>
        <v>العاشر من رمضان</v>
      </c>
      <c r="D109" s="5" t="str">
        <f ca="1">IFERROR(__xludf.DUMMYFUNCTION("""COMPUTED_VALUE"""),"مركز علاج طبيعي")</f>
        <v>مركز علاج طبيعي</v>
      </c>
      <c r="E109" s="5" t="str">
        <f ca="1">IFERROR(__xludf.DUMMYFUNCTION("""COMPUTED_VALUE"""),"علاج طبيعي")</f>
        <v>علاج طبيعي</v>
      </c>
      <c r="F109" s="5" t="str">
        <f ca="1">IFERROR(__xludf.DUMMYFUNCTION("""COMPUTED_VALUE"""),"جلسات العلاج الطبيعي")</f>
        <v>جلسات العلاج الطبيعي</v>
      </c>
      <c r="G109" s="5" t="str">
        <f ca="1">IFERROR(__xludf.DUMMYFUNCTION("""COMPUTED_VALUE"""),"مركز ألفا كير للعلاج الطبيعي (د.كريم عبدالقوى عبدالله)")</f>
        <v>مركز ألفا كير للعلاج الطبيعي (د.كريم عبدالقوى عبدالله)</v>
      </c>
      <c r="H109" s="5" t="str">
        <f ca="1">IFERROR(__xludf.DUMMYFUNCTION("""COMPUTED_VALUE"""),"مول الدوحه عماره ا الدور الثالث - العاشر من رمضان")</f>
        <v>مول الدوحه عماره ا الدور الثالث - العاشر من رمضان</v>
      </c>
      <c r="I109" s="6" t="str">
        <f ca="1">IFERROR(__xludf.DUMMYFUNCTION("""COMPUTED_VALUE"""),"01117070522")</f>
        <v>01117070522</v>
      </c>
      <c r="J109" s="6" t="str">
        <f ca="1">IFERROR(__xludf.DUMMYFUNCTION("""COMPUTED_VALUE"""),"15662")</f>
        <v>15662</v>
      </c>
      <c r="K109" s="6" t="str">
        <f ca="1">IFERROR(__xludf.DUMMYFUNCTION("""COMPUTED_VALUE"""),"30% على جميع الخدمات")</f>
        <v>30% على جميع الخدمات</v>
      </c>
    </row>
    <row r="110" spans="1:11" x14ac:dyDescent="0.25">
      <c r="A110" s="4" t="str">
        <f ca="1">IFERROR(__xludf.DUMMYFUNCTION("""COMPUTED_VALUE"""),"104296-B")</f>
        <v>104296-B</v>
      </c>
      <c r="B110" s="5" t="str">
        <f ca="1">IFERROR(__xludf.DUMMYFUNCTION("""COMPUTED_VALUE"""),"الجيزة")</f>
        <v>الجيزة</v>
      </c>
      <c r="C110" s="5" t="str">
        <f ca="1">IFERROR(__xludf.DUMMYFUNCTION("""COMPUTED_VALUE"""),"الهرم")</f>
        <v>الهرم</v>
      </c>
      <c r="D110" s="5" t="str">
        <f ca="1">IFERROR(__xludf.DUMMYFUNCTION("""COMPUTED_VALUE"""),"مركز علاج طبيعي")</f>
        <v>مركز علاج طبيعي</v>
      </c>
      <c r="E110" s="5" t="str">
        <f ca="1">IFERROR(__xludf.DUMMYFUNCTION("""COMPUTED_VALUE"""),"علاج طبيعي")</f>
        <v>علاج طبيعي</v>
      </c>
      <c r="F110" s="5" t="str">
        <f ca="1">IFERROR(__xludf.DUMMYFUNCTION("""COMPUTED_VALUE"""),"جلسات العلاج الطبيعي")</f>
        <v>جلسات العلاج الطبيعي</v>
      </c>
      <c r="G110" s="5" t="str">
        <f ca="1">IFERROR(__xludf.DUMMYFUNCTION("""COMPUTED_VALUE"""),"مركز ألفا كير للعلاج الطبيعي (د.كريم عبدالقوى عبدالله)")</f>
        <v>مركز ألفا كير للعلاج الطبيعي (د.كريم عبدالقوى عبدالله)</v>
      </c>
      <c r="H110" s="5" t="str">
        <f ca="1">IFERROR(__xludf.DUMMYFUNCTION("""COMPUTED_VALUE"""),"114 برج جوميرا شارع الهرم الرئيسي محطة سهل حمزة اعلي البنك بجوار رنين الدور علوي شقة")</f>
        <v>114 برج جوميرا شارع الهرم الرئيسي محطة سهل حمزة اعلي البنك بجوار رنين الدور علوي شقة</v>
      </c>
      <c r="I110" s="6" t="str">
        <f ca="1">IFERROR(__xludf.DUMMYFUNCTION("""COMPUTED_VALUE"""),"01029907237")</f>
        <v>01029907237</v>
      </c>
      <c r="J110" s="6" t="str">
        <f ca="1">IFERROR(__xludf.DUMMYFUNCTION("""COMPUTED_VALUE"""),"15662")</f>
        <v>15662</v>
      </c>
      <c r="K110" s="6" t="str">
        <f ca="1">IFERROR(__xludf.DUMMYFUNCTION("""COMPUTED_VALUE"""),"30% على جميع الخدمات")</f>
        <v>30% على جميع الخدمات</v>
      </c>
    </row>
    <row r="111" spans="1:11" x14ac:dyDescent="0.25">
      <c r="A111" s="4" t="str">
        <f ca="1">IFERROR(__xludf.DUMMYFUNCTION("""COMPUTED_VALUE"""),"104296-B")</f>
        <v>104296-B</v>
      </c>
      <c r="B111" s="5" t="str">
        <f ca="1">IFERROR(__xludf.DUMMYFUNCTION("""COMPUTED_VALUE"""),"الجيزة")</f>
        <v>الجيزة</v>
      </c>
      <c r="C111" s="5" t="str">
        <f ca="1">IFERROR(__xludf.DUMMYFUNCTION("""COMPUTED_VALUE"""),"امبابة")</f>
        <v>امبابة</v>
      </c>
      <c r="D111" s="5" t="str">
        <f ca="1">IFERROR(__xludf.DUMMYFUNCTION("""COMPUTED_VALUE"""),"مركز علاج طبيعي")</f>
        <v>مركز علاج طبيعي</v>
      </c>
      <c r="E111" s="5" t="str">
        <f ca="1">IFERROR(__xludf.DUMMYFUNCTION("""COMPUTED_VALUE"""),"علاج طبيعي")</f>
        <v>علاج طبيعي</v>
      </c>
      <c r="F111" s="5" t="str">
        <f ca="1">IFERROR(__xludf.DUMMYFUNCTION("""COMPUTED_VALUE"""),"جلسات العلاج الطبيعي")</f>
        <v>جلسات العلاج الطبيعي</v>
      </c>
      <c r="G111" s="5" t="str">
        <f ca="1">IFERROR(__xludf.DUMMYFUNCTION("""COMPUTED_VALUE"""),"مركز ألفا كير للعلاج الطبيعي (د.كريم عبدالقوى عبدالله)")</f>
        <v>مركز ألفا كير للعلاج الطبيعي (د.كريم عبدالقوى عبدالله)</v>
      </c>
      <c r="H111" s="5" t="str">
        <f ca="1">IFERROR(__xludf.DUMMYFUNCTION("""COMPUTED_VALUE"""),"58 شارع امبابه الرياضي بجوار ماء الذهب للعطور")</f>
        <v>58 شارع امبابه الرياضي بجوار ماء الذهب للعطور</v>
      </c>
      <c r="I111" s="6" t="str">
        <f ca="1">IFERROR(__xludf.DUMMYFUNCTION("""COMPUTED_VALUE"""),"01002500856")</f>
        <v>01002500856</v>
      </c>
      <c r="J111" s="6" t="str">
        <f ca="1">IFERROR(__xludf.DUMMYFUNCTION("""COMPUTED_VALUE"""),"15662")</f>
        <v>15662</v>
      </c>
      <c r="K111" s="6" t="str">
        <f ca="1">IFERROR(__xludf.DUMMYFUNCTION("""COMPUTED_VALUE"""),"30% على جميع الخدمات")</f>
        <v>30% على جميع الخدمات</v>
      </c>
    </row>
    <row r="112" spans="1:11" x14ac:dyDescent="0.25">
      <c r="A112" s="4" t="str">
        <f ca="1">IFERROR(__xludf.DUMMYFUNCTION("""COMPUTED_VALUE"""),"104296-B")</f>
        <v>104296-B</v>
      </c>
      <c r="B112" s="5" t="str">
        <f ca="1">IFERROR(__xludf.DUMMYFUNCTION("""COMPUTED_VALUE"""),"المنوفية")</f>
        <v>المنوفية</v>
      </c>
      <c r="C112" s="5" t="str">
        <f ca="1">IFERROR(__xludf.DUMMYFUNCTION("""COMPUTED_VALUE"""),"مدينه السادات")</f>
        <v>مدينه السادات</v>
      </c>
      <c r="D112" s="5" t="str">
        <f ca="1">IFERROR(__xludf.DUMMYFUNCTION("""COMPUTED_VALUE"""),"مركز علاج طبيعي")</f>
        <v>مركز علاج طبيعي</v>
      </c>
      <c r="E112" s="5" t="str">
        <f ca="1">IFERROR(__xludf.DUMMYFUNCTION("""COMPUTED_VALUE"""),"علاج طبيعي")</f>
        <v>علاج طبيعي</v>
      </c>
      <c r="F112" s="5" t="str">
        <f ca="1">IFERROR(__xludf.DUMMYFUNCTION("""COMPUTED_VALUE"""),"جلسات العلاج الطبيعي")</f>
        <v>جلسات العلاج الطبيعي</v>
      </c>
      <c r="G112" s="5" t="str">
        <f ca="1">IFERROR(__xludf.DUMMYFUNCTION("""COMPUTED_VALUE"""),"مركز ألفا كير للعلاج الطبيعي (د.كريم عبدالقوى عبدالله)")</f>
        <v>مركز ألفا كير للعلاج الطبيعي (د.كريم عبدالقوى عبدالله)</v>
      </c>
      <c r="H112" s="5" t="str">
        <f ca="1">IFERROR(__xludf.DUMMYFUNCTION("""COMPUTED_VALUE"""),"مدينة السادات - محور الخدمات الحي الثاني مول ال سعد اعلى صيدلية 19011")</f>
        <v>مدينة السادات - محور الخدمات الحي الثاني مول ال سعد اعلى صيدلية 19011</v>
      </c>
      <c r="I112" s="6" t="str">
        <f ca="1">IFERROR(__xludf.DUMMYFUNCTION("""COMPUTED_VALUE"""),"1097507952")</f>
        <v>1097507952</v>
      </c>
      <c r="J112" s="6" t="str">
        <f ca="1">IFERROR(__xludf.DUMMYFUNCTION("""COMPUTED_VALUE"""),"15662")</f>
        <v>15662</v>
      </c>
      <c r="K112" s="6" t="str">
        <f ca="1">IFERROR(__xludf.DUMMYFUNCTION("""COMPUTED_VALUE"""),"30% على جميع الخدمات")</f>
        <v>30% على جميع الخدمات</v>
      </c>
    </row>
    <row r="113" spans="1:11" x14ac:dyDescent="0.25">
      <c r="A113" s="4" t="str">
        <f ca="1">IFERROR(__xludf.DUMMYFUNCTION("""COMPUTED_VALUE"""),"104296-B")</f>
        <v>104296-B</v>
      </c>
      <c r="B113" s="5" t="str">
        <f ca="1">IFERROR(__xludf.DUMMYFUNCTION("""COMPUTED_VALUE"""),"المنوفية")</f>
        <v>المنوفية</v>
      </c>
      <c r="C113" s="5" t="str">
        <f ca="1">IFERROR(__xludf.DUMMYFUNCTION("""COMPUTED_VALUE"""),"شبين الكوم")</f>
        <v>شبين الكوم</v>
      </c>
      <c r="D113" s="5" t="str">
        <f ca="1">IFERROR(__xludf.DUMMYFUNCTION("""COMPUTED_VALUE"""),"مركز علاج طبيعي")</f>
        <v>مركز علاج طبيعي</v>
      </c>
      <c r="E113" s="5" t="str">
        <f ca="1">IFERROR(__xludf.DUMMYFUNCTION("""COMPUTED_VALUE"""),"علاج طبيعي")</f>
        <v>علاج طبيعي</v>
      </c>
      <c r="F113" s="5" t="str">
        <f ca="1">IFERROR(__xludf.DUMMYFUNCTION("""COMPUTED_VALUE"""),"جلسات العلاج الطبيعي")</f>
        <v>جلسات العلاج الطبيعي</v>
      </c>
      <c r="G113" s="5" t="str">
        <f ca="1">IFERROR(__xludf.DUMMYFUNCTION("""COMPUTED_VALUE"""),"مركز ألفا كير للعلاج الطبيعي (د.كريم عبدالقوى عبدالله)")</f>
        <v>مركز ألفا كير للعلاج الطبيعي (د.كريم عبدالقوى عبدالله)</v>
      </c>
      <c r="H113" s="5" t="str">
        <f ca="1">IFERROR(__xludf.DUMMYFUNCTION("""COMPUTED_VALUE"""),"شبين الكوم ميدان شرف بجوار مطعم فلفلة برج الجندي الدور الرابع")</f>
        <v>شبين الكوم ميدان شرف بجوار مطعم فلفلة برج الجندي الدور الرابع</v>
      </c>
      <c r="I113" s="6" t="str">
        <f ca="1">IFERROR(__xludf.DUMMYFUNCTION("""COMPUTED_VALUE"""),"1018887026")</f>
        <v>1018887026</v>
      </c>
      <c r="J113" s="6" t="str">
        <f ca="1">IFERROR(__xludf.DUMMYFUNCTION("""COMPUTED_VALUE"""),"15662")</f>
        <v>15662</v>
      </c>
      <c r="K113" s="6" t="str">
        <f ca="1">IFERROR(__xludf.DUMMYFUNCTION("""COMPUTED_VALUE"""),"30% على جميع الخدمات")</f>
        <v>30% على جميع الخدمات</v>
      </c>
    </row>
    <row r="114" spans="1:11" x14ac:dyDescent="0.25">
      <c r="A114" s="4" t="str">
        <f ca="1">IFERROR(__xludf.DUMMYFUNCTION("""COMPUTED_VALUE"""),"104296-B")</f>
        <v>104296-B</v>
      </c>
      <c r="B114" s="5" t="str">
        <f ca="1">IFERROR(__xludf.DUMMYFUNCTION("""COMPUTED_VALUE"""),"الغربية")</f>
        <v>الغربية</v>
      </c>
      <c r="C114" s="5" t="str">
        <f ca="1">IFERROR(__xludf.DUMMYFUNCTION("""COMPUTED_VALUE"""),"طنطا")</f>
        <v>طنطا</v>
      </c>
      <c r="D114" s="5" t="str">
        <f ca="1">IFERROR(__xludf.DUMMYFUNCTION("""COMPUTED_VALUE"""),"مركز علاج طبيعي")</f>
        <v>مركز علاج طبيعي</v>
      </c>
      <c r="E114" s="5" t="str">
        <f ca="1">IFERROR(__xludf.DUMMYFUNCTION("""COMPUTED_VALUE"""),"علاج طبيعي")</f>
        <v>علاج طبيعي</v>
      </c>
      <c r="F114" s="5" t="str">
        <f ca="1">IFERROR(__xludf.DUMMYFUNCTION("""COMPUTED_VALUE"""),"جلسات العلاج الطبيعي")</f>
        <v>جلسات العلاج الطبيعي</v>
      </c>
      <c r="G114" s="5" t="str">
        <f ca="1">IFERROR(__xludf.DUMMYFUNCTION("""COMPUTED_VALUE"""),"مركز ألفا كير للعلاج الطبيعي (د.كريم عبدالقوى عبدالله)")</f>
        <v>مركز ألفا كير للعلاج الطبيعي (د.كريم عبدالقوى عبدالله)</v>
      </c>
      <c r="H114" s="5" t="str">
        <f ca="1">IFERROR(__xludf.DUMMYFUNCTION("""COMPUTED_VALUE"""),"ش د نجاتي من شارع البحر امام معهد الأورام طنطا")</f>
        <v>ش د نجاتي من شارع البحر امام معهد الأورام طنطا</v>
      </c>
      <c r="I114" s="6" t="str">
        <f ca="1">IFERROR(__xludf.DUMMYFUNCTION("""COMPUTED_VALUE"""),"01029907237")</f>
        <v>01029907237</v>
      </c>
      <c r="J114" s="6" t="str">
        <f ca="1">IFERROR(__xludf.DUMMYFUNCTION("""COMPUTED_VALUE"""),"15662")</f>
        <v>15662</v>
      </c>
      <c r="K114" s="6" t="str">
        <f ca="1">IFERROR(__xludf.DUMMYFUNCTION("""COMPUTED_VALUE"""),"30% على جميع الخدمات")</f>
        <v>30% على جميع الخدمات</v>
      </c>
    </row>
    <row r="115" spans="1:11" x14ac:dyDescent="0.25">
      <c r="A115" s="4" t="str">
        <f ca="1">IFERROR(__xludf.DUMMYFUNCTION("""COMPUTED_VALUE"""),"105950")</f>
        <v>105950</v>
      </c>
      <c r="B115" s="5" t="str">
        <f ca="1">IFERROR(__xludf.DUMMYFUNCTION("""COMPUTED_VALUE"""),"الجيزة")</f>
        <v>الجيزة</v>
      </c>
      <c r="C115" s="5" t="str">
        <f ca="1">IFERROR(__xludf.DUMMYFUNCTION("""COMPUTED_VALUE"""),"المهندسين")</f>
        <v>المهندسين</v>
      </c>
      <c r="D115" s="5" t="str">
        <f ca="1">IFERROR(__xludf.DUMMYFUNCTION("""COMPUTED_VALUE"""),"معمل")</f>
        <v>معمل</v>
      </c>
      <c r="E115" s="5" t="str">
        <f ca="1">IFERROR(__xludf.DUMMYFUNCTION("""COMPUTED_VALUE"""),"معمل")</f>
        <v>معمل</v>
      </c>
      <c r="F115" s="5" t="str">
        <f ca="1">IFERROR(__xludf.DUMMYFUNCTION("""COMPUTED_VALUE"""),"معمل التحاليل الطبية")</f>
        <v>معمل التحاليل الطبية</v>
      </c>
      <c r="G115" s="5" t="str">
        <f ca="1">IFERROR(__xludf.DUMMYFUNCTION("""COMPUTED_VALUE"""),"شركه لاب ميد معامل للتحاليل الطبيه 
")</f>
        <v xml:space="preserve">شركه لاب ميد معامل للتحاليل الطبيه 
</v>
      </c>
      <c r="H115" s="5" t="str">
        <f ca="1">IFERROR(__xludf.DUMMYFUNCTION("""COMPUTED_VALUE"""),"1 امتداد 26 يوليو - ميدان لبنان - المهندسين - الجيزه")</f>
        <v>1 امتداد 26 يوليو - ميدان لبنان - المهندسين - الجيزه</v>
      </c>
      <c r="I115" s="6"/>
      <c r="J115" s="6" t="str">
        <f ca="1">IFERROR(__xludf.DUMMYFUNCTION("""COMPUTED_VALUE"""),"19314")</f>
        <v>19314</v>
      </c>
      <c r="K115" s="6" t="str">
        <f ca="1">IFERROR(__xludf.DUMMYFUNCTION("""COMPUTED_VALUE"""),"30% على جميع الخدمات")</f>
        <v>30% على جميع الخدمات</v>
      </c>
    </row>
    <row r="116" spans="1:11" x14ac:dyDescent="0.25">
      <c r="A116" s="4" t="str">
        <f ca="1">IFERROR(__xludf.DUMMYFUNCTION("""COMPUTED_VALUE"""),"105950-B")</f>
        <v>105950-B</v>
      </c>
      <c r="B116" s="5" t="str">
        <f ca="1">IFERROR(__xludf.DUMMYFUNCTION("""COMPUTED_VALUE"""),"الجيزة")</f>
        <v>الجيزة</v>
      </c>
      <c r="C116" s="5" t="str">
        <f ca="1">IFERROR(__xludf.DUMMYFUNCTION("""COMPUTED_VALUE"""),"فيصل")</f>
        <v>فيصل</v>
      </c>
      <c r="D116" s="5" t="str">
        <f ca="1">IFERROR(__xludf.DUMMYFUNCTION("""COMPUTED_VALUE"""),"معمل")</f>
        <v>معمل</v>
      </c>
      <c r="E116" s="5" t="str">
        <f ca="1">IFERROR(__xludf.DUMMYFUNCTION("""COMPUTED_VALUE"""),"معمل")</f>
        <v>معمل</v>
      </c>
      <c r="F116" s="5" t="str">
        <f ca="1">IFERROR(__xludf.DUMMYFUNCTION("""COMPUTED_VALUE"""),"معمل التحاليل الطبية")</f>
        <v>معمل التحاليل الطبية</v>
      </c>
      <c r="G116" s="5" t="str">
        <f ca="1">IFERROR(__xludf.DUMMYFUNCTION("""COMPUTED_VALUE"""),"شركه لاب ميد معامل للتحاليل الطبيه 
")</f>
        <v xml:space="preserve">شركه لاب ميد معامل للتحاليل الطبيه 
</v>
      </c>
      <c r="H116" s="5" t="str">
        <f ca="1">IFERROR(__xludf.DUMMYFUNCTION("""COMPUTED_VALUE"""),"319 شارع فيصل - بجوار النساجون الشرقيون")</f>
        <v>319 شارع فيصل - بجوار النساجون الشرقيون</v>
      </c>
      <c r="I116" s="6"/>
      <c r="J116" s="6" t="str">
        <f ca="1">IFERROR(__xludf.DUMMYFUNCTION("""COMPUTED_VALUE"""),"19314")</f>
        <v>19314</v>
      </c>
      <c r="K116" s="6" t="str">
        <f ca="1">IFERROR(__xludf.DUMMYFUNCTION("""COMPUTED_VALUE"""),"30% على جميع الخدمات")</f>
        <v>30% على جميع الخدمات</v>
      </c>
    </row>
    <row r="117" spans="1:11" x14ac:dyDescent="0.25">
      <c r="A117" s="4" t="str">
        <f ca="1">IFERROR(__xludf.DUMMYFUNCTION("""COMPUTED_VALUE"""),"105950-B")</f>
        <v>105950-B</v>
      </c>
      <c r="B117" s="5" t="str">
        <f ca="1">IFERROR(__xludf.DUMMYFUNCTION("""COMPUTED_VALUE"""),"القاهرة")</f>
        <v>القاهرة</v>
      </c>
      <c r="C117" s="5" t="str">
        <f ca="1">IFERROR(__xludf.DUMMYFUNCTION("""COMPUTED_VALUE"""),"مصر الجديدة")</f>
        <v>مصر الجديدة</v>
      </c>
      <c r="D117" s="5" t="str">
        <f ca="1">IFERROR(__xludf.DUMMYFUNCTION("""COMPUTED_VALUE"""),"معمل")</f>
        <v>معمل</v>
      </c>
      <c r="E117" s="5" t="str">
        <f ca="1">IFERROR(__xludf.DUMMYFUNCTION("""COMPUTED_VALUE"""),"معمل")</f>
        <v>معمل</v>
      </c>
      <c r="F117" s="5" t="str">
        <f ca="1">IFERROR(__xludf.DUMMYFUNCTION("""COMPUTED_VALUE"""),"معمل التحاليل الطبية")</f>
        <v>معمل التحاليل الطبية</v>
      </c>
      <c r="G117" s="5" t="str">
        <f ca="1">IFERROR(__xludf.DUMMYFUNCTION("""COMPUTED_VALUE"""),"شركه لاب ميد معامل للتحاليل الطبيه 
")</f>
        <v xml:space="preserve">شركه لاب ميد معامل للتحاليل الطبيه 
</v>
      </c>
      <c r="H117" s="5" t="str">
        <f ca="1">IFERROR(__xludf.DUMMYFUNCTION("""COMPUTED_VALUE"""),"25 شارع عثمان ابن عفان مصر الجديدة , اعلي بنك QNB")</f>
        <v>25 شارع عثمان ابن عفان مصر الجديدة , اعلي بنك QNB</v>
      </c>
      <c r="I117" s="6"/>
      <c r="J117" s="6" t="str">
        <f ca="1">IFERROR(__xludf.DUMMYFUNCTION("""COMPUTED_VALUE"""),"19314")</f>
        <v>19314</v>
      </c>
      <c r="K117" s="6" t="str">
        <f ca="1">IFERROR(__xludf.DUMMYFUNCTION("""COMPUTED_VALUE"""),"30% على جميع الخدمات")</f>
        <v>30% على جميع الخدمات</v>
      </c>
    </row>
    <row r="118" spans="1:11" x14ac:dyDescent="0.25">
      <c r="A118" s="4" t="str">
        <f ca="1">IFERROR(__xludf.DUMMYFUNCTION("""COMPUTED_VALUE"""),"105950-B")</f>
        <v>105950-B</v>
      </c>
      <c r="B118" s="5" t="str">
        <f ca="1">IFERROR(__xludf.DUMMYFUNCTION("""COMPUTED_VALUE"""),"القاهرة")</f>
        <v>القاهرة</v>
      </c>
      <c r="C118" s="5" t="str">
        <f ca="1">IFERROR(__xludf.DUMMYFUNCTION("""COMPUTED_VALUE"""),"حدائق القبة")</f>
        <v>حدائق القبة</v>
      </c>
      <c r="D118" s="5" t="str">
        <f ca="1">IFERROR(__xludf.DUMMYFUNCTION("""COMPUTED_VALUE"""),"معمل")</f>
        <v>معمل</v>
      </c>
      <c r="E118" s="5" t="str">
        <f ca="1">IFERROR(__xludf.DUMMYFUNCTION("""COMPUTED_VALUE"""),"معمل")</f>
        <v>معمل</v>
      </c>
      <c r="F118" s="5" t="str">
        <f ca="1">IFERROR(__xludf.DUMMYFUNCTION("""COMPUTED_VALUE"""),"معمل التحاليل الطبية")</f>
        <v>معمل التحاليل الطبية</v>
      </c>
      <c r="G118" s="5" t="str">
        <f ca="1">IFERROR(__xludf.DUMMYFUNCTION("""COMPUTED_VALUE"""),"شركه لاب ميد معامل للتحاليل الطبيه 
")</f>
        <v xml:space="preserve">شركه لاب ميد معامل للتحاليل الطبيه 
</v>
      </c>
      <c r="H118" s="5" t="str">
        <f ca="1">IFERROR(__xludf.DUMMYFUNCTION("""COMPUTED_VALUE"""),"123 شارع مصر والسودان اعلي البنك الأهلي")</f>
        <v>123 شارع مصر والسودان اعلي البنك الأهلي</v>
      </c>
      <c r="I118" s="6"/>
      <c r="J118" s="6" t="str">
        <f ca="1">IFERROR(__xludf.DUMMYFUNCTION("""COMPUTED_VALUE"""),"19314")</f>
        <v>19314</v>
      </c>
      <c r="K118" s="6" t="str">
        <f ca="1">IFERROR(__xludf.DUMMYFUNCTION("""COMPUTED_VALUE"""),"30% على جميع الخدمات")</f>
        <v>30% على جميع الخدمات</v>
      </c>
    </row>
    <row r="119" spans="1:11" x14ac:dyDescent="0.25">
      <c r="A119" s="4" t="str">
        <f ca="1">IFERROR(__xludf.DUMMYFUNCTION("""COMPUTED_VALUE"""),"105950-B")</f>
        <v>105950-B</v>
      </c>
      <c r="B119" s="5" t="str">
        <f ca="1">IFERROR(__xludf.DUMMYFUNCTION("""COMPUTED_VALUE"""),"القاهرة")</f>
        <v>القاهرة</v>
      </c>
      <c r="C119" s="5" t="str">
        <f ca="1">IFERROR(__xludf.DUMMYFUNCTION("""COMPUTED_VALUE"""),"مصر الجديدة")</f>
        <v>مصر الجديدة</v>
      </c>
      <c r="D119" s="5" t="str">
        <f ca="1">IFERROR(__xludf.DUMMYFUNCTION("""COMPUTED_VALUE"""),"معمل")</f>
        <v>معمل</v>
      </c>
      <c r="E119" s="5" t="str">
        <f ca="1">IFERROR(__xludf.DUMMYFUNCTION("""COMPUTED_VALUE"""),"معمل")</f>
        <v>معمل</v>
      </c>
      <c r="F119" s="5" t="str">
        <f ca="1">IFERROR(__xludf.DUMMYFUNCTION("""COMPUTED_VALUE"""),"معمل التحاليل الطبية")</f>
        <v>معمل التحاليل الطبية</v>
      </c>
      <c r="G119" s="5" t="str">
        <f ca="1">IFERROR(__xludf.DUMMYFUNCTION("""COMPUTED_VALUE"""),"شركه لاب ميد معامل للتحاليل الطبيه 
")</f>
        <v xml:space="preserve">شركه لاب ميد معامل للتحاليل الطبيه 
</v>
      </c>
      <c r="H119" s="5" t="str">
        <f ca="1">IFERROR(__xludf.DUMMYFUNCTION("""COMPUTED_VALUE"""),"8 شارع رشيد من عثمان بن عفان - ميدان صلاح الدين")</f>
        <v>8 شارع رشيد من عثمان بن عفان - ميدان صلاح الدين</v>
      </c>
      <c r="I119" s="6"/>
      <c r="J119" s="6" t="str">
        <f ca="1">IFERROR(__xludf.DUMMYFUNCTION("""COMPUTED_VALUE"""),"19314")</f>
        <v>19314</v>
      </c>
      <c r="K119" s="6" t="str">
        <f ca="1">IFERROR(__xludf.DUMMYFUNCTION("""COMPUTED_VALUE"""),"30% على جميع الخدمات")</f>
        <v>30% على جميع الخدمات</v>
      </c>
    </row>
    <row r="120" spans="1:11" x14ac:dyDescent="0.25">
      <c r="A120" s="4" t="str">
        <f ca="1">IFERROR(__xludf.DUMMYFUNCTION("""COMPUTED_VALUE"""),"105950-B")</f>
        <v>105950-B</v>
      </c>
      <c r="B120" s="5" t="str">
        <f ca="1">IFERROR(__xludf.DUMMYFUNCTION("""COMPUTED_VALUE"""),"القاهرة")</f>
        <v>القاهرة</v>
      </c>
      <c r="C120" s="5" t="str">
        <f ca="1">IFERROR(__xludf.DUMMYFUNCTION("""COMPUTED_VALUE"""),"الزمالك")</f>
        <v>الزمالك</v>
      </c>
      <c r="D120" s="5" t="str">
        <f ca="1">IFERROR(__xludf.DUMMYFUNCTION("""COMPUTED_VALUE"""),"معمل")</f>
        <v>معمل</v>
      </c>
      <c r="E120" s="5" t="str">
        <f ca="1">IFERROR(__xludf.DUMMYFUNCTION("""COMPUTED_VALUE"""),"معمل")</f>
        <v>معمل</v>
      </c>
      <c r="F120" s="5" t="str">
        <f ca="1">IFERROR(__xludf.DUMMYFUNCTION("""COMPUTED_VALUE"""),"معمل التحاليل الطبية")</f>
        <v>معمل التحاليل الطبية</v>
      </c>
      <c r="G120" s="5" t="str">
        <f ca="1">IFERROR(__xludf.DUMMYFUNCTION("""COMPUTED_VALUE"""),"شركه لاب ميد معامل للتحاليل الطبيه 
")</f>
        <v xml:space="preserve">شركه لاب ميد معامل للتحاليل الطبيه 
</v>
      </c>
      <c r="H120" s="5" t="str">
        <f ca="1">IFERROR(__xludf.DUMMYFUNCTION("""COMPUTED_VALUE"""),"16 شارع الصالح ايوب")</f>
        <v>16 شارع الصالح ايوب</v>
      </c>
      <c r="I120" s="6"/>
      <c r="J120" s="6" t="str">
        <f ca="1">IFERROR(__xludf.DUMMYFUNCTION("""COMPUTED_VALUE"""),"19314")</f>
        <v>19314</v>
      </c>
      <c r="K120" s="6" t="str">
        <f ca="1">IFERROR(__xludf.DUMMYFUNCTION("""COMPUTED_VALUE"""),"30% على جميع الخدمات")</f>
        <v>30% على جميع الخدمات</v>
      </c>
    </row>
    <row r="121" spans="1:11" x14ac:dyDescent="0.25">
      <c r="A121" s="4" t="str">
        <f ca="1">IFERROR(__xludf.DUMMYFUNCTION("""COMPUTED_VALUE"""),"105980")</f>
        <v>105980</v>
      </c>
      <c r="B121" s="5" t="str">
        <f ca="1">IFERROR(__xludf.DUMMYFUNCTION("""COMPUTED_VALUE"""),"الجيزة")</f>
        <v>الجيزة</v>
      </c>
      <c r="C121" s="5" t="str">
        <f ca="1">IFERROR(__xludf.DUMMYFUNCTION("""COMPUTED_VALUE"""),"البدرشين")</f>
        <v>البدرشين</v>
      </c>
      <c r="D121" s="5" t="str">
        <f ca="1">IFERROR(__xludf.DUMMYFUNCTION("""COMPUTED_VALUE"""),"مجمع عيادات")</f>
        <v>مجمع عيادات</v>
      </c>
      <c r="E121" s="5" t="str">
        <f ca="1">IFERROR(__xludf.DUMMYFUNCTION("""COMPUTED_VALUE"""),"جميع التخصصات")</f>
        <v>جميع التخصصات</v>
      </c>
      <c r="F121" s="5" t="str">
        <f ca="1">IFERROR(__xludf.DUMMYFUNCTION("""COMPUTED_VALUE"""),"جميع التخصصات الطبية")</f>
        <v>جميع التخصصات الطبية</v>
      </c>
      <c r="G121" s="5" t="str">
        <f ca="1">IFERROR(__xludf.DUMMYFUNCTION("""COMPUTED_VALUE"""),"شركه ارقي هلث كير ( عيادات ارقي التخصصيه )")</f>
        <v>شركه ارقي هلث كير ( عيادات ارقي التخصصيه )</v>
      </c>
      <c r="H121" s="5" t="str">
        <f ca="1">IFERROR(__xludf.DUMMYFUNCTION("""COMPUTED_VALUE"""),"طريق مصر اسيوط السريع - بجوار البنك الاهلي - البدرشين - الجيزه")</f>
        <v>طريق مصر اسيوط السريع - بجوار البنك الاهلي - البدرشين - الجيزه</v>
      </c>
      <c r="I121" s="6" t="str">
        <f ca="1">IFERROR(__xludf.DUMMYFUNCTION("""COMPUTED_VALUE"""),"01271914172")</f>
        <v>01271914172</v>
      </c>
      <c r="J121" s="6"/>
      <c r="K121" s="6" t="str">
        <f ca="1">IFERROR(__xludf.DUMMYFUNCTION("""COMPUTED_VALUE"""),"نسبة خصم 30%")</f>
        <v>نسبة خصم 30%</v>
      </c>
    </row>
    <row r="122" spans="1:11" x14ac:dyDescent="0.25">
      <c r="A122" s="4" t="str">
        <f ca="1">IFERROR(__xludf.DUMMYFUNCTION("""COMPUTED_VALUE"""),"104296-B")</f>
        <v>104296-B</v>
      </c>
      <c r="B122" s="5" t="str">
        <f ca="1">IFERROR(__xludf.DUMMYFUNCTION("""COMPUTED_VALUE"""),"بني سويف")</f>
        <v>بني سويف</v>
      </c>
      <c r="C122" s="5" t="str">
        <f ca="1">IFERROR(__xludf.DUMMYFUNCTION("""COMPUTED_VALUE"""),"بني سويف")</f>
        <v>بني سويف</v>
      </c>
      <c r="D122" s="5" t="str">
        <f ca="1">IFERROR(__xludf.DUMMYFUNCTION("""COMPUTED_VALUE"""),"مركز علاج طبيعي")</f>
        <v>مركز علاج طبيعي</v>
      </c>
      <c r="E122" s="5" t="str">
        <f ca="1">IFERROR(__xludf.DUMMYFUNCTION("""COMPUTED_VALUE"""),"علاج طبيعي")</f>
        <v>علاج طبيعي</v>
      </c>
      <c r="F122" s="5" t="str">
        <f ca="1">IFERROR(__xludf.DUMMYFUNCTION("""COMPUTED_VALUE"""),"جلسات العلاج الطبيعي")</f>
        <v>جلسات العلاج الطبيعي</v>
      </c>
      <c r="G122" s="5" t="str">
        <f ca="1">IFERROR(__xludf.DUMMYFUNCTION("""COMPUTED_VALUE"""),"مركز ألفا كير للعلاج الطبيعي (د.كريم عبدالقوى عبدالله)")</f>
        <v>مركز ألفا كير للعلاج الطبيعي (د.كريم عبدالقوى عبدالله)</v>
      </c>
      <c r="H122" s="5" t="str">
        <f ca="1">IFERROR(__xludf.DUMMYFUNCTION("""COMPUTED_VALUE"""),"شارع الكورنيش بجوار مستشفى التامين الصحى بجوار مطعم الزواوى اعلي صالون كينج سينتر")</f>
        <v>شارع الكورنيش بجوار مستشفى التامين الصحى بجوار مطعم الزواوى اعلي صالون كينج سينتر</v>
      </c>
      <c r="I122" s="6" t="str">
        <f ca="1">IFERROR(__xludf.DUMMYFUNCTION("""COMPUTED_VALUE"""),"01222865652")</f>
        <v>01222865652</v>
      </c>
      <c r="J122" s="6" t="str">
        <f ca="1">IFERROR(__xludf.DUMMYFUNCTION("""COMPUTED_VALUE"""),"15662")</f>
        <v>15662</v>
      </c>
      <c r="K122" s="6" t="str">
        <f ca="1">IFERROR(__xludf.DUMMYFUNCTION("""COMPUTED_VALUE"""),"30% على جميع الخدمات")</f>
        <v>30% على جميع الخدمات</v>
      </c>
    </row>
    <row r="123" spans="1:11" x14ac:dyDescent="0.25">
      <c r="A123" s="4" t="str">
        <f ca="1">IFERROR(__xludf.DUMMYFUNCTION("""COMPUTED_VALUE"""),"104687")</f>
        <v>104687</v>
      </c>
      <c r="B123" s="5" t="str">
        <f ca="1">IFERROR(__xludf.DUMMYFUNCTION("""COMPUTED_VALUE"""),"الجيزة")</f>
        <v>الجيزة</v>
      </c>
      <c r="C123" s="5" t="str">
        <f ca="1">IFERROR(__xludf.DUMMYFUNCTION("""COMPUTED_VALUE"""),"أوسيم")</f>
        <v>أوسيم</v>
      </c>
      <c r="D123" s="5" t="str">
        <f ca="1">IFERROR(__xludf.DUMMYFUNCTION("""COMPUTED_VALUE"""),"هيئة الأطباء")</f>
        <v>هيئة الأطباء</v>
      </c>
      <c r="E123" s="5" t="str">
        <f ca="1">IFERROR(__xludf.DUMMYFUNCTION("""COMPUTED_VALUE"""),"أطفال")</f>
        <v>أطفال</v>
      </c>
      <c r="F123" s="5" t="str">
        <f ca="1">IFERROR(__xludf.DUMMYFUNCTION("""COMPUTED_VALUE"""),"طب أطفال")</f>
        <v>طب أطفال</v>
      </c>
      <c r="G123" s="5" t="str">
        <f ca="1">IFERROR(__xludf.DUMMYFUNCTION("""COMPUTED_VALUE"""),"د/رشاد عبد الحليم حمزة الروبى")</f>
        <v>د/رشاد عبد الحليم حمزة الروبى</v>
      </c>
      <c r="H123" s="5" t="str">
        <f ca="1">IFERROR(__xludf.DUMMYFUNCTION("""COMPUTED_VALUE"""),"الزيديية- شارع الجمهورية-م أوسيم")</f>
        <v>الزيديية- شارع الجمهورية-م أوسيم</v>
      </c>
      <c r="I123" s="6" t="str">
        <f ca="1">IFERROR(__xludf.DUMMYFUNCTION("""COMPUTED_VALUE"""),"201001078185")</f>
        <v>201001078185</v>
      </c>
      <c r="J123" s="6"/>
      <c r="K123" s="6" t="str">
        <f ca="1">IFERROR(__xludf.DUMMYFUNCTION("""COMPUTED_VALUE"""),"نسبة خصم 33%")</f>
        <v>نسبة خصم 33%</v>
      </c>
    </row>
    <row r="124" spans="1:11" x14ac:dyDescent="0.25">
      <c r="A124" s="4" t="str">
        <f ca="1">IFERROR(__xludf.DUMMYFUNCTION("""COMPUTED_VALUE"""),"104872")</f>
        <v>104872</v>
      </c>
      <c r="B124" s="5" t="str">
        <f ca="1">IFERROR(__xludf.DUMMYFUNCTION("""COMPUTED_VALUE"""),"القاهرة")</f>
        <v>القاهرة</v>
      </c>
      <c r="C124" s="5" t="str">
        <f ca="1">IFERROR(__xludf.DUMMYFUNCTION("""COMPUTED_VALUE"""),"القاهرة الجديدة")</f>
        <v>القاهرة الجديدة</v>
      </c>
      <c r="D124" s="5" t="str">
        <f ca="1">IFERROR(__xludf.DUMMYFUNCTION("""COMPUTED_VALUE"""),"مركز أشعة و تحاليل")</f>
        <v>مركز أشعة و تحاليل</v>
      </c>
      <c r="E124" s="5" t="str">
        <f ca="1">IFERROR(__xludf.DUMMYFUNCTION("""COMPUTED_VALUE""")," أشعة و تحاليل")</f>
        <v xml:space="preserve"> أشعة و تحاليل</v>
      </c>
      <c r="F124" s="5" t="str">
        <f ca="1">IFERROR(__xludf.DUMMYFUNCTION("""COMPUTED_VALUE""")," أشعة و تحاليل")</f>
        <v xml:space="preserve"> أشعة و تحاليل</v>
      </c>
      <c r="G124" s="5" t="str">
        <f ca="1">IFERROR(__xludf.DUMMYFUNCTION("""COMPUTED_VALUE"""),"مركز رعاية للاشعة")</f>
        <v>مركز رعاية للاشعة</v>
      </c>
      <c r="H124" s="5" t="str">
        <f ca="1">IFERROR(__xludf.DUMMYFUNCTION("""COMPUTED_VALUE"""),"15 الحى الاول مبنى 76 منطقة خدمات التجمع الخامس - القاهرة الجديدة")</f>
        <v>15 الحى الاول مبنى 76 منطقة خدمات التجمع الخامس - القاهرة الجديدة</v>
      </c>
      <c r="I124" s="6" t="str">
        <f ca="1">IFERROR(__xludf.DUMMYFUNCTION("""COMPUTED_VALUE"""),"201000083637")</f>
        <v>201000083637</v>
      </c>
      <c r="J124" s="6"/>
      <c r="K124" s="6" t="str">
        <f ca="1">IFERROR(__xludf.DUMMYFUNCTION("""COMPUTED_VALUE"""),"نسبة خصم 35%")</f>
        <v>نسبة خصم 35%</v>
      </c>
    </row>
    <row r="125" spans="1:11" x14ac:dyDescent="0.25">
      <c r="A125" s="4" t="str">
        <f ca="1">IFERROR(__xludf.DUMMYFUNCTION("""COMPUTED_VALUE"""),"3931")</f>
        <v>3931</v>
      </c>
      <c r="B125" s="5" t="str">
        <f ca="1">IFERROR(__xludf.DUMMYFUNCTION("""COMPUTED_VALUE"""),"القاهرة")</f>
        <v>القاهرة</v>
      </c>
      <c r="C125" s="5" t="str">
        <f ca="1">IFERROR(__xludf.DUMMYFUNCTION("""COMPUTED_VALUE"""),"مدينة نصر")</f>
        <v>مدينة نصر</v>
      </c>
      <c r="D125" s="5" t="str">
        <f ca="1">IFERROR(__xludf.DUMMYFUNCTION("""COMPUTED_VALUE"""),"هيئة الأطباء")</f>
        <v>هيئة الأطباء</v>
      </c>
      <c r="E125" s="5" t="str">
        <f ca="1">IFERROR(__xludf.DUMMYFUNCTION("""COMPUTED_VALUE"""),"اسنان")</f>
        <v>اسنان</v>
      </c>
      <c r="F125" s="5" t="str">
        <f ca="1">IFERROR(__xludf.DUMMYFUNCTION("""COMPUTED_VALUE"""),"جراحة الفم والأسنان")</f>
        <v>جراحة الفم والأسنان</v>
      </c>
      <c r="G125" s="5" t="str">
        <f ca="1">IFERROR(__xludf.DUMMYFUNCTION("""COMPUTED_VALUE"""),"د/ حاتم المغربي")</f>
        <v>د/ حاتم المغربي</v>
      </c>
      <c r="H125" s="5" t="str">
        <f ca="1">IFERROR(__xludf.DUMMYFUNCTION("""COMPUTED_VALUE"""),"33شارع حسن المأمون عمارات شرارة بجوار النادي الاهلي (بجانب مؤمن)-مدينة نصر-القاهرة")</f>
        <v>33شارع حسن المأمون عمارات شرارة بجوار النادي الاهلي (بجانب مؤمن)-مدينة نصر-القاهرة</v>
      </c>
      <c r="I125" s="6" t="str">
        <f ca="1">IFERROR(__xludf.DUMMYFUNCTION("""COMPUTED_VALUE"""),"20224721975")</f>
        <v>20224721975</v>
      </c>
      <c r="J125" s="6"/>
      <c r="K125" s="6" t="str">
        <f ca="1">IFERROR(__xludf.DUMMYFUNCTION("""COMPUTED_VALUE"""),"نسبة خصم 35%")</f>
        <v>نسبة خصم 35%</v>
      </c>
    </row>
    <row r="126" spans="1:11" x14ac:dyDescent="0.25">
      <c r="A126" s="4" t="str">
        <f ca="1">IFERROR(__xludf.DUMMYFUNCTION("""COMPUTED_VALUE"""),"3931-B")</f>
        <v>3931-B</v>
      </c>
      <c r="B126" s="5" t="str">
        <f ca="1">IFERROR(__xludf.DUMMYFUNCTION("""COMPUTED_VALUE"""),"القاهرة")</f>
        <v>القاهرة</v>
      </c>
      <c r="C126" s="5" t="str">
        <f ca="1">IFERROR(__xludf.DUMMYFUNCTION("""COMPUTED_VALUE"""),"مصر الجديدة")</f>
        <v>مصر الجديدة</v>
      </c>
      <c r="D126" s="5" t="str">
        <f ca="1">IFERROR(__xludf.DUMMYFUNCTION("""COMPUTED_VALUE"""),"هيئة الأطباء")</f>
        <v>هيئة الأطباء</v>
      </c>
      <c r="E126" s="5" t="str">
        <f ca="1">IFERROR(__xludf.DUMMYFUNCTION("""COMPUTED_VALUE"""),"اسنان")</f>
        <v>اسنان</v>
      </c>
      <c r="F126" s="5" t="str">
        <f ca="1">IFERROR(__xludf.DUMMYFUNCTION("""COMPUTED_VALUE"""),"جراحة الفم والأسنان")</f>
        <v>جراحة الفم والأسنان</v>
      </c>
      <c r="G126" s="5" t="str">
        <f ca="1">IFERROR(__xludf.DUMMYFUNCTION("""COMPUTED_VALUE"""),"د/ حاتم المغربي")</f>
        <v>د/ حاتم المغربي</v>
      </c>
      <c r="H126" s="5" t="str">
        <f ca="1">IFERROR(__xludf.DUMMYFUNCTION("""COMPUTED_VALUE"""),"75ش ابو بكر الصديق - ميدان سفير - أعلى سمايل جريل - مصر الجديدة - القاهرة")</f>
        <v>75ش ابو بكر الصديق - ميدان سفير - أعلى سمايل جريل - مصر الجديدة - القاهرة</v>
      </c>
      <c r="I126" s="6" t="str">
        <f ca="1">IFERROR(__xludf.DUMMYFUNCTION("""COMPUTED_VALUE"""),"20224721975")</f>
        <v>20224721975</v>
      </c>
      <c r="J126" s="6"/>
      <c r="K126" s="6" t="str">
        <f ca="1">IFERROR(__xludf.DUMMYFUNCTION("""COMPUTED_VALUE"""),"نسبة خصم 35%")</f>
        <v>نسبة خصم 35%</v>
      </c>
    </row>
    <row r="127" spans="1:11" x14ac:dyDescent="0.25">
      <c r="A127" s="4" t="str">
        <f ca="1">IFERROR(__xludf.DUMMYFUNCTION("""COMPUTED_VALUE"""),"105762")</f>
        <v>105762</v>
      </c>
      <c r="B127" s="5" t="str">
        <f ca="1">IFERROR(__xludf.DUMMYFUNCTION("""COMPUTED_VALUE"""),"القاهرة")</f>
        <v>القاهرة</v>
      </c>
      <c r="C127" s="5" t="str">
        <f ca="1">IFERROR(__xludf.DUMMYFUNCTION("""COMPUTED_VALUE"""),"القاهرة الجديدة")</f>
        <v>القاهرة الجديدة</v>
      </c>
      <c r="D127" s="5" t="str">
        <f ca="1">IFERROR(__xludf.DUMMYFUNCTION("""COMPUTED_VALUE"""),"مجمع عيادات")</f>
        <v>مجمع عيادات</v>
      </c>
      <c r="E127" s="5" t="str">
        <f ca="1">IFERROR(__xludf.DUMMYFUNCTION("""COMPUTED_VALUE"""),"جميع التخصصات")</f>
        <v>جميع التخصصات</v>
      </c>
      <c r="F127" s="5" t="str">
        <f ca="1">IFERROR(__xludf.DUMMYFUNCTION("""COMPUTED_VALUE"""),"جميع التخصصات الطبية")</f>
        <v>جميع التخصصات الطبية</v>
      </c>
      <c r="G127" s="5" t="str">
        <f ca="1">IFERROR(__xludf.DUMMYFUNCTION("""COMPUTED_VALUE"""),"شركه هانزا ميديكا للخدمات الطبيه ( عيادات هانزا ميديكا التخصصيه )")</f>
        <v>شركه هانزا ميديكا للخدمات الطبيه ( عيادات هانزا ميديكا التخصصيه )</v>
      </c>
      <c r="H127" s="5" t="str">
        <f ca="1">IFERROR(__xludf.DUMMYFUNCTION("""COMPUTED_VALUE"""),"نادي الزهور الرياضي - التجمع الخامس")</f>
        <v>نادي الزهور الرياضي - التجمع الخامس</v>
      </c>
      <c r="I127" s="6" t="str">
        <f ca="1">IFERROR(__xludf.DUMMYFUNCTION("""COMPUTED_VALUE"""),"1006599356")</f>
        <v>1006599356</v>
      </c>
      <c r="J127" s="6"/>
      <c r="K127" s="6" t="str">
        <f ca="1">IFERROR(__xludf.DUMMYFUNCTION("""COMPUTED_VALUE"""),"35% على جميع الخدمات")</f>
        <v>35% على جميع الخدمات</v>
      </c>
    </row>
    <row r="128" spans="1:11" x14ac:dyDescent="0.25">
      <c r="A128" s="4" t="str">
        <f ca="1">IFERROR(__xludf.DUMMYFUNCTION("""COMPUTED_VALUE"""),"105769")</f>
        <v>105769</v>
      </c>
      <c r="B128" s="5" t="str">
        <f ca="1">IFERROR(__xludf.DUMMYFUNCTION("""COMPUTED_VALUE"""),"القاهرة")</f>
        <v>القاهرة</v>
      </c>
      <c r="C128" s="5" t="str">
        <f ca="1">IFERROR(__xludf.DUMMYFUNCTION("""COMPUTED_VALUE"""),"مصر الجديدة")</f>
        <v>مصر الجديدة</v>
      </c>
      <c r="D128" s="5" t="str">
        <f ca="1">IFERROR(__xludf.DUMMYFUNCTION("""COMPUTED_VALUE"""),"هيئة الأطباء")</f>
        <v>هيئة الأطباء</v>
      </c>
      <c r="E128" s="5" t="str">
        <f ca="1">IFERROR(__xludf.DUMMYFUNCTION("""COMPUTED_VALUE"""),"اسنان")</f>
        <v>اسنان</v>
      </c>
      <c r="F128" s="5" t="str">
        <f ca="1">IFERROR(__xludf.DUMMYFUNCTION("""COMPUTED_VALUE"""),"جراحة الفم والأسنان")</f>
        <v>جراحة الفم والأسنان</v>
      </c>
      <c r="G128" s="5" t="str">
        <f ca="1">IFERROR(__xludf.DUMMYFUNCTION("""COMPUTED_VALUE"""),"تريو لطب الاسنان")</f>
        <v>تريو لطب الاسنان</v>
      </c>
      <c r="H128" s="5" t="str">
        <f ca="1">IFERROR(__xludf.DUMMYFUNCTION("""COMPUTED_VALUE"""),"9 شارع خالد بن الوليد - مساكن شيراتون - مصر الجديده")</f>
        <v>9 شارع خالد بن الوليد - مساكن شيراتون - مصر الجديده</v>
      </c>
      <c r="I128" s="6" t="str">
        <f ca="1">IFERROR(__xludf.DUMMYFUNCTION("""COMPUTED_VALUE"""),"1554226770")</f>
        <v>1554226770</v>
      </c>
      <c r="J128" s="6"/>
      <c r="K128" s="6" t="str">
        <f ca="1">IFERROR(__xludf.DUMMYFUNCTION("""COMPUTED_VALUE"""),"35% على جميع الخدمات")</f>
        <v>35% على جميع الخدمات</v>
      </c>
    </row>
    <row r="129" spans="1:11" x14ac:dyDescent="0.25">
      <c r="A129" s="4" t="str">
        <f ca="1">IFERROR(__xludf.DUMMYFUNCTION("""COMPUTED_VALUE"""),"4020-B")</f>
        <v>4020-B</v>
      </c>
      <c r="B129" s="5" t="str">
        <f ca="1">IFERROR(__xludf.DUMMYFUNCTION("""COMPUTED_VALUE"""),"الجيزة")</f>
        <v>الجيزة</v>
      </c>
      <c r="C129" s="5" t="str">
        <f ca="1">IFERROR(__xludf.DUMMYFUNCTION("""COMPUTED_VALUE"""),"العجوزة")</f>
        <v>العجوزة</v>
      </c>
      <c r="D129" s="5" t="str">
        <f ca="1">IFERROR(__xludf.DUMMYFUNCTION("""COMPUTED_VALUE"""),"مركز علاج طبيعي")</f>
        <v>مركز علاج طبيعي</v>
      </c>
      <c r="E129" s="5" t="str">
        <f ca="1">IFERROR(__xludf.DUMMYFUNCTION("""COMPUTED_VALUE"""),"علاج طبيعي")</f>
        <v>علاج طبيعي</v>
      </c>
      <c r="F129" s="5" t="str">
        <f ca="1">IFERROR(__xludf.DUMMYFUNCTION("""COMPUTED_VALUE"""),"جلسات العلاج الطبيعي")</f>
        <v>جلسات العلاج الطبيعي</v>
      </c>
      <c r="G129" s="5" t="str">
        <f ca="1">IFERROR(__xludf.DUMMYFUNCTION("""COMPUTED_VALUE"""),"سيرين لايف سنتر")</f>
        <v>سيرين لايف سنتر</v>
      </c>
      <c r="H129" s="5" t="str">
        <f ca="1">IFERROR(__xludf.DUMMYFUNCTION("""COMPUTED_VALUE"""),"38ش الفالوجا اما مدرسة القومية بجوار مستشفى العجوزة الدور الثالث شقه 303-العجوزة- الجيزة")</f>
        <v>38ش الفالوجا اما مدرسة القومية بجوار مستشفى العجوزة الدور الثالث شقه 303-العجوزة- الجيزة</v>
      </c>
      <c r="I129" s="6" t="str">
        <f ca="1">IFERROR(__xludf.DUMMYFUNCTION("""COMPUTED_VALUE"""),"201007994411")</f>
        <v>201007994411</v>
      </c>
      <c r="J129" s="6"/>
      <c r="K129" s="6" t="str">
        <f ca="1">IFERROR(__xludf.DUMMYFUNCTION("""COMPUTED_VALUE"""),"40% نسبة خصم")</f>
        <v>40% نسبة خصم</v>
      </c>
    </row>
    <row r="130" spans="1:11" x14ac:dyDescent="0.25">
      <c r="A130" s="4" t="str">
        <f ca="1">IFERROR(__xludf.DUMMYFUNCTION("""COMPUTED_VALUE"""),"4020")</f>
        <v>4020</v>
      </c>
      <c r="B130" s="5" t="str">
        <f ca="1">IFERROR(__xludf.DUMMYFUNCTION("""COMPUTED_VALUE"""),"الجيزة")</f>
        <v>الجيزة</v>
      </c>
      <c r="C130" s="5" t="str">
        <f ca="1">IFERROR(__xludf.DUMMYFUNCTION("""COMPUTED_VALUE"""),"الهرم")</f>
        <v>الهرم</v>
      </c>
      <c r="D130" s="5" t="str">
        <f ca="1">IFERROR(__xludf.DUMMYFUNCTION("""COMPUTED_VALUE"""),"مركز علاج طبيعي")</f>
        <v>مركز علاج طبيعي</v>
      </c>
      <c r="E130" s="5" t="str">
        <f ca="1">IFERROR(__xludf.DUMMYFUNCTION("""COMPUTED_VALUE"""),"علاج طبيعي")</f>
        <v>علاج طبيعي</v>
      </c>
      <c r="F130" s="5" t="str">
        <f ca="1">IFERROR(__xludf.DUMMYFUNCTION("""COMPUTED_VALUE"""),"جلسات العلاج الطبيعي")</f>
        <v>جلسات العلاج الطبيعي</v>
      </c>
      <c r="G130" s="5" t="str">
        <f ca="1">IFERROR(__xludf.DUMMYFUNCTION("""COMPUTED_VALUE"""),"سيرين لايف سنتر")</f>
        <v>سيرين لايف سنتر</v>
      </c>
      <c r="H130" s="5" t="str">
        <f ca="1">IFERROR(__xludf.DUMMYFUNCTION("""COMPUTED_VALUE"""),"5شارع مشتل الورد من شارع المجزر الالي- بجوار سوبرماركت اولاد رجب-المريوطية- الجيزة")</f>
        <v>5شارع مشتل الورد من شارع المجزر الالي- بجوار سوبرماركت اولاد رجب-المريوطية- الجيزة</v>
      </c>
      <c r="I130" s="6" t="str">
        <f ca="1">IFERROR(__xludf.DUMMYFUNCTION("""COMPUTED_VALUE"""),"01007995588")</f>
        <v>01007995588</v>
      </c>
      <c r="J130" s="6"/>
      <c r="K130" s="6" t="str">
        <f ca="1">IFERROR(__xludf.DUMMYFUNCTION("""COMPUTED_VALUE"""),"40% نسبة خصم")</f>
        <v>40% نسبة خصم</v>
      </c>
    </row>
    <row r="131" spans="1:11" x14ac:dyDescent="0.25">
      <c r="A131" s="4" t="str">
        <f ca="1">IFERROR(__xludf.DUMMYFUNCTION("""COMPUTED_VALUE"""),"1926-B")</f>
        <v>1926-B</v>
      </c>
      <c r="B131" s="5" t="str">
        <f ca="1">IFERROR(__xludf.DUMMYFUNCTION("""COMPUTED_VALUE"""),"الأقصر")</f>
        <v>الأقصر</v>
      </c>
      <c r="C131" s="5" t="str">
        <f ca="1">IFERROR(__xludf.DUMMYFUNCTION("""COMPUTED_VALUE"""),"الأقصر")</f>
        <v>الأقصر</v>
      </c>
      <c r="D131" s="5" t="str">
        <f ca="1">IFERROR(__xludf.DUMMYFUNCTION("""COMPUTED_VALUE"""),"معمل")</f>
        <v>معمل</v>
      </c>
      <c r="E131" s="5" t="str">
        <f ca="1">IFERROR(__xludf.DUMMYFUNCTION("""COMPUTED_VALUE"""),"معمل")</f>
        <v>معمل</v>
      </c>
      <c r="F131" s="5" t="str">
        <f ca="1">IFERROR(__xludf.DUMMYFUNCTION("""COMPUTED_VALUE"""),"معمل التحاليل الطبية")</f>
        <v>معمل التحاليل الطبية</v>
      </c>
      <c r="G131" s="5" t="str">
        <f ca="1">IFERROR(__xludf.DUMMYFUNCTION("""COMPUTED_VALUE"""),"معمل رويال لاب")</f>
        <v>معمل رويال لاب</v>
      </c>
      <c r="H131" s="5" t="str">
        <f ca="1">IFERROR(__xludf.DUMMYFUNCTION("""COMPUTED_VALUE"""),"شارع التلفزيون - عمارة الحاج حسين البلال - الدور الثالث -الأقصر")</f>
        <v>شارع التلفزيون - عمارة الحاج حسين البلال - الدور الثالث -الأقصر</v>
      </c>
      <c r="I131" s="6"/>
      <c r="J131" s="6" t="str">
        <f ca="1">IFERROR(__xludf.DUMMYFUNCTION("""COMPUTED_VALUE"""),"16064")</f>
        <v>16064</v>
      </c>
      <c r="K131" s="6" t="str">
        <f ca="1">IFERROR(__xludf.DUMMYFUNCTION("""COMPUTED_VALUE"""),"نسبة خصم 40%")</f>
        <v>نسبة خصم 40%</v>
      </c>
    </row>
    <row r="132" spans="1:11" x14ac:dyDescent="0.25">
      <c r="A132" s="4" t="str">
        <f ca="1">IFERROR(__xludf.DUMMYFUNCTION("""COMPUTED_VALUE"""),"1926-B")</f>
        <v>1926-B</v>
      </c>
      <c r="B132" s="5" t="str">
        <f ca="1">IFERROR(__xludf.DUMMYFUNCTION("""COMPUTED_VALUE"""),"الشرقية")</f>
        <v>الشرقية</v>
      </c>
      <c r="C132" s="5" t="str">
        <f ca="1">IFERROR(__xludf.DUMMYFUNCTION("""COMPUTED_VALUE"""),"العاشر من رمضان")</f>
        <v>العاشر من رمضان</v>
      </c>
      <c r="D132" s="5" t="str">
        <f ca="1">IFERROR(__xludf.DUMMYFUNCTION("""COMPUTED_VALUE"""),"معمل")</f>
        <v>معمل</v>
      </c>
      <c r="E132" s="5" t="str">
        <f ca="1">IFERROR(__xludf.DUMMYFUNCTION("""COMPUTED_VALUE"""),"معمل")</f>
        <v>معمل</v>
      </c>
      <c r="F132" s="5" t="str">
        <f ca="1">IFERROR(__xludf.DUMMYFUNCTION("""COMPUTED_VALUE"""),"معمل التحاليل الطبية")</f>
        <v>معمل التحاليل الطبية</v>
      </c>
      <c r="G132" s="5" t="str">
        <f ca="1">IFERROR(__xludf.DUMMYFUNCTION("""COMPUTED_VALUE"""),"معمل رويال لاب")</f>
        <v>معمل رويال لاب</v>
      </c>
      <c r="H132" s="5" t="str">
        <f ca="1">IFERROR(__xludf.DUMMYFUNCTION("""COMPUTED_VALUE"""),"مول دوحة العاشر - عمارة (أ) -الدور الثالث-العاشر من رمضان-الشرقية")</f>
        <v>مول دوحة العاشر - عمارة (أ) -الدور الثالث-العاشر من رمضان-الشرقية</v>
      </c>
      <c r="I132" s="6"/>
      <c r="J132" s="6" t="str">
        <f ca="1">IFERROR(__xludf.DUMMYFUNCTION("""COMPUTED_VALUE"""),"16064")</f>
        <v>16064</v>
      </c>
      <c r="K132" s="6" t="str">
        <f ca="1">IFERROR(__xludf.DUMMYFUNCTION("""COMPUTED_VALUE"""),"نسبة خصم 40%")</f>
        <v>نسبة خصم 40%</v>
      </c>
    </row>
    <row r="133" spans="1:11" x14ac:dyDescent="0.25">
      <c r="A133" s="4" t="str">
        <f ca="1">IFERROR(__xludf.DUMMYFUNCTION("""COMPUTED_VALUE"""),"1926-B")</f>
        <v>1926-B</v>
      </c>
      <c r="B133" s="5" t="str">
        <f ca="1">IFERROR(__xludf.DUMMYFUNCTION("""COMPUTED_VALUE"""),"الفيوم")</f>
        <v>الفيوم</v>
      </c>
      <c r="C133" s="5" t="str">
        <f ca="1">IFERROR(__xludf.DUMMYFUNCTION("""COMPUTED_VALUE"""),"الفيوم")</f>
        <v>الفيوم</v>
      </c>
      <c r="D133" s="5" t="str">
        <f ca="1">IFERROR(__xludf.DUMMYFUNCTION("""COMPUTED_VALUE"""),"معمل")</f>
        <v>معمل</v>
      </c>
      <c r="E133" s="5" t="str">
        <f ca="1">IFERROR(__xludf.DUMMYFUNCTION("""COMPUTED_VALUE"""),"معمل")</f>
        <v>معمل</v>
      </c>
      <c r="F133" s="5" t="str">
        <f ca="1">IFERROR(__xludf.DUMMYFUNCTION("""COMPUTED_VALUE"""),"معمل التحاليل الطبية")</f>
        <v>معمل التحاليل الطبية</v>
      </c>
      <c r="G133" s="5" t="str">
        <f ca="1">IFERROR(__xludf.DUMMYFUNCTION("""COMPUTED_VALUE"""),"معمل رويال لاب")</f>
        <v>معمل رويال لاب</v>
      </c>
      <c r="H133" s="5" t="str">
        <f ca="1">IFERROR(__xludf.DUMMYFUNCTION("""COMPUTED_VALUE"""),"المسلة - شارع جمال عبدالناصر - برج شعيب - الدور الرابع - الفيوم")</f>
        <v>المسلة - شارع جمال عبدالناصر - برج شعيب - الدور الرابع - الفيوم</v>
      </c>
      <c r="I133" s="6"/>
      <c r="J133" s="6" t="str">
        <f ca="1">IFERROR(__xludf.DUMMYFUNCTION("""COMPUTED_VALUE"""),"16064")</f>
        <v>16064</v>
      </c>
      <c r="K133" s="6" t="str">
        <f ca="1">IFERROR(__xludf.DUMMYFUNCTION("""COMPUTED_VALUE"""),"نسبة خصم 40%")</f>
        <v>نسبة خصم 40%</v>
      </c>
    </row>
    <row r="134" spans="1:11" x14ac:dyDescent="0.25">
      <c r="A134" s="4" t="str">
        <f ca="1">IFERROR(__xludf.DUMMYFUNCTION("""COMPUTED_VALUE"""),"1926-B")</f>
        <v>1926-B</v>
      </c>
      <c r="B134" s="5" t="str">
        <f ca="1">IFERROR(__xludf.DUMMYFUNCTION("""COMPUTED_VALUE"""),"الجيزة")</f>
        <v>الجيزة</v>
      </c>
      <c r="C134" s="5" t="str">
        <f ca="1">IFERROR(__xludf.DUMMYFUNCTION("""COMPUTED_VALUE"""),"الدقي")</f>
        <v>الدقي</v>
      </c>
      <c r="D134" s="5" t="str">
        <f ca="1">IFERROR(__xludf.DUMMYFUNCTION("""COMPUTED_VALUE"""),"معمل")</f>
        <v>معمل</v>
      </c>
      <c r="E134" s="5" t="str">
        <f ca="1">IFERROR(__xludf.DUMMYFUNCTION("""COMPUTED_VALUE"""),"معمل")</f>
        <v>معمل</v>
      </c>
      <c r="F134" s="5" t="str">
        <f ca="1">IFERROR(__xludf.DUMMYFUNCTION("""COMPUTED_VALUE"""),"معمل التحاليل الطبية")</f>
        <v>معمل التحاليل الطبية</v>
      </c>
      <c r="G134" s="5" t="str">
        <f ca="1">IFERROR(__xludf.DUMMYFUNCTION("""COMPUTED_VALUE"""),"معمل رويال لاب")</f>
        <v>معمل رويال لاب</v>
      </c>
      <c r="H134" s="5" t="str">
        <f ca="1">IFERROR(__xludf.DUMMYFUNCTION("""COMPUTED_VALUE"""),"97شارع التحرير- اعلى جاد - الدور الثامن-الدقي- الجيزة")</f>
        <v>97شارع التحرير- اعلى جاد - الدور الثامن-الدقي- الجيزة</v>
      </c>
      <c r="I134" s="6" t="str">
        <f ca="1">IFERROR(__xludf.DUMMYFUNCTION("""COMPUTED_VALUE"""),"20237489794")</f>
        <v>20237489794</v>
      </c>
      <c r="J134" s="6" t="str">
        <f ca="1">IFERROR(__xludf.DUMMYFUNCTION("""COMPUTED_VALUE"""),"16064")</f>
        <v>16064</v>
      </c>
      <c r="K134" s="6" t="str">
        <f ca="1">IFERROR(__xludf.DUMMYFUNCTION("""COMPUTED_VALUE"""),"نسبة خصم 40%")</f>
        <v>نسبة خصم 40%</v>
      </c>
    </row>
    <row r="135" spans="1:11" x14ac:dyDescent="0.25">
      <c r="A135" s="4" t="str">
        <f ca="1">IFERROR(__xludf.DUMMYFUNCTION("""COMPUTED_VALUE"""),"1926-B")</f>
        <v>1926-B</v>
      </c>
      <c r="B135" s="5" t="str">
        <f ca="1">IFERROR(__xludf.DUMMYFUNCTION("""COMPUTED_VALUE"""),"الجيزة")</f>
        <v>الجيزة</v>
      </c>
      <c r="C135" s="5" t="str">
        <f ca="1">IFERROR(__xludf.DUMMYFUNCTION("""COMPUTED_VALUE"""),"السادس من اكتوبر")</f>
        <v>السادس من اكتوبر</v>
      </c>
      <c r="D135" s="5" t="str">
        <f ca="1">IFERROR(__xludf.DUMMYFUNCTION("""COMPUTED_VALUE"""),"معمل")</f>
        <v>معمل</v>
      </c>
      <c r="E135" s="5" t="str">
        <f ca="1">IFERROR(__xludf.DUMMYFUNCTION("""COMPUTED_VALUE"""),"معمل")</f>
        <v>معمل</v>
      </c>
      <c r="F135" s="5" t="str">
        <f ca="1">IFERROR(__xludf.DUMMYFUNCTION("""COMPUTED_VALUE"""),"معمل التحاليل الطبية")</f>
        <v>معمل التحاليل الطبية</v>
      </c>
      <c r="G135" s="5" t="str">
        <f ca="1">IFERROR(__xludf.DUMMYFUNCTION("""COMPUTED_VALUE"""),"معمل رويال لاب")</f>
        <v>معمل رويال لاب</v>
      </c>
      <c r="H135" s="5" t="str">
        <f ca="1">IFERROR(__xludf.DUMMYFUNCTION("""COMPUTED_VALUE"""),"الحي السابع - أبراج مصطفى برعى برج 2 الدور الأول وحدة 2114 بجوار مسجد الحصري-6 أكتوبر - الجيزة")</f>
        <v>الحي السابع - أبراج مصطفى برعى برج 2 الدور الأول وحدة 2114 بجوار مسجد الحصري-6 أكتوبر - الجيزة</v>
      </c>
      <c r="I135" s="6" t="str">
        <f ca="1">IFERROR(__xludf.DUMMYFUNCTION("""COMPUTED_VALUE"""),"20238361406")</f>
        <v>20238361406</v>
      </c>
      <c r="J135" s="6" t="str">
        <f ca="1">IFERROR(__xludf.DUMMYFUNCTION("""COMPUTED_VALUE"""),"16064")</f>
        <v>16064</v>
      </c>
      <c r="K135" s="6" t="str">
        <f ca="1">IFERROR(__xludf.DUMMYFUNCTION("""COMPUTED_VALUE"""),"نسبة خصم 40%")</f>
        <v>نسبة خصم 40%</v>
      </c>
    </row>
    <row r="136" spans="1:11" x14ac:dyDescent="0.25">
      <c r="A136" s="4" t="str">
        <f ca="1">IFERROR(__xludf.DUMMYFUNCTION("""COMPUTED_VALUE"""),"1926-B")</f>
        <v>1926-B</v>
      </c>
      <c r="B136" s="5" t="str">
        <f ca="1">IFERROR(__xludf.DUMMYFUNCTION("""COMPUTED_VALUE"""),"الجيزة")</f>
        <v>الجيزة</v>
      </c>
      <c r="C136" s="5" t="str">
        <f ca="1">IFERROR(__xludf.DUMMYFUNCTION("""COMPUTED_VALUE"""),"السادس من اكتوبر")</f>
        <v>السادس من اكتوبر</v>
      </c>
      <c r="D136" s="5" t="str">
        <f ca="1">IFERROR(__xludf.DUMMYFUNCTION("""COMPUTED_VALUE"""),"معمل")</f>
        <v>معمل</v>
      </c>
      <c r="E136" s="5" t="str">
        <f ca="1">IFERROR(__xludf.DUMMYFUNCTION("""COMPUTED_VALUE"""),"معمل")</f>
        <v>معمل</v>
      </c>
      <c r="F136" s="5" t="str">
        <f ca="1">IFERROR(__xludf.DUMMYFUNCTION("""COMPUTED_VALUE"""),"معمل التحاليل الطبية")</f>
        <v>معمل التحاليل الطبية</v>
      </c>
      <c r="G136" s="5" t="str">
        <f ca="1">IFERROR(__xludf.DUMMYFUNCTION("""COMPUTED_VALUE"""),"معمل رويال لاب")</f>
        <v>معمل رويال لاب</v>
      </c>
      <c r="H136" s="5" t="str">
        <f ca="1">IFERROR(__xludf.DUMMYFUNCTION("""COMPUTED_VALUE"""),"الحي السادس - المجاورة الثانية - اول شارع الدولسي - عمارة 70-6 أكتوبر - الجيزة")</f>
        <v>الحي السادس - المجاورة الثانية - اول شارع الدولسي - عمارة 70-6 أكتوبر - الجيزة</v>
      </c>
      <c r="I136" s="6" t="str">
        <f ca="1">IFERROR(__xludf.DUMMYFUNCTION("""COMPUTED_VALUE"""),"20238347950")</f>
        <v>20238347950</v>
      </c>
      <c r="J136" s="6" t="str">
        <f ca="1">IFERROR(__xludf.DUMMYFUNCTION("""COMPUTED_VALUE"""),"16064")</f>
        <v>16064</v>
      </c>
      <c r="K136" s="6" t="str">
        <f ca="1">IFERROR(__xludf.DUMMYFUNCTION("""COMPUTED_VALUE"""),"نسبة خصم 40%")</f>
        <v>نسبة خصم 40%</v>
      </c>
    </row>
    <row r="137" spans="1:11" x14ac:dyDescent="0.25">
      <c r="A137" s="4" t="str">
        <f ca="1">IFERROR(__xludf.DUMMYFUNCTION("""COMPUTED_VALUE"""),"1926-B")</f>
        <v>1926-B</v>
      </c>
      <c r="B137" s="5" t="str">
        <f ca="1">IFERROR(__xludf.DUMMYFUNCTION("""COMPUTED_VALUE"""),"القاهرة")</f>
        <v>القاهرة</v>
      </c>
      <c r="C137" s="5" t="str">
        <f ca="1">IFERROR(__xludf.DUMMYFUNCTION("""COMPUTED_VALUE"""),"القاهرة الجديدة")</f>
        <v>القاهرة الجديدة</v>
      </c>
      <c r="D137" s="5" t="str">
        <f ca="1">IFERROR(__xludf.DUMMYFUNCTION("""COMPUTED_VALUE"""),"معمل")</f>
        <v>معمل</v>
      </c>
      <c r="E137" s="5" t="str">
        <f ca="1">IFERROR(__xludf.DUMMYFUNCTION("""COMPUTED_VALUE"""),"معمل")</f>
        <v>معمل</v>
      </c>
      <c r="F137" s="5" t="str">
        <f ca="1">IFERROR(__xludf.DUMMYFUNCTION("""COMPUTED_VALUE"""),"معمل التحاليل الطبية")</f>
        <v>معمل التحاليل الطبية</v>
      </c>
      <c r="G137" s="5" t="str">
        <f ca="1">IFERROR(__xludf.DUMMYFUNCTION("""COMPUTED_VALUE"""),"معمل رويال لاب")</f>
        <v>معمل رويال لاب</v>
      </c>
      <c r="H137" s="5" t="str">
        <f ca="1">IFERROR(__xludf.DUMMYFUNCTION("""COMPUTED_VALUE"""),"سلفر ستار مول - شارع أخناتون-اعلى سعودي ماركت-  التجمع الخامس-القاهرة الجديدة-القاهرة")</f>
        <v>سلفر ستار مول - شارع أخناتون-اعلى سعودي ماركت-  التجمع الخامس-القاهرة الجديدة-القاهرة</v>
      </c>
      <c r="I137" s="6" t="str">
        <f ca="1">IFERROR(__xludf.DUMMYFUNCTION("""COMPUTED_VALUE"""),"20223130465")</f>
        <v>20223130465</v>
      </c>
      <c r="J137" s="6" t="str">
        <f ca="1">IFERROR(__xludf.DUMMYFUNCTION("""COMPUTED_VALUE"""),"16064")</f>
        <v>16064</v>
      </c>
      <c r="K137" s="6" t="str">
        <f ca="1">IFERROR(__xludf.DUMMYFUNCTION("""COMPUTED_VALUE"""),"نسبة خصم 40%")</f>
        <v>نسبة خصم 40%</v>
      </c>
    </row>
    <row r="138" spans="1:11" x14ac:dyDescent="0.25">
      <c r="A138" s="4" t="str">
        <f ca="1">IFERROR(__xludf.DUMMYFUNCTION("""COMPUTED_VALUE"""),"1926-B")</f>
        <v>1926-B</v>
      </c>
      <c r="B138" s="5" t="str">
        <f ca="1">IFERROR(__xludf.DUMMYFUNCTION("""COMPUTED_VALUE"""),"القاهرة")</f>
        <v>القاهرة</v>
      </c>
      <c r="C138" s="5" t="str">
        <f ca="1">IFERROR(__xludf.DUMMYFUNCTION("""COMPUTED_VALUE"""),"المعادى")</f>
        <v>المعادى</v>
      </c>
      <c r="D138" s="5" t="str">
        <f ca="1">IFERROR(__xludf.DUMMYFUNCTION("""COMPUTED_VALUE"""),"معمل")</f>
        <v>معمل</v>
      </c>
      <c r="E138" s="5" t="str">
        <f ca="1">IFERROR(__xludf.DUMMYFUNCTION("""COMPUTED_VALUE"""),"معمل")</f>
        <v>معمل</v>
      </c>
      <c r="F138" s="5" t="str">
        <f ca="1">IFERROR(__xludf.DUMMYFUNCTION("""COMPUTED_VALUE"""),"معمل التحاليل الطبية")</f>
        <v>معمل التحاليل الطبية</v>
      </c>
      <c r="G138" s="5" t="str">
        <f ca="1">IFERROR(__xludf.DUMMYFUNCTION("""COMPUTED_VALUE"""),"معمل رويال لاب")</f>
        <v>معمل رويال لاب</v>
      </c>
      <c r="H138" s="5" t="str">
        <f ca="1">IFERROR(__xludf.DUMMYFUNCTION("""COMPUTED_VALUE"""),"45 ش النصر -ميدان الجزائر- اعلى صيدلية العزبي-المعادي-القاهرة")</f>
        <v>45 ش النصر -ميدان الجزائر- اعلى صيدلية العزبي-المعادي-القاهرة</v>
      </c>
      <c r="I138" s="6" t="str">
        <f ca="1">IFERROR(__xludf.DUMMYFUNCTION("""COMPUTED_VALUE"""),"20225175357")</f>
        <v>20225175357</v>
      </c>
      <c r="J138" s="6" t="str">
        <f ca="1">IFERROR(__xludf.DUMMYFUNCTION("""COMPUTED_VALUE"""),"16064")</f>
        <v>16064</v>
      </c>
      <c r="K138" s="6" t="str">
        <f ca="1">IFERROR(__xludf.DUMMYFUNCTION("""COMPUTED_VALUE"""),"نسبة خصم 40%")</f>
        <v>نسبة خصم 40%</v>
      </c>
    </row>
    <row r="139" spans="1:11" x14ac:dyDescent="0.25">
      <c r="A139" s="4" t="str">
        <f ca="1">IFERROR(__xludf.DUMMYFUNCTION("""COMPUTED_VALUE"""),"1926-B")</f>
        <v>1926-B</v>
      </c>
      <c r="B139" s="5" t="str">
        <f ca="1">IFERROR(__xludf.DUMMYFUNCTION("""COMPUTED_VALUE"""),"القاهرة")</f>
        <v>القاهرة</v>
      </c>
      <c r="C139" s="5" t="str">
        <f ca="1">IFERROR(__xludf.DUMMYFUNCTION("""COMPUTED_VALUE"""),"المقطم")</f>
        <v>المقطم</v>
      </c>
      <c r="D139" s="5" t="str">
        <f ca="1">IFERROR(__xludf.DUMMYFUNCTION("""COMPUTED_VALUE"""),"معمل")</f>
        <v>معمل</v>
      </c>
      <c r="E139" s="5" t="str">
        <f ca="1">IFERROR(__xludf.DUMMYFUNCTION("""COMPUTED_VALUE"""),"معمل")</f>
        <v>معمل</v>
      </c>
      <c r="F139" s="5" t="str">
        <f ca="1">IFERROR(__xludf.DUMMYFUNCTION("""COMPUTED_VALUE"""),"معمل التحاليل الطبية")</f>
        <v>معمل التحاليل الطبية</v>
      </c>
      <c r="G139" s="5" t="str">
        <f ca="1">IFERROR(__xludf.DUMMYFUNCTION("""COMPUTED_VALUE"""),"معمل رويال لاب")</f>
        <v>معمل رويال لاب</v>
      </c>
      <c r="H139" s="5" t="str">
        <f ca="1">IFERROR(__xludf.DUMMYFUNCTION("""COMPUTED_VALUE"""),"14 شارع 9 ميدان النافورة- الدور الارضي- امام السكرية-المقطم-القاهرة")</f>
        <v>14 شارع 9 ميدان النافورة- الدور الارضي- امام السكرية-المقطم-القاهرة</v>
      </c>
      <c r="I139" s="6" t="str">
        <f ca="1">IFERROR(__xludf.DUMMYFUNCTION("""COMPUTED_VALUE"""),"20225077367")</f>
        <v>20225077367</v>
      </c>
      <c r="J139" s="6" t="str">
        <f ca="1">IFERROR(__xludf.DUMMYFUNCTION("""COMPUTED_VALUE"""),"16064")</f>
        <v>16064</v>
      </c>
      <c r="K139" s="6" t="str">
        <f ca="1">IFERROR(__xludf.DUMMYFUNCTION("""COMPUTED_VALUE"""),"نسبة خصم 40%")</f>
        <v>نسبة خصم 40%</v>
      </c>
    </row>
    <row r="140" spans="1:11" x14ac:dyDescent="0.25">
      <c r="A140" s="4" t="str">
        <f ca="1">IFERROR(__xludf.DUMMYFUNCTION("""COMPUTED_VALUE"""),"1926-B")</f>
        <v>1926-B</v>
      </c>
      <c r="B140" s="5" t="str">
        <f ca="1">IFERROR(__xludf.DUMMYFUNCTION("""COMPUTED_VALUE"""),"القاهرة")</f>
        <v>القاهرة</v>
      </c>
      <c r="C140" s="5" t="str">
        <f ca="1">IFERROR(__xludf.DUMMYFUNCTION("""COMPUTED_VALUE"""),"المقطم")</f>
        <v>المقطم</v>
      </c>
      <c r="D140" s="5" t="str">
        <f ca="1">IFERROR(__xludf.DUMMYFUNCTION("""COMPUTED_VALUE"""),"معمل")</f>
        <v>معمل</v>
      </c>
      <c r="E140" s="5" t="str">
        <f ca="1">IFERROR(__xludf.DUMMYFUNCTION("""COMPUTED_VALUE"""),"معمل")</f>
        <v>معمل</v>
      </c>
      <c r="F140" s="5" t="str">
        <f ca="1">IFERROR(__xludf.DUMMYFUNCTION("""COMPUTED_VALUE"""),"معمل التحاليل الطبية")</f>
        <v>معمل التحاليل الطبية</v>
      </c>
      <c r="G140" s="5" t="str">
        <f ca="1">IFERROR(__xludf.DUMMYFUNCTION("""COMPUTED_VALUE"""),"معمل رويال لاب")</f>
        <v>معمل رويال لاب</v>
      </c>
      <c r="H140" s="5" t="str">
        <f ca="1">IFERROR(__xludf.DUMMYFUNCTION("""COMPUTED_VALUE"""),"شارع 9 - مساكن اطلس ج - بلوك 19 - اعلى النساجون الشرقيون")</f>
        <v>شارع 9 - مساكن اطلس ج - بلوك 19 - اعلى النساجون الشرقيون</v>
      </c>
      <c r="I140" s="6"/>
      <c r="J140" s="6" t="str">
        <f ca="1">IFERROR(__xludf.DUMMYFUNCTION("""COMPUTED_VALUE"""),"16064")</f>
        <v>16064</v>
      </c>
      <c r="K140" s="6" t="str">
        <f ca="1">IFERROR(__xludf.DUMMYFUNCTION("""COMPUTED_VALUE"""),"نسبة خصم 40%")</f>
        <v>نسبة خصم 40%</v>
      </c>
    </row>
    <row r="141" spans="1:11" x14ac:dyDescent="0.25">
      <c r="A141" s="4" t="str">
        <f ca="1">IFERROR(__xludf.DUMMYFUNCTION("""COMPUTED_VALUE"""),"1926-B")</f>
        <v>1926-B</v>
      </c>
      <c r="B141" s="5" t="str">
        <f ca="1">IFERROR(__xludf.DUMMYFUNCTION("""COMPUTED_VALUE"""),"الجيزة")</f>
        <v>الجيزة</v>
      </c>
      <c r="C141" s="5" t="str">
        <f ca="1">IFERROR(__xludf.DUMMYFUNCTION("""COMPUTED_VALUE"""),"المهندسين")</f>
        <v>المهندسين</v>
      </c>
      <c r="D141" s="5" t="str">
        <f ca="1">IFERROR(__xludf.DUMMYFUNCTION("""COMPUTED_VALUE"""),"معمل")</f>
        <v>معمل</v>
      </c>
      <c r="E141" s="5" t="str">
        <f ca="1">IFERROR(__xludf.DUMMYFUNCTION("""COMPUTED_VALUE"""),"معمل")</f>
        <v>معمل</v>
      </c>
      <c r="F141" s="5" t="str">
        <f ca="1">IFERROR(__xludf.DUMMYFUNCTION("""COMPUTED_VALUE"""),"معمل التحاليل الطبية")</f>
        <v>معمل التحاليل الطبية</v>
      </c>
      <c r="G141" s="5" t="str">
        <f ca="1">IFERROR(__xludf.DUMMYFUNCTION("""COMPUTED_VALUE"""),"معمل رويال لاب")</f>
        <v>معمل رويال لاب</v>
      </c>
      <c r="H141" s="5" t="str">
        <f ca="1">IFERROR(__xludf.DUMMYFUNCTION("""COMPUTED_VALUE"""),"48شارع شهاب  تقاطع فوزي رماح-المهندسين- الجيزة")</f>
        <v>48شارع شهاب  تقاطع فوزي رماح-المهندسين- الجيزة</v>
      </c>
      <c r="I141" s="6" t="str">
        <f ca="1">IFERROR(__xludf.DUMMYFUNCTION("""COMPUTED_VALUE"""),"20233469152")</f>
        <v>20233469152</v>
      </c>
      <c r="J141" s="6" t="str">
        <f ca="1">IFERROR(__xludf.DUMMYFUNCTION("""COMPUTED_VALUE"""),"16064")</f>
        <v>16064</v>
      </c>
      <c r="K141" s="6" t="str">
        <f ca="1">IFERROR(__xludf.DUMMYFUNCTION("""COMPUTED_VALUE"""),"نسبة خصم 40%")</f>
        <v>نسبة خصم 40%</v>
      </c>
    </row>
    <row r="142" spans="1:11" x14ac:dyDescent="0.25">
      <c r="A142" s="4" t="str">
        <f ca="1">IFERROR(__xludf.DUMMYFUNCTION("""COMPUTED_VALUE"""),"1926-B")</f>
        <v>1926-B</v>
      </c>
      <c r="B142" s="5" t="str">
        <f ca="1">IFERROR(__xludf.DUMMYFUNCTION("""COMPUTED_VALUE"""),"القاهرة")</f>
        <v>القاهرة</v>
      </c>
      <c r="C142" s="5" t="str">
        <f ca="1">IFERROR(__xludf.DUMMYFUNCTION("""COMPUTED_VALUE"""),"حلمية الزيتون")</f>
        <v>حلمية الزيتون</v>
      </c>
      <c r="D142" s="5" t="str">
        <f ca="1">IFERROR(__xludf.DUMMYFUNCTION("""COMPUTED_VALUE"""),"معمل")</f>
        <v>معمل</v>
      </c>
      <c r="E142" s="5" t="str">
        <f ca="1">IFERROR(__xludf.DUMMYFUNCTION("""COMPUTED_VALUE"""),"معمل")</f>
        <v>معمل</v>
      </c>
      <c r="F142" s="5" t="str">
        <f ca="1">IFERROR(__xludf.DUMMYFUNCTION("""COMPUTED_VALUE"""),"معمل التحاليل الطبية")</f>
        <v>معمل التحاليل الطبية</v>
      </c>
      <c r="G142" s="5" t="str">
        <f ca="1">IFERROR(__xludf.DUMMYFUNCTION("""COMPUTED_VALUE"""),"معمل رويال لاب")</f>
        <v>معمل رويال لاب</v>
      </c>
      <c r="H142" s="5" t="str">
        <f ca="1">IFERROR(__xludf.DUMMYFUNCTION("""COMPUTED_VALUE"""),"80( أ ) شارع سليم الاول - اعلى كشرى الزعيم - الدور الاول ( يعمل طوال ايام الاسبوع).
")</f>
        <v xml:space="preserve">80( أ ) شارع سليم الاول - اعلى كشرى الزعيم - الدور الاول ( يعمل طوال ايام الاسبوع).
</v>
      </c>
      <c r="I142" s="6"/>
      <c r="J142" s="6" t="str">
        <f ca="1">IFERROR(__xludf.DUMMYFUNCTION("""COMPUTED_VALUE"""),"16064")</f>
        <v>16064</v>
      </c>
      <c r="K142" s="6" t="str">
        <f ca="1">IFERROR(__xludf.DUMMYFUNCTION("""COMPUTED_VALUE"""),"نسبة خصم 40%")</f>
        <v>نسبة خصم 40%</v>
      </c>
    </row>
    <row r="143" spans="1:11" x14ac:dyDescent="0.25">
      <c r="A143" s="4" t="str">
        <f ca="1">IFERROR(__xludf.DUMMYFUNCTION("""COMPUTED_VALUE"""),"1926-B")</f>
        <v>1926-B</v>
      </c>
      <c r="B143" s="5" t="str">
        <f ca="1">IFERROR(__xludf.DUMMYFUNCTION("""COMPUTED_VALUE"""),"القاهرة")</f>
        <v>القاهرة</v>
      </c>
      <c r="C143" s="5" t="str">
        <f ca="1">IFERROR(__xludf.DUMMYFUNCTION("""COMPUTED_VALUE"""),"حلوان")</f>
        <v>حلوان</v>
      </c>
      <c r="D143" s="5" t="str">
        <f ca="1">IFERROR(__xludf.DUMMYFUNCTION("""COMPUTED_VALUE"""),"معمل")</f>
        <v>معمل</v>
      </c>
      <c r="E143" s="5" t="str">
        <f ca="1">IFERROR(__xludf.DUMMYFUNCTION("""COMPUTED_VALUE"""),"معمل")</f>
        <v>معمل</v>
      </c>
      <c r="F143" s="5" t="str">
        <f ca="1">IFERROR(__xludf.DUMMYFUNCTION("""COMPUTED_VALUE"""),"معمل التحاليل الطبية")</f>
        <v>معمل التحاليل الطبية</v>
      </c>
      <c r="G143" s="5" t="str">
        <f ca="1">IFERROR(__xludf.DUMMYFUNCTION("""COMPUTED_VALUE"""),"معمل رويال لاب")</f>
        <v>معمل رويال لاب</v>
      </c>
      <c r="H143" s="5" t="str">
        <f ca="1">IFERROR(__xludf.DUMMYFUNCTION("""COMPUTED_VALUE"""),"46شارع شريف - من ش منصور اعلى البنك الاهلى الجديد الدور الثالث فوق الارض شقة 107 - حلوان")</f>
        <v>46شارع شريف - من ش منصور اعلى البنك الاهلى الجديد الدور الثالث فوق الارض شقة 107 - حلوان</v>
      </c>
      <c r="I143" s="6"/>
      <c r="J143" s="6" t="str">
        <f ca="1">IFERROR(__xludf.DUMMYFUNCTION("""COMPUTED_VALUE"""),"16064")</f>
        <v>16064</v>
      </c>
      <c r="K143" s="6" t="str">
        <f ca="1">IFERROR(__xludf.DUMMYFUNCTION("""COMPUTED_VALUE"""),"نسبة خصم 40%")</f>
        <v>نسبة خصم 40%</v>
      </c>
    </row>
    <row r="144" spans="1:11" x14ac:dyDescent="0.25">
      <c r="A144" s="4" t="str">
        <f ca="1">IFERROR(__xludf.DUMMYFUNCTION("""COMPUTED_VALUE"""),"1926-B")</f>
        <v>1926-B</v>
      </c>
      <c r="B144" s="5" t="str">
        <f ca="1">IFERROR(__xludf.DUMMYFUNCTION("""COMPUTED_VALUE"""),"القاهرة")</f>
        <v>القاهرة</v>
      </c>
      <c r="C144" s="5" t="str">
        <f ca="1">IFERROR(__xludf.DUMMYFUNCTION("""COMPUTED_VALUE"""),"شبرا")</f>
        <v>شبرا</v>
      </c>
      <c r="D144" s="5" t="str">
        <f ca="1">IFERROR(__xludf.DUMMYFUNCTION("""COMPUTED_VALUE"""),"معمل")</f>
        <v>معمل</v>
      </c>
      <c r="E144" s="5" t="str">
        <f ca="1">IFERROR(__xludf.DUMMYFUNCTION("""COMPUTED_VALUE"""),"معمل")</f>
        <v>معمل</v>
      </c>
      <c r="F144" s="5" t="str">
        <f ca="1">IFERROR(__xludf.DUMMYFUNCTION("""COMPUTED_VALUE"""),"معمل التحاليل الطبية")</f>
        <v>معمل التحاليل الطبية</v>
      </c>
      <c r="G144" s="5" t="str">
        <f ca="1">IFERROR(__xludf.DUMMYFUNCTION("""COMPUTED_VALUE"""),"معمل رويال لاب")</f>
        <v>معمل رويال لاب</v>
      </c>
      <c r="H144" s="5" t="str">
        <f ca="1">IFERROR(__xludf.DUMMYFUNCTION("""COMPUTED_VALUE"""),"22شارع شيرا - الدور الأول - فوق محل ابو شليب-شبرا-القاهرة")</f>
        <v>22شارع شيرا - الدور الأول - فوق محل ابو شليب-شبرا-القاهرة</v>
      </c>
      <c r="I144" s="6" t="str">
        <f ca="1">IFERROR(__xludf.DUMMYFUNCTION("""COMPUTED_VALUE"""),"20225789225")</f>
        <v>20225789225</v>
      </c>
      <c r="J144" s="6" t="str">
        <f ca="1">IFERROR(__xludf.DUMMYFUNCTION("""COMPUTED_VALUE"""),"16064")</f>
        <v>16064</v>
      </c>
      <c r="K144" s="6" t="str">
        <f ca="1">IFERROR(__xludf.DUMMYFUNCTION("""COMPUTED_VALUE"""),"نسبة خصم 40%")</f>
        <v>نسبة خصم 40%</v>
      </c>
    </row>
    <row r="145" spans="1:11" x14ac:dyDescent="0.25">
      <c r="A145" s="4" t="str">
        <f ca="1">IFERROR(__xludf.DUMMYFUNCTION("""COMPUTED_VALUE"""),"1926-B")</f>
        <v>1926-B</v>
      </c>
      <c r="B145" s="5" t="str">
        <f ca="1">IFERROR(__xludf.DUMMYFUNCTION("""COMPUTED_VALUE"""),"الجيزة")</f>
        <v>الجيزة</v>
      </c>
      <c r="C145" s="5" t="str">
        <f ca="1">IFERROR(__xludf.DUMMYFUNCTION("""COMPUTED_VALUE"""),"فيصل")</f>
        <v>فيصل</v>
      </c>
      <c r="D145" s="5" t="str">
        <f ca="1">IFERROR(__xludf.DUMMYFUNCTION("""COMPUTED_VALUE"""),"معمل")</f>
        <v>معمل</v>
      </c>
      <c r="E145" s="5" t="str">
        <f ca="1">IFERROR(__xludf.DUMMYFUNCTION("""COMPUTED_VALUE"""),"معمل")</f>
        <v>معمل</v>
      </c>
      <c r="F145" s="5" t="str">
        <f ca="1">IFERROR(__xludf.DUMMYFUNCTION("""COMPUTED_VALUE"""),"معمل التحاليل الطبية")</f>
        <v>معمل التحاليل الطبية</v>
      </c>
      <c r="G145" s="5" t="str">
        <f ca="1">IFERROR(__xludf.DUMMYFUNCTION("""COMPUTED_VALUE"""),"معمل رويال لاب")</f>
        <v>معمل رويال لاب</v>
      </c>
      <c r="H145" s="5" t="str">
        <f ca="1">IFERROR(__xludf.DUMMYFUNCTION("""COMPUTED_VALUE"""),"443شارع فيصل الدور الخامس بجوار صيدلية العزبى-فيصل- الجيزة")</f>
        <v>443شارع فيصل الدور الخامس بجوار صيدلية العزبى-فيصل- الجيزة</v>
      </c>
      <c r="I145" s="6" t="str">
        <f ca="1">IFERROR(__xludf.DUMMYFUNCTION("""COMPUTED_VALUE"""),"20237806682")</f>
        <v>20237806682</v>
      </c>
      <c r="J145" s="6" t="str">
        <f ca="1">IFERROR(__xludf.DUMMYFUNCTION("""COMPUTED_VALUE"""),"16064")</f>
        <v>16064</v>
      </c>
      <c r="K145" s="6" t="str">
        <f ca="1">IFERROR(__xludf.DUMMYFUNCTION("""COMPUTED_VALUE"""),"نسبة خصم 40%")</f>
        <v>نسبة خصم 40%</v>
      </c>
    </row>
    <row r="146" spans="1:11" x14ac:dyDescent="0.25">
      <c r="A146" s="4" t="str">
        <f ca="1">IFERROR(__xludf.DUMMYFUNCTION("""COMPUTED_VALUE"""),"1926-B")</f>
        <v>1926-B</v>
      </c>
      <c r="B146" s="5" t="str">
        <f ca="1">IFERROR(__xludf.DUMMYFUNCTION("""COMPUTED_VALUE"""),"الجيزة")</f>
        <v>الجيزة</v>
      </c>
      <c r="C146" s="5" t="str">
        <f ca="1">IFERROR(__xludf.DUMMYFUNCTION("""COMPUTED_VALUE"""),"فيصل")</f>
        <v>فيصل</v>
      </c>
      <c r="D146" s="5" t="str">
        <f ca="1">IFERROR(__xludf.DUMMYFUNCTION("""COMPUTED_VALUE"""),"معمل")</f>
        <v>معمل</v>
      </c>
      <c r="E146" s="5" t="str">
        <f ca="1">IFERROR(__xludf.DUMMYFUNCTION("""COMPUTED_VALUE"""),"معمل")</f>
        <v>معمل</v>
      </c>
      <c r="F146" s="5" t="str">
        <f ca="1">IFERROR(__xludf.DUMMYFUNCTION("""COMPUTED_VALUE"""),"معمل التحاليل الطبية")</f>
        <v>معمل التحاليل الطبية</v>
      </c>
      <c r="G146" s="5" t="str">
        <f ca="1">IFERROR(__xludf.DUMMYFUNCTION("""COMPUTED_VALUE"""),"معمل رويال لاب")</f>
        <v>معمل رويال لاب</v>
      </c>
      <c r="H146" s="5" t="str">
        <f ca="1">IFERROR(__xludf.DUMMYFUNCTION("""COMPUTED_VALUE"""),"3شارع تقسيمات الحراسه من شارع الملك فيصل - مول الصفوة - الطوابق - الدور 3")</f>
        <v>3شارع تقسيمات الحراسه من شارع الملك فيصل - مول الصفوة - الطوابق - الدور 3</v>
      </c>
      <c r="I146" s="6"/>
      <c r="J146" s="6" t="str">
        <f ca="1">IFERROR(__xludf.DUMMYFUNCTION("""COMPUTED_VALUE"""),"16064")</f>
        <v>16064</v>
      </c>
      <c r="K146" s="6" t="str">
        <f ca="1">IFERROR(__xludf.DUMMYFUNCTION("""COMPUTED_VALUE"""),"نسبة خصم 40%")</f>
        <v>نسبة خصم 40%</v>
      </c>
    </row>
    <row r="147" spans="1:11" x14ac:dyDescent="0.25">
      <c r="A147" s="4" t="str">
        <f ca="1">IFERROR(__xludf.DUMMYFUNCTION("""COMPUTED_VALUE"""),"1926-B")</f>
        <v>1926-B</v>
      </c>
      <c r="B147" s="5" t="str">
        <f ca="1">IFERROR(__xludf.DUMMYFUNCTION("""COMPUTED_VALUE"""),"القاهرة")</f>
        <v>القاهرة</v>
      </c>
      <c r="C147" s="5" t="str">
        <f ca="1">IFERROR(__xludf.DUMMYFUNCTION("""COMPUTED_VALUE"""),"مدينة نصر")</f>
        <v>مدينة نصر</v>
      </c>
      <c r="D147" s="5" t="str">
        <f ca="1">IFERROR(__xludf.DUMMYFUNCTION("""COMPUTED_VALUE"""),"معمل")</f>
        <v>معمل</v>
      </c>
      <c r="E147" s="5" t="str">
        <f ca="1">IFERROR(__xludf.DUMMYFUNCTION("""COMPUTED_VALUE"""),"معمل")</f>
        <v>معمل</v>
      </c>
      <c r="F147" s="5" t="str">
        <f ca="1">IFERROR(__xludf.DUMMYFUNCTION("""COMPUTED_VALUE"""),"معمل التحاليل الطبية")</f>
        <v>معمل التحاليل الطبية</v>
      </c>
      <c r="G147" s="5" t="str">
        <f ca="1">IFERROR(__xludf.DUMMYFUNCTION("""COMPUTED_VALUE"""),"معمل رويال لاب")</f>
        <v>معمل رويال لاب</v>
      </c>
      <c r="H147" s="5" t="str">
        <f ca="1">IFERROR(__xludf.DUMMYFUNCTION("""COMPUTED_VALUE"""),"41 شارع عبد الحميد عوض بجوار محجوب للسيراميك اعلى ماكدونالدز تقاطع ش مصطفى النحاس-مدينة نصر-القاهرة")</f>
        <v>41 شارع عبد الحميد عوض بجوار محجوب للسيراميك اعلى ماكدونالدز تقاطع ش مصطفى النحاس-مدينة نصر-القاهرة</v>
      </c>
      <c r="I147" s="6"/>
      <c r="J147" s="6" t="str">
        <f ca="1">IFERROR(__xludf.DUMMYFUNCTION("""COMPUTED_VALUE"""),"16064")</f>
        <v>16064</v>
      </c>
      <c r="K147" s="6" t="str">
        <f ca="1">IFERROR(__xludf.DUMMYFUNCTION("""COMPUTED_VALUE"""),"نسبة خصم 40%")</f>
        <v>نسبة خصم 40%</v>
      </c>
    </row>
    <row r="148" spans="1:11" x14ac:dyDescent="0.25">
      <c r="A148" s="4" t="str">
        <f ca="1">IFERROR(__xludf.DUMMYFUNCTION("""COMPUTED_VALUE"""),"1926-B")</f>
        <v>1926-B</v>
      </c>
      <c r="B148" s="5" t="str">
        <f ca="1">IFERROR(__xludf.DUMMYFUNCTION("""COMPUTED_VALUE"""),"القاهرة")</f>
        <v>القاهرة</v>
      </c>
      <c r="C148" s="5" t="str">
        <f ca="1">IFERROR(__xludf.DUMMYFUNCTION("""COMPUTED_VALUE"""),"مدينة نصر")</f>
        <v>مدينة نصر</v>
      </c>
      <c r="D148" s="5" t="str">
        <f ca="1">IFERROR(__xludf.DUMMYFUNCTION("""COMPUTED_VALUE"""),"معمل")</f>
        <v>معمل</v>
      </c>
      <c r="E148" s="5" t="str">
        <f ca="1">IFERROR(__xludf.DUMMYFUNCTION("""COMPUTED_VALUE"""),"معمل")</f>
        <v>معمل</v>
      </c>
      <c r="F148" s="5" t="str">
        <f ca="1">IFERROR(__xludf.DUMMYFUNCTION("""COMPUTED_VALUE"""),"معمل التحاليل الطبية")</f>
        <v>معمل التحاليل الطبية</v>
      </c>
      <c r="G148" s="5" t="str">
        <f ca="1">IFERROR(__xludf.DUMMYFUNCTION("""COMPUTED_VALUE"""),"معمل رويال لاب")</f>
        <v>معمل رويال لاب</v>
      </c>
      <c r="H148" s="5" t="str">
        <f ca="1">IFERROR(__xludf.DUMMYFUNCTION("""COMPUTED_VALUE"""),"5شارع عباس العقاد - الدور السابع-مدينة نصر-القاهرة")</f>
        <v>5شارع عباس العقاد - الدور السابع-مدينة نصر-القاهرة</v>
      </c>
      <c r="I148" s="6" t="str">
        <f ca="1">IFERROR(__xludf.DUMMYFUNCTION("""COMPUTED_VALUE"""),"20224013797")</f>
        <v>20224013797</v>
      </c>
      <c r="J148" s="6" t="str">
        <f ca="1">IFERROR(__xludf.DUMMYFUNCTION("""COMPUTED_VALUE"""),"16064")</f>
        <v>16064</v>
      </c>
      <c r="K148" s="6" t="str">
        <f ca="1">IFERROR(__xludf.DUMMYFUNCTION("""COMPUTED_VALUE"""),"نسبة خصم 40%")</f>
        <v>نسبة خصم 40%</v>
      </c>
    </row>
    <row r="149" spans="1:11" x14ac:dyDescent="0.25">
      <c r="A149" s="4" t="str">
        <f ca="1">IFERROR(__xludf.DUMMYFUNCTION("""COMPUTED_VALUE"""),"1926-B")</f>
        <v>1926-B</v>
      </c>
      <c r="B149" s="5" t="str">
        <f ca="1">IFERROR(__xludf.DUMMYFUNCTION("""COMPUTED_VALUE"""),"القاهرة")</f>
        <v>القاهرة</v>
      </c>
      <c r="C149" s="5" t="str">
        <f ca="1">IFERROR(__xludf.DUMMYFUNCTION("""COMPUTED_VALUE"""),"مصر الجديدة")</f>
        <v>مصر الجديدة</v>
      </c>
      <c r="D149" s="5" t="str">
        <f ca="1">IFERROR(__xludf.DUMMYFUNCTION("""COMPUTED_VALUE"""),"معمل")</f>
        <v>معمل</v>
      </c>
      <c r="E149" s="5" t="str">
        <f ca="1">IFERROR(__xludf.DUMMYFUNCTION("""COMPUTED_VALUE"""),"معمل")</f>
        <v>معمل</v>
      </c>
      <c r="F149" s="5" t="str">
        <f ca="1">IFERROR(__xludf.DUMMYFUNCTION("""COMPUTED_VALUE"""),"معمل التحاليل الطبية")</f>
        <v>معمل التحاليل الطبية</v>
      </c>
      <c r="G149" s="5" t="str">
        <f ca="1">IFERROR(__xludf.DUMMYFUNCTION("""COMPUTED_VALUE"""),"معمل رويال لاب")</f>
        <v>معمل رويال لاب</v>
      </c>
      <c r="H149" s="5" t="str">
        <f ca="1">IFERROR(__xludf.DUMMYFUNCTION("""COMPUTED_VALUE"""),"160ش النزهه - ميدان سانت فاتيما - أعلى سوبر ماركت أولاد رجب وأمام بنك مصر - مصر الجديدة")</f>
        <v>160ش النزهه - ميدان سانت فاتيما - أعلى سوبر ماركت أولاد رجب وأمام بنك مصر - مصر الجديدة</v>
      </c>
      <c r="I149" s="6" t="str">
        <f ca="1">IFERROR(__xludf.DUMMYFUNCTION("""COMPUTED_VALUE"""),"20224525066")</f>
        <v>20224525066</v>
      </c>
      <c r="J149" s="6" t="str">
        <f ca="1">IFERROR(__xludf.DUMMYFUNCTION("""COMPUTED_VALUE"""),"16064")</f>
        <v>16064</v>
      </c>
      <c r="K149" s="6" t="str">
        <f ca="1">IFERROR(__xludf.DUMMYFUNCTION("""COMPUTED_VALUE"""),"نسبة خصم 40%")</f>
        <v>نسبة خصم 40%</v>
      </c>
    </row>
    <row r="150" spans="1:11" x14ac:dyDescent="0.25">
      <c r="A150" s="4" t="str">
        <f ca="1">IFERROR(__xludf.DUMMYFUNCTION("""COMPUTED_VALUE"""),"1926-B")</f>
        <v>1926-B</v>
      </c>
      <c r="B150" s="5" t="str">
        <f ca="1">IFERROR(__xludf.DUMMYFUNCTION("""COMPUTED_VALUE"""),"القاهرة")</f>
        <v>القاهرة</v>
      </c>
      <c r="C150" s="5" t="str">
        <f ca="1">IFERROR(__xludf.DUMMYFUNCTION("""COMPUTED_VALUE"""),"مصر الجديدة")</f>
        <v>مصر الجديدة</v>
      </c>
      <c r="D150" s="5" t="str">
        <f ca="1">IFERROR(__xludf.DUMMYFUNCTION("""COMPUTED_VALUE"""),"معمل")</f>
        <v>معمل</v>
      </c>
      <c r="E150" s="5" t="str">
        <f ca="1">IFERROR(__xludf.DUMMYFUNCTION("""COMPUTED_VALUE"""),"معمل")</f>
        <v>معمل</v>
      </c>
      <c r="F150" s="5" t="str">
        <f ca="1">IFERROR(__xludf.DUMMYFUNCTION("""COMPUTED_VALUE"""),"معمل التحاليل الطبية")</f>
        <v>معمل التحاليل الطبية</v>
      </c>
      <c r="G150" s="5" t="str">
        <f ca="1">IFERROR(__xludf.DUMMYFUNCTION("""COMPUTED_VALUE"""),"معمل رويال لاب")</f>
        <v>معمل رويال لاب</v>
      </c>
      <c r="H150" s="5" t="str">
        <f ca="1">IFERROR(__xludf.DUMMYFUNCTION("""COMPUTED_VALUE"""),"22شارع مجدي - أمام كنتاكي - نزهة الجديدة-مصر الجديدة-القاهرة")</f>
        <v>22شارع مجدي - أمام كنتاكي - نزهة الجديدة-مصر الجديدة-القاهرة</v>
      </c>
      <c r="I150" s="6" t="str">
        <f ca="1">IFERROR(__xludf.DUMMYFUNCTION("""COMPUTED_VALUE"""),"20226218127")</f>
        <v>20226218127</v>
      </c>
      <c r="J150" s="6" t="str">
        <f ca="1">IFERROR(__xludf.DUMMYFUNCTION("""COMPUTED_VALUE"""),"16064")</f>
        <v>16064</v>
      </c>
      <c r="K150" s="6" t="str">
        <f ca="1">IFERROR(__xludf.DUMMYFUNCTION("""COMPUTED_VALUE"""),"نسبة خصم 40%")</f>
        <v>نسبة خصم 40%</v>
      </c>
    </row>
    <row r="151" spans="1:11" x14ac:dyDescent="0.25">
      <c r="A151" s="4" t="str">
        <f ca="1">IFERROR(__xludf.DUMMYFUNCTION("""COMPUTED_VALUE"""),"1926")</f>
        <v>1926</v>
      </c>
      <c r="B151" s="5" t="str">
        <f ca="1">IFERROR(__xludf.DUMMYFUNCTION("""COMPUTED_VALUE"""),"القاهرة")</f>
        <v>القاهرة</v>
      </c>
      <c r="C151" s="5" t="str">
        <f ca="1">IFERROR(__xludf.DUMMYFUNCTION("""COMPUTED_VALUE"""),"مصر الجديدة")</f>
        <v>مصر الجديدة</v>
      </c>
      <c r="D151" s="5" t="str">
        <f ca="1">IFERROR(__xludf.DUMMYFUNCTION("""COMPUTED_VALUE"""),"معمل")</f>
        <v>معمل</v>
      </c>
      <c r="E151" s="5" t="str">
        <f ca="1">IFERROR(__xludf.DUMMYFUNCTION("""COMPUTED_VALUE"""),"معمل")</f>
        <v>معمل</v>
      </c>
      <c r="F151" s="5" t="str">
        <f ca="1">IFERROR(__xludf.DUMMYFUNCTION("""COMPUTED_VALUE"""),"معمل التحاليل الطبية")</f>
        <v>معمل التحاليل الطبية</v>
      </c>
      <c r="G151" s="5" t="str">
        <f ca="1">IFERROR(__xludf.DUMMYFUNCTION("""COMPUTED_VALUE"""),"معمل رويال لاب")</f>
        <v>معمل رويال لاب</v>
      </c>
      <c r="H151" s="5" t="str">
        <f ca="1">IFERROR(__xludf.DUMMYFUNCTION("""COMPUTED_VALUE"""),"5 شارع الطحاوي برج الصفوة -  الخليفة المامون - روكسي-مصر الجديدة-القاهرة")</f>
        <v>5 شارع الطحاوي برج الصفوة -  الخليفة المامون - روكسي-مصر الجديدة-القاهرة</v>
      </c>
      <c r="I151" s="6" t="str">
        <f ca="1">IFERROR(__xludf.DUMMYFUNCTION("""COMPUTED_VALUE"""),"20224174648")</f>
        <v>20224174648</v>
      </c>
      <c r="J151" s="6" t="str">
        <f ca="1">IFERROR(__xludf.DUMMYFUNCTION("""COMPUTED_VALUE"""),"16064")</f>
        <v>16064</v>
      </c>
      <c r="K151" s="6" t="str">
        <f ca="1">IFERROR(__xludf.DUMMYFUNCTION("""COMPUTED_VALUE"""),"نسبة خصم 40%")</f>
        <v>نسبة خصم 40%</v>
      </c>
    </row>
    <row r="152" spans="1:11" x14ac:dyDescent="0.25">
      <c r="A152" s="4" t="str">
        <f ca="1">IFERROR(__xludf.DUMMYFUNCTION("""COMPUTED_VALUE"""),"1926-B")</f>
        <v>1926-B</v>
      </c>
      <c r="B152" s="5" t="str">
        <f ca="1">IFERROR(__xludf.DUMMYFUNCTION("""COMPUTED_VALUE"""),"القاهرة")</f>
        <v>القاهرة</v>
      </c>
      <c r="C152" s="5" t="str">
        <f ca="1">IFERROR(__xludf.DUMMYFUNCTION("""COMPUTED_VALUE"""),"مصر الجديدة")</f>
        <v>مصر الجديدة</v>
      </c>
      <c r="D152" s="5" t="str">
        <f ca="1">IFERROR(__xludf.DUMMYFUNCTION("""COMPUTED_VALUE"""),"معمل")</f>
        <v>معمل</v>
      </c>
      <c r="E152" s="5" t="str">
        <f ca="1">IFERROR(__xludf.DUMMYFUNCTION("""COMPUTED_VALUE"""),"معمل")</f>
        <v>معمل</v>
      </c>
      <c r="F152" s="5" t="str">
        <f ca="1">IFERROR(__xludf.DUMMYFUNCTION("""COMPUTED_VALUE"""),"معمل التحاليل الطبية")</f>
        <v>معمل التحاليل الطبية</v>
      </c>
      <c r="G152" s="5" t="str">
        <f ca="1">IFERROR(__xludf.DUMMYFUNCTION("""COMPUTED_VALUE"""),"معمل رويال لاب")</f>
        <v>معمل رويال لاب</v>
      </c>
      <c r="H152" s="5" t="str">
        <f ca="1">IFERROR(__xludf.DUMMYFUNCTION("""COMPUTED_VALUE"""),"53برج الأطباء - شارع المقريزى - الدور الرابع - خلف مستشفى محمد البكرى العام-مصر الجديدة-القاهرة")</f>
        <v>53برج الأطباء - شارع المقريزى - الدور الرابع - خلف مستشفى محمد البكرى العام-مصر الجديدة-القاهرة</v>
      </c>
      <c r="I152" s="6" t="str">
        <f ca="1">IFERROR(__xludf.DUMMYFUNCTION("""COMPUTED_VALUE"""),"20224533872")</f>
        <v>20224533872</v>
      </c>
      <c r="J152" s="6" t="str">
        <f ca="1">IFERROR(__xludf.DUMMYFUNCTION("""COMPUTED_VALUE"""),"16064")</f>
        <v>16064</v>
      </c>
      <c r="K152" s="6" t="str">
        <f ca="1">IFERROR(__xludf.DUMMYFUNCTION("""COMPUTED_VALUE"""),"نسبة خصم 40%")</f>
        <v>نسبة خصم 40%</v>
      </c>
    </row>
    <row r="153" spans="1:11" x14ac:dyDescent="0.25">
      <c r="A153" s="4" t="str">
        <f ca="1">IFERROR(__xludf.DUMMYFUNCTION("""COMPUTED_VALUE"""),"1926-B")</f>
        <v>1926-B</v>
      </c>
      <c r="B153" s="5" t="str">
        <f ca="1">IFERROR(__xludf.DUMMYFUNCTION("""COMPUTED_VALUE"""),"القاهرة")</f>
        <v>القاهرة</v>
      </c>
      <c r="C153" s="5" t="str">
        <f ca="1">IFERROR(__xludf.DUMMYFUNCTION("""COMPUTED_VALUE"""),"وسط البلد")</f>
        <v>وسط البلد</v>
      </c>
      <c r="D153" s="5" t="str">
        <f ca="1">IFERROR(__xludf.DUMMYFUNCTION("""COMPUTED_VALUE"""),"معمل")</f>
        <v>معمل</v>
      </c>
      <c r="E153" s="5" t="str">
        <f ca="1">IFERROR(__xludf.DUMMYFUNCTION("""COMPUTED_VALUE"""),"معمل")</f>
        <v>معمل</v>
      </c>
      <c r="F153" s="5" t="str">
        <f ca="1">IFERROR(__xludf.DUMMYFUNCTION("""COMPUTED_VALUE"""),"معمل التحاليل الطبية")</f>
        <v>معمل التحاليل الطبية</v>
      </c>
      <c r="G153" s="5" t="str">
        <f ca="1">IFERROR(__xludf.DUMMYFUNCTION("""COMPUTED_VALUE"""),"معمل رويال لاب")</f>
        <v>معمل رويال لاب</v>
      </c>
      <c r="H153" s="5" t="str">
        <f ca="1">IFERROR(__xludf.DUMMYFUNCTION("""COMPUTED_VALUE"""),"2شارع شريف - عمارة اللواء - الدور الرابع-وسط البلد-القاهرة")</f>
        <v>2شارع شريف - عمارة اللواء - الدور الرابع-وسط البلد-القاهرة</v>
      </c>
      <c r="I153" s="6" t="str">
        <f ca="1">IFERROR(__xludf.DUMMYFUNCTION("""COMPUTED_VALUE"""),"20223924201")</f>
        <v>20223924201</v>
      </c>
      <c r="J153" s="6" t="str">
        <f ca="1">IFERROR(__xludf.DUMMYFUNCTION("""COMPUTED_VALUE"""),"16064")</f>
        <v>16064</v>
      </c>
      <c r="K153" s="6" t="str">
        <f ca="1">IFERROR(__xludf.DUMMYFUNCTION("""COMPUTED_VALUE"""),"نسبة خصم 40%")</f>
        <v>نسبة خصم 40%</v>
      </c>
    </row>
    <row r="154" spans="1:11" x14ac:dyDescent="0.25">
      <c r="A154" s="4" t="str">
        <f ca="1">IFERROR(__xludf.DUMMYFUNCTION("""COMPUTED_VALUE"""),"1926-B")</f>
        <v>1926-B</v>
      </c>
      <c r="B154" s="5" t="str">
        <f ca="1">IFERROR(__xludf.DUMMYFUNCTION("""COMPUTED_VALUE"""),"القليوبية")</f>
        <v>القليوبية</v>
      </c>
      <c r="C154" s="5" t="str">
        <f ca="1">IFERROR(__xludf.DUMMYFUNCTION("""COMPUTED_VALUE"""),"شبرا الخيمة")</f>
        <v>شبرا الخيمة</v>
      </c>
      <c r="D154" s="5" t="str">
        <f ca="1">IFERROR(__xludf.DUMMYFUNCTION("""COMPUTED_VALUE"""),"معمل")</f>
        <v>معمل</v>
      </c>
      <c r="E154" s="5" t="str">
        <f ca="1">IFERROR(__xludf.DUMMYFUNCTION("""COMPUTED_VALUE"""),"معمل")</f>
        <v>معمل</v>
      </c>
      <c r="F154" s="5" t="str">
        <f ca="1">IFERROR(__xludf.DUMMYFUNCTION("""COMPUTED_VALUE"""),"معمل التحاليل الطبية")</f>
        <v>معمل التحاليل الطبية</v>
      </c>
      <c r="G154" s="5" t="str">
        <f ca="1">IFERROR(__xludf.DUMMYFUNCTION("""COMPUTED_VALUE"""),"معمل رويال لاب")</f>
        <v>معمل رويال لاب</v>
      </c>
      <c r="H154" s="5" t="str">
        <f ca="1">IFERROR(__xludf.DUMMYFUNCTION("""COMPUTED_VALUE"""),"شارع 15مايو برج القطان - أعلى مستشفى تبارك-شبرا الخيمة-القليوبية")</f>
        <v>شارع 15مايو برج القطان - أعلى مستشفى تبارك-شبرا الخيمة-القليوبية</v>
      </c>
      <c r="I154" s="6" t="str">
        <f ca="1">IFERROR(__xludf.DUMMYFUNCTION("""COMPUTED_VALUE"""),"20244739051")</f>
        <v>20244739051</v>
      </c>
      <c r="J154" s="6" t="str">
        <f ca="1">IFERROR(__xludf.DUMMYFUNCTION("""COMPUTED_VALUE"""),"16064")</f>
        <v>16064</v>
      </c>
      <c r="K154" s="6" t="str">
        <f ca="1">IFERROR(__xludf.DUMMYFUNCTION("""COMPUTED_VALUE"""),"نسبة خصم 40%")</f>
        <v>نسبة خصم 40%</v>
      </c>
    </row>
    <row r="155" spans="1:11" x14ac:dyDescent="0.25">
      <c r="A155" s="4" t="str">
        <f ca="1">IFERROR(__xludf.DUMMYFUNCTION("""COMPUTED_VALUE"""),"1926-B")</f>
        <v>1926-B</v>
      </c>
      <c r="B155" s="5" t="str">
        <f ca="1">IFERROR(__xludf.DUMMYFUNCTION("""COMPUTED_VALUE"""),"القليوبية")</f>
        <v>القليوبية</v>
      </c>
      <c r="C155" s="5" t="str">
        <f ca="1">IFERROR(__xludf.DUMMYFUNCTION("""COMPUTED_VALUE"""),"شبرا الخيمة")</f>
        <v>شبرا الخيمة</v>
      </c>
      <c r="D155" s="5" t="str">
        <f ca="1">IFERROR(__xludf.DUMMYFUNCTION("""COMPUTED_VALUE"""),"معمل")</f>
        <v>معمل</v>
      </c>
      <c r="E155" s="5" t="str">
        <f ca="1">IFERROR(__xludf.DUMMYFUNCTION("""COMPUTED_VALUE"""),"معمل")</f>
        <v>معمل</v>
      </c>
      <c r="F155" s="5" t="str">
        <f ca="1">IFERROR(__xludf.DUMMYFUNCTION("""COMPUTED_VALUE"""),"معمل التحاليل الطبية")</f>
        <v>معمل التحاليل الطبية</v>
      </c>
      <c r="G155" s="5" t="str">
        <f ca="1">IFERROR(__xludf.DUMMYFUNCTION("""COMPUTED_VALUE"""),"معمل رويال لاب")</f>
        <v>معمل رويال لاب</v>
      </c>
      <c r="H155" s="5" t="str">
        <f ca="1">IFERROR(__xludf.DUMMYFUNCTION("""COMPUTED_VALUE"""),"شارع 25  تقاطع - شارع احمد عرابي - اسفل حزب الوفد- -شبرا الخيمة-القليوبية")</f>
        <v>شارع 25  تقاطع - شارع احمد عرابي - اسفل حزب الوفد- -شبرا الخيمة-القليوبية</v>
      </c>
      <c r="I155" s="6"/>
      <c r="J155" s="6" t="str">
        <f ca="1">IFERROR(__xludf.DUMMYFUNCTION("""COMPUTED_VALUE"""),"16064")</f>
        <v>16064</v>
      </c>
      <c r="K155" s="6" t="str">
        <f ca="1">IFERROR(__xludf.DUMMYFUNCTION("""COMPUTED_VALUE"""),"نسبة خصم 40%")</f>
        <v>نسبة خصم 40%</v>
      </c>
    </row>
    <row r="156" spans="1:11" x14ac:dyDescent="0.25">
      <c r="A156" s="4" t="str">
        <f ca="1">IFERROR(__xludf.DUMMYFUNCTION("""COMPUTED_VALUE"""),"1926-B")</f>
        <v>1926-B</v>
      </c>
      <c r="B156" s="5" t="str">
        <f ca="1">IFERROR(__xludf.DUMMYFUNCTION("""COMPUTED_VALUE"""),"القليوبية")</f>
        <v>القليوبية</v>
      </c>
      <c r="C156" s="5" t="str">
        <f ca="1">IFERROR(__xludf.DUMMYFUNCTION("""COMPUTED_VALUE"""),"شبرا الخيمة")</f>
        <v>شبرا الخيمة</v>
      </c>
      <c r="D156" s="5" t="str">
        <f ca="1">IFERROR(__xludf.DUMMYFUNCTION("""COMPUTED_VALUE"""),"معمل")</f>
        <v>معمل</v>
      </c>
      <c r="E156" s="5" t="str">
        <f ca="1">IFERROR(__xludf.DUMMYFUNCTION("""COMPUTED_VALUE"""),"معمل")</f>
        <v>معمل</v>
      </c>
      <c r="F156" s="5" t="str">
        <f ca="1">IFERROR(__xludf.DUMMYFUNCTION("""COMPUTED_VALUE"""),"معمل التحاليل الطبية")</f>
        <v>معمل التحاليل الطبية</v>
      </c>
      <c r="G156" s="5" t="str">
        <f ca="1">IFERROR(__xludf.DUMMYFUNCTION("""COMPUTED_VALUE"""),"معمل رويال لاب")</f>
        <v>معمل رويال لاب</v>
      </c>
      <c r="H156" s="5" t="str">
        <f ca="1">IFERROR(__xludf.DUMMYFUNCTION("""COMPUTED_VALUE"""),"مسطرد-  ( الشارع الجديد) 2 شارع سلامة بصيلة - امام المسجد -شبرا الخيمة-القليوبية")</f>
        <v>مسطرد-  ( الشارع الجديد) 2 شارع سلامة بصيلة - امام المسجد -شبرا الخيمة-القليوبية</v>
      </c>
      <c r="I156" s="6"/>
      <c r="J156" s="6" t="str">
        <f ca="1">IFERROR(__xludf.DUMMYFUNCTION("""COMPUTED_VALUE"""),"16064")</f>
        <v>16064</v>
      </c>
      <c r="K156" s="6" t="str">
        <f ca="1">IFERROR(__xludf.DUMMYFUNCTION("""COMPUTED_VALUE"""),"نسبة خصم 40%")</f>
        <v>نسبة خصم 40%</v>
      </c>
    </row>
    <row r="157" spans="1:11" x14ac:dyDescent="0.25">
      <c r="A157" s="4" t="str">
        <f ca="1">IFERROR(__xludf.DUMMYFUNCTION("""COMPUTED_VALUE"""),"1926-B")</f>
        <v>1926-B</v>
      </c>
      <c r="B157" s="5" t="str">
        <f ca="1">IFERROR(__xludf.DUMMYFUNCTION("""COMPUTED_VALUE"""),"المنيا")</f>
        <v>المنيا</v>
      </c>
      <c r="C157" s="5" t="str">
        <f ca="1">IFERROR(__xludf.DUMMYFUNCTION("""COMPUTED_VALUE"""),"المنيا")</f>
        <v>المنيا</v>
      </c>
      <c r="D157" s="5" t="str">
        <f ca="1">IFERROR(__xludf.DUMMYFUNCTION("""COMPUTED_VALUE"""),"معمل")</f>
        <v>معمل</v>
      </c>
      <c r="E157" s="5" t="str">
        <f ca="1">IFERROR(__xludf.DUMMYFUNCTION("""COMPUTED_VALUE"""),"معمل")</f>
        <v>معمل</v>
      </c>
      <c r="F157" s="5" t="str">
        <f ca="1">IFERROR(__xludf.DUMMYFUNCTION("""COMPUTED_VALUE"""),"معمل التحاليل الطبية")</f>
        <v>معمل التحاليل الطبية</v>
      </c>
      <c r="G157" s="5" t="str">
        <f ca="1">IFERROR(__xludf.DUMMYFUNCTION("""COMPUTED_VALUE"""),"معمل رويال لاب")</f>
        <v>معمل رويال لاب</v>
      </c>
      <c r="H157" s="5" t="str">
        <f ca="1">IFERROR(__xludf.DUMMYFUNCTION("""COMPUTED_VALUE"""),"105شارع سعد زغلول بحرى - محطة قطار المنيا - الدور الاول علوى .
")</f>
        <v xml:space="preserve">105شارع سعد زغلول بحرى - محطة قطار المنيا - الدور الاول علوى .
</v>
      </c>
      <c r="I157" s="6"/>
      <c r="J157" s="6" t="str">
        <f ca="1">IFERROR(__xludf.DUMMYFUNCTION("""COMPUTED_VALUE"""),"16064")</f>
        <v>16064</v>
      </c>
      <c r="K157" s="6" t="str">
        <f ca="1">IFERROR(__xludf.DUMMYFUNCTION("""COMPUTED_VALUE"""),"نسبة خصم 40%")</f>
        <v>نسبة خصم 40%</v>
      </c>
    </row>
    <row r="158" spans="1:11" x14ac:dyDescent="0.25">
      <c r="A158" s="4" t="str">
        <f ca="1">IFERROR(__xludf.DUMMYFUNCTION("""COMPUTED_VALUE"""),"1926-B")</f>
        <v>1926-B</v>
      </c>
      <c r="B158" s="5" t="str">
        <f ca="1">IFERROR(__xludf.DUMMYFUNCTION("""COMPUTED_VALUE"""),"أسوان")</f>
        <v>أسوان</v>
      </c>
      <c r="C158" s="5" t="str">
        <f ca="1">IFERROR(__xludf.DUMMYFUNCTION("""COMPUTED_VALUE"""),"أسوان")</f>
        <v>أسوان</v>
      </c>
      <c r="D158" s="5" t="str">
        <f ca="1">IFERROR(__xludf.DUMMYFUNCTION("""COMPUTED_VALUE"""),"معمل")</f>
        <v>معمل</v>
      </c>
      <c r="E158" s="5" t="str">
        <f ca="1">IFERROR(__xludf.DUMMYFUNCTION("""COMPUTED_VALUE"""),"معمل")</f>
        <v>معمل</v>
      </c>
      <c r="F158" s="5" t="str">
        <f ca="1">IFERROR(__xludf.DUMMYFUNCTION("""COMPUTED_VALUE"""),"معمل التحاليل الطبية")</f>
        <v>معمل التحاليل الطبية</v>
      </c>
      <c r="G158" s="5" t="str">
        <f ca="1">IFERROR(__xludf.DUMMYFUNCTION("""COMPUTED_VALUE"""),"معمل رويال لاب")</f>
        <v>معمل رويال لاب</v>
      </c>
      <c r="H158" s="5" t="str">
        <f ca="1">IFERROR(__xludf.DUMMYFUNCTION("""COMPUTED_VALUE"""),"95 شارع كورنيش النيل - الدور الاول علوي - اعلى بنك القاهرة و بنك الاسكندرية")</f>
        <v>95 شارع كورنيش النيل - الدور الاول علوي - اعلى بنك القاهرة و بنك الاسكندرية</v>
      </c>
      <c r="I158" s="6"/>
      <c r="J158" s="6" t="str">
        <f ca="1">IFERROR(__xludf.DUMMYFUNCTION("""COMPUTED_VALUE"""),"16064")</f>
        <v>16064</v>
      </c>
      <c r="K158" s="6" t="str">
        <f ca="1">IFERROR(__xludf.DUMMYFUNCTION("""COMPUTED_VALUE"""),"نسبة خصم 40%")</f>
        <v>نسبة خصم 40%</v>
      </c>
    </row>
    <row r="159" spans="1:11" x14ac:dyDescent="0.25">
      <c r="A159" s="4" t="str">
        <f ca="1">IFERROR(__xludf.DUMMYFUNCTION("""COMPUTED_VALUE"""),"1926-B")</f>
        <v>1926-B</v>
      </c>
      <c r="B159" s="5" t="str">
        <f ca="1">IFERROR(__xludf.DUMMYFUNCTION("""COMPUTED_VALUE"""),"أسيوط")</f>
        <v>أسيوط</v>
      </c>
      <c r="C159" s="5" t="str">
        <f ca="1">IFERROR(__xludf.DUMMYFUNCTION("""COMPUTED_VALUE"""),"أسيوط")</f>
        <v>أسيوط</v>
      </c>
      <c r="D159" s="5" t="str">
        <f ca="1">IFERROR(__xludf.DUMMYFUNCTION("""COMPUTED_VALUE"""),"معمل")</f>
        <v>معمل</v>
      </c>
      <c r="E159" s="5" t="str">
        <f ca="1">IFERROR(__xludf.DUMMYFUNCTION("""COMPUTED_VALUE"""),"معمل")</f>
        <v>معمل</v>
      </c>
      <c r="F159" s="5" t="str">
        <f ca="1">IFERROR(__xludf.DUMMYFUNCTION("""COMPUTED_VALUE"""),"معمل التحاليل الطبية")</f>
        <v>معمل التحاليل الطبية</v>
      </c>
      <c r="G159" s="5" t="str">
        <f ca="1">IFERROR(__xludf.DUMMYFUNCTION("""COMPUTED_VALUE"""),"معمل رويال لاب")</f>
        <v>معمل رويال لاب</v>
      </c>
      <c r="H159" s="5" t="str">
        <f ca="1">IFERROR(__xludf.DUMMYFUNCTION("""COMPUTED_VALUE"""),"إمتداد شارع يسري راغب - برج الأزهر - أمام حلواني نابولي")</f>
        <v>إمتداد شارع يسري راغب - برج الأزهر - أمام حلواني نابولي</v>
      </c>
      <c r="I159" s="6"/>
      <c r="J159" s="6" t="str">
        <f ca="1">IFERROR(__xludf.DUMMYFUNCTION("""COMPUTED_VALUE"""),"16064")</f>
        <v>16064</v>
      </c>
      <c r="K159" s="6" t="str">
        <f ca="1">IFERROR(__xludf.DUMMYFUNCTION("""COMPUTED_VALUE"""),"نسبة خصم 40%")</f>
        <v>نسبة خصم 40%</v>
      </c>
    </row>
    <row r="160" spans="1:11" x14ac:dyDescent="0.25">
      <c r="A160" s="4" t="str">
        <f ca="1">IFERROR(__xludf.DUMMYFUNCTION("""COMPUTED_VALUE"""),"1926-B")</f>
        <v>1926-B</v>
      </c>
      <c r="B160" s="5" t="str">
        <f ca="1">IFERROR(__xludf.DUMMYFUNCTION("""COMPUTED_VALUE"""),"بني سويف")</f>
        <v>بني سويف</v>
      </c>
      <c r="C160" s="5" t="str">
        <f ca="1">IFERROR(__xludf.DUMMYFUNCTION("""COMPUTED_VALUE"""),"بني سويف")</f>
        <v>بني سويف</v>
      </c>
      <c r="D160" s="5" t="str">
        <f ca="1">IFERROR(__xludf.DUMMYFUNCTION("""COMPUTED_VALUE"""),"معمل")</f>
        <v>معمل</v>
      </c>
      <c r="E160" s="5" t="str">
        <f ca="1">IFERROR(__xludf.DUMMYFUNCTION("""COMPUTED_VALUE"""),"معمل")</f>
        <v>معمل</v>
      </c>
      <c r="F160" s="5" t="str">
        <f ca="1">IFERROR(__xludf.DUMMYFUNCTION("""COMPUTED_VALUE"""),"معمل التحاليل الطبية")</f>
        <v>معمل التحاليل الطبية</v>
      </c>
      <c r="G160" s="5" t="str">
        <f ca="1">IFERROR(__xludf.DUMMYFUNCTION("""COMPUTED_VALUE"""),"معمل رويال لاب")</f>
        <v>معمل رويال لاب</v>
      </c>
      <c r="H160" s="5" t="str">
        <f ca="1">IFERROR(__xludf.DUMMYFUNCTION("""COMPUTED_VALUE"""),"ش. الرياضي - امام ش. الصاغة فوق مصوغات ثروت")</f>
        <v>ش. الرياضي - امام ش. الصاغة فوق مصوغات ثروت</v>
      </c>
      <c r="I160" s="6"/>
      <c r="J160" s="6" t="str">
        <f ca="1">IFERROR(__xludf.DUMMYFUNCTION("""COMPUTED_VALUE"""),"16064")</f>
        <v>16064</v>
      </c>
      <c r="K160" s="6" t="str">
        <f ca="1">IFERROR(__xludf.DUMMYFUNCTION("""COMPUTED_VALUE"""),"نسبة خصم 40%")</f>
        <v>نسبة خصم 40%</v>
      </c>
    </row>
    <row r="161" spans="1:11" x14ac:dyDescent="0.25">
      <c r="A161" s="4" t="str">
        <f ca="1">IFERROR(__xludf.DUMMYFUNCTION("""COMPUTED_VALUE"""),"1926-B")</f>
        <v>1926-B</v>
      </c>
      <c r="B161" s="5" t="str">
        <f ca="1">IFERROR(__xludf.DUMMYFUNCTION("""COMPUTED_VALUE"""),"قنا")</f>
        <v>قنا</v>
      </c>
      <c r="C161" s="5" t="str">
        <f ca="1">IFERROR(__xludf.DUMMYFUNCTION("""COMPUTED_VALUE"""),"قنا")</f>
        <v>قنا</v>
      </c>
      <c r="D161" s="5" t="str">
        <f ca="1">IFERROR(__xludf.DUMMYFUNCTION("""COMPUTED_VALUE"""),"معمل")</f>
        <v>معمل</v>
      </c>
      <c r="E161" s="5" t="str">
        <f ca="1">IFERROR(__xludf.DUMMYFUNCTION("""COMPUTED_VALUE"""),"معمل")</f>
        <v>معمل</v>
      </c>
      <c r="F161" s="5" t="str">
        <f ca="1">IFERROR(__xludf.DUMMYFUNCTION("""COMPUTED_VALUE"""),"معمل التحاليل الطبية")</f>
        <v>معمل التحاليل الطبية</v>
      </c>
      <c r="G161" s="5" t="str">
        <f ca="1">IFERROR(__xludf.DUMMYFUNCTION("""COMPUTED_VALUE"""),"معمل رويال لاب")</f>
        <v>معمل رويال لاب</v>
      </c>
      <c r="H161" s="5" t="str">
        <f ca="1">IFERROR(__xludf.DUMMYFUNCTION("""COMPUTED_VALUE"""),"10 شارع الأقصر - أمام البريد والمطافئ - قنا")</f>
        <v>10 شارع الأقصر - أمام البريد والمطافئ - قنا</v>
      </c>
      <c r="I161" s="6"/>
      <c r="J161" s="6" t="str">
        <f ca="1">IFERROR(__xludf.DUMMYFUNCTION("""COMPUTED_VALUE"""),"16064")</f>
        <v>16064</v>
      </c>
      <c r="K161" s="6" t="str">
        <f ca="1">IFERROR(__xludf.DUMMYFUNCTION("""COMPUTED_VALUE"""),"نسبة خصم 40%")</f>
        <v>نسبة خصم 40%</v>
      </c>
    </row>
    <row r="162" spans="1:11" x14ac:dyDescent="0.25">
      <c r="A162" s="4" t="str">
        <f ca="1">IFERROR(__xludf.DUMMYFUNCTION("""COMPUTED_VALUE"""),"1926-B")</f>
        <v>1926-B</v>
      </c>
      <c r="B162" s="5" t="str">
        <f ca="1">IFERROR(__xludf.DUMMYFUNCTION("""COMPUTED_VALUE"""),"قنا")</f>
        <v>قنا</v>
      </c>
      <c r="C162" s="5" t="str">
        <f ca="1">IFERROR(__xludf.DUMMYFUNCTION("""COMPUTED_VALUE"""),"نجع حمادى")</f>
        <v>نجع حمادى</v>
      </c>
      <c r="D162" s="5" t="str">
        <f ca="1">IFERROR(__xludf.DUMMYFUNCTION("""COMPUTED_VALUE"""),"معمل")</f>
        <v>معمل</v>
      </c>
      <c r="E162" s="5" t="str">
        <f ca="1">IFERROR(__xludf.DUMMYFUNCTION("""COMPUTED_VALUE"""),"معمل")</f>
        <v>معمل</v>
      </c>
      <c r="F162" s="5" t="str">
        <f ca="1">IFERROR(__xludf.DUMMYFUNCTION("""COMPUTED_VALUE"""),"معمل التحاليل الطبية")</f>
        <v>معمل التحاليل الطبية</v>
      </c>
      <c r="G162" s="5" t="str">
        <f ca="1">IFERROR(__xludf.DUMMYFUNCTION("""COMPUTED_VALUE"""),"معمل رويال لاب")</f>
        <v>معمل رويال لاب</v>
      </c>
      <c r="H162" s="5" t="str">
        <f ca="1">IFERROR(__xludf.DUMMYFUNCTION("""COMPUTED_VALUE"""),"شارع حسني مبارك سابقاً - 25 يناير حالياً - أعلى مكتبة الطلبة- نجع حمادى- قنا")</f>
        <v>شارع حسني مبارك سابقاً - 25 يناير حالياً - أعلى مكتبة الطلبة- نجع حمادى- قنا</v>
      </c>
      <c r="I162" s="6"/>
      <c r="J162" s="6" t="str">
        <f ca="1">IFERROR(__xludf.DUMMYFUNCTION("""COMPUTED_VALUE"""),"16064")</f>
        <v>16064</v>
      </c>
      <c r="K162" s="6" t="str">
        <f ca="1">IFERROR(__xludf.DUMMYFUNCTION("""COMPUTED_VALUE"""),"نسبة خصم 40%")</f>
        <v>نسبة خصم 40%</v>
      </c>
    </row>
    <row r="163" spans="1:11" x14ac:dyDescent="0.25">
      <c r="A163" s="4" t="str">
        <f ca="1">IFERROR(__xludf.DUMMYFUNCTION("""COMPUTED_VALUE"""),"1926-B")</f>
        <v>1926-B</v>
      </c>
      <c r="B163" s="5" t="str">
        <f ca="1">IFERROR(__xludf.DUMMYFUNCTION("""COMPUTED_VALUE"""),"الجيزة")</f>
        <v>الجيزة</v>
      </c>
      <c r="C163" s="5" t="str">
        <f ca="1">IFERROR(__xludf.DUMMYFUNCTION("""COMPUTED_VALUE"""),"المهندسين")</f>
        <v>المهندسين</v>
      </c>
      <c r="D163" s="5" t="str">
        <f ca="1">IFERROR(__xludf.DUMMYFUNCTION("""COMPUTED_VALUE"""),"معمل")</f>
        <v>معمل</v>
      </c>
      <c r="E163" s="5" t="str">
        <f ca="1">IFERROR(__xludf.DUMMYFUNCTION("""COMPUTED_VALUE"""),"معمل")</f>
        <v>معمل</v>
      </c>
      <c r="F163" s="5" t="str">
        <f ca="1">IFERROR(__xludf.DUMMYFUNCTION("""COMPUTED_VALUE"""),"معمل التحاليل الطبية")</f>
        <v>معمل التحاليل الطبية</v>
      </c>
      <c r="G163" s="5" t="str">
        <f ca="1">IFERROR(__xludf.DUMMYFUNCTION("""COMPUTED_VALUE"""),"معمل رويال لاب")</f>
        <v>معمل رويال لاب</v>
      </c>
      <c r="H163" s="5" t="str">
        <f ca="1">IFERROR(__xludf.DUMMYFUNCTION("""COMPUTED_VALUE"""),"5 ميدان سفنكس - شارع جامعة الدول العربية - المهندسين")</f>
        <v>5 ميدان سفنكس - شارع جامعة الدول العربية - المهندسين</v>
      </c>
      <c r="I163" s="6"/>
      <c r="J163" s="6" t="str">
        <f ca="1">IFERROR(__xludf.DUMMYFUNCTION("""COMPUTED_VALUE"""),"16064")</f>
        <v>16064</v>
      </c>
      <c r="K163" s="6" t="str">
        <f ca="1">IFERROR(__xludf.DUMMYFUNCTION("""COMPUTED_VALUE"""),"نسبة خصم 40%")</f>
        <v>نسبة خصم 40%</v>
      </c>
    </row>
    <row r="164" spans="1:11" x14ac:dyDescent="0.25">
      <c r="A164" s="4" t="str">
        <f ca="1">IFERROR(__xludf.DUMMYFUNCTION("""COMPUTED_VALUE"""),"1926-B")</f>
        <v>1926-B</v>
      </c>
      <c r="B164" s="5" t="str">
        <f ca="1">IFERROR(__xludf.DUMMYFUNCTION("""COMPUTED_VALUE"""),"الجيزة")</f>
        <v>الجيزة</v>
      </c>
      <c r="C164" s="5" t="str">
        <f ca="1">IFERROR(__xludf.DUMMYFUNCTION("""COMPUTED_VALUE"""),"الشيخ زايد")</f>
        <v>الشيخ زايد</v>
      </c>
      <c r="D164" s="5" t="str">
        <f ca="1">IFERROR(__xludf.DUMMYFUNCTION("""COMPUTED_VALUE"""),"معمل")</f>
        <v>معمل</v>
      </c>
      <c r="E164" s="5" t="str">
        <f ca="1">IFERROR(__xludf.DUMMYFUNCTION("""COMPUTED_VALUE"""),"معمل")</f>
        <v>معمل</v>
      </c>
      <c r="F164" s="5" t="str">
        <f ca="1">IFERROR(__xludf.DUMMYFUNCTION("""COMPUTED_VALUE"""),"معمل التحاليل الطبية")</f>
        <v>معمل التحاليل الطبية</v>
      </c>
      <c r="G164" s="5" t="str">
        <f ca="1">IFERROR(__xludf.DUMMYFUNCTION("""COMPUTED_VALUE"""),"معمل رويال لاب")</f>
        <v>معمل رويال لاب</v>
      </c>
      <c r="H164" s="5" t="str">
        <f ca="1">IFERROR(__xludf.DUMMYFUNCTION("""COMPUTED_VALUE"""),"محور 26  يوليو  (القطعة 18)توين تاورز - مبنى C - الدور الرابع - عيادة B - الشيخ زايد")</f>
        <v>محور 26  يوليو  (القطعة 18)توين تاورز - مبنى C - الدور الرابع - عيادة B - الشيخ زايد</v>
      </c>
      <c r="I164" s="6"/>
      <c r="J164" s="6" t="str">
        <f ca="1">IFERROR(__xludf.DUMMYFUNCTION("""COMPUTED_VALUE"""),"16064")</f>
        <v>16064</v>
      </c>
      <c r="K164" s="6" t="str">
        <f ca="1">IFERROR(__xludf.DUMMYFUNCTION("""COMPUTED_VALUE"""),"نسبة خصم 40%")</f>
        <v>نسبة خصم 40%</v>
      </c>
    </row>
    <row r="165" spans="1:11" x14ac:dyDescent="0.25">
      <c r="A165" s="4" t="str">
        <f ca="1">IFERROR(__xludf.DUMMYFUNCTION("""COMPUTED_VALUE"""),"1926-B")</f>
        <v>1926-B</v>
      </c>
      <c r="B165" s="5" t="str">
        <f ca="1">IFERROR(__xludf.DUMMYFUNCTION("""COMPUTED_VALUE"""),"القاهرة")</f>
        <v>القاهرة</v>
      </c>
      <c r="C165" s="5" t="str">
        <f ca="1">IFERROR(__xludf.DUMMYFUNCTION("""COMPUTED_VALUE"""),"دار السلام")</f>
        <v>دار السلام</v>
      </c>
      <c r="D165" s="5" t="str">
        <f ca="1">IFERROR(__xludf.DUMMYFUNCTION("""COMPUTED_VALUE"""),"معمل")</f>
        <v>معمل</v>
      </c>
      <c r="E165" s="5" t="str">
        <f ca="1">IFERROR(__xludf.DUMMYFUNCTION("""COMPUTED_VALUE"""),"معمل")</f>
        <v>معمل</v>
      </c>
      <c r="F165" s="5" t="str">
        <f ca="1">IFERROR(__xludf.DUMMYFUNCTION("""COMPUTED_VALUE"""),"معمل التحاليل الطبية")</f>
        <v>معمل التحاليل الطبية</v>
      </c>
      <c r="G165" s="5" t="str">
        <f ca="1">IFERROR(__xludf.DUMMYFUNCTION("""COMPUTED_VALUE"""),"معمل رويال لاب")</f>
        <v>معمل رويال لاب</v>
      </c>
      <c r="H165" s="5" t="str">
        <f ca="1">IFERROR(__xludf.DUMMYFUNCTION("""COMPUTED_VALUE"""),"229ش أحمد زكي بجوار موقف فايدة كامل - الدور الأول - دار السلام")</f>
        <v>229ش أحمد زكي بجوار موقف فايدة كامل - الدور الأول - دار السلام</v>
      </c>
      <c r="I165" s="6"/>
      <c r="J165" s="6" t="str">
        <f ca="1">IFERROR(__xludf.DUMMYFUNCTION("""COMPUTED_VALUE"""),"16064")</f>
        <v>16064</v>
      </c>
      <c r="K165" s="6" t="str">
        <f ca="1">IFERROR(__xludf.DUMMYFUNCTION("""COMPUTED_VALUE"""),"نسبة خصم 40%")</f>
        <v>نسبة خصم 40%</v>
      </c>
    </row>
    <row r="166" spans="1:11" x14ac:dyDescent="0.25">
      <c r="A166" s="4" t="str">
        <f ca="1">IFERROR(__xludf.DUMMYFUNCTION("""COMPUTED_VALUE"""),"1926-B")</f>
        <v>1926-B</v>
      </c>
      <c r="B166" s="5" t="str">
        <f ca="1">IFERROR(__xludf.DUMMYFUNCTION("""COMPUTED_VALUE"""),"الغربية")</f>
        <v>الغربية</v>
      </c>
      <c r="C166" s="5" t="str">
        <f ca="1">IFERROR(__xludf.DUMMYFUNCTION("""COMPUTED_VALUE"""),"طنطا")</f>
        <v>طنطا</v>
      </c>
      <c r="D166" s="5" t="str">
        <f ca="1">IFERROR(__xludf.DUMMYFUNCTION("""COMPUTED_VALUE"""),"معمل")</f>
        <v>معمل</v>
      </c>
      <c r="E166" s="5" t="str">
        <f ca="1">IFERROR(__xludf.DUMMYFUNCTION("""COMPUTED_VALUE"""),"معمل")</f>
        <v>معمل</v>
      </c>
      <c r="F166" s="5" t="str">
        <f ca="1">IFERROR(__xludf.DUMMYFUNCTION("""COMPUTED_VALUE"""),"معمل التحاليل الطبية")</f>
        <v>معمل التحاليل الطبية</v>
      </c>
      <c r="G166" s="5" t="str">
        <f ca="1">IFERROR(__xludf.DUMMYFUNCTION("""COMPUTED_VALUE"""),"معمل رويال لاب")</f>
        <v>معمل رويال لاب</v>
      </c>
      <c r="H166" s="5" t="str">
        <f ca="1">IFERROR(__xludf.DUMMYFUNCTION("""COMPUTED_VALUE"""),"ميدان الساعة - اعلى صيدلية الحياة - الدور الثاني علوى")</f>
        <v>ميدان الساعة - اعلى صيدلية الحياة - الدور الثاني علوى</v>
      </c>
      <c r="I166" s="6"/>
      <c r="J166" s="6" t="str">
        <f ca="1">IFERROR(__xludf.DUMMYFUNCTION("""COMPUTED_VALUE"""),"16064")</f>
        <v>16064</v>
      </c>
      <c r="K166" s="6" t="str">
        <f ca="1">IFERROR(__xludf.DUMMYFUNCTION("""COMPUTED_VALUE"""),"نسبة خصم 40%")</f>
        <v>نسبة خصم 40%</v>
      </c>
    </row>
    <row r="167" spans="1:11" x14ac:dyDescent="0.25">
      <c r="A167" s="4" t="str">
        <f ca="1">IFERROR(__xludf.DUMMYFUNCTION("""COMPUTED_VALUE"""),"1926-B")</f>
        <v>1926-B</v>
      </c>
      <c r="B167" s="5" t="str">
        <f ca="1">IFERROR(__xludf.DUMMYFUNCTION("""COMPUTED_VALUE"""),"السويس")</f>
        <v>السويس</v>
      </c>
      <c r="C167" s="5" t="str">
        <f ca="1">IFERROR(__xludf.DUMMYFUNCTION("""COMPUTED_VALUE"""),"السويس")</f>
        <v>السويس</v>
      </c>
      <c r="D167" s="5" t="str">
        <f ca="1">IFERROR(__xludf.DUMMYFUNCTION("""COMPUTED_VALUE"""),"معمل")</f>
        <v>معمل</v>
      </c>
      <c r="E167" s="5" t="str">
        <f ca="1">IFERROR(__xludf.DUMMYFUNCTION("""COMPUTED_VALUE"""),"معمل")</f>
        <v>معمل</v>
      </c>
      <c r="F167" s="5" t="str">
        <f ca="1">IFERROR(__xludf.DUMMYFUNCTION("""COMPUTED_VALUE"""),"معمل التحاليل الطبية")</f>
        <v>معمل التحاليل الطبية</v>
      </c>
      <c r="G167" s="5" t="str">
        <f ca="1">IFERROR(__xludf.DUMMYFUNCTION("""COMPUTED_VALUE"""),"معمل رويال لاب")</f>
        <v>معمل رويال لاب</v>
      </c>
      <c r="H167" s="5" t="str">
        <f ca="1">IFERROR(__xludf.DUMMYFUNCTION("""COMPUTED_VALUE"""),"12ش أحمد عرابي - برج التوفيق - ميدان الأربعين - الدور الخامس - السويس")</f>
        <v>12ش أحمد عرابي - برج التوفيق - ميدان الأربعين - الدور الخامس - السويس</v>
      </c>
      <c r="I167" s="6"/>
      <c r="J167" s="6" t="str">
        <f ca="1">IFERROR(__xludf.DUMMYFUNCTION("""COMPUTED_VALUE"""),"16064")</f>
        <v>16064</v>
      </c>
      <c r="K167" s="6" t="str">
        <f ca="1">IFERROR(__xludf.DUMMYFUNCTION("""COMPUTED_VALUE"""),"نسبة خصم 40%")</f>
        <v>نسبة خصم 40%</v>
      </c>
    </row>
    <row r="168" spans="1:11" x14ac:dyDescent="0.25">
      <c r="A168" s="4" t="str">
        <f ca="1">IFERROR(__xludf.DUMMYFUNCTION("""COMPUTED_VALUE"""),"1926-B")</f>
        <v>1926-B</v>
      </c>
      <c r="B168" s="5" t="str">
        <f ca="1">IFERROR(__xludf.DUMMYFUNCTION("""COMPUTED_VALUE"""),"الدقهلية")</f>
        <v>الدقهلية</v>
      </c>
      <c r="C168" s="5" t="str">
        <f ca="1">IFERROR(__xludf.DUMMYFUNCTION("""COMPUTED_VALUE"""),"المنصورة")</f>
        <v>المنصورة</v>
      </c>
      <c r="D168" s="5" t="str">
        <f ca="1">IFERROR(__xludf.DUMMYFUNCTION("""COMPUTED_VALUE"""),"معمل")</f>
        <v>معمل</v>
      </c>
      <c r="E168" s="5" t="str">
        <f ca="1">IFERROR(__xludf.DUMMYFUNCTION("""COMPUTED_VALUE"""),"معمل")</f>
        <v>معمل</v>
      </c>
      <c r="F168" s="5" t="str">
        <f ca="1">IFERROR(__xludf.DUMMYFUNCTION("""COMPUTED_VALUE"""),"معمل التحاليل الطبية")</f>
        <v>معمل التحاليل الطبية</v>
      </c>
      <c r="G168" s="5" t="str">
        <f ca="1">IFERROR(__xludf.DUMMYFUNCTION("""COMPUTED_VALUE"""),"معمل رويال لاب")</f>
        <v>معمل رويال لاب</v>
      </c>
      <c r="H168" s="5" t="str">
        <f ca="1">IFERROR(__xludf.DUMMYFUNCTION("""COMPUTED_VALUE"""),"89ش الجامع - ميدان حسين بك - عمارة السقعان - الدور الثالث - المنصورة - الدقهلية")</f>
        <v>89ش الجامع - ميدان حسين بك - عمارة السقعان - الدور الثالث - المنصورة - الدقهلية</v>
      </c>
      <c r="I168" s="6"/>
      <c r="J168" s="6" t="str">
        <f ca="1">IFERROR(__xludf.DUMMYFUNCTION("""COMPUTED_VALUE"""),"16064")</f>
        <v>16064</v>
      </c>
      <c r="K168" s="6" t="str">
        <f ca="1">IFERROR(__xludf.DUMMYFUNCTION("""COMPUTED_VALUE"""),"نسبة خصم 40%")</f>
        <v>نسبة خصم 40%</v>
      </c>
    </row>
    <row r="169" spans="1:11" x14ac:dyDescent="0.25">
      <c r="A169" s="4" t="str">
        <f ca="1">IFERROR(__xludf.DUMMYFUNCTION("""COMPUTED_VALUE"""),"1926-B")</f>
        <v>1926-B</v>
      </c>
      <c r="B169" s="5" t="str">
        <f ca="1">IFERROR(__xludf.DUMMYFUNCTION("""COMPUTED_VALUE"""),"المنوفية")</f>
        <v>المنوفية</v>
      </c>
      <c r="C169" s="5" t="str">
        <f ca="1">IFERROR(__xludf.DUMMYFUNCTION("""COMPUTED_VALUE"""),"مدينه السادات")</f>
        <v>مدينه السادات</v>
      </c>
      <c r="D169" s="5" t="str">
        <f ca="1">IFERROR(__xludf.DUMMYFUNCTION("""COMPUTED_VALUE"""),"معمل")</f>
        <v>معمل</v>
      </c>
      <c r="E169" s="5" t="str">
        <f ca="1">IFERROR(__xludf.DUMMYFUNCTION("""COMPUTED_VALUE"""),"معمل")</f>
        <v>معمل</v>
      </c>
      <c r="F169" s="5" t="str">
        <f ca="1">IFERROR(__xludf.DUMMYFUNCTION("""COMPUTED_VALUE"""),"معمل التحاليل الطبية")</f>
        <v>معمل التحاليل الطبية</v>
      </c>
      <c r="G169" s="5" t="str">
        <f ca="1">IFERROR(__xludf.DUMMYFUNCTION("""COMPUTED_VALUE"""),"معمل رويال لاب")</f>
        <v>معمل رويال لاب</v>
      </c>
      <c r="H169" s="5" t="str">
        <f ca="1">IFERROR(__xludf.DUMMYFUNCTION("""COMPUTED_VALUE"""),"2 ناحية ش عمرو بن العاص - الدور الأول علوي - القطعة 1،2 - محور خدمات الحي الثاني - السادات")</f>
        <v>2 ناحية ش عمرو بن العاص - الدور الأول علوي - القطعة 1،2 - محور خدمات الحي الثاني - السادات</v>
      </c>
      <c r="I169" s="6"/>
      <c r="J169" s="6" t="str">
        <f ca="1">IFERROR(__xludf.DUMMYFUNCTION("""COMPUTED_VALUE"""),"16064")</f>
        <v>16064</v>
      </c>
      <c r="K169" s="6" t="str">
        <f ca="1">IFERROR(__xludf.DUMMYFUNCTION("""COMPUTED_VALUE"""),"نسبة خصم 40%")</f>
        <v>نسبة خصم 40%</v>
      </c>
    </row>
    <row r="170" spans="1:11" x14ac:dyDescent="0.25">
      <c r="A170" s="4" t="str">
        <f ca="1">IFERROR(__xludf.DUMMYFUNCTION("""COMPUTED_VALUE"""),"1926-B")</f>
        <v>1926-B</v>
      </c>
      <c r="B170" s="5" t="str">
        <f ca="1">IFERROR(__xludf.DUMMYFUNCTION("""COMPUTED_VALUE"""),"الشرقية")</f>
        <v>الشرقية</v>
      </c>
      <c r="C170" s="5" t="str">
        <f ca="1">IFERROR(__xludf.DUMMYFUNCTION("""COMPUTED_VALUE"""),"الزقازيق")</f>
        <v>الزقازيق</v>
      </c>
      <c r="D170" s="5" t="str">
        <f ca="1">IFERROR(__xludf.DUMMYFUNCTION("""COMPUTED_VALUE"""),"معمل")</f>
        <v>معمل</v>
      </c>
      <c r="E170" s="5" t="str">
        <f ca="1">IFERROR(__xludf.DUMMYFUNCTION("""COMPUTED_VALUE"""),"معمل")</f>
        <v>معمل</v>
      </c>
      <c r="F170" s="5" t="str">
        <f ca="1">IFERROR(__xludf.DUMMYFUNCTION("""COMPUTED_VALUE"""),"معمل التحاليل الطبية")</f>
        <v>معمل التحاليل الطبية</v>
      </c>
      <c r="G170" s="5" t="str">
        <f ca="1">IFERROR(__xludf.DUMMYFUNCTION("""COMPUTED_VALUE"""),"معمل رويال لاب")</f>
        <v>معمل رويال لاب</v>
      </c>
      <c r="H170" s="5" t="str">
        <f ca="1">IFERROR(__xludf.DUMMYFUNCTION("""COMPUTED_VALUE"""),"شارع الجناين برج مكاوى مقابل عمر افندى بجوار عالم ماركت")</f>
        <v>شارع الجناين برج مكاوى مقابل عمر افندى بجوار عالم ماركت</v>
      </c>
      <c r="I170" s="6"/>
      <c r="J170" s="6" t="str">
        <f ca="1">IFERROR(__xludf.DUMMYFUNCTION("""COMPUTED_VALUE"""),"16064")</f>
        <v>16064</v>
      </c>
      <c r="K170" s="6" t="str">
        <f ca="1">IFERROR(__xludf.DUMMYFUNCTION("""COMPUTED_VALUE"""),"نسبة خصم 40%")</f>
        <v>نسبة خصم 40%</v>
      </c>
    </row>
    <row r="171" spans="1:11" x14ac:dyDescent="0.25">
      <c r="A171" s="4" t="str">
        <f ca="1">IFERROR(__xludf.DUMMYFUNCTION("""COMPUTED_VALUE"""),"1926-B")</f>
        <v>1926-B</v>
      </c>
      <c r="B171" s="5" t="str">
        <f ca="1">IFERROR(__xludf.DUMMYFUNCTION("""COMPUTED_VALUE"""),"الجيزة")</f>
        <v>الجيزة</v>
      </c>
      <c r="C171" s="5" t="str">
        <f ca="1">IFERROR(__xludf.DUMMYFUNCTION("""COMPUTED_VALUE"""),"الهرم")</f>
        <v>الهرم</v>
      </c>
      <c r="D171" s="5" t="str">
        <f ca="1">IFERROR(__xludf.DUMMYFUNCTION("""COMPUTED_VALUE"""),"معمل")</f>
        <v>معمل</v>
      </c>
      <c r="E171" s="5" t="str">
        <f ca="1">IFERROR(__xludf.DUMMYFUNCTION("""COMPUTED_VALUE"""),"معمل")</f>
        <v>معمل</v>
      </c>
      <c r="F171" s="5" t="str">
        <f ca="1">IFERROR(__xludf.DUMMYFUNCTION("""COMPUTED_VALUE"""),"معمل التحاليل الطبية")</f>
        <v>معمل التحاليل الطبية</v>
      </c>
      <c r="G171" s="5" t="str">
        <f ca="1">IFERROR(__xludf.DUMMYFUNCTION("""COMPUTED_VALUE"""),"معمل رويال لاب")</f>
        <v>معمل رويال لاب</v>
      </c>
      <c r="H171" s="5" t="str">
        <f ca="1">IFERROR(__xludf.DUMMYFUNCTION("""COMPUTED_VALUE"""),"300ش الهرم عمارات منتصر الجديدة - عمارة 7 - الطالبية أمام بنزينة توتال - الدور الثالث - الطالبية - الهرم")</f>
        <v>300ش الهرم عمارات منتصر الجديدة - عمارة 7 - الطالبية أمام بنزينة توتال - الدور الثالث - الطالبية - الهرم</v>
      </c>
      <c r="I171" s="6"/>
      <c r="J171" s="6" t="str">
        <f ca="1">IFERROR(__xludf.DUMMYFUNCTION("""COMPUTED_VALUE"""),"16064")</f>
        <v>16064</v>
      </c>
      <c r="K171" s="6" t="str">
        <f ca="1">IFERROR(__xludf.DUMMYFUNCTION("""COMPUTED_VALUE"""),"نسبة خصم 40%")</f>
        <v>نسبة خصم 40%</v>
      </c>
    </row>
    <row r="172" spans="1:11" x14ac:dyDescent="0.25">
      <c r="A172" s="4" t="str">
        <f ca="1">IFERROR(__xludf.DUMMYFUNCTION("""COMPUTED_VALUE"""),"105090")</f>
        <v>105090</v>
      </c>
      <c r="B172" s="5" t="str">
        <f ca="1">IFERROR(__xludf.DUMMYFUNCTION("""COMPUTED_VALUE"""),"القاهرة")</f>
        <v>القاهرة</v>
      </c>
      <c r="C172" s="5" t="str">
        <f ca="1">IFERROR(__xludf.DUMMYFUNCTION("""COMPUTED_VALUE"""),"مصر الجديدة")</f>
        <v>مصر الجديدة</v>
      </c>
      <c r="D172" s="5" t="str">
        <f ca="1">IFERROR(__xludf.DUMMYFUNCTION("""COMPUTED_VALUE"""),"مركز علاج طبيعي")</f>
        <v>مركز علاج طبيعي</v>
      </c>
      <c r="E172" s="5" t="str">
        <f ca="1">IFERROR(__xludf.DUMMYFUNCTION("""COMPUTED_VALUE"""),"علاج طبيعي")</f>
        <v>علاج طبيعي</v>
      </c>
      <c r="F172" s="5" t="str">
        <f ca="1">IFERROR(__xludf.DUMMYFUNCTION("""COMPUTED_VALUE"""),"جلسات العلاج الطبيعي")</f>
        <v>جلسات العلاج الطبيعي</v>
      </c>
      <c r="G172" s="5" t="str">
        <f ca="1">IFERROR(__xludf.DUMMYFUNCTION("""COMPUTED_VALUE"""),"مركز الحياة شيراتون للعلاج الطبيعي")</f>
        <v>مركز الحياة شيراتون للعلاج الطبيعي</v>
      </c>
      <c r="H172" s="5" t="str">
        <f ca="1">IFERROR(__xludf.DUMMYFUNCTION("""COMPUTED_VALUE"""),"98 شارع سيد زكريا - مساكن شيراتون - النزهة - القاهرة")</f>
        <v>98 شارع سيد زكريا - مساكن شيراتون - النزهة - القاهرة</v>
      </c>
      <c r="I172" s="6" t="str">
        <f ca="1">IFERROR(__xludf.DUMMYFUNCTION("""COMPUTED_VALUE"""),"01017855517")</f>
        <v>01017855517</v>
      </c>
      <c r="J172" s="6"/>
      <c r="K172" s="6" t="str">
        <f ca="1">IFERROR(__xludf.DUMMYFUNCTION("""COMPUTED_VALUE"""),"نسبة خصم 40%")</f>
        <v>نسبة خصم 40%</v>
      </c>
    </row>
    <row r="173" spans="1:11" x14ac:dyDescent="0.25">
      <c r="A173" s="4" t="str">
        <f ca="1">IFERROR(__xludf.DUMMYFUNCTION("""COMPUTED_VALUE"""),"105767")</f>
        <v>105767</v>
      </c>
      <c r="B173" s="5" t="str">
        <f ca="1">IFERROR(__xludf.DUMMYFUNCTION("""COMPUTED_VALUE"""),"الجيزة")</f>
        <v>الجيزة</v>
      </c>
      <c r="C173" s="5" t="str">
        <f ca="1">IFERROR(__xludf.DUMMYFUNCTION("""COMPUTED_VALUE"""),"الهرم")</f>
        <v>الهرم</v>
      </c>
      <c r="D173" s="5" t="str">
        <f ca="1">IFERROR(__xludf.DUMMYFUNCTION("""COMPUTED_VALUE"""),"مجمع عيادات")</f>
        <v>مجمع عيادات</v>
      </c>
      <c r="E173" s="5" t="str">
        <f ca="1">IFERROR(__xludf.DUMMYFUNCTION("""COMPUTED_VALUE"""),"جميع التخصصات")</f>
        <v>جميع التخصصات</v>
      </c>
      <c r="F173" s="5" t="str">
        <f ca="1">IFERROR(__xludf.DUMMYFUNCTION("""COMPUTED_VALUE"""),"جميع التخصصات الطبية")</f>
        <v>جميع التخصصات الطبية</v>
      </c>
      <c r="G173" s="5" t="str">
        <f ca="1">IFERROR(__xludf.DUMMYFUNCTION("""COMPUTED_VALUE"""),"د/ عمرو محمد عبد العزيز ابراهيم ذكي ( عيادات ايف التخصصيه )")</f>
        <v>د/ عمرو محمد عبد العزيز ابراهيم ذكي ( عيادات ايف التخصصيه )</v>
      </c>
      <c r="H173" s="5" t="str">
        <f ca="1">IFERROR(__xludf.DUMMYFUNCTION("""COMPUTED_VALUE"""),"360 شارع الاهرام - ميدان المساحه - الهرم")</f>
        <v>360 شارع الاهرام - ميدان المساحه - الهرم</v>
      </c>
      <c r="I173" s="6" t="str">
        <f ca="1">IFERROR(__xludf.DUMMYFUNCTION("""COMPUTED_VALUE"""),"33925200")</f>
        <v>33925200</v>
      </c>
      <c r="J173" s="6"/>
      <c r="K173" s="6" t="str">
        <f ca="1">IFERROR(__xludf.DUMMYFUNCTION("""COMPUTED_VALUE"""),"خصم 10% علي الكشف و الحقن المجهري و الولاده و اطفال الانابيب، 20% علي خدمات الأسنان ، 20% علي العلاج الطبيعي.")</f>
        <v>خصم 10% علي الكشف و الحقن المجهري و الولاده و اطفال الانابيب، 20% علي خدمات الأسنان ، 20% علي العلاج الطبيعي.</v>
      </c>
    </row>
    <row r="174" spans="1:11" x14ac:dyDescent="0.25">
      <c r="A174" s="4" t="str">
        <f ca="1">IFERROR(__xludf.DUMMYFUNCTION("""COMPUTED_VALUE"""),"1926-B")</f>
        <v>1926-B</v>
      </c>
      <c r="B174" s="5" t="str">
        <f ca="1">IFERROR(__xludf.DUMMYFUNCTION("""COMPUTED_VALUE"""),"القاهرة")</f>
        <v>القاهرة</v>
      </c>
      <c r="C174" s="5" t="str">
        <f ca="1">IFERROR(__xludf.DUMMYFUNCTION("""COMPUTED_VALUE"""),"مصر الجديدة")</f>
        <v>مصر الجديدة</v>
      </c>
      <c r="D174" s="5" t="str">
        <f ca="1">IFERROR(__xludf.DUMMYFUNCTION("""COMPUTED_VALUE"""),"معمل")</f>
        <v>معمل</v>
      </c>
      <c r="E174" s="5" t="str">
        <f ca="1">IFERROR(__xludf.DUMMYFUNCTION("""COMPUTED_VALUE"""),"معمل")</f>
        <v>معمل</v>
      </c>
      <c r="F174" s="5" t="str">
        <f ca="1">IFERROR(__xludf.DUMMYFUNCTION("""COMPUTED_VALUE"""),"معمل التحاليل الطبية")</f>
        <v>معمل التحاليل الطبية</v>
      </c>
      <c r="G174" s="5" t="str">
        <f ca="1">IFERROR(__xludf.DUMMYFUNCTION("""COMPUTED_VALUE"""),"معمل رويال لاب")</f>
        <v>معمل رويال لاب</v>
      </c>
      <c r="H174" s="5" t="str">
        <f ca="1">IFERROR(__xludf.DUMMYFUNCTION("""COMPUTED_VALUE"""),"9شارع عثمان بن عفان - ميدان صلاح الدين - مصر الجديد")</f>
        <v>9شارع عثمان بن عفان - ميدان صلاح الدين - مصر الجديد</v>
      </c>
      <c r="I174" s="6" t="str">
        <f ca="1">IFERROR(__xludf.DUMMYFUNCTION("""COMPUTED_VALUE"""),"222917005")</f>
        <v>222917005</v>
      </c>
      <c r="J174" s="6" t="str">
        <f ca="1">IFERROR(__xludf.DUMMYFUNCTION("""COMPUTED_VALUE"""),"16064")</f>
        <v>16064</v>
      </c>
      <c r="K174" s="6" t="str">
        <f ca="1">IFERROR(__xludf.DUMMYFUNCTION("""COMPUTED_VALUE"""),"نسبة خصم 40%")</f>
        <v>نسبة خصم 40%</v>
      </c>
    </row>
    <row r="175" spans="1:11" x14ac:dyDescent="0.25">
      <c r="A175" s="4" t="str">
        <f ca="1">IFERROR(__xludf.DUMMYFUNCTION("""COMPUTED_VALUE"""),"1926-B")</f>
        <v>1926-B</v>
      </c>
      <c r="B175" s="5" t="str">
        <f ca="1">IFERROR(__xludf.DUMMYFUNCTION("""COMPUTED_VALUE"""),"القاهرة")</f>
        <v>القاهرة</v>
      </c>
      <c r="C175" s="5" t="str">
        <f ca="1">IFERROR(__xludf.DUMMYFUNCTION("""COMPUTED_VALUE"""),"مدينة نصر")</f>
        <v>مدينة نصر</v>
      </c>
      <c r="D175" s="5" t="str">
        <f ca="1">IFERROR(__xludf.DUMMYFUNCTION("""COMPUTED_VALUE"""),"معمل")</f>
        <v>معمل</v>
      </c>
      <c r="E175" s="5" t="str">
        <f ca="1">IFERROR(__xludf.DUMMYFUNCTION("""COMPUTED_VALUE"""),"معمل")</f>
        <v>معمل</v>
      </c>
      <c r="F175" s="5" t="str">
        <f ca="1">IFERROR(__xludf.DUMMYFUNCTION("""COMPUTED_VALUE"""),"معمل التحاليل الطبية")</f>
        <v>معمل التحاليل الطبية</v>
      </c>
      <c r="G175" s="5" t="str">
        <f ca="1">IFERROR(__xludf.DUMMYFUNCTION("""COMPUTED_VALUE"""),"معمل رويال لاب")</f>
        <v>معمل رويال لاب</v>
      </c>
      <c r="H175" s="5" t="str">
        <f ca="1">IFERROR(__xludf.DUMMYFUNCTION("""COMPUTED_VALUE"""),"6 ش. محمد مهدي عرفة - الحى العاشر - عمارة فرح - الدور الثانى .")</f>
        <v>6 ش. محمد مهدي عرفة - الحى العاشر - عمارة فرح - الدور الثانى .</v>
      </c>
      <c r="I175" s="6" t="str">
        <f ca="1">IFERROR(__xludf.DUMMYFUNCTION("""COMPUTED_VALUE"""),"0223265040")</f>
        <v>0223265040</v>
      </c>
      <c r="J175" s="6" t="str">
        <f ca="1">IFERROR(__xludf.DUMMYFUNCTION("""COMPUTED_VALUE"""),"16064")</f>
        <v>16064</v>
      </c>
      <c r="K175" s="6" t="str">
        <f ca="1">IFERROR(__xludf.DUMMYFUNCTION("""COMPUTED_VALUE"""),"نسبة خصم 40%")</f>
        <v>نسبة خصم 40%</v>
      </c>
    </row>
    <row r="176" spans="1:11" x14ac:dyDescent="0.25">
      <c r="A176" s="4" t="str">
        <f ca="1">IFERROR(__xludf.DUMMYFUNCTION("""COMPUTED_VALUE"""),"1926-B")</f>
        <v>1926-B</v>
      </c>
      <c r="B176" s="5" t="str">
        <f ca="1">IFERROR(__xludf.DUMMYFUNCTION("""COMPUTED_VALUE"""),"القاهرة")</f>
        <v>القاهرة</v>
      </c>
      <c r="C176" s="5" t="str">
        <f ca="1">IFERROR(__xludf.DUMMYFUNCTION("""COMPUTED_VALUE"""),"مصر الجديدة")</f>
        <v>مصر الجديدة</v>
      </c>
      <c r="D176" s="5" t="str">
        <f ca="1">IFERROR(__xludf.DUMMYFUNCTION("""COMPUTED_VALUE"""),"معمل")</f>
        <v>معمل</v>
      </c>
      <c r="E176" s="5" t="str">
        <f ca="1">IFERROR(__xludf.DUMMYFUNCTION("""COMPUTED_VALUE"""),"معمل")</f>
        <v>معمل</v>
      </c>
      <c r="F176" s="5" t="str">
        <f ca="1">IFERROR(__xludf.DUMMYFUNCTION("""COMPUTED_VALUE"""),"معمل التحاليل الطبية")</f>
        <v>معمل التحاليل الطبية</v>
      </c>
      <c r="G176" s="5" t="str">
        <f ca="1">IFERROR(__xludf.DUMMYFUNCTION("""COMPUTED_VALUE"""),"معمل رويال لاب")</f>
        <v>معمل رويال لاب</v>
      </c>
      <c r="H176" s="5" t="str">
        <f ca="1">IFERROR(__xludf.DUMMYFUNCTION("""COMPUTED_VALUE"""),"ا.ح طه حسين - بجوار مركز القوات المسلحة للحاسبات و المعلومات - الدور الاول .")</f>
        <v>ا.ح طه حسين - بجوار مركز القوات المسلحة للحاسبات و المعلومات - الدور الاول .</v>
      </c>
      <c r="I176" s="6" t="str">
        <f ca="1">IFERROR(__xludf.DUMMYFUNCTION("""COMPUTED_VALUE"""),"0226247549")</f>
        <v>0226247549</v>
      </c>
      <c r="J176" s="6" t="str">
        <f ca="1">IFERROR(__xludf.DUMMYFUNCTION("""COMPUTED_VALUE"""),"16064")</f>
        <v>16064</v>
      </c>
      <c r="K176" s="6" t="str">
        <f ca="1">IFERROR(__xludf.DUMMYFUNCTION("""COMPUTED_VALUE"""),"نسبة خصم 40%")</f>
        <v>نسبة خصم 40%</v>
      </c>
    </row>
    <row r="177" spans="1:11" x14ac:dyDescent="0.25">
      <c r="A177" s="4" t="str">
        <f ca="1">IFERROR(__xludf.DUMMYFUNCTION("""COMPUTED_VALUE"""),"1926-B")</f>
        <v>1926-B</v>
      </c>
      <c r="B177" s="5" t="str">
        <f ca="1">IFERROR(__xludf.DUMMYFUNCTION("""COMPUTED_VALUE"""),"القاهرة")</f>
        <v>القاهرة</v>
      </c>
      <c r="C177" s="5" t="str">
        <f ca="1">IFERROR(__xludf.DUMMYFUNCTION("""COMPUTED_VALUE"""),"حلمية الزيتون")</f>
        <v>حلمية الزيتون</v>
      </c>
      <c r="D177" s="5" t="str">
        <f ca="1">IFERROR(__xludf.DUMMYFUNCTION("""COMPUTED_VALUE"""),"معمل")</f>
        <v>معمل</v>
      </c>
      <c r="E177" s="5" t="str">
        <f ca="1">IFERROR(__xludf.DUMMYFUNCTION("""COMPUTED_VALUE"""),"معمل")</f>
        <v>معمل</v>
      </c>
      <c r="F177" s="5" t="str">
        <f ca="1">IFERROR(__xludf.DUMMYFUNCTION("""COMPUTED_VALUE"""),"معمل التحاليل الطبية")</f>
        <v>معمل التحاليل الطبية</v>
      </c>
      <c r="G177" s="5" t="str">
        <f ca="1">IFERROR(__xludf.DUMMYFUNCTION("""COMPUTED_VALUE"""),"معمل رويال لاب")</f>
        <v>معمل رويال لاب</v>
      </c>
      <c r="H177" s="5" t="str">
        <f ca="1">IFERROR(__xludf.DUMMYFUNCTION("""COMPUTED_VALUE"""),"80( أ ) شارع سليم الاول - اعلى كشرى الزعيم - الدور الاول")</f>
        <v>80( أ ) شارع سليم الاول - اعلى كشرى الزعيم - الدور الاول</v>
      </c>
      <c r="I177" s="6" t="str">
        <f ca="1">IFERROR(__xludf.DUMMYFUNCTION("""COMPUTED_VALUE"""),"26320357")</f>
        <v>26320357</v>
      </c>
      <c r="J177" s="6" t="str">
        <f ca="1">IFERROR(__xludf.DUMMYFUNCTION("""COMPUTED_VALUE"""),"16064")</f>
        <v>16064</v>
      </c>
      <c r="K177" s="6" t="str">
        <f ca="1">IFERROR(__xludf.DUMMYFUNCTION("""COMPUTED_VALUE"""),"نسبة خصم 40%")</f>
        <v>نسبة خصم 40%</v>
      </c>
    </row>
    <row r="178" spans="1:11" x14ac:dyDescent="0.25">
      <c r="A178" s="4" t="str">
        <f ca="1">IFERROR(__xludf.DUMMYFUNCTION("""COMPUTED_VALUE"""),"1926-B")</f>
        <v>1926-B</v>
      </c>
      <c r="B178" s="5" t="str">
        <f ca="1">IFERROR(__xludf.DUMMYFUNCTION("""COMPUTED_VALUE"""),"القاهرة")</f>
        <v>القاهرة</v>
      </c>
      <c r="C178" s="5" t="str">
        <f ca="1">IFERROR(__xludf.DUMMYFUNCTION("""COMPUTED_VALUE"""),"حدائق القبة")</f>
        <v>حدائق القبة</v>
      </c>
      <c r="D178" s="5" t="str">
        <f ca="1">IFERROR(__xludf.DUMMYFUNCTION("""COMPUTED_VALUE"""),"معمل")</f>
        <v>معمل</v>
      </c>
      <c r="E178" s="5" t="str">
        <f ca="1">IFERROR(__xludf.DUMMYFUNCTION("""COMPUTED_VALUE"""),"معمل")</f>
        <v>معمل</v>
      </c>
      <c r="F178" s="5" t="str">
        <f ca="1">IFERROR(__xludf.DUMMYFUNCTION("""COMPUTED_VALUE"""),"معمل التحاليل الطبية")</f>
        <v>معمل التحاليل الطبية</v>
      </c>
      <c r="G178" s="5" t="str">
        <f ca="1">IFERROR(__xludf.DUMMYFUNCTION("""COMPUTED_VALUE"""),"معمل رويال لاب")</f>
        <v>معمل رويال لاب</v>
      </c>
      <c r="H178" s="5" t="str">
        <f ca="1">IFERROR(__xludf.DUMMYFUNCTION("""COMPUTED_VALUE"""),"127 ش. مصر السودان - عمارة اللؤلؤة - - برج ( ج ) - شقة 3 .")</f>
        <v>127 ش. مصر السودان - عمارة اللؤلؤة - - برج ( ج ) - شقة 3 .</v>
      </c>
      <c r="I178" s="6" t="str">
        <f ca="1">IFERROR(__xludf.DUMMYFUNCTION("""COMPUTED_VALUE"""),"0224342884")</f>
        <v>0224342884</v>
      </c>
      <c r="J178" s="6" t="str">
        <f ca="1">IFERROR(__xludf.DUMMYFUNCTION("""COMPUTED_VALUE"""),"16064")</f>
        <v>16064</v>
      </c>
      <c r="K178" s="6" t="str">
        <f ca="1">IFERROR(__xludf.DUMMYFUNCTION("""COMPUTED_VALUE"""),"نسبة خصم 40%")</f>
        <v>نسبة خصم 40%</v>
      </c>
    </row>
    <row r="179" spans="1:11" x14ac:dyDescent="0.25">
      <c r="A179" s="4" t="str">
        <f ca="1">IFERROR(__xludf.DUMMYFUNCTION("""COMPUTED_VALUE"""),"1926-B")</f>
        <v>1926-B</v>
      </c>
      <c r="B179" s="5" t="str">
        <f ca="1">IFERROR(__xludf.DUMMYFUNCTION("""COMPUTED_VALUE"""),"القاهرة")</f>
        <v>القاهرة</v>
      </c>
      <c r="C179" s="5" t="str">
        <f ca="1">IFERROR(__xludf.DUMMYFUNCTION("""COMPUTED_VALUE"""),"جسر السويس")</f>
        <v>جسر السويس</v>
      </c>
      <c r="D179" s="5" t="str">
        <f ca="1">IFERROR(__xludf.DUMMYFUNCTION("""COMPUTED_VALUE"""),"معمل")</f>
        <v>معمل</v>
      </c>
      <c r="E179" s="5" t="str">
        <f ca="1">IFERROR(__xludf.DUMMYFUNCTION("""COMPUTED_VALUE"""),"معمل")</f>
        <v>معمل</v>
      </c>
      <c r="F179" s="5" t="str">
        <f ca="1">IFERROR(__xludf.DUMMYFUNCTION("""COMPUTED_VALUE"""),"معمل التحاليل الطبية")</f>
        <v>معمل التحاليل الطبية</v>
      </c>
      <c r="G179" s="5" t="str">
        <f ca="1">IFERROR(__xludf.DUMMYFUNCTION("""COMPUTED_VALUE"""),"معمل رويال لاب")</f>
        <v>معمل رويال لاب</v>
      </c>
      <c r="H179" s="5" t="str">
        <f ca="1">IFERROR(__xludf.DUMMYFUNCTION("""COMPUTED_VALUE"""),"100 أ شارع جسر السويس – ميدان الالف مسكن - شقة رقم ( 2 ) - الدور الرابع .")</f>
        <v>100 أ شارع جسر السويس – ميدان الالف مسكن - شقة رقم ( 2 ) - الدور الرابع .</v>
      </c>
      <c r="I179" s="6" t="str">
        <f ca="1">IFERROR(__xludf.DUMMYFUNCTION("""COMPUTED_VALUE"""),"0228536209")</f>
        <v>0228536209</v>
      </c>
      <c r="J179" s="6" t="str">
        <f ca="1">IFERROR(__xludf.DUMMYFUNCTION("""COMPUTED_VALUE"""),"16064")</f>
        <v>16064</v>
      </c>
      <c r="K179" s="6" t="str">
        <f ca="1">IFERROR(__xludf.DUMMYFUNCTION("""COMPUTED_VALUE"""),"نسبة خصم 40%")</f>
        <v>نسبة خصم 40%</v>
      </c>
    </row>
    <row r="180" spans="1:11" x14ac:dyDescent="0.25">
      <c r="A180" s="4" t="str">
        <f ca="1">IFERROR(__xludf.DUMMYFUNCTION("""COMPUTED_VALUE"""),"1926-B")</f>
        <v>1926-B</v>
      </c>
      <c r="B180" s="5" t="str">
        <f ca="1">IFERROR(__xludf.DUMMYFUNCTION("""COMPUTED_VALUE"""),"القاهرة")</f>
        <v>القاهرة</v>
      </c>
      <c r="C180" s="5" t="str">
        <f ca="1">IFERROR(__xludf.DUMMYFUNCTION("""COMPUTED_VALUE"""),"عين شمس")</f>
        <v>عين شمس</v>
      </c>
      <c r="D180" s="5" t="str">
        <f ca="1">IFERROR(__xludf.DUMMYFUNCTION("""COMPUTED_VALUE"""),"معمل")</f>
        <v>معمل</v>
      </c>
      <c r="E180" s="5" t="str">
        <f ca="1">IFERROR(__xludf.DUMMYFUNCTION("""COMPUTED_VALUE"""),"معمل")</f>
        <v>معمل</v>
      </c>
      <c r="F180" s="5" t="str">
        <f ca="1">IFERROR(__xludf.DUMMYFUNCTION("""COMPUTED_VALUE"""),"معمل التحاليل الطبية")</f>
        <v>معمل التحاليل الطبية</v>
      </c>
      <c r="G180" s="5" t="str">
        <f ca="1">IFERROR(__xludf.DUMMYFUNCTION("""COMPUTED_VALUE"""),"معمل رويال لاب")</f>
        <v>معمل رويال لاب</v>
      </c>
      <c r="H180" s="5" t="str">
        <f ca="1">IFERROR(__xludf.DUMMYFUNCTION("""COMPUTED_VALUE"""),"شارع عين شمس برج ( أ ) ابراج غنيم الشقة رقم ( 8) بالدورالاول فوق الارضى بالعقاررقم (68 )")</f>
        <v>شارع عين شمس برج ( أ ) ابراج غنيم الشقة رقم ( 8) بالدورالاول فوق الارضى بالعقاررقم (68 )</v>
      </c>
      <c r="I180" s="6" t="str">
        <f ca="1">IFERROR(__xludf.DUMMYFUNCTION("""COMPUTED_VALUE"""),"0224991298")</f>
        <v>0224991298</v>
      </c>
      <c r="J180" s="6" t="str">
        <f ca="1">IFERROR(__xludf.DUMMYFUNCTION("""COMPUTED_VALUE"""),"16064")</f>
        <v>16064</v>
      </c>
      <c r="K180" s="6" t="str">
        <f ca="1">IFERROR(__xludf.DUMMYFUNCTION("""COMPUTED_VALUE"""),"نسبة خصم 40%")</f>
        <v>نسبة خصم 40%</v>
      </c>
    </row>
    <row r="181" spans="1:11" x14ac:dyDescent="0.25">
      <c r="A181" s="4" t="str">
        <f ca="1">IFERROR(__xludf.DUMMYFUNCTION("""COMPUTED_VALUE"""),"1926-B")</f>
        <v>1926-B</v>
      </c>
      <c r="B181" s="5" t="str">
        <f ca="1">IFERROR(__xludf.DUMMYFUNCTION("""COMPUTED_VALUE"""),"القاهرة")</f>
        <v>القاهرة</v>
      </c>
      <c r="C181" s="5" t="str">
        <f ca="1">IFERROR(__xludf.DUMMYFUNCTION("""COMPUTED_VALUE"""),"السيدة زينب")</f>
        <v>السيدة زينب</v>
      </c>
      <c r="D181" s="5" t="str">
        <f ca="1">IFERROR(__xludf.DUMMYFUNCTION("""COMPUTED_VALUE"""),"معمل")</f>
        <v>معمل</v>
      </c>
      <c r="E181" s="5" t="str">
        <f ca="1">IFERROR(__xludf.DUMMYFUNCTION("""COMPUTED_VALUE"""),"معمل")</f>
        <v>معمل</v>
      </c>
      <c r="F181" s="5" t="str">
        <f ca="1">IFERROR(__xludf.DUMMYFUNCTION("""COMPUTED_VALUE"""),"معمل التحاليل الطبية")</f>
        <v>معمل التحاليل الطبية</v>
      </c>
      <c r="G181" s="5" t="str">
        <f ca="1">IFERROR(__xludf.DUMMYFUNCTION("""COMPUTED_VALUE"""),"معمل رويال لاب")</f>
        <v>معمل رويال لاب</v>
      </c>
      <c r="H181" s="5" t="str">
        <f ca="1">IFERROR(__xludf.DUMMYFUNCTION("""COMPUTED_VALUE"""),"الشقة رقم ( 14 ) بالدور الثانى علوى بالعقار رقم ( 302 و 304 ) شارع بور سعيد امام مستشفى أحمد ماهر - قسم الدرب الاحمر- القاهرة")</f>
        <v>الشقة رقم ( 14 ) بالدور الثانى علوى بالعقار رقم ( 302 و 304 ) شارع بور سعيد امام مستشفى أحمد ماهر - قسم الدرب الاحمر- القاهرة</v>
      </c>
      <c r="I181" s="6" t="str">
        <f ca="1">IFERROR(__xludf.DUMMYFUNCTION("""COMPUTED_VALUE"""),"0223959347")</f>
        <v>0223959347</v>
      </c>
      <c r="J181" s="6" t="str">
        <f ca="1">IFERROR(__xludf.DUMMYFUNCTION("""COMPUTED_VALUE"""),"16064")</f>
        <v>16064</v>
      </c>
      <c r="K181" s="6" t="str">
        <f ca="1">IFERROR(__xludf.DUMMYFUNCTION("""COMPUTED_VALUE"""),"نسبة خصم 40%")</f>
        <v>نسبة خصم 40%</v>
      </c>
    </row>
    <row r="182" spans="1:11" x14ac:dyDescent="0.25">
      <c r="A182" s="4" t="str">
        <f ca="1">IFERROR(__xludf.DUMMYFUNCTION("""COMPUTED_VALUE"""),"1926-B")</f>
        <v>1926-B</v>
      </c>
      <c r="B182" s="5" t="str">
        <f ca="1">IFERROR(__xludf.DUMMYFUNCTION("""COMPUTED_VALUE"""),"القاهرة")</f>
        <v>القاهرة</v>
      </c>
      <c r="C182" s="5" t="str">
        <f ca="1">IFERROR(__xludf.DUMMYFUNCTION("""COMPUTED_VALUE"""),"شبرا")</f>
        <v>شبرا</v>
      </c>
      <c r="D182" s="5" t="str">
        <f ca="1">IFERROR(__xludf.DUMMYFUNCTION("""COMPUTED_VALUE"""),"معمل")</f>
        <v>معمل</v>
      </c>
      <c r="E182" s="5" t="str">
        <f ca="1">IFERROR(__xludf.DUMMYFUNCTION("""COMPUTED_VALUE"""),"معمل")</f>
        <v>معمل</v>
      </c>
      <c r="F182" s="5" t="str">
        <f ca="1">IFERROR(__xludf.DUMMYFUNCTION("""COMPUTED_VALUE"""),"معمل التحاليل الطبية")</f>
        <v>معمل التحاليل الطبية</v>
      </c>
      <c r="G182" s="5" t="str">
        <f ca="1">IFERROR(__xludf.DUMMYFUNCTION("""COMPUTED_VALUE"""),"معمل رويال لاب")</f>
        <v>معمل رويال لاب</v>
      </c>
      <c r="H182" s="5" t="str">
        <f ca="1">IFERROR(__xludf.DUMMYFUNCTION("""COMPUTED_VALUE"""),"الشقة رقم (5) بالدورالثانى علوى بالعقار رقم ( 53 ) الكائن بشارع محمد الخلفاوى- الساحل – القاهرة .")</f>
        <v>الشقة رقم (5) بالدورالثانى علوى بالعقار رقم ( 53 ) الكائن بشارع محمد الخلفاوى- الساحل – القاهرة .</v>
      </c>
      <c r="I182" s="6" t="str">
        <f ca="1">IFERROR(__xludf.DUMMYFUNCTION("""COMPUTED_VALUE"""),"0222041136")</f>
        <v>0222041136</v>
      </c>
      <c r="J182" s="6" t="str">
        <f ca="1">IFERROR(__xludf.DUMMYFUNCTION("""COMPUTED_VALUE"""),"16064")</f>
        <v>16064</v>
      </c>
      <c r="K182" s="6" t="str">
        <f ca="1">IFERROR(__xludf.DUMMYFUNCTION("""COMPUTED_VALUE"""),"نسبة خصم 40%")</f>
        <v>نسبة خصم 40%</v>
      </c>
    </row>
    <row r="183" spans="1:11" x14ac:dyDescent="0.25">
      <c r="A183" s="4" t="str">
        <f ca="1">IFERROR(__xludf.DUMMYFUNCTION("""COMPUTED_VALUE"""),"1926-B")</f>
        <v>1926-B</v>
      </c>
      <c r="B183" s="5" t="str">
        <f ca="1">IFERROR(__xludf.DUMMYFUNCTION("""COMPUTED_VALUE"""),"القاهرة")</f>
        <v>القاهرة</v>
      </c>
      <c r="C183" s="5" t="str">
        <f ca="1">IFERROR(__xludf.DUMMYFUNCTION("""COMPUTED_VALUE"""),"القاهرة الجديدة")</f>
        <v>القاهرة الجديدة</v>
      </c>
      <c r="D183" s="5" t="str">
        <f ca="1">IFERROR(__xludf.DUMMYFUNCTION("""COMPUTED_VALUE"""),"معمل")</f>
        <v>معمل</v>
      </c>
      <c r="E183" s="5" t="str">
        <f ca="1">IFERROR(__xludf.DUMMYFUNCTION("""COMPUTED_VALUE"""),"معمل")</f>
        <v>معمل</v>
      </c>
      <c r="F183" s="5" t="str">
        <f ca="1">IFERROR(__xludf.DUMMYFUNCTION("""COMPUTED_VALUE"""),"معمل التحاليل الطبية")</f>
        <v>معمل التحاليل الطبية</v>
      </c>
      <c r="G183" s="5" t="str">
        <f ca="1">IFERROR(__xludf.DUMMYFUNCTION("""COMPUTED_VALUE"""),"معمل رويال لاب")</f>
        <v>معمل رويال لاب</v>
      </c>
      <c r="H183" s="5" t="str">
        <f ca="1">IFERROR(__xludf.DUMMYFUNCTION("""COMPUTED_VALUE"""),"التجمع الخامس - 164 ش التسعين الشمالى - داخل مول ويل كير - بجوار مستشفى الشفاء")</f>
        <v>التجمع الخامس - 164 ش التسعين الشمالى - داخل مول ويل كير - بجوار مستشفى الشفاء</v>
      </c>
      <c r="I183" s="6" t="str">
        <f ca="1">IFERROR(__xludf.DUMMYFUNCTION("""COMPUTED_VALUE"""),"20228138696")</f>
        <v>20228138696</v>
      </c>
      <c r="J183" s="6" t="str">
        <f ca="1">IFERROR(__xludf.DUMMYFUNCTION("""COMPUTED_VALUE"""),"16064")</f>
        <v>16064</v>
      </c>
      <c r="K183" s="6" t="str">
        <f ca="1">IFERROR(__xludf.DUMMYFUNCTION("""COMPUTED_VALUE"""),"نسبة خصم 40%")</f>
        <v>نسبة خصم 40%</v>
      </c>
    </row>
    <row r="184" spans="1:11" x14ac:dyDescent="0.25">
      <c r="A184" s="4" t="str">
        <f ca="1">IFERROR(__xludf.DUMMYFUNCTION("""COMPUTED_VALUE"""),"1926-B")</f>
        <v>1926-B</v>
      </c>
      <c r="B184" s="5" t="str">
        <f ca="1">IFERROR(__xludf.DUMMYFUNCTION("""COMPUTED_VALUE"""),"الجيزة")</f>
        <v>الجيزة</v>
      </c>
      <c r="C184" s="5" t="str">
        <f ca="1">IFERROR(__xludf.DUMMYFUNCTION("""COMPUTED_VALUE"""),"المهندسين")</f>
        <v>المهندسين</v>
      </c>
      <c r="D184" s="5" t="str">
        <f ca="1">IFERROR(__xludf.DUMMYFUNCTION("""COMPUTED_VALUE"""),"معمل")</f>
        <v>معمل</v>
      </c>
      <c r="E184" s="5" t="str">
        <f ca="1">IFERROR(__xludf.DUMMYFUNCTION("""COMPUTED_VALUE"""),"معمل")</f>
        <v>معمل</v>
      </c>
      <c r="F184" s="5" t="str">
        <f ca="1">IFERROR(__xludf.DUMMYFUNCTION("""COMPUTED_VALUE"""),"معمل التحاليل الطبية")</f>
        <v>معمل التحاليل الطبية</v>
      </c>
      <c r="G184" s="5" t="str">
        <f ca="1">IFERROR(__xludf.DUMMYFUNCTION("""COMPUTED_VALUE"""),"معمل رويال لاب")</f>
        <v>معمل رويال لاب</v>
      </c>
      <c r="H184" s="5" t="str">
        <f ca="1">IFERROR(__xludf.DUMMYFUNCTION("""COMPUTED_VALUE"""),"54ش. عبد المنعم رياض - المهندسين")</f>
        <v>54ش. عبد المنعم رياض - المهندسين</v>
      </c>
      <c r="I184" s="6" t="str">
        <f ca="1">IFERROR(__xludf.DUMMYFUNCTION("""COMPUTED_VALUE"""),"33483628")</f>
        <v>33483628</v>
      </c>
      <c r="J184" s="6" t="str">
        <f ca="1">IFERROR(__xludf.DUMMYFUNCTION("""COMPUTED_VALUE"""),"16064")</f>
        <v>16064</v>
      </c>
      <c r="K184" s="6" t="str">
        <f ca="1">IFERROR(__xludf.DUMMYFUNCTION("""COMPUTED_VALUE"""),"نسبة خصم 40%")</f>
        <v>نسبة خصم 40%</v>
      </c>
    </row>
    <row r="185" spans="1:11" x14ac:dyDescent="0.25">
      <c r="A185" s="4" t="str">
        <f ca="1">IFERROR(__xludf.DUMMYFUNCTION("""COMPUTED_VALUE"""),"1926-B")</f>
        <v>1926-B</v>
      </c>
      <c r="B185" s="5" t="str">
        <f ca="1">IFERROR(__xludf.DUMMYFUNCTION("""COMPUTED_VALUE"""),"الجيزة")</f>
        <v>الجيزة</v>
      </c>
      <c r="C185" s="5" t="str">
        <f ca="1">IFERROR(__xludf.DUMMYFUNCTION("""COMPUTED_VALUE"""),"امبابة")</f>
        <v>امبابة</v>
      </c>
      <c r="D185" s="5" t="str">
        <f ca="1">IFERROR(__xludf.DUMMYFUNCTION("""COMPUTED_VALUE"""),"معمل")</f>
        <v>معمل</v>
      </c>
      <c r="E185" s="5" t="str">
        <f ca="1">IFERROR(__xludf.DUMMYFUNCTION("""COMPUTED_VALUE"""),"معمل")</f>
        <v>معمل</v>
      </c>
      <c r="F185" s="5" t="str">
        <f ca="1">IFERROR(__xludf.DUMMYFUNCTION("""COMPUTED_VALUE"""),"معمل التحاليل الطبية")</f>
        <v>معمل التحاليل الطبية</v>
      </c>
      <c r="G185" s="5" t="str">
        <f ca="1">IFERROR(__xludf.DUMMYFUNCTION("""COMPUTED_VALUE"""),"معمل رويال لاب")</f>
        <v>معمل رويال لاب</v>
      </c>
      <c r="H185" s="5" t="str">
        <f ca="1">IFERROR(__xludf.DUMMYFUNCTION("""COMPUTED_VALUE"""),"202 شارع الوحدة - اعلي اتصالات - الدور الاول .")</f>
        <v>202 شارع الوحدة - اعلي اتصالات - الدور الاول .</v>
      </c>
      <c r="I185" s="6" t="str">
        <f ca="1">IFERROR(__xludf.DUMMYFUNCTION("""COMPUTED_VALUE"""),"033123233")</f>
        <v>033123233</v>
      </c>
      <c r="J185" s="6" t="str">
        <f ca="1">IFERROR(__xludf.DUMMYFUNCTION("""COMPUTED_VALUE"""),"16064")</f>
        <v>16064</v>
      </c>
      <c r="K185" s="6" t="str">
        <f ca="1">IFERROR(__xludf.DUMMYFUNCTION("""COMPUTED_VALUE"""),"نسبة خصم 40%")</f>
        <v>نسبة خصم 40%</v>
      </c>
    </row>
    <row r="186" spans="1:11" x14ac:dyDescent="0.25">
      <c r="A186" s="4" t="str">
        <f ca="1">IFERROR(__xludf.DUMMYFUNCTION("""COMPUTED_VALUE"""),"1926-B")</f>
        <v>1926-B</v>
      </c>
      <c r="B186" s="5" t="str">
        <f ca="1">IFERROR(__xludf.DUMMYFUNCTION("""COMPUTED_VALUE"""),"الجيزة")</f>
        <v>الجيزة</v>
      </c>
      <c r="C186" s="5" t="str">
        <f ca="1">IFERROR(__xludf.DUMMYFUNCTION("""COMPUTED_VALUE"""),"الجيزة")</f>
        <v>الجيزة</v>
      </c>
      <c r="D186" s="5" t="str">
        <f ca="1">IFERROR(__xludf.DUMMYFUNCTION("""COMPUTED_VALUE"""),"معمل")</f>
        <v>معمل</v>
      </c>
      <c r="E186" s="5" t="str">
        <f ca="1">IFERROR(__xludf.DUMMYFUNCTION("""COMPUTED_VALUE"""),"معمل")</f>
        <v>معمل</v>
      </c>
      <c r="F186" s="5" t="str">
        <f ca="1">IFERROR(__xludf.DUMMYFUNCTION("""COMPUTED_VALUE"""),"معمل التحاليل الطبية")</f>
        <v>معمل التحاليل الطبية</v>
      </c>
      <c r="G186" s="5" t="str">
        <f ca="1">IFERROR(__xludf.DUMMYFUNCTION("""COMPUTED_VALUE"""),"معمل رويال لاب")</f>
        <v>معمل رويال لاب</v>
      </c>
      <c r="H186" s="5" t="str">
        <f ca="1">IFERROR(__xludf.DUMMYFUNCTION("""COMPUTED_VALUE"""),"5شارع مراد اعلى صيدلية مصر - الدور الاول")</f>
        <v>5شارع مراد اعلى صيدلية مصر - الدور الاول</v>
      </c>
      <c r="I186" s="6" t="str">
        <f ca="1">IFERROR(__xludf.DUMMYFUNCTION("""COMPUTED_VALUE"""),"0235718019")</f>
        <v>0235718019</v>
      </c>
      <c r="J186" s="6" t="str">
        <f ca="1">IFERROR(__xludf.DUMMYFUNCTION("""COMPUTED_VALUE"""),"16064")</f>
        <v>16064</v>
      </c>
      <c r="K186" s="6" t="str">
        <f ca="1">IFERROR(__xludf.DUMMYFUNCTION("""COMPUTED_VALUE"""),"نسبة خصم 40%")</f>
        <v>نسبة خصم 40%</v>
      </c>
    </row>
    <row r="187" spans="1:11" x14ac:dyDescent="0.25">
      <c r="A187" s="4" t="str">
        <f ca="1">IFERROR(__xludf.DUMMYFUNCTION("""COMPUTED_VALUE"""),"1926-B")</f>
        <v>1926-B</v>
      </c>
      <c r="B187" s="5" t="str">
        <f ca="1">IFERROR(__xludf.DUMMYFUNCTION("""COMPUTED_VALUE"""),"القليوبية")</f>
        <v>القليوبية</v>
      </c>
      <c r="C187" s="5" t="str">
        <f ca="1">IFERROR(__xludf.DUMMYFUNCTION("""COMPUTED_VALUE"""),"مدينة العبور")</f>
        <v>مدينة العبور</v>
      </c>
      <c r="D187" s="5" t="str">
        <f ca="1">IFERROR(__xludf.DUMMYFUNCTION("""COMPUTED_VALUE"""),"معمل")</f>
        <v>معمل</v>
      </c>
      <c r="E187" s="5" t="str">
        <f ca="1">IFERROR(__xludf.DUMMYFUNCTION("""COMPUTED_VALUE"""),"معمل")</f>
        <v>معمل</v>
      </c>
      <c r="F187" s="5" t="str">
        <f ca="1">IFERROR(__xludf.DUMMYFUNCTION("""COMPUTED_VALUE"""),"معمل التحاليل الطبية")</f>
        <v>معمل التحاليل الطبية</v>
      </c>
      <c r="G187" s="5" t="str">
        <f ca="1">IFERROR(__xludf.DUMMYFUNCTION("""COMPUTED_VALUE"""),"معمل رويال لاب")</f>
        <v>معمل رويال لاب</v>
      </c>
      <c r="H187" s="5" t="str">
        <f ca="1">IFERROR(__xludf.DUMMYFUNCTION("""COMPUTED_VALUE"""),"الحى الاول - مول الحجاز - الدور الثالث مدينة العبور- شقة 186 - الدور الثالث .")</f>
        <v>الحى الاول - مول الحجاز - الدور الثالث مدينة العبور- شقة 186 - الدور الثالث .</v>
      </c>
      <c r="I187" s="6"/>
      <c r="J187" s="6" t="str">
        <f ca="1">IFERROR(__xludf.DUMMYFUNCTION("""COMPUTED_VALUE"""),"16064")</f>
        <v>16064</v>
      </c>
      <c r="K187" s="6" t="str">
        <f ca="1">IFERROR(__xludf.DUMMYFUNCTION("""COMPUTED_VALUE"""),"نسبة خصم 40%")</f>
        <v>نسبة خصم 40%</v>
      </c>
    </row>
    <row r="188" spans="1:11" x14ac:dyDescent="0.25">
      <c r="A188" s="4" t="str">
        <f ca="1">IFERROR(__xludf.DUMMYFUNCTION("""COMPUTED_VALUE"""),"1926-B")</f>
        <v>1926-B</v>
      </c>
      <c r="B188" s="5" t="str">
        <f ca="1">IFERROR(__xludf.DUMMYFUNCTION("""COMPUTED_VALUE"""),"أسيوط")</f>
        <v>أسيوط</v>
      </c>
      <c r="C188" s="5" t="str">
        <f ca="1">IFERROR(__xludf.DUMMYFUNCTION("""COMPUTED_VALUE"""),"أسيوط")</f>
        <v>أسيوط</v>
      </c>
      <c r="D188" s="5" t="str">
        <f ca="1">IFERROR(__xludf.DUMMYFUNCTION("""COMPUTED_VALUE"""),"معمل")</f>
        <v>معمل</v>
      </c>
      <c r="E188" s="5" t="str">
        <f ca="1">IFERROR(__xludf.DUMMYFUNCTION("""COMPUTED_VALUE"""),"معمل")</f>
        <v>معمل</v>
      </c>
      <c r="F188" s="5" t="str">
        <f ca="1">IFERROR(__xludf.DUMMYFUNCTION("""COMPUTED_VALUE"""),"معمل التحاليل الطبية")</f>
        <v>معمل التحاليل الطبية</v>
      </c>
      <c r="G188" s="5" t="str">
        <f ca="1">IFERROR(__xludf.DUMMYFUNCTION("""COMPUTED_VALUE"""),"معمل رويال لاب")</f>
        <v>معمل رويال لاب</v>
      </c>
      <c r="H188" s="5" t="str">
        <f ca="1">IFERROR(__xludf.DUMMYFUNCTION("""COMPUTED_VALUE"""),"القوصية - شارع الجلاء - امام مجلس المدينة")</f>
        <v>القوصية - شارع الجلاء - امام مجلس المدينة</v>
      </c>
      <c r="I188" s="6" t="str">
        <f ca="1">IFERROR(__xludf.DUMMYFUNCTION("""COMPUTED_VALUE"""),"0884757710")</f>
        <v>0884757710</v>
      </c>
      <c r="J188" s="6" t="str">
        <f ca="1">IFERROR(__xludf.DUMMYFUNCTION("""COMPUTED_VALUE"""),"16064")</f>
        <v>16064</v>
      </c>
      <c r="K188" s="6" t="str">
        <f ca="1">IFERROR(__xludf.DUMMYFUNCTION("""COMPUTED_VALUE"""),"نسبة خصم 40%")</f>
        <v>نسبة خصم 40%</v>
      </c>
    </row>
    <row r="189" spans="1:11" x14ac:dyDescent="0.25">
      <c r="A189" s="4" t="str">
        <f ca="1">IFERROR(__xludf.DUMMYFUNCTION("""COMPUTED_VALUE"""),"1926-B")</f>
        <v>1926-B</v>
      </c>
      <c r="B189" s="5" t="str">
        <f ca="1">IFERROR(__xludf.DUMMYFUNCTION("""COMPUTED_VALUE"""),"المنيا")</f>
        <v>المنيا</v>
      </c>
      <c r="C189" s="5" t="str">
        <f ca="1">IFERROR(__xludf.DUMMYFUNCTION("""COMPUTED_VALUE"""),"ملوي")</f>
        <v>ملوي</v>
      </c>
      <c r="D189" s="5" t="str">
        <f ca="1">IFERROR(__xludf.DUMMYFUNCTION("""COMPUTED_VALUE"""),"معمل")</f>
        <v>معمل</v>
      </c>
      <c r="E189" s="5" t="str">
        <f ca="1">IFERROR(__xludf.DUMMYFUNCTION("""COMPUTED_VALUE"""),"معمل")</f>
        <v>معمل</v>
      </c>
      <c r="F189" s="5" t="str">
        <f ca="1">IFERROR(__xludf.DUMMYFUNCTION("""COMPUTED_VALUE"""),"معمل التحاليل الطبية")</f>
        <v>معمل التحاليل الطبية</v>
      </c>
      <c r="G189" s="5" t="str">
        <f ca="1">IFERROR(__xludf.DUMMYFUNCTION("""COMPUTED_VALUE"""),"معمل رويال لاب")</f>
        <v>معمل رويال لاب</v>
      </c>
      <c r="H189" s="5" t="str">
        <f ca="1">IFERROR(__xludf.DUMMYFUNCTION("""COMPUTED_VALUE"""),"14 شارع الجلاء بجوار مستشفى طيبه")</f>
        <v>14 شارع الجلاء بجوار مستشفى طيبه</v>
      </c>
      <c r="I189" s="6" t="str">
        <f ca="1">IFERROR(__xludf.DUMMYFUNCTION("""COMPUTED_VALUE"""),"0862577255")</f>
        <v>0862577255</v>
      </c>
      <c r="J189" s="6" t="str">
        <f ca="1">IFERROR(__xludf.DUMMYFUNCTION("""COMPUTED_VALUE"""),"16064")</f>
        <v>16064</v>
      </c>
      <c r="K189" s="6" t="str">
        <f ca="1">IFERROR(__xludf.DUMMYFUNCTION("""COMPUTED_VALUE"""),"نسبة خصم 40%")</f>
        <v>نسبة خصم 40%</v>
      </c>
    </row>
    <row r="190" spans="1:11" x14ac:dyDescent="0.25">
      <c r="A190" s="4" t="str">
        <f ca="1">IFERROR(__xludf.DUMMYFUNCTION("""COMPUTED_VALUE"""),"1926-B")</f>
        <v>1926-B</v>
      </c>
      <c r="B190" s="5" t="str">
        <f ca="1">IFERROR(__xludf.DUMMYFUNCTION("""COMPUTED_VALUE"""),"سوهاج")</f>
        <v>سوهاج</v>
      </c>
      <c r="C190" s="5" t="str">
        <f ca="1">IFERROR(__xludf.DUMMYFUNCTION("""COMPUTED_VALUE"""),"سوهاج")</f>
        <v>سوهاج</v>
      </c>
      <c r="D190" s="5" t="str">
        <f ca="1">IFERROR(__xludf.DUMMYFUNCTION("""COMPUTED_VALUE"""),"معمل")</f>
        <v>معمل</v>
      </c>
      <c r="E190" s="5" t="str">
        <f ca="1">IFERROR(__xludf.DUMMYFUNCTION("""COMPUTED_VALUE"""),"معمل")</f>
        <v>معمل</v>
      </c>
      <c r="F190" s="5" t="str">
        <f ca="1">IFERROR(__xludf.DUMMYFUNCTION("""COMPUTED_VALUE"""),"معمل التحاليل الطبية")</f>
        <v>معمل التحاليل الطبية</v>
      </c>
      <c r="G190" s="5" t="str">
        <f ca="1">IFERROR(__xludf.DUMMYFUNCTION("""COMPUTED_VALUE"""),"معمل رويال لاب")</f>
        <v>معمل رويال لاب</v>
      </c>
      <c r="H190" s="5" t="str">
        <f ca="1">IFERROR(__xludf.DUMMYFUNCTION("""COMPUTED_VALUE"""),"2ش المخبز الالى - برج العروبه الدور الخامس علوى")</f>
        <v>2ش المخبز الالى - برج العروبه الدور الخامس علوى</v>
      </c>
      <c r="I190" s="6" t="str">
        <f ca="1">IFERROR(__xludf.DUMMYFUNCTION("""COMPUTED_VALUE"""),"0932360991")</f>
        <v>0932360991</v>
      </c>
      <c r="J190" s="6" t="str">
        <f ca="1">IFERROR(__xludf.DUMMYFUNCTION("""COMPUTED_VALUE"""),"16064")</f>
        <v>16064</v>
      </c>
      <c r="K190" s="6" t="str">
        <f ca="1">IFERROR(__xludf.DUMMYFUNCTION("""COMPUTED_VALUE"""),"نسبة خصم 40%")</f>
        <v>نسبة خصم 40%</v>
      </c>
    </row>
    <row r="191" spans="1:11" x14ac:dyDescent="0.25">
      <c r="A191" s="4" t="str">
        <f ca="1">IFERROR(__xludf.DUMMYFUNCTION("""COMPUTED_VALUE"""),"1926-B")</f>
        <v>1926-B</v>
      </c>
      <c r="B191" s="5" t="str">
        <f ca="1">IFERROR(__xludf.DUMMYFUNCTION("""COMPUTED_VALUE"""),"الاسكندرية")</f>
        <v>الاسكندرية</v>
      </c>
      <c r="C191" s="5" t="str">
        <f ca="1">IFERROR(__xludf.DUMMYFUNCTION("""COMPUTED_VALUE"""),"محطة الرمل")</f>
        <v>محطة الرمل</v>
      </c>
      <c r="D191" s="5" t="str">
        <f ca="1">IFERROR(__xludf.DUMMYFUNCTION("""COMPUTED_VALUE"""),"معمل")</f>
        <v>معمل</v>
      </c>
      <c r="E191" s="5" t="str">
        <f ca="1">IFERROR(__xludf.DUMMYFUNCTION("""COMPUTED_VALUE"""),"معمل")</f>
        <v>معمل</v>
      </c>
      <c r="F191" s="5" t="str">
        <f ca="1">IFERROR(__xludf.DUMMYFUNCTION("""COMPUTED_VALUE"""),"معمل التحاليل الطبية")</f>
        <v>معمل التحاليل الطبية</v>
      </c>
      <c r="G191" s="5" t="str">
        <f ca="1">IFERROR(__xludf.DUMMYFUNCTION("""COMPUTED_VALUE"""),"معمل رويال لاب")</f>
        <v>معمل رويال لاب</v>
      </c>
      <c r="H191" s="5" t="str">
        <f ca="1">IFERROR(__xludf.DUMMYFUNCTION("""COMPUTED_VALUE"""),"36شارع سعد زغلول -العطارين -محطة الرمل عمارة شيكوريل - الدور الثالث")</f>
        <v>36شارع سعد زغلول -العطارين -محطة الرمل عمارة شيكوريل - الدور الثالث</v>
      </c>
      <c r="I191" s="6" t="str">
        <f ca="1">IFERROR(__xludf.DUMMYFUNCTION("""COMPUTED_VALUE"""),"03-4819837")</f>
        <v>03-4819837</v>
      </c>
      <c r="J191" s="6" t="str">
        <f ca="1">IFERROR(__xludf.DUMMYFUNCTION("""COMPUTED_VALUE"""),"16064")</f>
        <v>16064</v>
      </c>
      <c r="K191" s="6" t="str">
        <f ca="1">IFERROR(__xludf.DUMMYFUNCTION("""COMPUTED_VALUE"""),"نسبة خصم 40%")</f>
        <v>نسبة خصم 40%</v>
      </c>
    </row>
    <row r="192" spans="1:11" x14ac:dyDescent="0.25">
      <c r="A192" s="4" t="str">
        <f ca="1">IFERROR(__xludf.DUMMYFUNCTION("""COMPUTED_VALUE"""),"1926-B")</f>
        <v>1926-B</v>
      </c>
      <c r="B192" s="5" t="str">
        <f ca="1">IFERROR(__xludf.DUMMYFUNCTION("""COMPUTED_VALUE"""),"الاسكندرية")</f>
        <v>الاسكندرية</v>
      </c>
      <c r="C192" s="5" t="str">
        <f ca="1">IFERROR(__xludf.DUMMYFUNCTION("""COMPUTED_VALUE"""),"سموحة")</f>
        <v>سموحة</v>
      </c>
      <c r="D192" s="5" t="str">
        <f ca="1">IFERROR(__xludf.DUMMYFUNCTION("""COMPUTED_VALUE"""),"معمل")</f>
        <v>معمل</v>
      </c>
      <c r="E192" s="5" t="str">
        <f ca="1">IFERROR(__xludf.DUMMYFUNCTION("""COMPUTED_VALUE"""),"معمل")</f>
        <v>معمل</v>
      </c>
      <c r="F192" s="5" t="str">
        <f ca="1">IFERROR(__xludf.DUMMYFUNCTION("""COMPUTED_VALUE"""),"معمل التحاليل الطبية")</f>
        <v>معمل التحاليل الطبية</v>
      </c>
      <c r="G192" s="5" t="str">
        <f ca="1">IFERROR(__xludf.DUMMYFUNCTION("""COMPUTED_VALUE"""),"معمل رويال لاب")</f>
        <v>معمل رويال لاب</v>
      </c>
      <c r="H192" s="5" t="str">
        <f ca="1">IFERROR(__xludf.DUMMYFUNCTION("""COMPUTED_VALUE"""),"محلات ماكس للملابس, ش فوزى معاذ- ابراج الصفوة-2 فوق")</f>
        <v>محلات ماكس للملابس, ش فوزى معاذ- ابراج الصفوة-2 فوق</v>
      </c>
      <c r="I192" s="6" t="str">
        <f ca="1">IFERROR(__xludf.DUMMYFUNCTION("""COMPUTED_VALUE"""),"03-4292930")</f>
        <v>03-4292930</v>
      </c>
      <c r="J192" s="6" t="str">
        <f ca="1">IFERROR(__xludf.DUMMYFUNCTION("""COMPUTED_VALUE"""),"16064")</f>
        <v>16064</v>
      </c>
      <c r="K192" s="6" t="str">
        <f ca="1">IFERROR(__xludf.DUMMYFUNCTION("""COMPUTED_VALUE"""),"نسبة خصم 40%")</f>
        <v>نسبة خصم 40%</v>
      </c>
    </row>
    <row r="193" spans="1:11" x14ac:dyDescent="0.25">
      <c r="A193" s="4" t="str">
        <f ca="1">IFERROR(__xludf.DUMMYFUNCTION("""COMPUTED_VALUE"""),"1926-B")</f>
        <v>1926-B</v>
      </c>
      <c r="B193" s="5" t="str">
        <f ca="1">IFERROR(__xludf.DUMMYFUNCTION("""COMPUTED_VALUE"""),"الاسكندرية")</f>
        <v>الاسكندرية</v>
      </c>
      <c r="C193" s="5" t="str">
        <f ca="1">IFERROR(__xludf.DUMMYFUNCTION("""COMPUTED_VALUE"""),"المندرة")</f>
        <v>المندرة</v>
      </c>
      <c r="D193" s="5" t="str">
        <f ca="1">IFERROR(__xludf.DUMMYFUNCTION("""COMPUTED_VALUE"""),"معمل")</f>
        <v>معمل</v>
      </c>
      <c r="E193" s="5" t="str">
        <f ca="1">IFERROR(__xludf.DUMMYFUNCTION("""COMPUTED_VALUE"""),"معمل")</f>
        <v>معمل</v>
      </c>
      <c r="F193" s="5" t="str">
        <f ca="1">IFERROR(__xludf.DUMMYFUNCTION("""COMPUTED_VALUE"""),"معمل التحاليل الطبية")</f>
        <v>معمل التحاليل الطبية</v>
      </c>
      <c r="G193" s="5" t="str">
        <f ca="1">IFERROR(__xludf.DUMMYFUNCTION("""COMPUTED_VALUE"""),"معمل رويال لاب")</f>
        <v>معمل رويال لاب</v>
      </c>
      <c r="H193" s="5" t="str">
        <f ca="1">IFERROR(__xludf.DUMMYFUNCTION("""COMPUTED_VALUE"""),"457شارع جمال عبد الناصر المندرة- برج ايتاب -الدور الثانى بجوار حسنى للمشويات")</f>
        <v>457شارع جمال عبد الناصر المندرة- برج ايتاب -الدور الثانى بجوار حسنى للمشويات</v>
      </c>
      <c r="I193" s="6" t="str">
        <f ca="1">IFERROR(__xludf.DUMMYFUNCTION("""COMPUTED_VALUE"""),"03-5533301")</f>
        <v>03-5533301</v>
      </c>
      <c r="J193" s="6" t="str">
        <f ca="1">IFERROR(__xludf.DUMMYFUNCTION("""COMPUTED_VALUE"""),"16064")</f>
        <v>16064</v>
      </c>
      <c r="K193" s="6" t="str">
        <f ca="1">IFERROR(__xludf.DUMMYFUNCTION("""COMPUTED_VALUE"""),"نسبة خصم 40%")</f>
        <v>نسبة خصم 40%</v>
      </c>
    </row>
    <row r="194" spans="1:11" x14ac:dyDescent="0.25">
      <c r="A194" s="4" t="str">
        <f ca="1">IFERROR(__xludf.DUMMYFUNCTION("""COMPUTED_VALUE"""),"1926-B")</f>
        <v>1926-B</v>
      </c>
      <c r="B194" s="5" t="str">
        <f ca="1">IFERROR(__xludf.DUMMYFUNCTION("""COMPUTED_VALUE"""),"الاسكندرية")</f>
        <v>الاسكندرية</v>
      </c>
      <c r="C194" s="5" t="str">
        <f ca="1">IFERROR(__xludf.DUMMYFUNCTION("""COMPUTED_VALUE"""),"السيوف")</f>
        <v>السيوف</v>
      </c>
      <c r="D194" s="5" t="str">
        <f ca="1">IFERROR(__xludf.DUMMYFUNCTION("""COMPUTED_VALUE"""),"معمل")</f>
        <v>معمل</v>
      </c>
      <c r="E194" s="5" t="str">
        <f ca="1">IFERROR(__xludf.DUMMYFUNCTION("""COMPUTED_VALUE"""),"معمل")</f>
        <v>معمل</v>
      </c>
      <c r="F194" s="5" t="str">
        <f ca="1">IFERROR(__xludf.DUMMYFUNCTION("""COMPUTED_VALUE"""),"معمل التحاليل الطبية")</f>
        <v>معمل التحاليل الطبية</v>
      </c>
      <c r="G194" s="5" t="str">
        <f ca="1">IFERROR(__xludf.DUMMYFUNCTION("""COMPUTED_VALUE"""),"معمل رويال لاب")</f>
        <v>معمل رويال لاب</v>
      </c>
      <c r="H194" s="5" t="str">
        <f ca="1">IFERROR(__xludf.DUMMYFUNCTION("""COMPUTED_VALUE"""),"ميدان المطافى برج الحياة الدور الثانى")</f>
        <v>ميدان المطافى برج الحياة الدور الثانى</v>
      </c>
      <c r="I194" s="6" t="str">
        <f ca="1">IFERROR(__xludf.DUMMYFUNCTION("""COMPUTED_VALUE"""),"03-5263271")</f>
        <v>03-5263271</v>
      </c>
      <c r="J194" s="6" t="str">
        <f ca="1">IFERROR(__xludf.DUMMYFUNCTION("""COMPUTED_VALUE"""),"16064")</f>
        <v>16064</v>
      </c>
      <c r="K194" s="6" t="str">
        <f ca="1">IFERROR(__xludf.DUMMYFUNCTION("""COMPUTED_VALUE"""),"نسبة خصم 40%")</f>
        <v>نسبة خصم 40%</v>
      </c>
    </row>
    <row r="195" spans="1:11" x14ac:dyDescent="0.25">
      <c r="A195" s="4" t="str">
        <f ca="1">IFERROR(__xludf.DUMMYFUNCTION("""COMPUTED_VALUE"""),"2046")</f>
        <v>2046</v>
      </c>
      <c r="B195" s="5" t="str">
        <f ca="1">IFERROR(__xludf.DUMMYFUNCTION("""COMPUTED_VALUE"""),"الجيزة")</f>
        <v>الجيزة</v>
      </c>
      <c r="C195" s="5" t="str">
        <f ca="1">IFERROR(__xludf.DUMMYFUNCTION("""COMPUTED_VALUE"""),"المهندسين")</f>
        <v>المهندسين</v>
      </c>
      <c r="D195" s="5" t="str">
        <f ca="1">IFERROR(__xludf.DUMMYFUNCTION("""COMPUTED_VALUE"""),"مركز علاج طبيعي")</f>
        <v>مركز علاج طبيعي</v>
      </c>
      <c r="E195" s="5" t="str">
        <f ca="1">IFERROR(__xludf.DUMMYFUNCTION("""COMPUTED_VALUE"""),"علاج طبيعي")</f>
        <v>علاج طبيعي</v>
      </c>
      <c r="F195" s="5" t="str">
        <f ca="1">IFERROR(__xludf.DUMMYFUNCTION("""COMPUTED_VALUE"""),"جلسات العلاج الطبيعي")</f>
        <v>جلسات العلاج الطبيعي</v>
      </c>
      <c r="G195" s="5" t="str">
        <f ca="1">IFERROR(__xludf.DUMMYFUNCTION("""COMPUTED_VALUE"""),"المركز الدولي للعلاج الطبيعي وعلاج الآلام")</f>
        <v>المركز الدولي للعلاج الطبيعي وعلاج الآلام</v>
      </c>
      <c r="H195" s="5" t="str">
        <f ca="1">IFERROR(__xludf.DUMMYFUNCTION("""COMPUTED_VALUE"""),"3 شارع شهاب متفرع من شارع جامعة الدول العربية.-  امام مطعم جاد -المهندسين- الجيزة")</f>
        <v>3 شارع شهاب متفرع من شارع جامعة الدول العربية.-  امام مطعم جاد -المهندسين- الجيزة</v>
      </c>
      <c r="I195" s="6" t="str">
        <f ca="1">IFERROR(__xludf.DUMMYFUNCTION("""COMPUTED_VALUE"""),"20237611144")</f>
        <v>20237611144</v>
      </c>
      <c r="J195" s="6"/>
      <c r="K195" s="6" t="str">
        <f ca="1">IFERROR(__xludf.DUMMYFUNCTION("""COMPUTED_VALUE"""),"نسبة خصم 45%")</f>
        <v>نسبة خصم 45%</v>
      </c>
    </row>
    <row r="196" spans="1:11" x14ac:dyDescent="0.25">
      <c r="A196" s="4" t="str">
        <f ca="1">IFERROR(__xludf.DUMMYFUNCTION("""COMPUTED_VALUE"""),"2046-B")</f>
        <v>2046-B</v>
      </c>
      <c r="B196" s="5" t="str">
        <f ca="1">IFERROR(__xludf.DUMMYFUNCTION("""COMPUTED_VALUE"""),"القاهرة")</f>
        <v>القاهرة</v>
      </c>
      <c r="C196" s="5" t="str">
        <f ca="1">IFERROR(__xludf.DUMMYFUNCTION("""COMPUTED_VALUE"""),"مصر الجديدة")</f>
        <v>مصر الجديدة</v>
      </c>
      <c r="D196" s="5" t="str">
        <f ca="1">IFERROR(__xludf.DUMMYFUNCTION("""COMPUTED_VALUE"""),"مركز علاج طبيعي")</f>
        <v>مركز علاج طبيعي</v>
      </c>
      <c r="E196" s="5" t="str">
        <f ca="1">IFERROR(__xludf.DUMMYFUNCTION("""COMPUTED_VALUE"""),"علاج طبيعي")</f>
        <v>علاج طبيعي</v>
      </c>
      <c r="F196" s="5" t="str">
        <f ca="1">IFERROR(__xludf.DUMMYFUNCTION("""COMPUTED_VALUE"""),"جلسات العلاج الطبيعي")</f>
        <v>جلسات العلاج الطبيعي</v>
      </c>
      <c r="G196" s="5" t="str">
        <f ca="1">IFERROR(__xludf.DUMMYFUNCTION("""COMPUTED_VALUE"""),"المركز الدولي للعلاج الطبيعي وعلاج الآلام")</f>
        <v>المركز الدولي للعلاج الطبيعي وعلاج الآلام</v>
      </c>
      <c r="H196" s="5" t="str">
        <f ca="1">IFERROR(__xludf.DUMMYFUNCTION("""COMPUTED_VALUE"""),"برج(1) - ابراج عثمان - روكسي مصر الجديدة-القاهرة")</f>
        <v>برج(1) - ابراج عثمان - روكسي مصر الجديدة-القاهرة</v>
      </c>
      <c r="I196" s="6" t="str">
        <f ca="1">IFERROR(__xludf.DUMMYFUNCTION("""COMPUTED_VALUE"""),"20224537001")</f>
        <v>20224537001</v>
      </c>
      <c r="J196" s="6"/>
      <c r="K196" s="6" t="str">
        <f ca="1">IFERROR(__xludf.DUMMYFUNCTION("""COMPUTED_VALUE"""),"نسبة خصم 45%")</f>
        <v>نسبة خصم 45%</v>
      </c>
    </row>
    <row r="197" spans="1:11" x14ac:dyDescent="0.25">
      <c r="A197" s="4" t="str">
        <f ca="1">IFERROR(__xludf.DUMMYFUNCTION("""COMPUTED_VALUE"""),"2046-B")</f>
        <v>2046-B</v>
      </c>
      <c r="B197" s="5" t="str">
        <f ca="1">IFERROR(__xludf.DUMMYFUNCTION("""COMPUTED_VALUE"""),"القاهرة")</f>
        <v>القاهرة</v>
      </c>
      <c r="C197" s="5" t="str">
        <f ca="1">IFERROR(__xludf.DUMMYFUNCTION("""COMPUTED_VALUE"""),"مدينة نصر")</f>
        <v>مدينة نصر</v>
      </c>
      <c r="D197" s="5" t="str">
        <f ca="1">IFERROR(__xludf.DUMMYFUNCTION("""COMPUTED_VALUE"""),"مركز علاج طبيعي")</f>
        <v>مركز علاج طبيعي</v>
      </c>
      <c r="E197" s="5" t="str">
        <f ca="1">IFERROR(__xludf.DUMMYFUNCTION("""COMPUTED_VALUE"""),"علاج طبيعي")</f>
        <v>علاج طبيعي</v>
      </c>
      <c r="F197" s="5" t="str">
        <f ca="1">IFERROR(__xludf.DUMMYFUNCTION("""COMPUTED_VALUE"""),"جلسات العلاج الطبيعي")</f>
        <v>جلسات العلاج الطبيعي</v>
      </c>
      <c r="G197" s="5" t="str">
        <f ca="1">IFERROR(__xludf.DUMMYFUNCTION("""COMPUTED_VALUE"""),"المركز الدولي للعلاج الطبيعي وعلاج الآلام")</f>
        <v>المركز الدولي للعلاج الطبيعي وعلاج الآلام</v>
      </c>
      <c r="H197" s="5" t="str">
        <f ca="1">IFERROR(__xludf.DUMMYFUNCTION("""COMPUTED_VALUE"""),"9أ عمارات مدينة نصر الجديدة - امتداد ش حسن المأمون - الحي العاشر - بعد مسجد السلام - مدينة نصر - القاهرة")</f>
        <v>9أ عمارات مدينة نصر الجديدة - امتداد ش حسن المأمون - الحي العاشر - بعد مسجد السلام - مدينة نصر - القاهرة</v>
      </c>
      <c r="I197" s="6" t="str">
        <f ca="1">IFERROR(__xludf.DUMMYFUNCTION("""COMPUTED_VALUE"""),"20220797193")</f>
        <v>20220797193</v>
      </c>
      <c r="J197" s="6"/>
      <c r="K197" s="6" t="str">
        <f ca="1">IFERROR(__xludf.DUMMYFUNCTION("""COMPUTED_VALUE"""),"نسبة خصم 45%")</f>
        <v>نسبة خصم 45%</v>
      </c>
    </row>
    <row r="198" spans="1:11" x14ac:dyDescent="0.25">
      <c r="A198" s="4" t="str">
        <f ca="1">IFERROR(__xludf.DUMMYFUNCTION("""COMPUTED_VALUE"""),"104392")</f>
        <v>104392</v>
      </c>
      <c r="B198" s="5" t="str">
        <f ca="1">IFERROR(__xludf.DUMMYFUNCTION("""COMPUTED_VALUE"""),"القاهرة")</f>
        <v>القاهرة</v>
      </c>
      <c r="C198" s="5" t="str">
        <f ca="1">IFERROR(__xludf.DUMMYFUNCTION("""COMPUTED_VALUE"""),"وسط البلد")</f>
        <v>وسط البلد</v>
      </c>
      <c r="D198" s="5" t="str">
        <f ca="1">IFERROR(__xludf.DUMMYFUNCTION("""COMPUTED_VALUE"""),"هيئة الأطباء")</f>
        <v>هيئة الأطباء</v>
      </c>
      <c r="E198" s="5" t="str">
        <f ca="1">IFERROR(__xludf.DUMMYFUNCTION("""COMPUTED_VALUE"""),"جراحة")</f>
        <v>جراحة</v>
      </c>
      <c r="F198" s="5" t="str">
        <f ca="1">IFERROR(__xludf.DUMMYFUNCTION("""COMPUTED_VALUE"""),"جراحة عظام")</f>
        <v>جراحة عظام</v>
      </c>
      <c r="G198" s="5" t="str">
        <f ca="1">IFERROR(__xludf.DUMMYFUNCTION("""COMPUTED_VALUE"""),"د. شريف أحمد خالد")</f>
        <v>د. شريف أحمد خالد</v>
      </c>
      <c r="H198" s="5" t="str">
        <f ca="1">IFERROR(__xludf.DUMMYFUNCTION("""COMPUTED_VALUE"""),"32 شارع الفلكي - عمارة الاوقاف - ميدان باب اللوق - الدور السادس -  بلوك شمال فوق حاتي الجيش - القاهرة")</f>
        <v>32 شارع الفلكي - عمارة الاوقاف - ميدان باب اللوق - الدور السادس -  بلوك شمال فوق حاتي الجيش - القاهرة</v>
      </c>
      <c r="I198" s="6" t="str">
        <f ca="1">IFERROR(__xludf.DUMMYFUNCTION("""COMPUTED_VALUE"""),"20227950027")</f>
        <v>20227950027</v>
      </c>
      <c r="J198" s="6"/>
      <c r="K198" s="6" t="str">
        <f ca="1">IFERROR(__xludf.DUMMYFUNCTION("""COMPUTED_VALUE"""),"نسبة خصم 50%")</f>
        <v>نسبة خصم 50%</v>
      </c>
    </row>
    <row r="199" spans="1:11" x14ac:dyDescent="0.25">
      <c r="A199" s="4" t="str">
        <f ca="1">IFERROR(__xludf.DUMMYFUNCTION("""COMPUTED_VALUE"""),"2916-B")</f>
        <v>2916-B</v>
      </c>
      <c r="B199" s="5" t="str">
        <f ca="1">IFERROR(__xludf.DUMMYFUNCTION("""COMPUTED_VALUE"""),"الشرقية")</f>
        <v>الشرقية</v>
      </c>
      <c r="C199" s="5" t="str">
        <f ca="1">IFERROR(__xludf.DUMMYFUNCTION("""COMPUTED_VALUE"""),"العاشر من رمضان")</f>
        <v>العاشر من رمضان</v>
      </c>
      <c r="D199" s="5" t="str">
        <f ca="1">IFERROR(__xludf.DUMMYFUNCTION("""COMPUTED_VALUE"""),"معمل")</f>
        <v>معمل</v>
      </c>
      <c r="E199" s="5" t="str">
        <f ca="1">IFERROR(__xludf.DUMMYFUNCTION("""COMPUTED_VALUE"""),"معمل")</f>
        <v>معمل</v>
      </c>
      <c r="F199" s="5" t="str">
        <f ca="1">IFERROR(__xludf.DUMMYFUNCTION("""COMPUTED_VALUE"""),"معمل التحاليل الطبية")</f>
        <v>معمل التحاليل الطبية</v>
      </c>
      <c r="G199" s="5" t="str">
        <f ca="1">IFERROR(__xludf.DUMMYFUNCTION("""COMPUTED_VALUE"""),"معمل فيرست لاب")</f>
        <v>معمل فيرست لاب</v>
      </c>
      <c r="H199" s="5" t="str">
        <f ca="1">IFERROR(__xludf.DUMMYFUNCTION("""COMPUTED_VALUE"""),"مول سينكو فوق مؤمن-العاشر من رمضان-الشرقية")</f>
        <v>مول سينكو فوق مؤمن-العاشر من رمضان-الشرقية</v>
      </c>
      <c r="I199" s="6" t="str">
        <f ca="1">IFERROR(__xludf.DUMMYFUNCTION("""COMPUTED_VALUE"""),"2015377546")</f>
        <v>2015377546</v>
      </c>
      <c r="J199" s="6"/>
      <c r="K199" s="6" t="str">
        <f ca="1">IFERROR(__xludf.DUMMYFUNCTION("""COMPUTED_VALUE"""),"20% خصم علي الأسعار النقدي المعلنه")</f>
        <v>20% خصم علي الأسعار النقدي المعلنه</v>
      </c>
    </row>
    <row r="200" spans="1:11" x14ac:dyDescent="0.25">
      <c r="A200" s="4" t="str">
        <f ca="1">IFERROR(__xludf.DUMMYFUNCTION("""COMPUTED_VALUE"""),"2916-B")</f>
        <v>2916-B</v>
      </c>
      <c r="B200" s="5" t="str">
        <f ca="1">IFERROR(__xludf.DUMMYFUNCTION("""COMPUTED_VALUE"""),"الغربية")</f>
        <v>الغربية</v>
      </c>
      <c r="C200" s="5" t="str">
        <f ca="1">IFERROR(__xludf.DUMMYFUNCTION("""COMPUTED_VALUE"""),"المحلة الكبرى")</f>
        <v>المحلة الكبرى</v>
      </c>
      <c r="D200" s="5" t="str">
        <f ca="1">IFERROR(__xludf.DUMMYFUNCTION("""COMPUTED_VALUE"""),"معمل")</f>
        <v>معمل</v>
      </c>
      <c r="E200" s="5" t="str">
        <f ca="1">IFERROR(__xludf.DUMMYFUNCTION("""COMPUTED_VALUE"""),"معمل")</f>
        <v>معمل</v>
      </c>
      <c r="F200" s="5" t="str">
        <f ca="1">IFERROR(__xludf.DUMMYFUNCTION("""COMPUTED_VALUE"""),"معمل التحاليل الطبية")</f>
        <v>معمل التحاليل الطبية</v>
      </c>
      <c r="G200" s="5" t="str">
        <f ca="1">IFERROR(__xludf.DUMMYFUNCTION("""COMPUTED_VALUE"""),"معمل فيرست لاب")</f>
        <v>معمل فيرست لاب</v>
      </c>
      <c r="H200" s="5" t="str">
        <f ca="1">IFERROR(__xludf.DUMMYFUNCTION("""COMPUTED_VALUE"""),"ميدان الشونة بجوار قسم ثاني المحلة- خلف عمارة الليثي-المحلة الكبرى-الغربية")</f>
        <v>ميدان الشونة بجوار قسم ثاني المحلة- خلف عمارة الليثي-المحلة الكبرى-الغربية</v>
      </c>
      <c r="I200" s="6" t="str">
        <f ca="1">IFERROR(__xludf.DUMMYFUNCTION("""COMPUTED_VALUE"""),"20402251009")</f>
        <v>20402251009</v>
      </c>
      <c r="J200" s="6"/>
      <c r="K200" s="6" t="str">
        <f ca="1">IFERROR(__xludf.DUMMYFUNCTION("""COMPUTED_VALUE"""),"20% خصم علي الأسعار النقدي المعلنه")</f>
        <v>20% خصم علي الأسعار النقدي المعلنه</v>
      </c>
    </row>
    <row r="201" spans="1:11" x14ac:dyDescent="0.25">
      <c r="A201" s="4" t="str">
        <f ca="1">IFERROR(__xludf.DUMMYFUNCTION("""COMPUTED_VALUE"""),"2296-B")</f>
        <v>2296-B</v>
      </c>
      <c r="B201" s="5" t="str">
        <f ca="1">IFERROR(__xludf.DUMMYFUNCTION("""COMPUTED_VALUE"""),"الجيزة")</f>
        <v>الجيزة</v>
      </c>
      <c r="C201" s="5" t="str">
        <f ca="1">IFERROR(__xludf.DUMMYFUNCTION("""COMPUTED_VALUE"""),"الدقي")</f>
        <v>الدقي</v>
      </c>
      <c r="D201" s="5" t="str">
        <f ca="1">IFERROR(__xludf.DUMMYFUNCTION("""COMPUTED_VALUE"""),"معمل")</f>
        <v>معمل</v>
      </c>
      <c r="E201" s="5" t="str">
        <f ca="1">IFERROR(__xludf.DUMMYFUNCTION("""COMPUTED_VALUE"""),"معمل")</f>
        <v>معمل</v>
      </c>
      <c r="F201" s="5" t="str">
        <f ca="1">IFERROR(__xludf.DUMMYFUNCTION("""COMPUTED_VALUE"""),"معمل التحاليل الطبية")</f>
        <v>معمل التحاليل الطبية</v>
      </c>
      <c r="G201" s="5" t="str">
        <f ca="1">IFERROR(__xludf.DUMMYFUNCTION("""COMPUTED_VALUE"""),"كايرو لاب")</f>
        <v>كايرو لاب</v>
      </c>
      <c r="H201" s="5" t="str">
        <f ca="1">IFERROR(__xludf.DUMMYFUNCTION("""COMPUTED_VALUE"""),"42 شارع مصدق - امام كوستا - الدقي")</f>
        <v>42 شارع مصدق - امام كوستا - الدقي</v>
      </c>
      <c r="I201" s="6" t="str">
        <f ca="1">IFERROR(__xludf.DUMMYFUNCTION("""COMPUTED_VALUE"""),"201003090332")</f>
        <v>201003090332</v>
      </c>
      <c r="J201" s="6" t="str">
        <f ca="1">IFERROR(__xludf.DUMMYFUNCTION("""COMPUTED_VALUE"""),"19962")</f>
        <v>19962</v>
      </c>
      <c r="K201" s="6" t="str">
        <f ca="1">IFERROR(__xludf.DUMMYFUNCTION("""COMPUTED_VALUE"""),"خصم 25% علي كل التحاليل علي الاسعار النقدي المعلنه.")</f>
        <v>خصم 25% علي كل التحاليل علي الاسعار النقدي المعلنه.</v>
      </c>
    </row>
    <row r="202" spans="1:11" x14ac:dyDescent="0.25">
      <c r="A202" s="4" t="str">
        <f ca="1">IFERROR(__xludf.DUMMYFUNCTION("""COMPUTED_VALUE"""),"2296-B")</f>
        <v>2296-B</v>
      </c>
      <c r="B202" s="5" t="str">
        <f ca="1">IFERROR(__xludf.DUMMYFUNCTION("""COMPUTED_VALUE"""),"الجيزة")</f>
        <v>الجيزة</v>
      </c>
      <c r="C202" s="5" t="str">
        <f ca="1">IFERROR(__xludf.DUMMYFUNCTION("""COMPUTED_VALUE"""),"السادس من اكتوبر")</f>
        <v>السادس من اكتوبر</v>
      </c>
      <c r="D202" s="5" t="str">
        <f ca="1">IFERROR(__xludf.DUMMYFUNCTION("""COMPUTED_VALUE"""),"معمل")</f>
        <v>معمل</v>
      </c>
      <c r="E202" s="5" t="str">
        <f ca="1">IFERROR(__xludf.DUMMYFUNCTION("""COMPUTED_VALUE"""),"معمل")</f>
        <v>معمل</v>
      </c>
      <c r="F202" s="5" t="str">
        <f ca="1">IFERROR(__xludf.DUMMYFUNCTION("""COMPUTED_VALUE"""),"معمل التحاليل الطبية")</f>
        <v>معمل التحاليل الطبية</v>
      </c>
      <c r="G202" s="5" t="str">
        <f ca="1">IFERROR(__xludf.DUMMYFUNCTION("""COMPUTED_VALUE"""),"كايرو لاب")</f>
        <v>كايرو لاب</v>
      </c>
      <c r="H202" s="5" t="str">
        <f ca="1">IFERROR(__xludf.DUMMYFUNCTION("""COMPUTED_VALUE"""),"عمارات لايت سيتى - بجوار مسجد الحصرى-6 أكتوبر - الجيزة")</f>
        <v>عمارات لايت سيتى - بجوار مسجد الحصرى-6 أكتوبر - الجيزة</v>
      </c>
      <c r="I202" s="6" t="str">
        <f ca="1">IFERROR(__xludf.DUMMYFUNCTION("""COMPUTED_VALUE"""),"201116119955")</f>
        <v>201116119955</v>
      </c>
      <c r="J202" s="6" t="str">
        <f ca="1">IFERROR(__xludf.DUMMYFUNCTION("""COMPUTED_VALUE"""),"19962")</f>
        <v>19962</v>
      </c>
      <c r="K202" s="6" t="str">
        <f ca="1">IFERROR(__xludf.DUMMYFUNCTION("""COMPUTED_VALUE"""),"خصم 25% علي كل التحاليل علي الاسعار النقدي المعلنه.")</f>
        <v>خصم 25% علي كل التحاليل علي الاسعار النقدي المعلنه.</v>
      </c>
    </row>
    <row r="203" spans="1:11" x14ac:dyDescent="0.25">
      <c r="A203" s="4" t="str">
        <f ca="1">IFERROR(__xludf.DUMMYFUNCTION("""COMPUTED_VALUE"""),"2916-B")</f>
        <v>2916-B</v>
      </c>
      <c r="B203" s="5" t="str">
        <f ca="1">IFERROR(__xludf.DUMMYFUNCTION("""COMPUTED_VALUE"""),"الجيزة")</f>
        <v>الجيزة</v>
      </c>
      <c r="C203" s="5" t="str">
        <f ca="1">IFERROR(__xludf.DUMMYFUNCTION("""COMPUTED_VALUE"""),"السادس من اكتوبر")</f>
        <v>السادس من اكتوبر</v>
      </c>
      <c r="D203" s="5" t="str">
        <f ca="1">IFERROR(__xludf.DUMMYFUNCTION("""COMPUTED_VALUE"""),"معمل")</f>
        <v>معمل</v>
      </c>
      <c r="E203" s="5" t="str">
        <f ca="1">IFERROR(__xludf.DUMMYFUNCTION("""COMPUTED_VALUE"""),"معمل")</f>
        <v>معمل</v>
      </c>
      <c r="F203" s="5" t="str">
        <f ca="1">IFERROR(__xludf.DUMMYFUNCTION("""COMPUTED_VALUE"""),"معمل التحاليل الطبية")</f>
        <v>معمل التحاليل الطبية</v>
      </c>
      <c r="G203" s="5" t="str">
        <f ca="1">IFERROR(__xludf.DUMMYFUNCTION("""COMPUTED_VALUE"""),"معمل فيرست لاب")</f>
        <v>معمل فيرست لاب</v>
      </c>
      <c r="H203" s="5" t="str">
        <f ca="1">IFERROR(__xludf.DUMMYFUNCTION("""COMPUTED_VALUE"""),"المحور المركزي - بجوار جامع الحصرى خلف مجمع الضرائب-6 أكتوبر - الجيزة")</f>
        <v>المحور المركزي - بجوار جامع الحصرى خلف مجمع الضرائب-6 أكتوبر - الجيزة</v>
      </c>
      <c r="I203" s="6" t="str">
        <f ca="1">IFERROR(__xludf.DUMMYFUNCTION("""COMPUTED_VALUE"""),"20238380383")</f>
        <v>20238380383</v>
      </c>
      <c r="J203" s="6"/>
      <c r="K203" s="6" t="str">
        <f ca="1">IFERROR(__xludf.DUMMYFUNCTION("""COMPUTED_VALUE"""),"20% خصم علي الأسعار النقدي المعلنه")</f>
        <v>20% خصم علي الأسعار النقدي المعلنه</v>
      </c>
    </row>
    <row r="204" spans="1:11" x14ac:dyDescent="0.25">
      <c r="A204" s="4" t="str">
        <f ca="1">IFERROR(__xludf.DUMMYFUNCTION("""COMPUTED_VALUE"""),"2916-B")</f>
        <v>2916-B</v>
      </c>
      <c r="B204" s="5" t="str">
        <f ca="1">IFERROR(__xludf.DUMMYFUNCTION("""COMPUTED_VALUE"""),"القاهرة")</f>
        <v>القاهرة</v>
      </c>
      <c r="C204" s="5" t="str">
        <f ca="1">IFERROR(__xludf.DUMMYFUNCTION("""COMPUTED_VALUE"""),"السيدة زينب")</f>
        <v>السيدة زينب</v>
      </c>
      <c r="D204" s="5" t="str">
        <f ca="1">IFERROR(__xludf.DUMMYFUNCTION("""COMPUTED_VALUE"""),"معمل")</f>
        <v>معمل</v>
      </c>
      <c r="E204" s="5" t="str">
        <f ca="1">IFERROR(__xludf.DUMMYFUNCTION("""COMPUTED_VALUE"""),"معمل")</f>
        <v>معمل</v>
      </c>
      <c r="F204" s="5" t="str">
        <f ca="1">IFERROR(__xludf.DUMMYFUNCTION("""COMPUTED_VALUE"""),"معمل التحاليل الطبية")</f>
        <v>معمل التحاليل الطبية</v>
      </c>
      <c r="G204" s="5" t="str">
        <f ca="1">IFERROR(__xludf.DUMMYFUNCTION("""COMPUTED_VALUE"""),"معمل فيرست لاب")</f>
        <v>معمل فيرست لاب</v>
      </c>
      <c r="H204" s="5" t="str">
        <f ca="1">IFERROR(__xludf.DUMMYFUNCTION("""COMPUTED_VALUE"""),"259ش بورسعيد امام مكتب بريد السيدة زينب-السيدة زينب-القاهرة")</f>
        <v>259ش بورسعيد امام مكتب بريد السيدة زينب-السيدة زينب-القاهرة</v>
      </c>
      <c r="I204" s="6" t="str">
        <f ca="1">IFERROR(__xludf.DUMMYFUNCTION("""COMPUTED_VALUE"""),"20223921019")</f>
        <v>20223921019</v>
      </c>
      <c r="J204" s="6"/>
      <c r="K204" s="6" t="str">
        <f ca="1">IFERROR(__xludf.DUMMYFUNCTION("""COMPUTED_VALUE"""),"20% خصم علي الأسعار النقدي المعلنه")</f>
        <v>20% خصم علي الأسعار النقدي المعلنه</v>
      </c>
    </row>
    <row r="205" spans="1:11" x14ac:dyDescent="0.25">
      <c r="A205" s="4" t="str">
        <f ca="1">IFERROR(__xludf.DUMMYFUNCTION("""COMPUTED_VALUE"""),"2296-B")</f>
        <v>2296-B</v>
      </c>
      <c r="B205" s="5" t="str">
        <f ca="1">IFERROR(__xludf.DUMMYFUNCTION("""COMPUTED_VALUE"""),"القاهرة")</f>
        <v>القاهرة</v>
      </c>
      <c r="C205" s="5" t="str">
        <f ca="1">IFERROR(__xludf.DUMMYFUNCTION("""COMPUTED_VALUE"""),"القاهرة الجديدة")</f>
        <v>القاهرة الجديدة</v>
      </c>
      <c r="D205" s="5" t="str">
        <f ca="1">IFERROR(__xludf.DUMMYFUNCTION("""COMPUTED_VALUE"""),"معمل")</f>
        <v>معمل</v>
      </c>
      <c r="E205" s="5" t="str">
        <f ca="1">IFERROR(__xludf.DUMMYFUNCTION("""COMPUTED_VALUE"""),"معمل")</f>
        <v>معمل</v>
      </c>
      <c r="F205" s="5" t="str">
        <f ca="1">IFERROR(__xludf.DUMMYFUNCTION("""COMPUTED_VALUE"""),"معمل التحاليل الطبية")</f>
        <v>معمل التحاليل الطبية</v>
      </c>
      <c r="G205" s="5" t="str">
        <f ca="1">IFERROR(__xludf.DUMMYFUNCTION("""COMPUTED_VALUE"""),"كايرو لاب")</f>
        <v>كايرو لاب</v>
      </c>
      <c r="H205" s="5" t="str">
        <f ca="1">IFERROR(__xludf.DUMMYFUNCTION("""COMPUTED_VALUE"""),"سيلفر ستار مول - شارع اخناتون - اعلي سعودي -القاهرة الجديدة-القاهرة")</f>
        <v>سيلفر ستار مول - شارع اخناتون - اعلي سعودي -القاهرة الجديدة-القاهرة</v>
      </c>
      <c r="I205" s="6" t="str">
        <f ca="1">IFERROR(__xludf.DUMMYFUNCTION("""COMPUTED_VALUE"""),"20223131633")</f>
        <v>20223131633</v>
      </c>
      <c r="J205" s="6" t="str">
        <f ca="1">IFERROR(__xludf.DUMMYFUNCTION("""COMPUTED_VALUE"""),"19962")</f>
        <v>19962</v>
      </c>
      <c r="K205" s="6" t="str">
        <f ca="1">IFERROR(__xludf.DUMMYFUNCTION("""COMPUTED_VALUE"""),"خصم 25% علي كل التحاليل علي الاسعار النقدي المعلنه.")</f>
        <v>خصم 25% علي كل التحاليل علي الاسعار النقدي المعلنه.</v>
      </c>
    </row>
    <row r="206" spans="1:11" x14ac:dyDescent="0.25">
      <c r="A206" s="4" t="str">
        <f ca="1">IFERROR(__xludf.DUMMYFUNCTION("""COMPUTED_VALUE"""),"2296-B")</f>
        <v>2296-B</v>
      </c>
      <c r="B206" s="5" t="str">
        <f ca="1">IFERROR(__xludf.DUMMYFUNCTION("""COMPUTED_VALUE"""),"القاهرة")</f>
        <v>القاهرة</v>
      </c>
      <c r="C206" s="5" t="str">
        <f ca="1">IFERROR(__xludf.DUMMYFUNCTION("""COMPUTED_VALUE"""),"الرحاب")</f>
        <v>الرحاب</v>
      </c>
      <c r="D206" s="5" t="str">
        <f ca="1">IFERROR(__xludf.DUMMYFUNCTION("""COMPUTED_VALUE"""),"معمل")</f>
        <v>معمل</v>
      </c>
      <c r="E206" s="5" t="str">
        <f ca="1">IFERROR(__xludf.DUMMYFUNCTION("""COMPUTED_VALUE"""),"معمل")</f>
        <v>معمل</v>
      </c>
      <c r="F206" s="5" t="str">
        <f ca="1">IFERROR(__xludf.DUMMYFUNCTION("""COMPUTED_VALUE"""),"معمل التحاليل الطبية")</f>
        <v>معمل التحاليل الطبية</v>
      </c>
      <c r="G206" s="5" t="str">
        <f ca="1">IFERROR(__xludf.DUMMYFUNCTION("""COMPUTED_VALUE"""),"كايرو لاب")</f>
        <v>كايرو لاب</v>
      </c>
      <c r="H206" s="5" t="str">
        <f ca="1">IFERROR(__xludf.DUMMYFUNCTION("""COMPUTED_VALUE"""),"مول طبي رقم (2) - الرحاب - القاهرة الجديدة")</f>
        <v>مول طبي رقم (2) - الرحاب - القاهرة الجديدة</v>
      </c>
      <c r="I206" s="6" t="str">
        <f ca="1">IFERROR(__xludf.DUMMYFUNCTION("""COMPUTED_VALUE"""),"201112040402")</f>
        <v>201112040402</v>
      </c>
      <c r="J206" s="6" t="str">
        <f ca="1">IFERROR(__xludf.DUMMYFUNCTION("""COMPUTED_VALUE"""),"19962")</f>
        <v>19962</v>
      </c>
      <c r="K206" s="6" t="str">
        <f ca="1">IFERROR(__xludf.DUMMYFUNCTION("""COMPUTED_VALUE"""),"خصم 25% علي كل التحاليل علي الاسعار النقدي المعلنه.")</f>
        <v>خصم 25% علي كل التحاليل علي الاسعار النقدي المعلنه.</v>
      </c>
    </row>
    <row r="207" spans="1:11" x14ac:dyDescent="0.25">
      <c r="A207" s="4" t="str">
        <f ca="1">IFERROR(__xludf.DUMMYFUNCTION("""COMPUTED_VALUE"""),"2296-B")</f>
        <v>2296-B</v>
      </c>
      <c r="B207" s="5" t="str">
        <f ca="1">IFERROR(__xludf.DUMMYFUNCTION("""COMPUTED_VALUE"""),"القاهرة")</f>
        <v>القاهرة</v>
      </c>
      <c r="C207" s="5" t="str">
        <f ca="1">IFERROR(__xludf.DUMMYFUNCTION("""COMPUTED_VALUE"""),"المعادى")</f>
        <v>المعادى</v>
      </c>
      <c r="D207" s="5" t="str">
        <f ca="1">IFERROR(__xludf.DUMMYFUNCTION("""COMPUTED_VALUE"""),"معمل")</f>
        <v>معمل</v>
      </c>
      <c r="E207" s="5" t="str">
        <f ca="1">IFERROR(__xludf.DUMMYFUNCTION("""COMPUTED_VALUE"""),"معمل")</f>
        <v>معمل</v>
      </c>
      <c r="F207" s="5" t="str">
        <f ca="1">IFERROR(__xludf.DUMMYFUNCTION("""COMPUTED_VALUE"""),"معمل التحاليل الطبية")</f>
        <v>معمل التحاليل الطبية</v>
      </c>
      <c r="G207" s="5" t="str">
        <f ca="1">IFERROR(__xludf.DUMMYFUNCTION("""COMPUTED_VALUE"""),"كايرو لاب")</f>
        <v>كايرو لاب</v>
      </c>
      <c r="H207" s="5" t="str">
        <f ca="1">IFERROR(__xludf.DUMMYFUNCTION("""COMPUTED_VALUE"""),"1/1شارع فلسطين - المعادي الجديدة -  امام محطة بنزين موبيل.-المعادي-القاهرة")</f>
        <v>1/1شارع فلسطين - المعادي الجديدة -  امام محطة بنزين موبيل.-المعادي-القاهرة</v>
      </c>
      <c r="I207" s="6" t="str">
        <f ca="1">IFERROR(__xludf.DUMMYFUNCTION("""COMPUTED_VALUE"""),"20225171430")</f>
        <v>20225171430</v>
      </c>
      <c r="J207" s="6" t="str">
        <f ca="1">IFERROR(__xludf.DUMMYFUNCTION("""COMPUTED_VALUE"""),"19962")</f>
        <v>19962</v>
      </c>
      <c r="K207" s="6" t="str">
        <f ca="1">IFERROR(__xludf.DUMMYFUNCTION("""COMPUTED_VALUE"""),"خصم 25% علي كل التحاليل علي الاسعار النقدي المعلنه.")</f>
        <v>خصم 25% علي كل التحاليل علي الاسعار النقدي المعلنه.</v>
      </c>
    </row>
    <row r="208" spans="1:11" x14ac:dyDescent="0.25">
      <c r="A208" s="4" t="str">
        <f ca="1">IFERROR(__xludf.DUMMYFUNCTION("""COMPUTED_VALUE"""),"2296-B")</f>
        <v>2296-B</v>
      </c>
      <c r="B208" s="5" t="str">
        <f ca="1">IFERROR(__xludf.DUMMYFUNCTION("""COMPUTED_VALUE"""),"القاهرة")</f>
        <v>القاهرة</v>
      </c>
      <c r="C208" s="5" t="str">
        <f ca="1">IFERROR(__xludf.DUMMYFUNCTION("""COMPUTED_VALUE"""),"المقطم")</f>
        <v>المقطم</v>
      </c>
      <c r="D208" s="5" t="str">
        <f ca="1">IFERROR(__xludf.DUMMYFUNCTION("""COMPUTED_VALUE"""),"معمل")</f>
        <v>معمل</v>
      </c>
      <c r="E208" s="5" t="str">
        <f ca="1">IFERROR(__xludf.DUMMYFUNCTION("""COMPUTED_VALUE"""),"معمل")</f>
        <v>معمل</v>
      </c>
      <c r="F208" s="5" t="str">
        <f ca="1">IFERROR(__xludf.DUMMYFUNCTION("""COMPUTED_VALUE"""),"معمل التحاليل الطبية")</f>
        <v>معمل التحاليل الطبية</v>
      </c>
      <c r="G208" s="5" t="str">
        <f ca="1">IFERROR(__xludf.DUMMYFUNCTION("""COMPUTED_VALUE"""),"كايرو لاب")</f>
        <v>كايرو لاب</v>
      </c>
      <c r="H208" s="5" t="str">
        <f ca="1">IFERROR(__xludf.DUMMYFUNCTION("""COMPUTED_VALUE"""),"شارع 9 تقاطع شارع الأكاديمية - امام نادي المقطم-المقطم-القاهرة")</f>
        <v>شارع 9 تقاطع شارع الأكاديمية - امام نادي المقطم-المقطم-القاهرة</v>
      </c>
      <c r="I208" s="6" t="str">
        <f ca="1">IFERROR(__xludf.DUMMYFUNCTION("""COMPUTED_VALUE"""),"20225074037")</f>
        <v>20225074037</v>
      </c>
      <c r="J208" s="6" t="str">
        <f ca="1">IFERROR(__xludf.DUMMYFUNCTION("""COMPUTED_VALUE"""),"19962")</f>
        <v>19962</v>
      </c>
      <c r="K208" s="6" t="str">
        <f ca="1">IFERROR(__xludf.DUMMYFUNCTION("""COMPUTED_VALUE"""),"خصم 25% علي كل التحاليل علي الاسعار النقدي المعلنه.")</f>
        <v>خصم 25% علي كل التحاليل علي الاسعار النقدي المعلنه.</v>
      </c>
    </row>
    <row r="209" spans="1:11" x14ac:dyDescent="0.25">
      <c r="A209" s="4" t="str">
        <f ca="1">IFERROR(__xludf.DUMMYFUNCTION("""COMPUTED_VALUE"""),"2296-B")</f>
        <v>2296-B</v>
      </c>
      <c r="B209" s="5" t="str">
        <f ca="1">IFERROR(__xludf.DUMMYFUNCTION("""COMPUTED_VALUE"""),"القاهرة")</f>
        <v>القاهرة</v>
      </c>
      <c r="C209" s="5" t="str">
        <f ca="1">IFERROR(__xludf.DUMMYFUNCTION("""COMPUTED_VALUE"""),"المنيل")</f>
        <v>المنيل</v>
      </c>
      <c r="D209" s="5" t="str">
        <f ca="1">IFERROR(__xludf.DUMMYFUNCTION("""COMPUTED_VALUE"""),"معمل")</f>
        <v>معمل</v>
      </c>
      <c r="E209" s="5" t="str">
        <f ca="1">IFERROR(__xludf.DUMMYFUNCTION("""COMPUTED_VALUE"""),"معمل")</f>
        <v>معمل</v>
      </c>
      <c r="F209" s="5" t="str">
        <f ca="1">IFERROR(__xludf.DUMMYFUNCTION("""COMPUTED_VALUE"""),"معمل التحاليل الطبية")</f>
        <v>معمل التحاليل الطبية</v>
      </c>
      <c r="G209" s="5" t="str">
        <f ca="1">IFERROR(__xludf.DUMMYFUNCTION("""COMPUTED_VALUE"""),"كايرو لاب")</f>
        <v>كايرو لاب</v>
      </c>
      <c r="H209" s="5" t="str">
        <f ca="1">IFERROR(__xludf.DUMMYFUNCTION("""COMPUTED_VALUE"""),"89 ا  شارع المنيل-المنيل-القاهرة")</f>
        <v>89 ا  شارع المنيل-المنيل-القاهرة</v>
      </c>
      <c r="I209" s="6" t="str">
        <f ca="1">IFERROR(__xludf.DUMMYFUNCTION("""COMPUTED_VALUE"""),"20225326711")</f>
        <v>20225326711</v>
      </c>
      <c r="J209" s="6" t="str">
        <f ca="1">IFERROR(__xludf.DUMMYFUNCTION("""COMPUTED_VALUE"""),"19962")</f>
        <v>19962</v>
      </c>
      <c r="K209" s="6" t="str">
        <f ca="1">IFERROR(__xludf.DUMMYFUNCTION("""COMPUTED_VALUE"""),"خصم 25% علي كل التحاليل علي الاسعار النقدي المعلنه.")</f>
        <v>خصم 25% علي كل التحاليل علي الاسعار النقدي المعلنه.</v>
      </c>
    </row>
    <row r="210" spans="1:11" x14ac:dyDescent="0.25">
      <c r="A210" s="4" t="str">
        <f ca="1">IFERROR(__xludf.DUMMYFUNCTION("""COMPUTED_VALUE"""),"2916-B")</f>
        <v>2916-B</v>
      </c>
      <c r="B210" s="5" t="str">
        <f ca="1">IFERROR(__xludf.DUMMYFUNCTION("""COMPUTED_VALUE"""),"القاهرة")</f>
        <v>القاهرة</v>
      </c>
      <c r="C210" s="5" t="str">
        <f ca="1">IFERROR(__xludf.DUMMYFUNCTION("""COMPUTED_VALUE"""),"المنيل")</f>
        <v>المنيل</v>
      </c>
      <c r="D210" s="5" t="str">
        <f ca="1">IFERROR(__xludf.DUMMYFUNCTION("""COMPUTED_VALUE"""),"معمل")</f>
        <v>معمل</v>
      </c>
      <c r="E210" s="5" t="str">
        <f ca="1">IFERROR(__xludf.DUMMYFUNCTION("""COMPUTED_VALUE"""),"معمل")</f>
        <v>معمل</v>
      </c>
      <c r="F210" s="5" t="str">
        <f ca="1">IFERROR(__xludf.DUMMYFUNCTION("""COMPUTED_VALUE"""),"معمل التحاليل الطبية")</f>
        <v>معمل التحاليل الطبية</v>
      </c>
      <c r="G210" s="5" t="str">
        <f ca="1">IFERROR(__xludf.DUMMYFUNCTION("""COMPUTED_VALUE"""),"معمل فيرست لاب")</f>
        <v>معمل فيرست لاب</v>
      </c>
      <c r="H210" s="5" t="str">
        <f ca="1">IFERROR(__xludf.DUMMYFUNCTION("""COMPUTED_VALUE"""),"78 شارع المنيل -المنيل-القاهرة")</f>
        <v>78 شارع المنيل -المنيل-القاهرة</v>
      </c>
      <c r="I210" s="6" t="str">
        <f ca="1">IFERROR(__xludf.DUMMYFUNCTION("""COMPUTED_VALUE"""),"20225319352")</f>
        <v>20225319352</v>
      </c>
      <c r="J210" s="6"/>
      <c r="K210" s="6" t="str">
        <f ca="1">IFERROR(__xludf.DUMMYFUNCTION("""COMPUTED_VALUE"""),"20% خصم علي الأسعار النقدي المعلنه")</f>
        <v>20% خصم علي الأسعار النقدي المعلنه</v>
      </c>
    </row>
    <row r="211" spans="1:11" x14ac:dyDescent="0.25">
      <c r="A211" s="4" t="str">
        <f ca="1">IFERROR(__xludf.DUMMYFUNCTION("""COMPUTED_VALUE"""),"2296")</f>
        <v>2296</v>
      </c>
      <c r="B211" s="5" t="str">
        <f ca="1">IFERROR(__xludf.DUMMYFUNCTION("""COMPUTED_VALUE"""),"الجيزة")</f>
        <v>الجيزة</v>
      </c>
      <c r="C211" s="5" t="str">
        <f ca="1">IFERROR(__xludf.DUMMYFUNCTION("""COMPUTED_VALUE"""),"المهندسين")</f>
        <v>المهندسين</v>
      </c>
      <c r="D211" s="5" t="str">
        <f ca="1">IFERROR(__xludf.DUMMYFUNCTION("""COMPUTED_VALUE"""),"معمل")</f>
        <v>معمل</v>
      </c>
      <c r="E211" s="5" t="str">
        <f ca="1">IFERROR(__xludf.DUMMYFUNCTION("""COMPUTED_VALUE"""),"معمل")</f>
        <v>معمل</v>
      </c>
      <c r="F211" s="5" t="str">
        <f ca="1">IFERROR(__xludf.DUMMYFUNCTION("""COMPUTED_VALUE"""),"معمل التحاليل الطبية")</f>
        <v>معمل التحاليل الطبية</v>
      </c>
      <c r="G211" s="5" t="str">
        <f ca="1">IFERROR(__xludf.DUMMYFUNCTION("""COMPUTED_VALUE"""),"كايرو لاب")</f>
        <v>كايرو لاب</v>
      </c>
      <c r="H211" s="5" t="str">
        <f ca="1">IFERROR(__xludf.DUMMYFUNCTION("""COMPUTED_VALUE"""),"4شارع شهاب متفرع من شارع جامعة الدول العربية-المهندسين- الجيزة")</f>
        <v>4شارع شهاب متفرع من شارع جامعة الدول العربية-المهندسين- الجيزة</v>
      </c>
      <c r="I211" s="6" t="str">
        <f ca="1">IFERROR(__xludf.DUMMYFUNCTION("""COMPUTED_VALUE"""),"20233381967")</f>
        <v>20233381967</v>
      </c>
      <c r="J211" s="6" t="str">
        <f ca="1">IFERROR(__xludf.DUMMYFUNCTION("""COMPUTED_VALUE"""),"19962")</f>
        <v>19962</v>
      </c>
      <c r="K211" s="6" t="str">
        <f ca="1">IFERROR(__xludf.DUMMYFUNCTION("""COMPUTED_VALUE"""),"خصم 25% علي كل التحاليل علي الاسعار النقدي المعلنه.")</f>
        <v>خصم 25% علي كل التحاليل علي الاسعار النقدي المعلنه.</v>
      </c>
    </row>
    <row r="212" spans="1:11" x14ac:dyDescent="0.25">
      <c r="A212" s="4" t="str">
        <f ca="1">IFERROR(__xludf.DUMMYFUNCTION("""COMPUTED_VALUE"""),"2916")</f>
        <v>2916</v>
      </c>
      <c r="B212" s="5" t="str">
        <f ca="1">IFERROR(__xludf.DUMMYFUNCTION("""COMPUTED_VALUE"""),"الجيزة")</f>
        <v>الجيزة</v>
      </c>
      <c r="C212" s="5" t="str">
        <f ca="1">IFERROR(__xludf.DUMMYFUNCTION("""COMPUTED_VALUE"""),"المهندسين")</f>
        <v>المهندسين</v>
      </c>
      <c r="D212" s="5" t="str">
        <f ca="1">IFERROR(__xludf.DUMMYFUNCTION("""COMPUTED_VALUE"""),"معمل")</f>
        <v>معمل</v>
      </c>
      <c r="E212" s="5" t="str">
        <f ca="1">IFERROR(__xludf.DUMMYFUNCTION("""COMPUTED_VALUE"""),"معمل")</f>
        <v>معمل</v>
      </c>
      <c r="F212" s="5" t="str">
        <f ca="1">IFERROR(__xludf.DUMMYFUNCTION("""COMPUTED_VALUE"""),"معمل التحاليل الطبية")</f>
        <v>معمل التحاليل الطبية</v>
      </c>
      <c r="G212" s="5" t="str">
        <f ca="1">IFERROR(__xludf.DUMMYFUNCTION("""COMPUTED_VALUE"""),"معمل فيرست لاب")</f>
        <v>معمل فيرست لاب</v>
      </c>
      <c r="H212" s="5" t="str">
        <f ca="1">IFERROR(__xludf.DUMMYFUNCTION("""COMPUTED_VALUE"""),": 46 شارع محيى الدين أبو العز  -المهندسين- الجيزة")</f>
        <v>: 46 شارع محيى الدين أبو العز  -المهندسين- الجيزة</v>
      </c>
      <c r="I212" s="6" t="str">
        <f ca="1">IFERROR(__xludf.DUMMYFUNCTION("""COMPUTED_VALUE"""),"20233359300")</f>
        <v>20233359300</v>
      </c>
      <c r="J212" s="6"/>
      <c r="K212" s="6" t="str">
        <f ca="1">IFERROR(__xludf.DUMMYFUNCTION("""COMPUTED_VALUE"""),"20% خصم علي الأسعار النقدي المعلنه")</f>
        <v>20% خصم علي الأسعار النقدي المعلنه</v>
      </c>
    </row>
    <row r="213" spans="1:11" x14ac:dyDescent="0.25">
      <c r="A213" s="4" t="str">
        <f ca="1">IFERROR(__xludf.DUMMYFUNCTION("""COMPUTED_VALUE"""),"2296-B")</f>
        <v>2296-B</v>
      </c>
      <c r="B213" s="5" t="str">
        <f ca="1">IFERROR(__xludf.DUMMYFUNCTION("""COMPUTED_VALUE"""),"الجيزة")</f>
        <v>الجيزة</v>
      </c>
      <c r="C213" s="5" t="str">
        <f ca="1">IFERROR(__xludf.DUMMYFUNCTION("""COMPUTED_VALUE"""),"الهرم")</f>
        <v>الهرم</v>
      </c>
      <c r="D213" s="5" t="str">
        <f ca="1">IFERROR(__xludf.DUMMYFUNCTION("""COMPUTED_VALUE"""),"معمل")</f>
        <v>معمل</v>
      </c>
      <c r="E213" s="5" t="str">
        <f ca="1">IFERROR(__xludf.DUMMYFUNCTION("""COMPUTED_VALUE"""),"معمل")</f>
        <v>معمل</v>
      </c>
      <c r="F213" s="5" t="str">
        <f ca="1">IFERROR(__xludf.DUMMYFUNCTION("""COMPUTED_VALUE"""),"معمل التحاليل الطبية")</f>
        <v>معمل التحاليل الطبية</v>
      </c>
      <c r="G213" s="5" t="str">
        <f ca="1">IFERROR(__xludf.DUMMYFUNCTION("""COMPUTED_VALUE"""),"كايرو لاب")</f>
        <v>كايرو لاب</v>
      </c>
      <c r="H213" s="5" t="str">
        <f ca="1">IFERROR(__xludf.DUMMYFUNCTION("""COMPUTED_VALUE"""),"165 شارع الهرم - امام مستشفى الجابري - الهرم")</f>
        <v>165 شارع الهرم - امام مستشفى الجابري - الهرم</v>
      </c>
      <c r="I213" s="6" t="str">
        <f ca="1">IFERROR(__xludf.DUMMYFUNCTION("""COMPUTED_VALUE"""),"201011175640")</f>
        <v>201011175640</v>
      </c>
      <c r="J213" s="6" t="str">
        <f ca="1">IFERROR(__xludf.DUMMYFUNCTION("""COMPUTED_VALUE"""),"19962")</f>
        <v>19962</v>
      </c>
      <c r="K213" s="6" t="str">
        <f ca="1">IFERROR(__xludf.DUMMYFUNCTION("""COMPUTED_VALUE"""),"خصم 25% علي كل التحاليل علي الاسعار النقدي المعلنه.")</f>
        <v>خصم 25% علي كل التحاليل علي الاسعار النقدي المعلنه.</v>
      </c>
    </row>
    <row r="214" spans="1:11" x14ac:dyDescent="0.25">
      <c r="A214" s="4" t="str">
        <f ca="1">IFERROR(__xludf.DUMMYFUNCTION("""COMPUTED_VALUE"""),"2916-B")</f>
        <v>2916-B</v>
      </c>
      <c r="B214" s="5" t="str">
        <f ca="1">IFERROR(__xludf.DUMMYFUNCTION("""COMPUTED_VALUE"""),"الجيزة")</f>
        <v>الجيزة</v>
      </c>
      <c r="C214" s="5" t="str">
        <f ca="1">IFERROR(__xludf.DUMMYFUNCTION("""COMPUTED_VALUE"""),"امبابة")</f>
        <v>امبابة</v>
      </c>
      <c r="D214" s="5" t="str">
        <f ca="1">IFERROR(__xludf.DUMMYFUNCTION("""COMPUTED_VALUE"""),"معمل")</f>
        <v>معمل</v>
      </c>
      <c r="E214" s="5" t="str">
        <f ca="1">IFERROR(__xludf.DUMMYFUNCTION("""COMPUTED_VALUE"""),"معمل")</f>
        <v>معمل</v>
      </c>
      <c r="F214" s="5" t="str">
        <f ca="1">IFERROR(__xludf.DUMMYFUNCTION("""COMPUTED_VALUE"""),"معمل التحاليل الطبية")</f>
        <v>معمل التحاليل الطبية</v>
      </c>
      <c r="G214" s="5" t="str">
        <f ca="1">IFERROR(__xludf.DUMMYFUNCTION("""COMPUTED_VALUE"""),"معمل فيرست لاب")</f>
        <v>معمل فيرست لاب</v>
      </c>
      <c r="H214" s="5" t="str">
        <f ca="1">IFERROR(__xludf.DUMMYFUNCTION("""COMPUTED_VALUE"""),": ميدان القومية العربية تقاطع عمر بن الخطاب مع شارع الوحدة   -امبابة- الجيزة")</f>
        <v>: ميدان القومية العربية تقاطع عمر بن الخطاب مع شارع الوحدة   -امبابة- الجيزة</v>
      </c>
      <c r="I214" s="6" t="str">
        <f ca="1">IFERROR(__xludf.DUMMYFUNCTION("""COMPUTED_VALUE"""),"20237120708")</f>
        <v>20237120708</v>
      </c>
      <c r="J214" s="6"/>
      <c r="K214" s="6" t="str">
        <f ca="1">IFERROR(__xludf.DUMMYFUNCTION("""COMPUTED_VALUE"""),"20% خصم علي الأسعار النقدي المعلنه")</f>
        <v>20% خصم علي الأسعار النقدي المعلنه</v>
      </c>
    </row>
    <row r="215" spans="1:11" x14ac:dyDescent="0.25">
      <c r="A215" s="4" t="str">
        <f ca="1">IFERROR(__xludf.DUMMYFUNCTION("""COMPUTED_VALUE"""),"2296-B")</f>
        <v>2296-B</v>
      </c>
      <c r="B215" s="5" t="str">
        <f ca="1">IFERROR(__xludf.DUMMYFUNCTION("""COMPUTED_VALUE"""),"القاهرة")</f>
        <v>القاهرة</v>
      </c>
      <c r="C215" s="5" t="str">
        <f ca="1">IFERROR(__xludf.DUMMYFUNCTION("""COMPUTED_VALUE"""),"حلمية الزيتون")</f>
        <v>حلمية الزيتون</v>
      </c>
      <c r="D215" s="5" t="str">
        <f ca="1">IFERROR(__xludf.DUMMYFUNCTION("""COMPUTED_VALUE"""),"معمل")</f>
        <v>معمل</v>
      </c>
      <c r="E215" s="5" t="str">
        <f ca="1">IFERROR(__xludf.DUMMYFUNCTION("""COMPUTED_VALUE"""),"معمل")</f>
        <v>معمل</v>
      </c>
      <c r="F215" s="5" t="str">
        <f ca="1">IFERROR(__xludf.DUMMYFUNCTION("""COMPUTED_VALUE"""),"معمل التحاليل الطبية")</f>
        <v>معمل التحاليل الطبية</v>
      </c>
      <c r="G215" s="5" t="str">
        <f ca="1">IFERROR(__xludf.DUMMYFUNCTION("""COMPUTED_VALUE"""),"كايرو لاب")</f>
        <v>كايرو لاب</v>
      </c>
      <c r="H215" s="5" t="str">
        <f ca="1">IFERROR(__xludf.DUMMYFUNCTION("""COMPUTED_VALUE"""),"ابراج العز - ميدان ابن الحكم - شارع طومان باي - مبني (أ) - حلمية الزيتون - القاهرة")</f>
        <v>ابراج العز - ميدان ابن الحكم - شارع طومان باي - مبني (أ) - حلمية الزيتون - القاهرة</v>
      </c>
      <c r="I215" s="6" t="str">
        <f ca="1">IFERROR(__xludf.DUMMYFUNCTION("""COMPUTED_VALUE"""),"20222401569")</f>
        <v>20222401569</v>
      </c>
      <c r="J215" s="6" t="str">
        <f ca="1">IFERROR(__xludf.DUMMYFUNCTION("""COMPUTED_VALUE"""),"19962")</f>
        <v>19962</v>
      </c>
      <c r="K215" s="6" t="str">
        <f ca="1">IFERROR(__xludf.DUMMYFUNCTION("""COMPUTED_VALUE"""),"خصم 25% علي كل التحاليل علي الاسعار النقدي المعلنه.")</f>
        <v>خصم 25% علي كل التحاليل علي الاسعار النقدي المعلنه.</v>
      </c>
    </row>
    <row r="216" spans="1:11" x14ac:dyDescent="0.25">
      <c r="A216" s="4" t="str">
        <f ca="1">IFERROR(__xludf.DUMMYFUNCTION("""COMPUTED_VALUE"""),"2296-B")</f>
        <v>2296-B</v>
      </c>
      <c r="B216" s="5" t="str">
        <f ca="1">IFERROR(__xludf.DUMMYFUNCTION("""COMPUTED_VALUE"""),"القاهرة")</f>
        <v>القاهرة</v>
      </c>
      <c r="C216" s="5" t="str">
        <f ca="1">IFERROR(__xludf.DUMMYFUNCTION("""COMPUTED_VALUE"""),"حلوان")</f>
        <v>حلوان</v>
      </c>
      <c r="D216" s="5" t="str">
        <f ca="1">IFERROR(__xludf.DUMMYFUNCTION("""COMPUTED_VALUE"""),"معمل")</f>
        <v>معمل</v>
      </c>
      <c r="E216" s="5" t="str">
        <f ca="1">IFERROR(__xludf.DUMMYFUNCTION("""COMPUTED_VALUE"""),"معمل")</f>
        <v>معمل</v>
      </c>
      <c r="F216" s="5" t="str">
        <f ca="1">IFERROR(__xludf.DUMMYFUNCTION("""COMPUTED_VALUE"""),"معمل التحاليل الطبية")</f>
        <v>معمل التحاليل الطبية</v>
      </c>
      <c r="G216" s="5" t="str">
        <f ca="1">IFERROR(__xludf.DUMMYFUNCTION("""COMPUTED_VALUE"""),"كايرو لاب")</f>
        <v>كايرو لاب</v>
      </c>
      <c r="H216" s="5" t="str">
        <f ca="1">IFERROR(__xludf.DUMMYFUNCTION("""COMPUTED_VALUE"""),"32ش زكي برج اللؤلؤة-حلوان-القاهرة")</f>
        <v>32ش زكي برج اللؤلؤة-حلوان-القاهرة</v>
      </c>
      <c r="I216" s="6" t="str">
        <f ca="1">IFERROR(__xludf.DUMMYFUNCTION("""COMPUTED_VALUE"""),"20225585337")</f>
        <v>20225585337</v>
      </c>
      <c r="J216" s="6" t="str">
        <f ca="1">IFERROR(__xludf.DUMMYFUNCTION("""COMPUTED_VALUE"""),"19962")</f>
        <v>19962</v>
      </c>
      <c r="K216" s="6" t="str">
        <f ca="1">IFERROR(__xludf.DUMMYFUNCTION("""COMPUTED_VALUE"""),"خصم 25% علي كل التحاليل علي الاسعار النقدي المعلنه.")</f>
        <v>خصم 25% علي كل التحاليل علي الاسعار النقدي المعلنه.</v>
      </c>
    </row>
    <row r="217" spans="1:11" x14ac:dyDescent="0.25">
      <c r="A217" s="4" t="str">
        <f ca="1">IFERROR(__xludf.DUMMYFUNCTION("""COMPUTED_VALUE"""),"2296-B")</f>
        <v>2296-B</v>
      </c>
      <c r="B217" s="5" t="str">
        <f ca="1">IFERROR(__xludf.DUMMYFUNCTION("""COMPUTED_VALUE"""),"القاهرة")</f>
        <v>القاهرة</v>
      </c>
      <c r="C217" s="5" t="str">
        <f ca="1">IFERROR(__xludf.DUMMYFUNCTION("""COMPUTED_VALUE"""),"حلوان")</f>
        <v>حلوان</v>
      </c>
      <c r="D217" s="5" t="str">
        <f ca="1">IFERROR(__xludf.DUMMYFUNCTION("""COMPUTED_VALUE"""),"معمل")</f>
        <v>معمل</v>
      </c>
      <c r="E217" s="5" t="str">
        <f ca="1">IFERROR(__xludf.DUMMYFUNCTION("""COMPUTED_VALUE"""),"معمل")</f>
        <v>معمل</v>
      </c>
      <c r="F217" s="5" t="str">
        <f ca="1">IFERROR(__xludf.DUMMYFUNCTION("""COMPUTED_VALUE"""),"معمل التحاليل الطبية")</f>
        <v>معمل التحاليل الطبية</v>
      </c>
      <c r="G217" s="5" t="str">
        <f ca="1">IFERROR(__xludf.DUMMYFUNCTION("""COMPUTED_VALUE"""),"كايرو لاب")</f>
        <v>كايرو لاب</v>
      </c>
      <c r="H217" s="5" t="str">
        <f ca="1">IFERROR(__xludf.DUMMYFUNCTION("""COMPUTED_VALUE"""),"حلوان 41 شارع رايل اعلى كارفور")</f>
        <v>حلوان 41 شارع رايل اعلى كارفور</v>
      </c>
      <c r="I217" s="6" t="str">
        <f ca="1">IFERROR(__xludf.DUMMYFUNCTION("""COMPUTED_VALUE"""),"20225566685")</f>
        <v>20225566685</v>
      </c>
      <c r="J217" s="6" t="str">
        <f ca="1">IFERROR(__xludf.DUMMYFUNCTION("""COMPUTED_VALUE"""),"19962")</f>
        <v>19962</v>
      </c>
      <c r="K217" s="6" t="str">
        <f ca="1">IFERROR(__xludf.DUMMYFUNCTION("""COMPUTED_VALUE"""),"خصم 25% علي كل التحاليل علي الاسعار النقدي المعلنه.")</f>
        <v>خصم 25% علي كل التحاليل علي الاسعار النقدي المعلنه.</v>
      </c>
    </row>
    <row r="218" spans="1:11" x14ac:dyDescent="0.25">
      <c r="A218" s="4" t="str">
        <f ca="1">IFERROR(__xludf.DUMMYFUNCTION("""COMPUTED_VALUE"""),"2296-B")</f>
        <v>2296-B</v>
      </c>
      <c r="B218" s="5" t="str">
        <f ca="1">IFERROR(__xludf.DUMMYFUNCTION("""COMPUTED_VALUE"""),"القاهرة")</f>
        <v>القاهرة</v>
      </c>
      <c r="C218" s="5" t="str">
        <f ca="1">IFERROR(__xludf.DUMMYFUNCTION("""COMPUTED_VALUE"""),"حلوان")</f>
        <v>حلوان</v>
      </c>
      <c r="D218" s="5" t="str">
        <f ca="1">IFERROR(__xludf.DUMMYFUNCTION("""COMPUTED_VALUE"""),"معمل")</f>
        <v>معمل</v>
      </c>
      <c r="E218" s="5" t="str">
        <f ca="1">IFERROR(__xludf.DUMMYFUNCTION("""COMPUTED_VALUE"""),"معمل")</f>
        <v>معمل</v>
      </c>
      <c r="F218" s="5" t="str">
        <f ca="1">IFERROR(__xludf.DUMMYFUNCTION("""COMPUTED_VALUE"""),"معمل التحاليل الطبية")</f>
        <v>معمل التحاليل الطبية</v>
      </c>
      <c r="G218" s="5" t="str">
        <f ca="1">IFERROR(__xludf.DUMMYFUNCTION("""COMPUTED_VALUE"""),"كايرو لاب")</f>
        <v>كايرو لاب</v>
      </c>
      <c r="H218" s="5" t="str">
        <f ca="1">IFERROR(__xludf.DUMMYFUNCTION("""COMPUTED_VALUE"""),"90 شارع خالد بن الوليد تقسيم فريد زكي - الدور التاني  - حدائق حلوان - حلوان - القاهرة")</f>
        <v>90 شارع خالد بن الوليد تقسيم فريد زكي - الدور التاني  - حدائق حلوان - حلوان - القاهرة</v>
      </c>
      <c r="I218" s="6" t="str">
        <f ca="1">IFERROR(__xludf.DUMMYFUNCTION("""COMPUTED_VALUE"""),"201156777732")</f>
        <v>201156777732</v>
      </c>
      <c r="J218" s="6" t="str">
        <f ca="1">IFERROR(__xludf.DUMMYFUNCTION("""COMPUTED_VALUE"""),"19962")</f>
        <v>19962</v>
      </c>
      <c r="K218" s="6" t="str">
        <f ca="1">IFERROR(__xludf.DUMMYFUNCTION("""COMPUTED_VALUE"""),"خصم 25% علي كل التحاليل علي الاسعار النقدي المعلنه.")</f>
        <v>خصم 25% علي كل التحاليل علي الاسعار النقدي المعلنه.</v>
      </c>
    </row>
    <row r="219" spans="1:11" x14ac:dyDescent="0.25">
      <c r="A219" s="4" t="str">
        <f ca="1">IFERROR(__xludf.DUMMYFUNCTION("""COMPUTED_VALUE"""),"2916-B")</f>
        <v>2916-B</v>
      </c>
      <c r="B219" s="5" t="str">
        <f ca="1">IFERROR(__xludf.DUMMYFUNCTION("""COMPUTED_VALUE"""),"القاهرة")</f>
        <v>القاهرة</v>
      </c>
      <c r="C219" s="5" t="str">
        <f ca="1">IFERROR(__xludf.DUMMYFUNCTION("""COMPUTED_VALUE"""),"حلوان")</f>
        <v>حلوان</v>
      </c>
      <c r="D219" s="5" t="str">
        <f ca="1">IFERROR(__xludf.DUMMYFUNCTION("""COMPUTED_VALUE"""),"معمل")</f>
        <v>معمل</v>
      </c>
      <c r="E219" s="5" t="str">
        <f ca="1">IFERROR(__xludf.DUMMYFUNCTION("""COMPUTED_VALUE"""),"معمل")</f>
        <v>معمل</v>
      </c>
      <c r="F219" s="5" t="str">
        <f ca="1">IFERROR(__xludf.DUMMYFUNCTION("""COMPUTED_VALUE"""),"معمل التحاليل الطبية")</f>
        <v>معمل التحاليل الطبية</v>
      </c>
      <c r="G219" s="5" t="str">
        <f ca="1">IFERROR(__xludf.DUMMYFUNCTION("""COMPUTED_VALUE"""),"معمل فيرست لاب")</f>
        <v>معمل فيرست لاب</v>
      </c>
      <c r="H219" s="5" t="str">
        <f ca="1">IFERROR(__xludf.DUMMYFUNCTION("""COMPUTED_VALUE"""),": ميدان محطة المترو  34 شارع منصور بجوار السنترال-حلوان-القاهرة")</f>
        <v>: ميدان محطة المترو  34 شارع منصور بجوار السنترال-حلوان-القاهرة</v>
      </c>
      <c r="I219" s="6" t="str">
        <f ca="1">IFERROR(__xludf.DUMMYFUNCTION("""COMPUTED_VALUE"""),"20225590228")</f>
        <v>20225590228</v>
      </c>
      <c r="J219" s="6"/>
      <c r="K219" s="6" t="str">
        <f ca="1">IFERROR(__xludf.DUMMYFUNCTION("""COMPUTED_VALUE"""),"20% خصم علي الأسعار النقدي المعلنه")</f>
        <v>20% خصم علي الأسعار النقدي المعلنه</v>
      </c>
    </row>
    <row r="220" spans="1:11" x14ac:dyDescent="0.25">
      <c r="A220" s="4" t="str">
        <f ca="1">IFERROR(__xludf.DUMMYFUNCTION("""COMPUTED_VALUE"""),"2296-B")</f>
        <v>2296-B</v>
      </c>
      <c r="B220" s="5" t="str">
        <f ca="1">IFERROR(__xludf.DUMMYFUNCTION("""COMPUTED_VALUE"""),"القاهرة")</f>
        <v>القاهرة</v>
      </c>
      <c r="C220" s="5" t="str">
        <f ca="1">IFERROR(__xludf.DUMMYFUNCTION("""COMPUTED_VALUE"""),"شبرا")</f>
        <v>شبرا</v>
      </c>
      <c r="D220" s="5" t="str">
        <f ca="1">IFERROR(__xludf.DUMMYFUNCTION("""COMPUTED_VALUE"""),"معمل")</f>
        <v>معمل</v>
      </c>
      <c r="E220" s="5" t="str">
        <f ca="1">IFERROR(__xludf.DUMMYFUNCTION("""COMPUTED_VALUE"""),"معمل")</f>
        <v>معمل</v>
      </c>
      <c r="F220" s="5" t="str">
        <f ca="1">IFERROR(__xludf.DUMMYFUNCTION("""COMPUTED_VALUE"""),"معمل التحاليل الطبية")</f>
        <v>معمل التحاليل الطبية</v>
      </c>
      <c r="G220" s="5" t="str">
        <f ca="1">IFERROR(__xludf.DUMMYFUNCTION("""COMPUTED_VALUE"""),"كايرو لاب")</f>
        <v>كايرو لاب</v>
      </c>
      <c r="H220" s="5" t="str">
        <f ca="1">IFERROR(__xludf.DUMMYFUNCTION("""COMPUTED_VALUE"""),"40شارع شبرا - بجوار حي شبرا-شبرا-القاهرة")</f>
        <v>40شارع شبرا - بجوار حي شبرا-شبرا-القاهرة</v>
      </c>
      <c r="I220" s="6" t="str">
        <f ca="1">IFERROR(__xludf.DUMMYFUNCTION("""COMPUTED_VALUE"""),"20224609620")</f>
        <v>20224609620</v>
      </c>
      <c r="J220" s="6" t="str">
        <f ca="1">IFERROR(__xludf.DUMMYFUNCTION("""COMPUTED_VALUE"""),"19962")</f>
        <v>19962</v>
      </c>
      <c r="K220" s="6" t="str">
        <f ca="1">IFERROR(__xludf.DUMMYFUNCTION("""COMPUTED_VALUE"""),"خصم 25% علي كل التحاليل علي الاسعار النقدي المعلنه.")</f>
        <v>خصم 25% علي كل التحاليل علي الاسعار النقدي المعلنه.</v>
      </c>
    </row>
    <row r="221" spans="1:11" x14ac:dyDescent="0.25">
      <c r="A221" s="4" t="str">
        <f ca="1">IFERROR(__xludf.DUMMYFUNCTION("""COMPUTED_VALUE"""),"2916-B")</f>
        <v>2916-B</v>
      </c>
      <c r="B221" s="5" t="str">
        <f ca="1">IFERROR(__xludf.DUMMYFUNCTION("""COMPUTED_VALUE"""),"القاهرة")</f>
        <v>القاهرة</v>
      </c>
      <c r="C221" s="5" t="str">
        <f ca="1">IFERROR(__xludf.DUMMYFUNCTION("""COMPUTED_VALUE"""),"عين شمس")</f>
        <v>عين شمس</v>
      </c>
      <c r="D221" s="5" t="str">
        <f ca="1">IFERROR(__xludf.DUMMYFUNCTION("""COMPUTED_VALUE"""),"معمل")</f>
        <v>معمل</v>
      </c>
      <c r="E221" s="5" t="str">
        <f ca="1">IFERROR(__xludf.DUMMYFUNCTION("""COMPUTED_VALUE"""),"معمل")</f>
        <v>معمل</v>
      </c>
      <c r="F221" s="5" t="str">
        <f ca="1">IFERROR(__xludf.DUMMYFUNCTION("""COMPUTED_VALUE"""),"معمل التحاليل الطبية")</f>
        <v>معمل التحاليل الطبية</v>
      </c>
      <c r="G221" s="5" t="str">
        <f ca="1">IFERROR(__xludf.DUMMYFUNCTION("""COMPUTED_VALUE"""),"معمل فيرست لاب")</f>
        <v>معمل فيرست لاب</v>
      </c>
      <c r="H221" s="5" t="str">
        <f ca="1">IFERROR(__xludf.DUMMYFUNCTION("""COMPUTED_VALUE"""),": 88  شارع عين شمس تقاطع احمد عصمت  -عين شمس-القاهرة")</f>
        <v>: 88  شارع عين شمس تقاطع احمد عصمت  -عين شمس-القاهرة</v>
      </c>
      <c r="I221" s="6" t="str">
        <f ca="1">IFERROR(__xludf.DUMMYFUNCTION("""COMPUTED_VALUE"""),"20224991199")</f>
        <v>20224991199</v>
      </c>
      <c r="J221" s="6"/>
      <c r="K221" s="6" t="str">
        <f ca="1">IFERROR(__xludf.DUMMYFUNCTION("""COMPUTED_VALUE"""),"20% خصم علي الأسعار النقدي المعلنه")</f>
        <v>20% خصم علي الأسعار النقدي المعلنه</v>
      </c>
    </row>
    <row r="222" spans="1:11" x14ac:dyDescent="0.25">
      <c r="A222" s="4" t="str">
        <f ca="1">IFERROR(__xludf.DUMMYFUNCTION("""COMPUTED_VALUE"""),"2296-B")</f>
        <v>2296-B</v>
      </c>
      <c r="B222" s="5" t="str">
        <f ca="1">IFERROR(__xludf.DUMMYFUNCTION("""COMPUTED_VALUE"""),"الجيزة")</f>
        <v>الجيزة</v>
      </c>
      <c r="C222" s="5" t="str">
        <f ca="1">IFERROR(__xludf.DUMMYFUNCTION("""COMPUTED_VALUE"""),"فيصل")</f>
        <v>فيصل</v>
      </c>
      <c r="D222" s="5" t="str">
        <f ca="1">IFERROR(__xludf.DUMMYFUNCTION("""COMPUTED_VALUE"""),"معمل")</f>
        <v>معمل</v>
      </c>
      <c r="E222" s="5" t="str">
        <f ca="1">IFERROR(__xludf.DUMMYFUNCTION("""COMPUTED_VALUE"""),"معمل")</f>
        <v>معمل</v>
      </c>
      <c r="F222" s="5" t="str">
        <f ca="1">IFERROR(__xludf.DUMMYFUNCTION("""COMPUTED_VALUE"""),"معمل التحاليل الطبية")</f>
        <v>معمل التحاليل الطبية</v>
      </c>
      <c r="G222" s="5" t="str">
        <f ca="1">IFERROR(__xludf.DUMMYFUNCTION("""COMPUTED_VALUE"""),"كايرو لاب")</f>
        <v>كايرو لاب</v>
      </c>
      <c r="H222" s="5" t="str">
        <f ca="1">IFERROR(__xludf.DUMMYFUNCTION("""COMPUTED_VALUE"""),"446شارع الملك فيصل - برج النصر-فيصل- الجيزة")</f>
        <v>446شارع الملك فيصل - برج النصر-فيصل- الجيزة</v>
      </c>
      <c r="I222" s="6" t="str">
        <f ca="1">IFERROR(__xludf.DUMMYFUNCTION("""COMPUTED_VALUE"""),"20237794630")</f>
        <v>20237794630</v>
      </c>
      <c r="J222" s="6" t="str">
        <f ca="1">IFERROR(__xludf.DUMMYFUNCTION("""COMPUTED_VALUE"""),"19962")</f>
        <v>19962</v>
      </c>
      <c r="K222" s="6" t="str">
        <f ca="1">IFERROR(__xludf.DUMMYFUNCTION("""COMPUTED_VALUE"""),"خصم 25% علي كل التحاليل علي الاسعار النقدي المعلنه.")</f>
        <v>خصم 25% علي كل التحاليل علي الاسعار النقدي المعلنه.</v>
      </c>
    </row>
    <row r="223" spans="1:11" x14ac:dyDescent="0.25">
      <c r="A223" s="4" t="str">
        <f ca="1">IFERROR(__xludf.DUMMYFUNCTION("""COMPUTED_VALUE"""),"2916-B")</f>
        <v>2916-B</v>
      </c>
      <c r="B223" s="5" t="str">
        <f ca="1">IFERROR(__xludf.DUMMYFUNCTION("""COMPUTED_VALUE"""),"الجيزة")</f>
        <v>الجيزة</v>
      </c>
      <c r="C223" s="5" t="str">
        <f ca="1">IFERROR(__xludf.DUMMYFUNCTION("""COMPUTED_VALUE"""),"فيصل")</f>
        <v>فيصل</v>
      </c>
      <c r="D223" s="5" t="str">
        <f ca="1">IFERROR(__xludf.DUMMYFUNCTION("""COMPUTED_VALUE"""),"معمل")</f>
        <v>معمل</v>
      </c>
      <c r="E223" s="5" t="str">
        <f ca="1">IFERROR(__xludf.DUMMYFUNCTION("""COMPUTED_VALUE"""),"معمل")</f>
        <v>معمل</v>
      </c>
      <c r="F223" s="5" t="str">
        <f ca="1">IFERROR(__xludf.DUMMYFUNCTION("""COMPUTED_VALUE"""),"معمل التحاليل الطبية")</f>
        <v>معمل التحاليل الطبية</v>
      </c>
      <c r="G223" s="5" t="str">
        <f ca="1">IFERROR(__xludf.DUMMYFUNCTION("""COMPUTED_VALUE"""),"معمل فيرست لاب")</f>
        <v>معمل فيرست لاب</v>
      </c>
      <c r="H223" s="5" t="str">
        <f ca="1">IFERROR(__xludf.DUMMYFUNCTION("""COMPUTED_VALUE"""),": أول كوبرى فيصل – برج الأطباء  -فيصل- الجيزة")</f>
        <v>: أول كوبرى فيصل – برج الأطباء  -فيصل- الجيزة</v>
      </c>
      <c r="I223" s="6" t="str">
        <f ca="1">IFERROR(__xludf.DUMMYFUNCTION("""COMPUTED_VALUE"""),"20235699242")</f>
        <v>20235699242</v>
      </c>
      <c r="J223" s="6"/>
      <c r="K223" s="6" t="str">
        <f ca="1">IFERROR(__xludf.DUMMYFUNCTION("""COMPUTED_VALUE"""),"20% خصم علي الأسعار النقدي المعلنه")</f>
        <v>20% خصم علي الأسعار النقدي المعلنه</v>
      </c>
    </row>
    <row r="224" spans="1:11" x14ac:dyDescent="0.25">
      <c r="A224" s="4" t="str">
        <f ca="1">IFERROR(__xludf.DUMMYFUNCTION("""COMPUTED_VALUE"""),"2916-B")</f>
        <v>2916-B</v>
      </c>
      <c r="B224" s="5" t="str">
        <f ca="1">IFERROR(__xludf.DUMMYFUNCTION("""COMPUTED_VALUE"""),"الجيزة")</f>
        <v>الجيزة</v>
      </c>
      <c r="C224" s="5" t="str">
        <f ca="1">IFERROR(__xludf.DUMMYFUNCTION("""COMPUTED_VALUE"""),"فيصل")</f>
        <v>فيصل</v>
      </c>
      <c r="D224" s="5" t="str">
        <f ca="1">IFERROR(__xludf.DUMMYFUNCTION("""COMPUTED_VALUE"""),"معمل")</f>
        <v>معمل</v>
      </c>
      <c r="E224" s="5" t="str">
        <f ca="1">IFERROR(__xludf.DUMMYFUNCTION("""COMPUTED_VALUE"""),"معمل")</f>
        <v>معمل</v>
      </c>
      <c r="F224" s="5" t="str">
        <f ca="1">IFERROR(__xludf.DUMMYFUNCTION("""COMPUTED_VALUE"""),"معمل التحاليل الطبية")</f>
        <v>معمل التحاليل الطبية</v>
      </c>
      <c r="G224" s="5" t="str">
        <f ca="1">IFERROR(__xludf.DUMMYFUNCTION("""COMPUTED_VALUE"""),"معمل فيرست لاب")</f>
        <v>معمل فيرست لاب</v>
      </c>
      <c r="H224" s="5" t="str">
        <f ca="1">IFERROR(__xludf.DUMMYFUNCTION("""COMPUTED_VALUE"""),"63ش وابيق كعبيش الرئيسي تقاطع الاربعين-فيصل- الجيزة")</f>
        <v>63ش وابيق كعبيش الرئيسي تقاطع الاربعين-فيصل- الجيزة</v>
      </c>
      <c r="I224" s="6" t="str">
        <f ca="1">IFERROR(__xludf.DUMMYFUNCTION("""COMPUTED_VALUE"""),"20239753333")</f>
        <v>20239753333</v>
      </c>
      <c r="J224" s="6"/>
      <c r="K224" s="6" t="str">
        <f ca="1">IFERROR(__xludf.DUMMYFUNCTION("""COMPUTED_VALUE"""),"20% خصم علي الأسعار النقدي المعلنه")</f>
        <v>20% خصم علي الأسعار النقدي المعلنه</v>
      </c>
    </row>
    <row r="225" spans="1:11" x14ac:dyDescent="0.25">
      <c r="A225" s="4" t="str">
        <f ca="1">IFERROR(__xludf.DUMMYFUNCTION("""COMPUTED_VALUE"""),"2296-B")</f>
        <v>2296-B</v>
      </c>
      <c r="B225" s="5" t="str">
        <f ca="1">IFERROR(__xludf.DUMMYFUNCTION("""COMPUTED_VALUE"""),"القاهرة")</f>
        <v>القاهرة</v>
      </c>
      <c r="C225" s="5" t="str">
        <f ca="1">IFERROR(__xludf.DUMMYFUNCTION("""COMPUTED_VALUE"""),"مدينة الشروق")</f>
        <v>مدينة الشروق</v>
      </c>
      <c r="D225" s="5" t="str">
        <f ca="1">IFERROR(__xludf.DUMMYFUNCTION("""COMPUTED_VALUE"""),"معمل")</f>
        <v>معمل</v>
      </c>
      <c r="E225" s="5" t="str">
        <f ca="1">IFERROR(__xludf.DUMMYFUNCTION("""COMPUTED_VALUE"""),"معمل")</f>
        <v>معمل</v>
      </c>
      <c r="F225" s="5" t="str">
        <f ca="1">IFERROR(__xludf.DUMMYFUNCTION("""COMPUTED_VALUE"""),"معمل التحاليل الطبية")</f>
        <v>معمل التحاليل الطبية</v>
      </c>
      <c r="G225" s="5" t="str">
        <f ca="1">IFERROR(__xludf.DUMMYFUNCTION("""COMPUTED_VALUE"""),"كايرو لاب")</f>
        <v>كايرو لاب</v>
      </c>
      <c r="H225" s="5" t="str">
        <f ca="1">IFERROR(__xludf.DUMMYFUNCTION("""COMPUTED_VALUE"""),"مول جلاكسي - الحي 9 مجاورة 4 بجوار ماكدونالز - الشروق")</f>
        <v>مول جلاكسي - الحي 9 مجاورة 4 بجوار ماكدونالز - الشروق</v>
      </c>
      <c r="I225" s="6" t="str">
        <f ca="1">IFERROR(__xludf.DUMMYFUNCTION("""COMPUTED_VALUE"""),"201099960406")</f>
        <v>201099960406</v>
      </c>
      <c r="J225" s="6" t="str">
        <f ca="1">IFERROR(__xludf.DUMMYFUNCTION("""COMPUTED_VALUE"""),"19962")</f>
        <v>19962</v>
      </c>
      <c r="K225" s="6" t="str">
        <f ca="1">IFERROR(__xludf.DUMMYFUNCTION("""COMPUTED_VALUE"""),"خصم 25% علي كل التحاليل علي الاسعار النقدي المعلنه.")</f>
        <v>خصم 25% علي كل التحاليل علي الاسعار النقدي المعلنه.</v>
      </c>
    </row>
    <row r="226" spans="1:11" x14ac:dyDescent="0.25">
      <c r="A226" s="4" t="str">
        <f ca="1">IFERROR(__xludf.DUMMYFUNCTION("""COMPUTED_VALUE"""),"2296-B")</f>
        <v>2296-B</v>
      </c>
      <c r="B226" s="5" t="str">
        <f ca="1">IFERROR(__xludf.DUMMYFUNCTION("""COMPUTED_VALUE"""),"القاهرة")</f>
        <v>القاهرة</v>
      </c>
      <c r="C226" s="5" t="str">
        <f ca="1">IFERROR(__xludf.DUMMYFUNCTION("""COMPUTED_VALUE"""),"مدينة نصر")</f>
        <v>مدينة نصر</v>
      </c>
      <c r="D226" s="5" t="str">
        <f ca="1">IFERROR(__xludf.DUMMYFUNCTION("""COMPUTED_VALUE"""),"معمل")</f>
        <v>معمل</v>
      </c>
      <c r="E226" s="5" t="str">
        <f ca="1">IFERROR(__xludf.DUMMYFUNCTION("""COMPUTED_VALUE"""),"معمل")</f>
        <v>معمل</v>
      </c>
      <c r="F226" s="5" t="str">
        <f ca="1">IFERROR(__xludf.DUMMYFUNCTION("""COMPUTED_VALUE"""),"معمل التحاليل الطبية")</f>
        <v>معمل التحاليل الطبية</v>
      </c>
      <c r="G226" s="5" t="str">
        <f ca="1">IFERROR(__xludf.DUMMYFUNCTION("""COMPUTED_VALUE"""),"كايرو لاب")</f>
        <v>كايرو لاب</v>
      </c>
      <c r="H226" s="5" t="str">
        <f ca="1">IFERROR(__xludf.DUMMYFUNCTION("""COMPUTED_VALUE"""),"81عمارات عثمان - شارع مصطفي النحاس-مدينة نصر-القاهرة")</f>
        <v>81عمارات عثمان - شارع مصطفي النحاس-مدينة نصر-القاهرة</v>
      </c>
      <c r="I226" s="6" t="str">
        <f ca="1">IFERROR(__xludf.DUMMYFUNCTION("""COMPUTED_VALUE"""),"20223828764")</f>
        <v>20223828764</v>
      </c>
      <c r="J226" s="6" t="str">
        <f ca="1">IFERROR(__xludf.DUMMYFUNCTION("""COMPUTED_VALUE"""),"19962")</f>
        <v>19962</v>
      </c>
      <c r="K226" s="6" t="str">
        <f ca="1">IFERROR(__xludf.DUMMYFUNCTION("""COMPUTED_VALUE"""),"خصم 25% علي كل التحاليل علي الاسعار النقدي المعلنه.")</f>
        <v>خصم 25% علي كل التحاليل علي الاسعار النقدي المعلنه.</v>
      </c>
    </row>
    <row r="227" spans="1:11" x14ac:dyDescent="0.25">
      <c r="A227" s="4" t="str">
        <f ca="1">IFERROR(__xludf.DUMMYFUNCTION("""COMPUTED_VALUE"""),"2916-B")</f>
        <v>2916-B</v>
      </c>
      <c r="B227" s="5" t="str">
        <f ca="1">IFERROR(__xludf.DUMMYFUNCTION("""COMPUTED_VALUE"""),"القاهرة")</f>
        <v>القاهرة</v>
      </c>
      <c r="C227" s="5" t="str">
        <f ca="1">IFERROR(__xludf.DUMMYFUNCTION("""COMPUTED_VALUE"""),"مدينة نصر")</f>
        <v>مدينة نصر</v>
      </c>
      <c r="D227" s="5" t="str">
        <f ca="1">IFERROR(__xludf.DUMMYFUNCTION("""COMPUTED_VALUE"""),"معمل")</f>
        <v>معمل</v>
      </c>
      <c r="E227" s="5" t="str">
        <f ca="1">IFERROR(__xludf.DUMMYFUNCTION("""COMPUTED_VALUE"""),"معمل")</f>
        <v>معمل</v>
      </c>
      <c r="F227" s="5" t="str">
        <f ca="1">IFERROR(__xludf.DUMMYFUNCTION("""COMPUTED_VALUE"""),"معمل التحاليل الطبية")</f>
        <v>معمل التحاليل الطبية</v>
      </c>
      <c r="G227" s="5" t="str">
        <f ca="1">IFERROR(__xludf.DUMMYFUNCTION("""COMPUTED_VALUE"""),"معمل فيرست لاب")</f>
        <v>معمل فيرست لاب</v>
      </c>
      <c r="H227" s="5" t="str">
        <f ca="1">IFERROR(__xludf.DUMMYFUNCTION("""COMPUTED_VALUE"""),"7 شارع طرابلس من عباس العقاد-مدينة نصر-القاهرة")</f>
        <v>7 شارع طرابلس من عباس العقاد-مدينة نصر-القاهرة</v>
      </c>
      <c r="I227" s="6" t="str">
        <f ca="1">IFERROR(__xludf.DUMMYFUNCTION("""COMPUTED_VALUE"""),"20222751232")</f>
        <v>20222751232</v>
      </c>
      <c r="J227" s="6"/>
      <c r="K227" s="6" t="str">
        <f ca="1">IFERROR(__xludf.DUMMYFUNCTION("""COMPUTED_VALUE"""),"20% خصم علي الأسعار النقدي المعلنه")</f>
        <v>20% خصم علي الأسعار النقدي المعلنه</v>
      </c>
    </row>
    <row r="228" spans="1:11" x14ac:dyDescent="0.25">
      <c r="A228" s="4" t="str">
        <f ca="1">IFERROR(__xludf.DUMMYFUNCTION("""COMPUTED_VALUE"""),"2296-B")</f>
        <v>2296-B</v>
      </c>
      <c r="B228" s="5" t="str">
        <f ca="1">IFERROR(__xludf.DUMMYFUNCTION("""COMPUTED_VALUE"""),"القاهرة")</f>
        <v>القاهرة</v>
      </c>
      <c r="C228" s="5" t="str">
        <f ca="1">IFERROR(__xludf.DUMMYFUNCTION("""COMPUTED_VALUE"""),"مصر الجديدة")</f>
        <v>مصر الجديدة</v>
      </c>
      <c r="D228" s="5" t="str">
        <f ca="1">IFERROR(__xludf.DUMMYFUNCTION("""COMPUTED_VALUE"""),"معمل")</f>
        <v>معمل</v>
      </c>
      <c r="E228" s="5" t="str">
        <f ca="1">IFERROR(__xludf.DUMMYFUNCTION("""COMPUTED_VALUE"""),"معمل")</f>
        <v>معمل</v>
      </c>
      <c r="F228" s="5" t="str">
        <f ca="1">IFERROR(__xludf.DUMMYFUNCTION("""COMPUTED_VALUE"""),"معمل التحاليل الطبية")</f>
        <v>معمل التحاليل الطبية</v>
      </c>
      <c r="G228" s="5" t="str">
        <f ca="1">IFERROR(__xludf.DUMMYFUNCTION("""COMPUTED_VALUE"""),"كايرو لاب")</f>
        <v>كايرو لاب</v>
      </c>
      <c r="H228" s="5" t="str">
        <f ca="1">IFERROR(__xludf.DUMMYFUNCTION("""COMPUTED_VALUE"""),"138شارع النزهة - برج بانوراما - تريومف-مصر الجديدة-القاهرة")</f>
        <v>138شارع النزهة - برج بانوراما - تريومف-مصر الجديدة-القاهرة</v>
      </c>
      <c r="I228" s="6" t="str">
        <f ca="1">IFERROR(__xludf.DUMMYFUNCTION("""COMPUTED_VALUE"""),"20226378604")</f>
        <v>20226378604</v>
      </c>
      <c r="J228" s="6" t="str">
        <f ca="1">IFERROR(__xludf.DUMMYFUNCTION("""COMPUTED_VALUE"""),"19962")</f>
        <v>19962</v>
      </c>
      <c r="K228" s="6" t="str">
        <f ca="1">IFERROR(__xludf.DUMMYFUNCTION("""COMPUTED_VALUE"""),"خصم 25% علي كل التحاليل علي الاسعار النقدي المعلنه.")</f>
        <v>خصم 25% علي كل التحاليل علي الاسعار النقدي المعلنه.</v>
      </c>
    </row>
    <row r="229" spans="1:11" x14ac:dyDescent="0.25">
      <c r="A229" s="4" t="str">
        <f ca="1">IFERROR(__xludf.DUMMYFUNCTION("""COMPUTED_VALUE"""),"2296-B")</f>
        <v>2296-B</v>
      </c>
      <c r="B229" s="5" t="str">
        <f ca="1">IFERROR(__xludf.DUMMYFUNCTION("""COMPUTED_VALUE"""),"القاهرة")</f>
        <v>القاهرة</v>
      </c>
      <c r="C229" s="5" t="str">
        <f ca="1">IFERROR(__xludf.DUMMYFUNCTION("""COMPUTED_VALUE"""),"مصر الجديدة")</f>
        <v>مصر الجديدة</v>
      </c>
      <c r="D229" s="5" t="str">
        <f ca="1">IFERROR(__xludf.DUMMYFUNCTION("""COMPUTED_VALUE"""),"معمل")</f>
        <v>معمل</v>
      </c>
      <c r="E229" s="5" t="str">
        <f ca="1">IFERROR(__xludf.DUMMYFUNCTION("""COMPUTED_VALUE"""),"معمل")</f>
        <v>معمل</v>
      </c>
      <c r="F229" s="5" t="str">
        <f ca="1">IFERROR(__xludf.DUMMYFUNCTION("""COMPUTED_VALUE"""),"معمل التحاليل الطبية")</f>
        <v>معمل التحاليل الطبية</v>
      </c>
      <c r="G229" s="5" t="str">
        <f ca="1">IFERROR(__xludf.DUMMYFUNCTION("""COMPUTED_VALUE"""),"كايرو لاب")</f>
        <v>كايرو لاب</v>
      </c>
      <c r="H229" s="5" t="str">
        <f ca="1">IFERROR(__xludf.DUMMYFUNCTION("""COMPUTED_VALUE"""),"18شارع الحرية - 7 عمارات-مصر الجديدة-القاهرة")</f>
        <v>18شارع الحرية - 7 عمارات-مصر الجديدة-القاهرة</v>
      </c>
      <c r="I229" s="6" t="str">
        <f ca="1">IFERROR(__xludf.DUMMYFUNCTION("""COMPUTED_VALUE"""),"20224157877")</f>
        <v>20224157877</v>
      </c>
      <c r="J229" s="6" t="str">
        <f ca="1">IFERROR(__xludf.DUMMYFUNCTION("""COMPUTED_VALUE"""),"19962")</f>
        <v>19962</v>
      </c>
      <c r="K229" s="6" t="str">
        <f ca="1">IFERROR(__xludf.DUMMYFUNCTION("""COMPUTED_VALUE"""),"خصم 25% علي كل التحاليل علي الاسعار النقدي المعلنه.")</f>
        <v>خصم 25% علي كل التحاليل علي الاسعار النقدي المعلنه.</v>
      </c>
    </row>
    <row r="230" spans="1:11" x14ac:dyDescent="0.25">
      <c r="A230" s="4" t="str">
        <f ca="1">IFERROR(__xludf.DUMMYFUNCTION("""COMPUTED_VALUE"""),"2296-B")</f>
        <v>2296-B</v>
      </c>
      <c r="B230" s="5" t="str">
        <f ca="1">IFERROR(__xludf.DUMMYFUNCTION("""COMPUTED_VALUE"""),"القاهرة")</f>
        <v>القاهرة</v>
      </c>
      <c r="C230" s="5" t="str">
        <f ca="1">IFERROR(__xludf.DUMMYFUNCTION("""COMPUTED_VALUE"""),"مصر الجديدة")</f>
        <v>مصر الجديدة</v>
      </c>
      <c r="D230" s="5" t="str">
        <f ca="1">IFERROR(__xludf.DUMMYFUNCTION("""COMPUTED_VALUE"""),"معمل")</f>
        <v>معمل</v>
      </c>
      <c r="E230" s="5" t="str">
        <f ca="1">IFERROR(__xludf.DUMMYFUNCTION("""COMPUTED_VALUE"""),"معمل")</f>
        <v>معمل</v>
      </c>
      <c r="F230" s="5" t="str">
        <f ca="1">IFERROR(__xludf.DUMMYFUNCTION("""COMPUTED_VALUE"""),"معمل التحاليل الطبية")</f>
        <v>معمل التحاليل الطبية</v>
      </c>
      <c r="G230" s="5" t="str">
        <f ca="1">IFERROR(__xludf.DUMMYFUNCTION("""COMPUTED_VALUE"""),"كايرو لاب")</f>
        <v>كايرو لاب</v>
      </c>
      <c r="H230" s="5" t="str">
        <f ca="1">IFERROR(__xludf.DUMMYFUNCTION("""COMPUTED_VALUE"""),"18شارع المنصورة - ميدان الجامع - برج هارون بجوار قسم مصر الجديدة-مصر الجديدة-القاهرة")</f>
        <v>18شارع المنصورة - ميدان الجامع - برج هارون بجوار قسم مصر الجديدة-مصر الجديدة-القاهرة</v>
      </c>
      <c r="I230" s="6" t="str">
        <f ca="1">IFERROR(__xludf.DUMMYFUNCTION("""COMPUTED_VALUE"""),"20226421786")</f>
        <v>20226421786</v>
      </c>
      <c r="J230" s="6" t="str">
        <f ca="1">IFERROR(__xludf.DUMMYFUNCTION("""COMPUTED_VALUE"""),"19962")</f>
        <v>19962</v>
      </c>
      <c r="K230" s="6" t="str">
        <f ca="1">IFERROR(__xludf.DUMMYFUNCTION("""COMPUTED_VALUE"""),"خصم 25% علي كل التحاليل علي الاسعار النقدي المعلنه.")</f>
        <v>خصم 25% علي كل التحاليل علي الاسعار النقدي المعلنه.</v>
      </c>
    </row>
    <row r="231" spans="1:11" x14ac:dyDescent="0.25">
      <c r="A231" s="4" t="str">
        <f ca="1">IFERROR(__xludf.DUMMYFUNCTION("""COMPUTED_VALUE"""),"2916-B")</f>
        <v>2916-B</v>
      </c>
      <c r="B231" s="5" t="str">
        <f ca="1">IFERROR(__xludf.DUMMYFUNCTION("""COMPUTED_VALUE"""),"القاهرة")</f>
        <v>القاهرة</v>
      </c>
      <c r="C231" s="5" t="str">
        <f ca="1">IFERROR(__xludf.DUMMYFUNCTION("""COMPUTED_VALUE"""),"مصر الجديدة")</f>
        <v>مصر الجديدة</v>
      </c>
      <c r="D231" s="5" t="str">
        <f ca="1">IFERROR(__xludf.DUMMYFUNCTION("""COMPUTED_VALUE"""),"معمل")</f>
        <v>معمل</v>
      </c>
      <c r="E231" s="5" t="str">
        <f ca="1">IFERROR(__xludf.DUMMYFUNCTION("""COMPUTED_VALUE"""),"معمل")</f>
        <v>معمل</v>
      </c>
      <c r="F231" s="5" t="str">
        <f ca="1">IFERROR(__xludf.DUMMYFUNCTION("""COMPUTED_VALUE"""),"معمل التحاليل الطبية")</f>
        <v>معمل التحاليل الطبية</v>
      </c>
      <c r="G231" s="5" t="str">
        <f ca="1">IFERROR(__xludf.DUMMYFUNCTION("""COMPUTED_VALUE"""),"معمل فيرست لاب")</f>
        <v>معمل فيرست لاب</v>
      </c>
      <c r="H231" s="5" t="str">
        <f ca="1">IFERROR(__xludf.DUMMYFUNCTION("""COMPUTED_VALUE"""),":    12 شارع بطرس غالى - روكسى    -مصر الجديدة-القاهرة")</f>
        <v>:    12 شارع بطرس غالى - روكسى    -مصر الجديدة-القاهرة</v>
      </c>
      <c r="I231" s="6" t="str">
        <f ca="1">IFERROR(__xludf.DUMMYFUNCTION("""COMPUTED_VALUE"""),"20224555077")</f>
        <v>20224555077</v>
      </c>
      <c r="J231" s="6"/>
      <c r="K231" s="6" t="str">
        <f ca="1">IFERROR(__xludf.DUMMYFUNCTION("""COMPUTED_VALUE"""),"20% خصم علي الأسعار النقدي المعلنه")</f>
        <v>20% خصم علي الأسعار النقدي المعلنه</v>
      </c>
    </row>
    <row r="232" spans="1:11" x14ac:dyDescent="0.25">
      <c r="A232" s="4" t="str">
        <f ca="1">IFERROR(__xludf.DUMMYFUNCTION("""COMPUTED_VALUE"""),"2296-B")</f>
        <v>2296-B</v>
      </c>
      <c r="B232" s="5" t="str">
        <f ca="1">IFERROR(__xludf.DUMMYFUNCTION("""COMPUTED_VALUE"""),"القاهرة")</f>
        <v>القاهرة</v>
      </c>
      <c r="C232" s="5" t="str">
        <f ca="1">IFERROR(__xludf.DUMMYFUNCTION("""COMPUTED_VALUE"""),"وسط البلد")</f>
        <v>وسط البلد</v>
      </c>
      <c r="D232" s="5" t="str">
        <f ca="1">IFERROR(__xludf.DUMMYFUNCTION("""COMPUTED_VALUE"""),"معمل")</f>
        <v>معمل</v>
      </c>
      <c r="E232" s="5" t="str">
        <f ca="1">IFERROR(__xludf.DUMMYFUNCTION("""COMPUTED_VALUE"""),"معمل")</f>
        <v>معمل</v>
      </c>
      <c r="F232" s="5" t="str">
        <f ca="1">IFERROR(__xludf.DUMMYFUNCTION("""COMPUTED_VALUE"""),"معمل التحاليل الطبية")</f>
        <v>معمل التحاليل الطبية</v>
      </c>
      <c r="G232" s="5" t="str">
        <f ca="1">IFERROR(__xludf.DUMMYFUNCTION("""COMPUTED_VALUE"""),"كايرو لاب")</f>
        <v>كايرو لاب</v>
      </c>
      <c r="H232" s="5" t="str">
        <f ca="1">IFERROR(__xludf.DUMMYFUNCTION("""COMPUTED_VALUE"""),"9شارع الشريف-وسط البلد-القاهرة")</f>
        <v>9شارع الشريف-وسط البلد-القاهرة</v>
      </c>
      <c r="I232" s="6" t="str">
        <f ca="1">IFERROR(__xludf.DUMMYFUNCTION("""COMPUTED_VALUE"""),"20223927691")</f>
        <v>20223927691</v>
      </c>
      <c r="J232" s="6" t="str">
        <f ca="1">IFERROR(__xludf.DUMMYFUNCTION("""COMPUTED_VALUE"""),"19962")</f>
        <v>19962</v>
      </c>
      <c r="K232" s="6" t="str">
        <f ca="1">IFERROR(__xludf.DUMMYFUNCTION("""COMPUTED_VALUE"""),"خصم 25% علي كل التحاليل علي الاسعار النقدي المعلنه.")</f>
        <v>خصم 25% علي كل التحاليل علي الاسعار النقدي المعلنه.</v>
      </c>
    </row>
    <row r="233" spans="1:11" x14ac:dyDescent="0.25">
      <c r="A233" s="4" t="str">
        <f ca="1">IFERROR(__xludf.DUMMYFUNCTION("""COMPUTED_VALUE"""),"2296-B")</f>
        <v>2296-B</v>
      </c>
      <c r="B233" s="5" t="str">
        <f ca="1">IFERROR(__xludf.DUMMYFUNCTION("""COMPUTED_VALUE"""),"القاهرة")</f>
        <v>القاهرة</v>
      </c>
      <c r="C233" s="5" t="str">
        <f ca="1">IFERROR(__xludf.DUMMYFUNCTION("""COMPUTED_VALUE"""),"وسط البلد")</f>
        <v>وسط البلد</v>
      </c>
      <c r="D233" s="5" t="str">
        <f ca="1">IFERROR(__xludf.DUMMYFUNCTION("""COMPUTED_VALUE"""),"معمل")</f>
        <v>معمل</v>
      </c>
      <c r="E233" s="5" t="str">
        <f ca="1">IFERROR(__xludf.DUMMYFUNCTION("""COMPUTED_VALUE"""),"معمل")</f>
        <v>معمل</v>
      </c>
      <c r="F233" s="5" t="str">
        <f ca="1">IFERROR(__xludf.DUMMYFUNCTION("""COMPUTED_VALUE"""),"معمل التحاليل الطبية")</f>
        <v>معمل التحاليل الطبية</v>
      </c>
      <c r="G233" s="5" t="str">
        <f ca="1">IFERROR(__xludf.DUMMYFUNCTION("""COMPUTED_VALUE"""),"كايرو لاب")</f>
        <v>كايرو لاب</v>
      </c>
      <c r="H233" s="5" t="str">
        <f ca="1">IFERROR(__xludf.DUMMYFUNCTION("""COMPUTED_VALUE"""),"54شارع عبد الخالق ثروت-وسط البلد-القاهرة")</f>
        <v>54شارع عبد الخالق ثروت-وسط البلد-القاهرة</v>
      </c>
      <c r="I233" s="6" t="str">
        <f ca="1">IFERROR(__xludf.DUMMYFUNCTION("""COMPUTED_VALUE"""),"20223905639")</f>
        <v>20223905639</v>
      </c>
      <c r="J233" s="6" t="str">
        <f ca="1">IFERROR(__xludf.DUMMYFUNCTION("""COMPUTED_VALUE"""),"19962")</f>
        <v>19962</v>
      </c>
      <c r="K233" s="6" t="str">
        <f ca="1">IFERROR(__xludf.DUMMYFUNCTION("""COMPUTED_VALUE"""),"خصم 25% علي كل التحاليل علي الاسعار النقدي المعلنه.")</f>
        <v>خصم 25% علي كل التحاليل علي الاسعار النقدي المعلنه.</v>
      </c>
    </row>
    <row r="234" spans="1:11" x14ac:dyDescent="0.25">
      <c r="A234" s="4" t="str">
        <f ca="1">IFERROR(__xludf.DUMMYFUNCTION("""COMPUTED_VALUE"""),"2296-B")</f>
        <v>2296-B</v>
      </c>
      <c r="B234" s="5" t="str">
        <f ca="1">IFERROR(__xludf.DUMMYFUNCTION("""COMPUTED_VALUE"""),"القليوبية")</f>
        <v>القليوبية</v>
      </c>
      <c r="C234" s="5" t="str">
        <f ca="1">IFERROR(__xludf.DUMMYFUNCTION("""COMPUTED_VALUE"""),"شبرا الخيمة")</f>
        <v>شبرا الخيمة</v>
      </c>
      <c r="D234" s="5" t="str">
        <f ca="1">IFERROR(__xludf.DUMMYFUNCTION("""COMPUTED_VALUE"""),"معمل")</f>
        <v>معمل</v>
      </c>
      <c r="E234" s="5" t="str">
        <f ca="1">IFERROR(__xludf.DUMMYFUNCTION("""COMPUTED_VALUE"""),"معمل")</f>
        <v>معمل</v>
      </c>
      <c r="F234" s="5" t="str">
        <f ca="1">IFERROR(__xludf.DUMMYFUNCTION("""COMPUTED_VALUE"""),"معمل التحاليل الطبية")</f>
        <v>معمل التحاليل الطبية</v>
      </c>
      <c r="G234" s="5" t="str">
        <f ca="1">IFERROR(__xludf.DUMMYFUNCTION("""COMPUTED_VALUE"""),"كايرو لاب")</f>
        <v>كايرو لاب</v>
      </c>
      <c r="H234" s="5" t="str">
        <f ca="1">IFERROR(__xludf.DUMMYFUNCTION("""COMPUTED_VALUE"""),"سيتي مول السلام - شارع 15 مايو - امام كوبري عرابي - شبرا الخيمة")</f>
        <v>سيتي مول السلام - شارع 15 مايو - امام كوبري عرابي - شبرا الخيمة</v>
      </c>
      <c r="I234" s="6" t="str">
        <f ca="1">IFERROR(__xludf.DUMMYFUNCTION("""COMPUTED_VALUE"""),"20244704073")</f>
        <v>20244704073</v>
      </c>
      <c r="J234" s="6" t="str">
        <f ca="1">IFERROR(__xludf.DUMMYFUNCTION("""COMPUTED_VALUE"""),"19962")</f>
        <v>19962</v>
      </c>
      <c r="K234" s="6" t="str">
        <f ca="1">IFERROR(__xludf.DUMMYFUNCTION("""COMPUTED_VALUE"""),"خصم 25% علي كل التحاليل علي الاسعار النقدي المعلنه.")</f>
        <v>خصم 25% علي كل التحاليل علي الاسعار النقدي المعلنه.</v>
      </c>
    </row>
    <row r="235" spans="1:11" x14ac:dyDescent="0.25">
      <c r="A235" s="4" t="str">
        <f ca="1">IFERROR(__xludf.DUMMYFUNCTION("""COMPUTED_VALUE"""),"2916-B")</f>
        <v>2916-B</v>
      </c>
      <c r="B235" s="5" t="str">
        <f ca="1">IFERROR(__xludf.DUMMYFUNCTION("""COMPUTED_VALUE"""),"القليوبية")</f>
        <v>القليوبية</v>
      </c>
      <c r="C235" s="5" t="str">
        <f ca="1">IFERROR(__xludf.DUMMYFUNCTION("""COMPUTED_VALUE"""),"شبرا الخيمة")</f>
        <v>شبرا الخيمة</v>
      </c>
      <c r="D235" s="5" t="str">
        <f ca="1">IFERROR(__xludf.DUMMYFUNCTION("""COMPUTED_VALUE"""),"معمل")</f>
        <v>معمل</v>
      </c>
      <c r="E235" s="5" t="str">
        <f ca="1">IFERROR(__xludf.DUMMYFUNCTION("""COMPUTED_VALUE"""),"معمل")</f>
        <v>معمل</v>
      </c>
      <c r="F235" s="5" t="str">
        <f ca="1">IFERROR(__xludf.DUMMYFUNCTION("""COMPUTED_VALUE"""),"معمل التحاليل الطبية")</f>
        <v>معمل التحاليل الطبية</v>
      </c>
      <c r="G235" s="5" t="str">
        <f ca="1">IFERROR(__xludf.DUMMYFUNCTION("""COMPUTED_VALUE"""),"معمل فيرست لاب")</f>
        <v>معمل فيرست لاب</v>
      </c>
      <c r="H235" s="5" t="str">
        <f ca="1">IFERROR(__xludf.DUMMYFUNCTION("""COMPUTED_VALUE"""),"شارع 15مايو، محطة عبد المقصود، أمام كريستال عصفور-شبرا الخيمة-القليوبية")</f>
        <v>شارع 15مايو، محطة عبد المقصود، أمام كريستال عصفور-شبرا الخيمة-القليوبية</v>
      </c>
      <c r="I235" s="6" t="str">
        <f ca="1">IFERROR(__xludf.DUMMYFUNCTION("""COMPUTED_VALUE"""),"20242207249")</f>
        <v>20242207249</v>
      </c>
      <c r="J235" s="6"/>
      <c r="K235" s="6" t="str">
        <f ca="1">IFERROR(__xludf.DUMMYFUNCTION("""COMPUTED_VALUE"""),"20% خصم علي الأسعار النقدي المعلنه")</f>
        <v>20% خصم علي الأسعار النقدي المعلنه</v>
      </c>
    </row>
    <row r="236" spans="1:11" x14ac:dyDescent="0.25">
      <c r="A236" s="4" t="str">
        <f ca="1">IFERROR(__xludf.DUMMYFUNCTION("""COMPUTED_VALUE"""),"2916-B")</f>
        <v>2916-B</v>
      </c>
      <c r="B236" s="5" t="str">
        <f ca="1">IFERROR(__xludf.DUMMYFUNCTION("""COMPUTED_VALUE"""),"المنوفية")</f>
        <v>المنوفية</v>
      </c>
      <c r="C236" s="5" t="str">
        <f ca="1">IFERROR(__xludf.DUMMYFUNCTION("""COMPUTED_VALUE"""),"شبين الكوم")</f>
        <v>شبين الكوم</v>
      </c>
      <c r="D236" s="5" t="str">
        <f ca="1">IFERROR(__xludf.DUMMYFUNCTION("""COMPUTED_VALUE"""),"معمل")</f>
        <v>معمل</v>
      </c>
      <c r="E236" s="5" t="str">
        <f ca="1">IFERROR(__xludf.DUMMYFUNCTION("""COMPUTED_VALUE"""),"معمل")</f>
        <v>معمل</v>
      </c>
      <c r="F236" s="5" t="str">
        <f ca="1">IFERROR(__xludf.DUMMYFUNCTION("""COMPUTED_VALUE"""),"معمل التحاليل الطبية")</f>
        <v>معمل التحاليل الطبية</v>
      </c>
      <c r="G236" s="5" t="str">
        <f ca="1">IFERROR(__xludf.DUMMYFUNCTION("""COMPUTED_VALUE"""),"معمل فيرست لاب")</f>
        <v>معمل فيرست لاب</v>
      </c>
      <c r="H236" s="5" t="str">
        <f ca="1">IFERROR(__xludf.DUMMYFUNCTION("""COMPUTED_VALUE"""),"25شارع أحمد ماهر،برج النور- بجوار المسجد العباسي- بجوار مجمع المحاكم-شبين الكوم-المنوفية")</f>
        <v>25شارع أحمد ماهر،برج النور- بجوار المسجد العباسي- بجوار مجمع المحاكم-شبين الكوم-المنوفية</v>
      </c>
      <c r="I236" s="6" t="str">
        <f ca="1">IFERROR(__xludf.DUMMYFUNCTION("""COMPUTED_VALUE"""),"20482310964")</f>
        <v>20482310964</v>
      </c>
      <c r="J236" s="6"/>
      <c r="K236" s="6" t="str">
        <f ca="1">IFERROR(__xludf.DUMMYFUNCTION("""COMPUTED_VALUE"""),"20% خصم علي الأسعار النقدي المعلنه")</f>
        <v>20% خصم علي الأسعار النقدي المعلنه</v>
      </c>
    </row>
    <row r="237" spans="1:11" x14ac:dyDescent="0.25">
      <c r="A237" s="4" t="str">
        <f ca="1">IFERROR(__xludf.DUMMYFUNCTION("""COMPUTED_VALUE"""),"2916-B")</f>
        <v>2916-B</v>
      </c>
      <c r="B237" s="5" t="str">
        <f ca="1">IFERROR(__xludf.DUMMYFUNCTION("""COMPUTED_VALUE"""),"بني سويف")</f>
        <v>بني سويف</v>
      </c>
      <c r="C237" s="5" t="str">
        <f ca="1">IFERROR(__xludf.DUMMYFUNCTION("""COMPUTED_VALUE"""),"بني سويف")</f>
        <v>بني سويف</v>
      </c>
      <c r="D237" s="5" t="str">
        <f ca="1">IFERROR(__xludf.DUMMYFUNCTION("""COMPUTED_VALUE"""),"معمل")</f>
        <v>معمل</v>
      </c>
      <c r="E237" s="5" t="str">
        <f ca="1">IFERROR(__xludf.DUMMYFUNCTION("""COMPUTED_VALUE"""),"معمل")</f>
        <v>معمل</v>
      </c>
      <c r="F237" s="5" t="str">
        <f ca="1">IFERROR(__xludf.DUMMYFUNCTION("""COMPUTED_VALUE"""),"معمل التحاليل الطبية")</f>
        <v>معمل التحاليل الطبية</v>
      </c>
      <c r="G237" s="5" t="str">
        <f ca="1">IFERROR(__xludf.DUMMYFUNCTION("""COMPUTED_VALUE"""),"معمل فيرست لاب")</f>
        <v>معمل فيرست لاب</v>
      </c>
      <c r="H237" s="5" t="str">
        <f ca="1">IFERROR(__xludf.DUMMYFUNCTION("""COMPUTED_VALUE"""),"شارع عبدالسلام عارف عمارات الأوقاف - برج كوثر ( ب) الدور الثاني  - بني سويف .")</f>
        <v>شارع عبدالسلام عارف عمارات الأوقاف - برج كوثر ( ب) الدور الثاني  - بني سويف .</v>
      </c>
      <c r="I237" s="6" t="str">
        <f ca="1">IFERROR(__xludf.DUMMYFUNCTION("""COMPUTED_VALUE"""),"20822347474")</f>
        <v>20822347474</v>
      </c>
      <c r="J237" s="6"/>
      <c r="K237" s="6" t="str">
        <f ca="1">IFERROR(__xludf.DUMMYFUNCTION("""COMPUTED_VALUE"""),"20% خصم علي الأسعار النقدي المعلنه")</f>
        <v>20% خصم علي الأسعار النقدي المعلنه</v>
      </c>
    </row>
    <row r="238" spans="1:11" x14ac:dyDescent="0.25">
      <c r="A238" s="4" t="str">
        <f ca="1">IFERROR(__xludf.DUMMYFUNCTION("""COMPUTED_VALUE"""),"2916-B")</f>
        <v>2916-B</v>
      </c>
      <c r="B238" s="5" t="str">
        <f ca="1">IFERROR(__xludf.DUMMYFUNCTION("""COMPUTED_VALUE"""),"كفر الشيخ")</f>
        <v>كفر الشيخ</v>
      </c>
      <c r="C238" s="5" t="str">
        <f ca="1">IFERROR(__xludf.DUMMYFUNCTION("""COMPUTED_VALUE"""),"كفر الشيخ")</f>
        <v>كفر الشيخ</v>
      </c>
      <c r="D238" s="5" t="str">
        <f ca="1">IFERROR(__xludf.DUMMYFUNCTION("""COMPUTED_VALUE"""),"معمل")</f>
        <v>معمل</v>
      </c>
      <c r="E238" s="5" t="str">
        <f ca="1">IFERROR(__xludf.DUMMYFUNCTION("""COMPUTED_VALUE"""),"معمل")</f>
        <v>معمل</v>
      </c>
      <c r="F238" s="5" t="str">
        <f ca="1">IFERROR(__xludf.DUMMYFUNCTION("""COMPUTED_VALUE"""),"معمل التحاليل الطبية")</f>
        <v>معمل التحاليل الطبية</v>
      </c>
      <c r="G238" s="5" t="str">
        <f ca="1">IFERROR(__xludf.DUMMYFUNCTION("""COMPUTED_VALUE"""),"معمل فيرست لاب")</f>
        <v>معمل فيرست لاب</v>
      </c>
      <c r="H238" s="5" t="str">
        <f ca="1">IFERROR(__xludf.DUMMYFUNCTION("""COMPUTED_VALUE"""),"المزلقان الوسطانى فوق التوحيدوالنور-كفر الشيخ")</f>
        <v>المزلقان الوسطانى فوق التوحيدوالنور-كفر الشيخ</v>
      </c>
      <c r="I238" s="6" t="str">
        <f ca="1">IFERROR(__xludf.DUMMYFUNCTION("""COMPUTED_VALUE"""),"20473215644")</f>
        <v>20473215644</v>
      </c>
      <c r="J238" s="6"/>
      <c r="K238" s="6" t="str">
        <f ca="1">IFERROR(__xludf.DUMMYFUNCTION("""COMPUTED_VALUE"""),"20% خصم علي الأسعار النقدي المعلنه")</f>
        <v>20% خصم علي الأسعار النقدي المعلنه</v>
      </c>
    </row>
    <row r="239" spans="1:11" x14ac:dyDescent="0.25">
      <c r="A239" s="4" t="str">
        <f ca="1">IFERROR(__xludf.DUMMYFUNCTION("""COMPUTED_VALUE"""),"2916-B")</f>
        <v>2916-B</v>
      </c>
      <c r="B239" s="5" t="str">
        <f ca="1">IFERROR(__xludf.DUMMYFUNCTION("""COMPUTED_VALUE"""),"الفيوم")</f>
        <v>الفيوم</v>
      </c>
      <c r="C239" s="5" t="str">
        <f ca="1">IFERROR(__xludf.DUMMYFUNCTION("""COMPUTED_VALUE"""),"الفيوم")</f>
        <v>الفيوم</v>
      </c>
      <c r="D239" s="5" t="str">
        <f ca="1">IFERROR(__xludf.DUMMYFUNCTION("""COMPUTED_VALUE"""),"معمل")</f>
        <v>معمل</v>
      </c>
      <c r="E239" s="5" t="str">
        <f ca="1">IFERROR(__xludf.DUMMYFUNCTION("""COMPUTED_VALUE"""),"معمل")</f>
        <v>معمل</v>
      </c>
      <c r="F239" s="5" t="str">
        <f ca="1">IFERROR(__xludf.DUMMYFUNCTION("""COMPUTED_VALUE"""),"معمل التحاليل الطبية")</f>
        <v>معمل التحاليل الطبية</v>
      </c>
      <c r="G239" s="5" t="str">
        <f ca="1">IFERROR(__xludf.DUMMYFUNCTION("""COMPUTED_VALUE"""),"معمل فيرست لاب")</f>
        <v>معمل فيرست لاب</v>
      </c>
      <c r="H239" s="5" t="str">
        <f ca="1">IFERROR(__xludf.DUMMYFUNCTION("""COMPUTED_VALUE"""),"ميدان المسلة ، برج البشائر بجوار شركة الفيوم للغاز-الفيوم")</f>
        <v>ميدان المسلة ، برج البشائر بجوار شركة الفيوم للغاز-الفيوم</v>
      </c>
      <c r="I239" s="6" t="str">
        <f ca="1">IFERROR(__xludf.DUMMYFUNCTION("""COMPUTED_VALUE"""),"20846344463")</f>
        <v>20846344463</v>
      </c>
      <c r="J239" s="6"/>
      <c r="K239" s="6" t="str">
        <f ca="1">IFERROR(__xludf.DUMMYFUNCTION("""COMPUTED_VALUE"""),"20% خصم علي الأسعار النقدي المعلنه")</f>
        <v>20% خصم علي الأسعار النقدي المعلنه</v>
      </c>
    </row>
    <row r="240" spans="1:11" x14ac:dyDescent="0.25">
      <c r="A240" s="4" t="str">
        <f ca="1">IFERROR(__xludf.DUMMYFUNCTION("""COMPUTED_VALUE"""),"2944")</f>
        <v>2944</v>
      </c>
      <c r="B240" s="5" t="str">
        <f ca="1">IFERROR(__xludf.DUMMYFUNCTION("""COMPUTED_VALUE"""),"القاهرة")</f>
        <v>القاهرة</v>
      </c>
      <c r="C240" s="5" t="str">
        <f ca="1">IFERROR(__xludf.DUMMYFUNCTION("""COMPUTED_VALUE"""),"وسط البلد")</f>
        <v>وسط البلد</v>
      </c>
      <c r="D240" s="5" t="str">
        <f ca="1">IFERROR(__xludf.DUMMYFUNCTION("""COMPUTED_VALUE"""),"هيئة الأطباء")</f>
        <v>هيئة الأطباء</v>
      </c>
      <c r="E240" s="5" t="str">
        <f ca="1">IFERROR(__xludf.DUMMYFUNCTION("""COMPUTED_VALUE"""),"جلدية وتناسلية")</f>
        <v>جلدية وتناسلية</v>
      </c>
      <c r="F240" s="5" t="str">
        <f ca="1">IFERROR(__xludf.DUMMYFUNCTION("""COMPUTED_VALUE"""),"جلدية وتناسلية")</f>
        <v>جلدية وتناسلية</v>
      </c>
      <c r="G240" s="5" t="str">
        <f ca="1">IFERROR(__xludf.DUMMYFUNCTION("""COMPUTED_VALUE"""),"د/ عبد السلام الشاذلى عبد اللطيف الشاذلى")</f>
        <v>د/ عبد السلام الشاذلى عبد اللطيف الشاذلى</v>
      </c>
      <c r="H240" s="5" t="str">
        <f ca="1">IFERROR(__xludf.DUMMYFUNCTION("""COMPUTED_VALUE"""),"2 شارع محمد صدقى – ناصية شارع البستان – باب اللوق  -وسط البلد-القاهرة")</f>
        <v>2 شارع محمد صدقى – ناصية شارع البستان – باب اللوق  -وسط البلد-القاهرة</v>
      </c>
      <c r="I240" s="6" t="str">
        <f ca="1">IFERROR(__xludf.DUMMYFUNCTION("""COMPUTED_VALUE"""),"20223930125")</f>
        <v>20223930125</v>
      </c>
      <c r="J240" s="6"/>
      <c r="K240" s="6" t="str">
        <f ca="1">IFERROR(__xludf.DUMMYFUNCTION("""COMPUTED_VALUE"""),"نسبة خصم 50%")</f>
        <v>نسبة خصم 50%</v>
      </c>
    </row>
    <row r="241" spans="1:11" x14ac:dyDescent="0.25">
      <c r="A241" s="4" t="str">
        <f ca="1">IFERROR(__xludf.DUMMYFUNCTION("""COMPUTED_VALUE"""),"2055")</f>
        <v>2055</v>
      </c>
      <c r="B241" s="5" t="str">
        <f ca="1">IFERROR(__xludf.DUMMYFUNCTION("""COMPUTED_VALUE"""),"القاهرة")</f>
        <v>القاهرة</v>
      </c>
      <c r="C241" s="5" t="str">
        <f ca="1">IFERROR(__xludf.DUMMYFUNCTION("""COMPUTED_VALUE"""),"المعادى")</f>
        <v>المعادى</v>
      </c>
      <c r="D241" s="5" t="str">
        <f ca="1">IFERROR(__xludf.DUMMYFUNCTION("""COMPUTED_VALUE"""),"هيئة الأطباء")</f>
        <v>هيئة الأطباء</v>
      </c>
      <c r="E241" s="5" t="str">
        <f ca="1">IFERROR(__xludf.DUMMYFUNCTION("""COMPUTED_VALUE"""),"اسنان")</f>
        <v>اسنان</v>
      </c>
      <c r="F241" s="5" t="str">
        <f ca="1">IFERROR(__xludf.DUMMYFUNCTION("""COMPUTED_VALUE"""),"جراحة الفم والأسنان")</f>
        <v>جراحة الفم والأسنان</v>
      </c>
      <c r="G241" s="5" t="str">
        <f ca="1">IFERROR(__xludf.DUMMYFUNCTION("""COMPUTED_VALUE"""),"د/ مصطفى جودة")</f>
        <v>د/ مصطفى جودة</v>
      </c>
      <c r="H241" s="5" t="str">
        <f ca="1">IFERROR(__xludf.DUMMYFUNCTION("""COMPUTED_VALUE"""),"2014 المعراج - الطريق الدائري - بجوار كارفور المعادي-المعادي-القاهرة")</f>
        <v>2014 المعراج - الطريق الدائري - بجوار كارفور المعادي-المعادي-القاهرة</v>
      </c>
      <c r="I241" s="6" t="str">
        <f ca="1">IFERROR(__xludf.DUMMYFUNCTION("""COMPUTED_VALUE"""),"01062112525")</f>
        <v>01062112525</v>
      </c>
      <c r="J241" s="6"/>
      <c r="K241" s="6" t="str">
        <f ca="1">IFERROR(__xludf.DUMMYFUNCTION("""COMPUTED_VALUE"""),"50% على جميع الخدمات")</f>
        <v>50% على جميع الخدمات</v>
      </c>
    </row>
    <row r="242" spans="1:11" x14ac:dyDescent="0.25">
      <c r="A242" s="4" t="str">
        <f ca="1">IFERROR(__xludf.DUMMYFUNCTION("""COMPUTED_VALUE"""),"2296-B")</f>
        <v>2296-B</v>
      </c>
      <c r="B242" s="5" t="str">
        <f ca="1">IFERROR(__xludf.DUMMYFUNCTION("""COMPUTED_VALUE"""),"القاهرة")</f>
        <v>القاهرة</v>
      </c>
      <c r="C242" s="5" t="str">
        <f ca="1">IFERROR(__xludf.DUMMYFUNCTION("""COMPUTED_VALUE"""),"السيدة زينب")</f>
        <v>السيدة زينب</v>
      </c>
      <c r="D242" s="5" t="str">
        <f ca="1">IFERROR(__xludf.DUMMYFUNCTION("""COMPUTED_VALUE"""),"معمل")</f>
        <v>معمل</v>
      </c>
      <c r="E242" s="5" t="str">
        <f ca="1">IFERROR(__xludf.DUMMYFUNCTION("""COMPUTED_VALUE"""),"معمل")</f>
        <v>معمل</v>
      </c>
      <c r="F242" s="5" t="str">
        <f ca="1">IFERROR(__xludf.DUMMYFUNCTION("""COMPUTED_VALUE"""),"معمل التحاليل الطبية")</f>
        <v>معمل التحاليل الطبية</v>
      </c>
      <c r="G242" s="5" t="str">
        <f ca="1">IFERROR(__xludf.DUMMYFUNCTION("""COMPUTED_VALUE"""),"كايرو لاب")</f>
        <v>كايرو لاب</v>
      </c>
      <c r="H242" s="5" t="str">
        <f ca="1">IFERROR(__xludf.DUMMYFUNCTION("""COMPUTED_VALUE"""),"184 شارع بورسعيد - الدور الاول - السيده زينب")</f>
        <v>184 شارع بورسعيد - الدور الاول - السيده زينب</v>
      </c>
      <c r="I242" s="6"/>
      <c r="J242" s="6" t="str">
        <f ca="1">IFERROR(__xludf.DUMMYFUNCTION("""COMPUTED_VALUE"""),"19962")</f>
        <v>19962</v>
      </c>
      <c r="K242" s="6" t="str">
        <f ca="1">IFERROR(__xludf.DUMMYFUNCTION("""COMPUTED_VALUE"""),"خصم 25% علي كل التحاليل علي الاسعار النقدي المعلنه.")</f>
        <v>خصم 25% علي كل التحاليل علي الاسعار النقدي المعلنه.</v>
      </c>
    </row>
    <row r="243" spans="1:11" x14ac:dyDescent="0.25">
      <c r="A243" s="4" t="str">
        <f ca="1">IFERROR(__xludf.DUMMYFUNCTION("""COMPUTED_VALUE"""),"2296-B")</f>
        <v>2296-B</v>
      </c>
      <c r="B243" s="5" t="str">
        <f ca="1">IFERROR(__xludf.DUMMYFUNCTION("""COMPUTED_VALUE"""),"الجيزة")</f>
        <v>الجيزة</v>
      </c>
      <c r="C243" s="5" t="str">
        <f ca="1">IFERROR(__xludf.DUMMYFUNCTION("""COMPUTED_VALUE"""),"المهندسين")</f>
        <v>المهندسين</v>
      </c>
      <c r="D243" s="5" t="str">
        <f ca="1">IFERROR(__xludf.DUMMYFUNCTION("""COMPUTED_VALUE"""),"معمل")</f>
        <v>معمل</v>
      </c>
      <c r="E243" s="5" t="str">
        <f ca="1">IFERROR(__xludf.DUMMYFUNCTION("""COMPUTED_VALUE"""),"معمل")</f>
        <v>معمل</v>
      </c>
      <c r="F243" s="5" t="str">
        <f ca="1">IFERROR(__xludf.DUMMYFUNCTION("""COMPUTED_VALUE"""),"معمل التحاليل الطبية")</f>
        <v>معمل التحاليل الطبية</v>
      </c>
      <c r="G243" s="5" t="str">
        <f ca="1">IFERROR(__xludf.DUMMYFUNCTION("""COMPUTED_VALUE"""),"كايرو لاب")</f>
        <v>كايرو لاب</v>
      </c>
      <c r="H243" s="5" t="str">
        <f ca="1">IFERROR(__xludf.DUMMYFUNCTION("""COMPUTED_VALUE"""),"2 شارع دمشق متفرع من شارع سوريا - داخل مستشفي دمشق -المهندسين- الجيزة")</f>
        <v>2 شارع دمشق متفرع من شارع سوريا - داخل مستشفي دمشق -المهندسين- الجيزة</v>
      </c>
      <c r="I243" s="6"/>
      <c r="J243" s="6" t="str">
        <f ca="1">IFERROR(__xludf.DUMMYFUNCTION("""COMPUTED_VALUE"""),"19962")</f>
        <v>19962</v>
      </c>
      <c r="K243" s="6" t="str">
        <f ca="1">IFERROR(__xludf.DUMMYFUNCTION("""COMPUTED_VALUE"""),"خصم 25% علي كل التحاليل علي الاسعار النقدي المعلنه.")</f>
        <v>خصم 25% علي كل التحاليل علي الاسعار النقدي المعلنه.</v>
      </c>
    </row>
    <row r="244" spans="1:11" x14ac:dyDescent="0.25">
      <c r="A244" s="4" t="str">
        <f ca="1">IFERROR(__xludf.DUMMYFUNCTION("""COMPUTED_VALUE"""),"2296-B")</f>
        <v>2296-B</v>
      </c>
      <c r="B244" s="5" t="str">
        <f ca="1">IFERROR(__xludf.DUMMYFUNCTION("""COMPUTED_VALUE"""),"القاهرة")</f>
        <v>القاهرة</v>
      </c>
      <c r="C244" s="5" t="str">
        <f ca="1">IFERROR(__xludf.DUMMYFUNCTION("""COMPUTED_VALUE"""),"مدينة نصر")</f>
        <v>مدينة نصر</v>
      </c>
      <c r="D244" s="5" t="str">
        <f ca="1">IFERROR(__xludf.DUMMYFUNCTION("""COMPUTED_VALUE"""),"معمل")</f>
        <v>معمل</v>
      </c>
      <c r="E244" s="5" t="str">
        <f ca="1">IFERROR(__xludf.DUMMYFUNCTION("""COMPUTED_VALUE"""),"معمل")</f>
        <v>معمل</v>
      </c>
      <c r="F244" s="5" t="str">
        <f ca="1">IFERROR(__xludf.DUMMYFUNCTION("""COMPUTED_VALUE"""),"معمل التحاليل الطبية")</f>
        <v>معمل التحاليل الطبية</v>
      </c>
      <c r="G244" s="5" t="str">
        <f ca="1">IFERROR(__xludf.DUMMYFUNCTION("""COMPUTED_VALUE"""),"كايرو لاب")</f>
        <v>كايرو لاب</v>
      </c>
      <c r="H244" s="5" t="str">
        <f ca="1">IFERROR(__xludf.DUMMYFUNCTION("""COMPUTED_VALUE"""),"2 عمارات شباب المهندسين - طريق النصر - اول مكرم عبيد -مدينة نصر-القاهرة")</f>
        <v>2 عمارات شباب المهندسين - طريق النصر - اول مكرم عبيد -مدينة نصر-القاهرة</v>
      </c>
      <c r="I244" s="6"/>
      <c r="J244" s="6" t="str">
        <f ca="1">IFERROR(__xludf.DUMMYFUNCTION("""COMPUTED_VALUE"""),"19962")</f>
        <v>19962</v>
      </c>
      <c r="K244" s="6" t="str">
        <f ca="1">IFERROR(__xludf.DUMMYFUNCTION("""COMPUTED_VALUE"""),"خصم 25% علي كل التحاليل علي الاسعار النقدي المعلنه.")</f>
        <v>خصم 25% علي كل التحاليل علي الاسعار النقدي المعلنه.</v>
      </c>
    </row>
    <row r="245" spans="1:11" x14ac:dyDescent="0.25">
      <c r="A245" s="4" t="str">
        <f ca="1">IFERROR(__xludf.DUMMYFUNCTION("""COMPUTED_VALUE"""),"2296-B")</f>
        <v>2296-B</v>
      </c>
      <c r="B245" s="5" t="str">
        <f ca="1">IFERROR(__xludf.DUMMYFUNCTION("""COMPUTED_VALUE"""),"القاهرة")</f>
        <v>القاهرة</v>
      </c>
      <c r="C245" s="5" t="str">
        <f ca="1">IFERROR(__xludf.DUMMYFUNCTION("""COMPUTED_VALUE"""),"مدينة نصر")</f>
        <v>مدينة نصر</v>
      </c>
      <c r="D245" s="5" t="str">
        <f ca="1">IFERROR(__xludf.DUMMYFUNCTION("""COMPUTED_VALUE"""),"معمل")</f>
        <v>معمل</v>
      </c>
      <c r="E245" s="5" t="str">
        <f ca="1">IFERROR(__xludf.DUMMYFUNCTION("""COMPUTED_VALUE"""),"معمل")</f>
        <v>معمل</v>
      </c>
      <c r="F245" s="5" t="str">
        <f ca="1">IFERROR(__xludf.DUMMYFUNCTION("""COMPUTED_VALUE"""),"معمل التحاليل الطبية")</f>
        <v>معمل التحاليل الطبية</v>
      </c>
      <c r="G245" s="5" t="str">
        <f ca="1">IFERROR(__xludf.DUMMYFUNCTION("""COMPUTED_VALUE"""),"كايرو لاب")</f>
        <v>كايرو لاب</v>
      </c>
      <c r="H245" s="5" t="str">
        <f ca="1">IFERROR(__xludf.DUMMYFUNCTION("""COMPUTED_VALUE"""),"21 شارع احمد الزمر -الحي العاشر - مدينة نصر-القاهرة")</f>
        <v>21 شارع احمد الزمر -الحي العاشر - مدينة نصر-القاهرة</v>
      </c>
      <c r="I245" s="6"/>
      <c r="J245" s="6" t="str">
        <f ca="1">IFERROR(__xludf.DUMMYFUNCTION("""COMPUTED_VALUE"""),"19962")</f>
        <v>19962</v>
      </c>
      <c r="K245" s="6" t="str">
        <f ca="1">IFERROR(__xludf.DUMMYFUNCTION("""COMPUTED_VALUE"""),"خصم 25% علي كل التحاليل علي الاسعار النقدي المعلنه.")</f>
        <v>خصم 25% علي كل التحاليل علي الاسعار النقدي المعلنه.</v>
      </c>
    </row>
    <row r="246" spans="1:11" x14ac:dyDescent="0.25">
      <c r="A246" s="4" t="str">
        <f ca="1">IFERROR(__xludf.DUMMYFUNCTION("""COMPUTED_VALUE"""),"2296-B")</f>
        <v>2296-B</v>
      </c>
      <c r="B246" s="5" t="str">
        <f ca="1">IFERROR(__xludf.DUMMYFUNCTION("""COMPUTED_VALUE"""),"القليوبية")</f>
        <v>القليوبية</v>
      </c>
      <c r="C246" s="5" t="str">
        <f ca="1">IFERROR(__xludf.DUMMYFUNCTION("""COMPUTED_VALUE"""),"مدينة العبور")</f>
        <v>مدينة العبور</v>
      </c>
      <c r="D246" s="5" t="str">
        <f ca="1">IFERROR(__xludf.DUMMYFUNCTION("""COMPUTED_VALUE"""),"معمل")</f>
        <v>معمل</v>
      </c>
      <c r="E246" s="5" t="str">
        <f ca="1">IFERROR(__xludf.DUMMYFUNCTION("""COMPUTED_VALUE"""),"معمل")</f>
        <v>معمل</v>
      </c>
      <c r="F246" s="5" t="str">
        <f ca="1">IFERROR(__xludf.DUMMYFUNCTION("""COMPUTED_VALUE"""),"معمل التحاليل الطبية")</f>
        <v>معمل التحاليل الطبية</v>
      </c>
      <c r="G246" s="5" t="str">
        <f ca="1">IFERROR(__xludf.DUMMYFUNCTION("""COMPUTED_VALUE"""),"كايرو لاب")</f>
        <v>كايرو لاب</v>
      </c>
      <c r="H246" s="5" t="str">
        <f ca="1">IFERROR(__xludf.DUMMYFUNCTION("""COMPUTED_VALUE"""),"الحي الاول - سنتر لؤلؤه العبور - الدور الثالث - مدينة العبور -القاهرة")</f>
        <v>الحي الاول - سنتر لؤلؤه العبور - الدور الثالث - مدينة العبور -القاهرة</v>
      </c>
      <c r="I246" s="6"/>
      <c r="J246" s="6" t="str">
        <f ca="1">IFERROR(__xludf.DUMMYFUNCTION("""COMPUTED_VALUE"""),"19962")</f>
        <v>19962</v>
      </c>
      <c r="K246" s="6" t="str">
        <f ca="1">IFERROR(__xludf.DUMMYFUNCTION("""COMPUTED_VALUE"""),"خصم 25% علي كل التحاليل علي الاسعار النقدي المعلنه.")</f>
        <v>خصم 25% علي كل التحاليل علي الاسعار النقدي المعلنه.</v>
      </c>
    </row>
    <row r="247" spans="1:11" x14ac:dyDescent="0.25">
      <c r="A247" s="4" t="str">
        <f ca="1">IFERROR(__xludf.DUMMYFUNCTION("""COMPUTED_VALUE"""),"2296-B")</f>
        <v>2296-B</v>
      </c>
      <c r="B247" s="5" t="str">
        <f ca="1">IFERROR(__xludf.DUMMYFUNCTION("""COMPUTED_VALUE"""),"الشرقية")</f>
        <v>الشرقية</v>
      </c>
      <c r="C247" s="5" t="str">
        <f ca="1">IFERROR(__xludf.DUMMYFUNCTION("""COMPUTED_VALUE"""),"الزقازيق")</f>
        <v>الزقازيق</v>
      </c>
      <c r="D247" s="5" t="str">
        <f ca="1">IFERROR(__xludf.DUMMYFUNCTION("""COMPUTED_VALUE"""),"معمل")</f>
        <v>معمل</v>
      </c>
      <c r="E247" s="5" t="str">
        <f ca="1">IFERROR(__xludf.DUMMYFUNCTION("""COMPUTED_VALUE"""),"معمل")</f>
        <v>معمل</v>
      </c>
      <c r="F247" s="5" t="str">
        <f ca="1">IFERROR(__xludf.DUMMYFUNCTION("""COMPUTED_VALUE"""),"معمل التحاليل الطبية")</f>
        <v>معمل التحاليل الطبية</v>
      </c>
      <c r="G247" s="5" t="str">
        <f ca="1">IFERROR(__xludf.DUMMYFUNCTION("""COMPUTED_VALUE"""),"كايرو لاب")</f>
        <v>كايرو لاب</v>
      </c>
      <c r="H247" s="5" t="str">
        <f ca="1">IFERROR(__xludf.DUMMYFUNCTION("""COMPUTED_VALUE"""),"شارع الجناين - ميدان المحطه - بجوار بنزينه علي زكي - الزقازيق")</f>
        <v>شارع الجناين - ميدان المحطه - بجوار بنزينه علي زكي - الزقازيق</v>
      </c>
      <c r="I247" s="6"/>
      <c r="J247" s="6" t="str">
        <f ca="1">IFERROR(__xludf.DUMMYFUNCTION("""COMPUTED_VALUE"""),"19962")</f>
        <v>19962</v>
      </c>
      <c r="K247" s="6" t="str">
        <f ca="1">IFERROR(__xludf.DUMMYFUNCTION("""COMPUTED_VALUE"""),"خصم 25% علي كل التحاليل علي الاسعار النقدي المعلنه.")</f>
        <v>خصم 25% علي كل التحاليل علي الاسعار النقدي المعلنه.</v>
      </c>
    </row>
    <row r="248" spans="1:11" x14ac:dyDescent="0.25">
      <c r="A248" s="4" t="str">
        <f ca="1">IFERROR(__xludf.DUMMYFUNCTION("""COMPUTED_VALUE"""),"2296-B")</f>
        <v>2296-B</v>
      </c>
      <c r="B248" s="5" t="str">
        <f ca="1">IFERROR(__xludf.DUMMYFUNCTION("""COMPUTED_VALUE"""),"القاهرة")</f>
        <v>القاهرة</v>
      </c>
      <c r="C248" s="5" t="str">
        <f ca="1">IFERROR(__xludf.DUMMYFUNCTION("""COMPUTED_VALUE"""),"جسر السويس")</f>
        <v>جسر السويس</v>
      </c>
      <c r="D248" s="5" t="str">
        <f ca="1">IFERROR(__xludf.DUMMYFUNCTION("""COMPUTED_VALUE"""),"معمل")</f>
        <v>معمل</v>
      </c>
      <c r="E248" s="5" t="str">
        <f ca="1">IFERROR(__xludf.DUMMYFUNCTION("""COMPUTED_VALUE"""),"معمل")</f>
        <v>معمل</v>
      </c>
      <c r="F248" s="5" t="str">
        <f ca="1">IFERROR(__xludf.DUMMYFUNCTION("""COMPUTED_VALUE"""),"معمل التحاليل الطبية")</f>
        <v>معمل التحاليل الطبية</v>
      </c>
      <c r="G248" s="5" t="str">
        <f ca="1">IFERROR(__xludf.DUMMYFUNCTION("""COMPUTED_VALUE"""),"كايرو لاب")</f>
        <v>كايرو لاب</v>
      </c>
      <c r="H248" s="5" t="str">
        <f ca="1">IFERROR(__xludf.DUMMYFUNCTION("""COMPUTED_VALUE"""),"112 ا ميدان الف مسكن - الدور التاني - الف مسكن - جسر السويس")</f>
        <v>112 ا ميدان الف مسكن - الدور التاني - الف مسكن - جسر السويس</v>
      </c>
      <c r="I248" s="6"/>
      <c r="J248" s="6" t="str">
        <f ca="1">IFERROR(__xludf.DUMMYFUNCTION("""COMPUTED_VALUE"""),"19962")</f>
        <v>19962</v>
      </c>
      <c r="K248" s="6" t="str">
        <f ca="1">IFERROR(__xludf.DUMMYFUNCTION("""COMPUTED_VALUE"""),"خصم 25% علي كل التحاليل علي الاسعار النقدي المعلنه.")</f>
        <v>خصم 25% علي كل التحاليل علي الاسعار النقدي المعلنه.</v>
      </c>
    </row>
    <row r="249" spans="1:11" x14ac:dyDescent="0.25">
      <c r="A249" s="4" t="str">
        <f ca="1">IFERROR(__xludf.DUMMYFUNCTION("""COMPUTED_VALUE"""),"105961")</f>
        <v>105961</v>
      </c>
      <c r="B249" s="5" t="str">
        <f ca="1">IFERROR(__xludf.DUMMYFUNCTION("""COMPUTED_VALUE"""),"الجيزة")</f>
        <v>الجيزة</v>
      </c>
      <c r="C249" s="5" t="str">
        <f ca="1">IFERROR(__xludf.DUMMYFUNCTION("""COMPUTED_VALUE"""),"فيصل")</f>
        <v>فيصل</v>
      </c>
      <c r="D249" s="5" t="str">
        <f ca="1">IFERROR(__xludf.DUMMYFUNCTION("""COMPUTED_VALUE"""),"هيئة الأطباء")</f>
        <v>هيئة الأطباء</v>
      </c>
      <c r="E249" s="5" t="str">
        <f ca="1">IFERROR(__xludf.DUMMYFUNCTION("""COMPUTED_VALUE"""),"جلدية وتناسلية")</f>
        <v>جلدية وتناسلية</v>
      </c>
      <c r="F249" s="5" t="str">
        <f ca="1">IFERROR(__xludf.DUMMYFUNCTION("""COMPUTED_VALUE"""),"جلدية وتناسلية")</f>
        <v>جلدية وتناسلية</v>
      </c>
      <c r="G249" s="5" t="str">
        <f ca="1">IFERROR(__xludf.DUMMYFUNCTION("""COMPUTED_VALUE"""),"د/ حنان ربيع ابراهيم ندا")</f>
        <v>د/ حنان ربيع ابراهيم ندا</v>
      </c>
      <c r="H249" s="5" t="str">
        <f ca="1">IFERROR(__xludf.DUMMYFUNCTION("""COMPUTED_VALUE"""),"2 شارع السلام - امام كليه التربيه الرياضيه - فيصل - الجيزه")</f>
        <v>2 شارع السلام - امام كليه التربيه الرياضيه - فيصل - الجيزه</v>
      </c>
      <c r="I249" s="6" t="str">
        <f ca="1">IFERROR(__xludf.DUMMYFUNCTION("""COMPUTED_VALUE"""),"01275888061")</f>
        <v>01275888061</v>
      </c>
      <c r="J249" s="6"/>
      <c r="K249" s="6" t="str">
        <f ca="1">IFERROR(__xludf.DUMMYFUNCTION("""COMPUTED_VALUE"""),"نسبة خصم 50%")</f>
        <v>نسبة خصم 50%</v>
      </c>
    </row>
    <row r="250" spans="1:11" x14ac:dyDescent="0.25">
      <c r="A250" s="4" t="str">
        <f ca="1">IFERROR(__xludf.DUMMYFUNCTION("""COMPUTED_VALUE"""),"106004")</f>
        <v>106004</v>
      </c>
      <c r="B250" s="5" t="str">
        <f ca="1">IFERROR(__xludf.DUMMYFUNCTION("""COMPUTED_VALUE"""),"الجيزة")</f>
        <v>الجيزة</v>
      </c>
      <c r="C250" s="5" t="str">
        <f ca="1">IFERROR(__xludf.DUMMYFUNCTION("""COMPUTED_VALUE"""),"المهندسين")</f>
        <v>المهندسين</v>
      </c>
      <c r="D250" s="5" t="str">
        <f ca="1">IFERROR(__xludf.DUMMYFUNCTION("""COMPUTED_VALUE"""),"هيئة الأطباء")</f>
        <v>هيئة الأطباء</v>
      </c>
      <c r="E250" s="5" t="str">
        <f ca="1">IFERROR(__xludf.DUMMYFUNCTION("""COMPUTED_VALUE"""),"جراحة")</f>
        <v>جراحة</v>
      </c>
      <c r="F250" s="5" t="str">
        <f ca="1">IFERROR(__xludf.DUMMYFUNCTION("""COMPUTED_VALUE"""),"جراحة عامة")</f>
        <v>جراحة عامة</v>
      </c>
      <c r="G250" s="5" t="str">
        <f ca="1">IFERROR(__xludf.DUMMYFUNCTION("""COMPUTED_VALUE"""),"د/ عمر احمد علي حسن")</f>
        <v>د/ عمر احمد علي حسن</v>
      </c>
      <c r="H250" s="5" t="str">
        <f ca="1">IFERROR(__xludf.DUMMYFUNCTION("""COMPUTED_VALUE"""),"30 شارع انس بن مالك - المهندسين - الجيزه")</f>
        <v>30 شارع انس بن مالك - المهندسين - الجيزه</v>
      </c>
      <c r="I250" s="6" t="str">
        <f ca="1">IFERROR(__xludf.DUMMYFUNCTION("""COMPUTED_VALUE"""),"01002342303")</f>
        <v>01002342303</v>
      </c>
      <c r="J250" s="6"/>
      <c r="K250" s="6" t="str">
        <f ca="1">IFERROR(__xludf.DUMMYFUNCTION("""COMPUTED_VALUE"""),"نسبة خصم 50%")</f>
        <v>نسبة خصم 50%</v>
      </c>
    </row>
    <row r="251" spans="1:11" x14ac:dyDescent="0.25">
      <c r="A251" s="4" t="str">
        <f ca="1">IFERROR(__xludf.DUMMYFUNCTION("""COMPUTED_VALUE"""),"2110")</f>
        <v>2110</v>
      </c>
      <c r="B251" s="5" t="str">
        <f ca="1">IFERROR(__xludf.DUMMYFUNCTION("""COMPUTED_VALUE"""),"الجيزة")</f>
        <v>الجيزة</v>
      </c>
      <c r="C251" s="5" t="str">
        <f ca="1">IFERROR(__xludf.DUMMYFUNCTION("""COMPUTED_VALUE"""),"المهندسين")</f>
        <v>المهندسين</v>
      </c>
      <c r="D251" s="5" t="str">
        <f ca="1">IFERROR(__xludf.DUMMYFUNCTION("""COMPUTED_VALUE"""),"هيئة الأطباء")</f>
        <v>هيئة الأطباء</v>
      </c>
      <c r="E251" s="5" t="str">
        <f ca="1">IFERROR(__xludf.DUMMYFUNCTION("""COMPUTED_VALUE"""),"اسنان")</f>
        <v>اسنان</v>
      </c>
      <c r="F251" s="5" t="str">
        <f ca="1">IFERROR(__xludf.DUMMYFUNCTION("""COMPUTED_VALUE"""),"جراحة الفم والأسنان")</f>
        <v>جراحة الفم والأسنان</v>
      </c>
      <c r="G251" s="5" t="str">
        <f ca="1">IFERROR(__xludf.DUMMYFUNCTION("""COMPUTED_VALUE"""),"د/ محمد أمين")</f>
        <v>د/ محمد أمين</v>
      </c>
      <c r="H251" s="5" t="str">
        <f ca="1">IFERROR(__xludf.DUMMYFUNCTION("""COMPUTED_VALUE"""),"18 شارع أبو المحاسن الشاذلي خلف فندق أطلس - بجوار العمدة-المهندسين- الجيزة")</f>
        <v>18 شارع أبو المحاسن الشاذلي خلف فندق أطلس - بجوار العمدة-المهندسين- الجيزة</v>
      </c>
      <c r="I251" s="6" t="str">
        <f ca="1">IFERROR(__xludf.DUMMYFUNCTION("""COMPUTED_VALUE"""),"20233466624")</f>
        <v>20233466624</v>
      </c>
      <c r="J251" s="6"/>
      <c r="K251" s="6" t="str">
        <f ca="1">IFERROR(__xludf.DUMMYFUNCTION("""COMPUTED_VALUE"""),"نسبة خصم 50% للكشف - 30% للخدات الاخرى")</f>
        <v>نسبة خصم 50% للكشف - 30% للخدات الاخرى</v>
      </c>
    </row>
    <row r="252" spans="1:11" x14ac:dyDescent="0.25">
      <c r="A252" s="4" t="str">
        <f ca="1">IFERROR(__xludf.DUMMYFUNCTION("""COMPUTED_VALUE"""),"104253")</f>
        <v>104253</v>
      </c>
      <c r="B252" s="5" t="str">
        <f ca="1">IFERROR(__xludf.DUMMYFUNCTION("""COMPUTED_VALUE"""),"القاهرة")</f>
        <v>القاهرة</v>
      </c>
      <c r="C252" s="5" t="str">
        <f ca="1">IFERROR(__xludf.DUMMYFUNCTION("""COMPUTED_VALUE"""),"مصر الجديدة")</f>
        <v>مصر الجديدة</v>
      </c>
      <c r="D252" s="5" t="str">
        <f ca="1">IFERROR(__xludf.DUMMYFUNCTION("""COMPUTED_VALUE"""),"مستشفى")</f>
        <v>مستشفى</v>
      </c>
      <c r="E252" s="5" t="str">
        <f ca="1">IFERROR(__xludf.DUMMYFUNCTION("""COMPUTED_VALUE"""),"مستشفي طبي متخصص")</f>
        <v>مستشفي طبي متخصص</v>
      </c>
      <c r="F252" s="5" t="str">
        <f ca="1">IFERROR(__xludf.DUMMYFUNCTION("""COMPUTED_VALUE"""),"رمد (جراحة عيون)")</f>
        <v>رمد (جراحة عيون)</v>
      </c>
      <c r="G252" s="5" t="str">
        <f ca="1">IFERROR(__xludf.DUMMYFUNCTION("""COMPUTED_VALUE"""),"مستشفى أى فيجن للعيون")</f>
        <v>مستشفى أى فيجن للعيون</v>
      </c>
      <c r="H252" s="5" t="str">
        <f ca="1">IFERROR(__xludf.DUMMYFUNCTION("""COMPUTED_VALUE"""),"25 شارع احد تيسير - الميرغنى - أمام كليه البنات - مصر الجديده - القاهرة")</f>
        <v>25 شارع احد تيسير - الميرغنى - أمام كليه البنات - مصر الجديده - القاهرة</v>
      </c>
      <c r="I252" s="6" t="str">
        <f ca="1">IFERROR(__xludf.DUMMYFUNCTION("""COMPUTED_VALUE"""),"201060060090")</f>
        <v>201060060090</v>
      </c>
      <c r="J252" s="6"/>
      <c r="K252" s="6" t="str">
        <f ca="1">IFERROR(__xludf.DUMMYFUNCTION("""COMPUTED_VALUE"""),"خصم 20% علي خدمات الخارجى &amp; خصم 25 % علي خدمات الداخلى")</f>
        <v>خصم 20% علي خدمات الخارجى &amp; خصم 25 % علي خدمات الداخلى</v>
      </c>
    </row>
    <row r="253" spans="1:11" x14ac:dyDescent="0.25">
      <c r="A253" s="4" t="str">
        <f ca="1">IFERROR(__xludf.DUMMYFUNCTION("""COMPUTED_VALUE"""),"104243")</f>
        <v>104243</v>
      </c>
      <c r="B253" s="5" t="str">
        <f ca="1">IFERROR(__xludf.DUMMYFUNCTION("""COMPUTED_VALUE"""),"الاسكندرية")</f>
        <v>الاسكندرية</v>
      </c>
      <c r="C253" s="5" t="str">
        <f ca="1">IFERROR(__xludf.DUMMYFUNCTION("""COMPUTED_VALUE"""),"محطة الرمل")</f>
        <v>محطة الرمل</v>
      </c>
      <c r="D253" s="5" t="str">
        <f ca="1">IFERROR(__xludf.DUMMYFUNCTION("""COMPUTED_VALUE"""),"مستشفى")</f>
        <v>مستشفى</v>
      </c>
      <c r="E253" s="5" t="str">
        <f ca="1">IFERROR(__xludf.DUMMYFUNCTION("""COMPUTED_VALUE"""),"مستشفي طبي متخصص")</f>
        <v>مستشفي طبي متخصص</v>
      </c>
      <c r="F253" s="5" t="str">
        <f ca="1">IFERROR(__xludf.DUMMYFUNCTION("""COMPUTED_VALUE"""),"جراحة أوعية دموية")</f>
        <v>جراحة أوعية دموية</v>
      </c>
      <c r="G253" s="5" t="str">
        <f ca="1">IFERROR(__xludf.DUMMYFUNCTION("""COMPUTED_VALUE"""),"مركز أي فين ( للأوردة )")</f>
        <v>مركز أي فين ( للأوردة )</v>
      </c>
      <c r="H253" s="5" t="str">
        <f ca="1">IFERROR(__xludf.DUMMYFUNCTION("""COMPUTED_VALUE"""),"8 شارع كلية الطب - محطة الرمل - ميديكال تاور- مبنى أ -محطة الرمل-الاسكندرية")</f>
        <v>8 شارع كلية الطب - محطة الرمل - ميديكال تاور- مبنى أ -محطة الرمل-الاسكندرية</v>
      </c>
      <c r="I253" s="6" t="str">
        <f ca="1">IFERROR(__xludf.DUMMYFUNCTION("""COMPUTED_VALUE"""),"201140777970")</f>
        <v>201140777970</v>
      </c>
      <c r="J253" s="6" t="str">
        <f ca="1">IFERROR(__xludf.DUMMYFUNCTION("""COMPUTED_VALUE"""),"15780")</f>
        <v>15780</v>
      </c>
      <c r="K253" s="6" t="str">
        <f ca="1">IFERROR(__xludf.DUMMYFUNCTION("""COMPUTED_VALUE"""),"خصم 25% على الكشف , خصم 15% على باقي الاجراءات")</f>
        <v>خصم 25% على الكشف , خصم 15% على باقي الاجراءات</v>
      </c>
    </row>
    <row r="254" spans="1:11" x14ac:dyDescent="0.25">
      <c r="A254" s="4" t="str">
        <f ca="1">IFERROR(__xludf.DUMMYFUNCTION("""COMPUTED_VALUE"""),"103345-B")</f>
        <v>103345-B</v>
      </c>
      <c r="B254" s="5" t="str">
        <f ca="1">IFERROR(__xludf.DUMMYFUNCTION("""COMPUTED_VALUE"""),"القاهرة")</f>
        <v>القاهرة</v>
      </c>
      <c r="C254" s="5" t="str">
        <f ca="1">IFERROR(__xludf.DUMMYFUNCTION("""COMPUTED_VALUE"""),"شبرا")</f>
        <v>شبرا</v>
      </c>
      <c r="D254" s="5" t="str">
        <f ca="1">IFERROR(__xludf.DUMMYFUNCTION("""COMPUTED_VALUE"""),"هيئة الأطباء")</f>
        <v>هيئة الأطباء</v>
      </c>
      <c r="E254" s="5" t="str">
        <f ca="1">IFERROR(__xludf.DUMMYFUNCTION("""COMPUTED_VALUE"""),"جراحة")</f>
        <v>جراحة</v>
      </c>
      <c r="F254" s="5" t="str">
        <f ca="1">IFERROR(__xludf.DUMMYFUNCTION("""COMPUTED_VALUE"""),"جراحة مسالك بولية وتناسلية")</f>
        <v>جراحة مسالك بولية وتناسلية</v>
      </c>
      <c r="G254" s="5" t="str">
        <f ca="1">IFERROR(__xludf.DUMMYFUNCTION("""COMPUTED_VALUE"""),"د/ عبد الفتاح عبد الفتاح محمد الغتياني")</f>
        <v>د/ عبد الفتاح عبد الفتاح محمد الغتياني</v>
      </c>
      <c r="H254" s="5" t="str">
        <f ca="1">IFERROR(__xludf.DUMMYFUNCTION("""COMPUTED_VALUE"""),"22 شارع جمال من شارع شبرا بجوار موبينيل - محطة سانت تريزا")</f>
        <v>22 شارع جمال من شارع شبرا بجوار موبينيل - محطة سانت تريزا</v>
      </c>
      <c r="I254" s="6" t="str">
        <f ca="1">IFERROR(__xludf.DUMMYFUNCTION("""COMPUTED_VALUE"""),"20222042383")</f>
        <v>20222042383</v>
      </c>
      <c r="J254" s="6"/>
      <c r="K254" s="6" t="str">
        <f ca="1">IFERROR(__xludf.DUMMYFUNCTION("""COMPUTED_VALUE"""),"الكشف:80 , نقابه 2017")</f>
        <v>الكشف:80 , نقابه 2017</v>
      </c>
    </row>
    <row r="255" spans="1:11" x14ac:dyDescent="0.25">
      <c r="A255" s="4" t="str">
        <f ca="1">IFERROR(__xludf.DUMMYFUNCTION("""COMPUTED_VALUE"""),"103345")</f>
        <v>103345</v>
      </c>
      <c r="B255" s="5" t="str">
        <f ca="1">IFERROR(__xludf.DUMMYFUNCTION("""COMPUTED_VALUE"""),"القاهرة")</f>
        <v>القاهرة</v>
      </c>
      <c r="C255" s="5" t="str">
        <f ca="1">IFERROR(__xludf.DUMMYFUNCTION("""COMPUTED_VALUE"""),"شبرا")</f>
        <v>شبرا</v>
      </c>
      <c r="D255" s="5" t="str">
        <f ca="1">IFERROR(__xludf.DUMMYFUNCTION("""COMPUTED_VALUE"""),"هيئة الأطباء")</f>
        <v>هيئة الأطباء</v>
      </c>
      <c r="E255" s="5" t="str">
        <f ca="1">IFERROR(__xludf.DUMMYFUNCTION("""COMPUTED_VALUE"""),"جراحة")</f>
        <v>جراحة</v>
      </c>
      <c r="F255" s="5" t="str">
        <f ca="1">IFERROR(__xludf.DUMMYFUNCTION("""COMPUTED_VALUE"""),"جراحة مسالك بولية وتناسلية")</f>
        <v>جراحة مسالك بولية وتناسلية</v>
      </c>
      <c r="G255" s="5" t="str">
        <f ca="1">IFERROR(__xludf.DUMMYFUNCTION("""COMPUTED_VALUE"""),"د/ عبد الفتاح عبد الفتاح محمد الفتياني")</f>
        <v>د/ عبد الفتاح عبد الفتاح محمد الفتياني</v>
      </c>
      <c r="H255" s="5" t="str">
        <f ca="1">IFERROR(__xludf.DUMMYFUNCTION("""COMPUTED_VALUE"""),"29 شارع جسر البحر بجوار شارع راتب-شبرا-القاهرة")</f>
        <v>29 شارع جسر البحر بجوار شارع راتب-شبرا-القاهرة</v>
      </c>
      <c r="I255" s="6" t="str">
        <f ca="1">IFERROR(__xludf.DUMMYFUNCTION("""COMPUTED_VALUE"""),"20222070390")</f>
        <v>20222070390</v>
      </c>
      <c r="J255" s="6"/>
      <c r="K255" s="6" t="str">
        <f ca="1">IFERROR(__xludf.DUMMYFUNCTION("""COMPUTED_VALUE"""),"الكشف:80 , نقابه 2017")</f>
        <v>الكشف:80 , نقابه 2017</v>
      </c>
    </row>
    <row r="256" spans="1:11" x14ac:dyDescent="0.25">
      <c r="A256" s="4" t="str">
        <f ca="1">IFERROR(__xludf.DUMMYFUNCTION("""COMPUTED_VALUE"""),"3881")</f>
        <v>3881</v>
      </c>
      <c r="B256" s="5" t="str">
        <f ca="1">IFERROR(__xludf.DUMMYFUNCTION("""COMPUTED_VALUE"""),"القاهرة")</f>
        <v>القاهرة</v>
      </c>
      <c r="C256" s="5" t="str">
        <f ca="1">IFERROR(__xludf.DUMMYFUNCTION("""COMPUTED_VALUE"""),"مصر الجديدة")</f>
        <v>مصر الجديدة</v>
      </c>
      <c r="D256" s="5" t="str">
        <f ca="1">IFERROR(__xludf.DUMMYFUNCTION("""COMPUTED_VALUE"""),"هيئة الأطباء")</f>
        <v>هيئة الأطباء</v>
      </c>
      <c r="E256" s="5" t="str">
        <f ca="1">IFERROR(__xludf.DUMMYFUNCTION("""COMPUTED_VALUE"""),"جراحة")</f>
        <v>جراحة</v>
      </c>
      <c r="F256" s="5" t="str">
        <f ca="1">IFERROR(__xludf.DUMMYFUNCTION("""COMPUTED_VALUE"""),"جراحة مسالك بولية وتناسلية")</f>
        <v>جراحة مسالك بولية وتناسلية</v>
      </c>
      <c r="G256" s="5" t="str">
        <f ca="1">IFERROR(__xludf.DUMMYFUNCTION("""COMPUTED_VALUE"""),"د/ أشرف عثمان علي")</f>
        <v>د/ أشرف عثمان علي</v>
      </c>
      <c r="H256" s="5" t="str">
        <f ca="1">IFERROR(__xludf.DUMMYFUNCTION("""COMPUTED_VALUE"""),"3 شارع بطرس غالى- مصر الجديدة - القاهرة")</f>
        <v>3 شارع بطرس غالى- مصر الجديدة - القاهرة</v>
      </c>
      <c r="I256" s="6" t="str">
        <f ca="1">IFERROR(__xludf.DUMMYFUNCTION("""COMPUTED_VALUE"""),"20224535548")</f>
        <v>20224535548</v>
      </c>
      <c r="J256" s="6"/>
      <c r="K256" s="6" t="str">
        <f ca="1">IFERROR(__xludf.DUMMYFUNCTION("""COMPUTED_VALUE""")," خصم 60% علي الاسعار النقدي")</f>
        <v xml:space="preserve"> خصم 60% علي الاسعار النقدي</v>
      </c>
    </row>
    <row r="257" spans="1:11" x14ac:dyDescent="0.25">
      <c r="A257" s="4" t="str">
        <f ca="1">IFERROR(__xludf.DUMMYFUNCTION("""COMPUTED_VALUE"""),"104501")</f>
        <v>104501</v>
      </c>
      <c r="B257" s="5" t="str">
        <f ca="1">IFERROR(__xludf.DUMMYFUNCTION("""COMPUTED_VALUE"""),"القليوبية")</f>
        <v>القليوبية</v>
      </c>
      <c r="C257" s="5" t="str">
        <f ca="1">IFERROR(__xludf.DUMMYFUNCTION("""COMPUTED_VALUE"""),"بنها")</f>
        <v>بنها</v>
      </c>
      <c r="D257" s="5" t="str">
        <f ca="1">IFERROR(__xludf.DUMMYFUNCTION("""COMPUTED_VALUE"""),"هيئة الأطباء")</f>
        <v>هيئة الأطباء</v>
      </c>
      <c r="E257" s="5" t="str">
        <f ca="1">IFERROR(__xludf.DUMMYFUNCTION("""COMPUTED_VALUE"""),"جراحة")</f>
        <v>جراحة</v>
      </c>
      <c r="F257" s="5" t="str">
        <f ca="1">IFERROR(__xludf.DUMMYFUNCTION("""COMPUTED_VALUE"""),"جراحة مسالك بولية وتناسلية")</f>
        <v>جراحة مسالك بولية وتناسلية</v>
      </c>
      <c r="G257" s="5" t="str">
        <f ca="1">IFERROR(__xludf.DUMMYFUNCTION("""COMPUTED_VALUE"""),"د- ربيع جمعه سيد")</f>
        <v>د- ربيع جمعه سيد</v>
      </c>
      <c r="H257" s="5" t="str">
        <f ca="1">IFERROR(__xludf.DUMMYFUNCTION("""COMPUTED_VALUE"""),"5 شارع الخطيب خلف مباحث أمن الدولة - بنها - القليوبية .")</f>
        <v>5 شارع الخطيب خلف مباحث أمن الدولة - بنها - القليوبية .</v>
      </c>
      <c r="I257" s="6" t="str">
        <f ca="1">IFERROR(__xludf.DUMMYFUNCTION("""COMPUTED_VALUE"""),"201270452443")</f>
        <v>201270452443</v>
      </c>
      <c r="J257" s="6"/>
      <c r="K257" s="6" t="str">
        <f ca="1">IFERROR(__xludf.DUMMYFUNCTION("""COMPUTED_VALUE"""),"الكشف 50 , مؤسسه 2010")</f>
        <v>الكشف 50 , مؤسسه 2010</v>
      </c>
    </row>
    <row r="258" spans="1:11" x14ac:dyDescent="0.25">
      <c r="A258" s="4" t="str">
        <f ca="1">IFERROR(__xludf.DUMMYFUNCTION("""COMPUTED_VALUE"""),"104501-B")</f>
        <v>104501-B</v>
      </c>
      <c r="B258" s="5" t="str">
        <f ca="1">IFERROR(__xludf.DUMMYFUNCTION("""COMPUTED_VALUE"""),"القليوبية")</f>
        <v>القليوبية</v>
      </c>
      <c r="C258" s="5" t="str">
        <f ca="1">IFERROR(__xludf.DUMMYFUNCTION("""COMPUTED_VALUE"""),"شبين القناطر")</f>
        <v>شبين القناطر</v>
      </c>
      <c r="D258" s="5" t="str">
        <f ca="1">IFERROR(__xludf.DUMMYFUNCTION("""COMPUTED_VALUE"""),"هيئة الأطباء")</f>
        <v>هيئة الأطباء</v>
      </c>
      <c r="E258" s="5" t="str">
        <f ca="1">IFERROR(__xludf.DUMMYFUNCTION("""COMPUTED_VALUE"""),"جراحة")</f>
        <v>جراحة</v>
      </c>
      <c r="F258" s="5" t="str">
        <f ca="1">IFERROR(__xludf.DUMMYFUNCTION("""COMPUTED_VALUE"""),"جراحة مسالك بولية وتناسلية")</f>
        <v>جراحة مسالك بولية وتناسلية</v>
      </c>
      <c r="G258" s="5" t="str">
        <f ca="1">IFERROR(__xludf.DUMMYFUNCTION("""COMPUTED_VALUE"""),"د- ربيع جمعه سيد")</f>
        <v>د- ربيع جمعه سيد</v>
      </c>
      <c r="H258" s="5" t="str">
        <f ca="1">IFERROR(__xludf.DUMMYFUNCTION("""COMPUTED_VALUE"""),"الدلتا - دار المناسبات - شبين القناطر - القليوبية .")</f>
        <v>الدلتا - دار المناسبات - شبين القناطر - القليوبية .</v>
      </c>
      <c r="I258" s="6" t="str">
        <f ca="1">IFERROR(__xludf.DUMMYFUNCTION("""COMPUTED_VALUE"""),"201270452443")</f>
        <v>201270452443</v>
      </c>
      <c r="J258" s="6"/>
      <c r="K258" s="6" t="str">
        <f ca="1">IFERROR(__xludf.DUMMYFUNCTION("""COMPUTED_VALUE"""),"الكشف 50 , مؤسسه 2010")</f>
        <v>الكشف 50 , مؤسسه 2010</v>
      </c>
    </row>
    <row r="259" spans="1:11" x14ac:dyDescent="0.25">
      <c r="A259" s="4" t="str">
        <f ca="1">IFERROR(__xludf.DUMMYFUNCTION("""COMPUTED_VALUE"""),"104501-B")</f>
        <v>104501-B</v>
      </c>
      <c r="B259" s="5" t="str">
        <f ca="1">IFERROR(__xludf.DUMMYFUNCTION("""COMPUTED_VALUE"""),"القليوبية")</f>
        <v>القليوبية</v>
      </c>
      <c r="C259" s="5" t="str">
        <f ca="1">IFERROR(__xludf.DUMMYFUNCTION("""COMPUTED_VALUE"""),"قها")</f>
        <v>قها</v>
      </c>
      <c r="D259" s="5" t="str">
        <f ca="1">IFERROR(__xludf.DUMMYFUNCTION("""COMPUTED_VALUE"""),"هيئة الأطباء")</f>
        <v>هيئة الأطباء</v>
      </c>
      <c r="E259" s="5" t="str">
        <f ca="1">IFERROR(__xludf.DUMMYFUNCTION("""COMPUTED_VALUE"""),"جراحة")</f>
        <v>جراحة</v>
      </c>
      <c r="F259" s="5" t="str">
        <f ca="1">IFERROR(__xludf.DUMMYFUNCTION("""COMPUTED_VALUE"""),"جراحة مسالك بولية وتناسلية")</f>
        <v>جراحة مسالك بولية وتناسلية</v>
      </c>
      <c r="G259" s="5" t="str">
        <f ca="1">IFERROR(__xludf.DUMMYFUNCTION("""COMPUTED_VALUE"""),"د- ربيع جمعه سيد")</f>
        <v>د- ربيع جمعه سيد</v>
      </c>
      <c r="H259" s="5" t="str">
        <f ca="1">IFERROR(__xludf.DUMMYFUNCTION("""COMPUTED_VALUE"""),"تقاطع شارع نصار مع شارع العمري - قها - القليوبية .")</f>
        <v>تقاطع شارع نصار مع شارع العمري - قها - القليوبية .</v>
      </c>
      <c r="I259" s="6" t="str">
        <f ca="1">IFERROR(__xludf.DUMMYFUNCTION("""COMPUTED_VALUE"""),"201270452443")</f>
        <v>201270452443</v>
      </c>
      <c r="J259" s="6"/>
      <c r="K259" s="6" t="str">
        <f ca="1">IFERROR(__xludf.DUMMYFUNCTION("""COMPUTED_VALUE"""),"الكشف 50 , مؤسسه 2010")</f>
        <v>الكشف 50 , مؤسسه 2010</v>
      </c>
    </row>
    <row r="260" spans="1:11" x14ac:dyDescent="0.25">
      <c r="A260" s="4" t="str">
        <f ca="1">IFERROR(__xludf.DUMMYFUNCTION("""COMPUTED_VALUE"""),"103767")</f>
        <v>103767</v>
      </c>
      <c r="B260" s="5" t="str">
        <f ca="1">IFERROR(__xludf.DUMMYFUNCTION("""COMPUTED_VALUE"""),"المنوفية")</f>
        <v>المنوفية</v>
      </c>
      <c r="C260" s="5" t="str">
        <f ca="1">IFERROR(__xludf.DUMMYFUNCTION("""COMPUTED_VALUE"""),"شبين الكوم")</f>
        <v>شبين الكوم</v>
      </c>
      <c r="D260" s="5" t="str">
        <f ca="1">IFERROR(__xludf.DUMMYFUNCTION("""COMPUTED_VALUE"""),"مستشفى")</f>
        <v>مستشفى</v>
      </c>
      <c r="E260" s="5" t="str">
        <f ca="1">IFERROR(__xludf.DUMMYFUNCTION("""COMPUTED_VALUE"""),"مستشفي طبي متخصص")</f>
        <v>مستشفي طبي متخصص</v>
      </c>
      <c r="F260" s="5" t="str">
        <f ca="1">IFERROR(__xludf.DUMMYFUNCTION("""COMPUTED_VALUE"""),"جراحة مسالك بولية وتناسلية")</f>
        <v>جراحة مسالك بولية وتناسلية</v>
      </c>
      <c r="G260" s="5" t="str">
        <f ca="1">IFERROR(__xludf.DUMMYFUNCTION("""COMPUTED_VALUE"""),"د/ علي عبد المحفوظ زهرة ( مركز جراحة الكلى والمسالك - المنوفية)")</f>
        <v>د/ علي عبد المحفوظ زهرة ( مركز جراحة الكلى والمسالك - المنوفية)</v>
      </c>
      <c r="H260" s="5" t="str">
        <f ca="1">IFERROR(__xludf.DUMMYFUNCTION("""COMPUTED_VALUE"""),"ميدان شرف - برج الفيروز -شبين الكوم-المنوفية")</f>
        <v>ميدان شرف - برج الفيروز -شبين الكوم-المنوفية</v>
      </c>
      <c r="I260" s="6" t="str">
        <f ca="1">IFERROR(__xludf.DUMMYFUNCTION("""COMPUTED_VALUE"""),"20482228243")</f>
        <v>20482228243</v>
      </c>
      <c r="J260" s="6"/>
      <c r="K260" s="6" t="str">
        <f ca="1">IFERROR(__xludf.DUMMYFUNCTION("""COMPUTED_VALUE"""),"الكشف: 75 المؤسسه العلاجيه 2015")</f>
        <v>الكشف: 75 المؤسسه العلاجيه 2015</v>
      </c>
    </row>
    <row r="261" spans="1:11" x14ac:dyDescent="0.25">
      <c r="A261" s="4" t="str">
        <f ca="1">IFERROR(__xludf.DUMMYFUNCTION("""COMPUTED_VALUE"""),"4703")</f>
        <v>4703</v>
      </c>
      <c r="B261" s="5" t="str">
        <f ca="1">IFERROR(__xludf.DUMMYFUNCTION("""COMPUTED_VALUE"""),"القاهرة")</f>
        <v>القاهرة</v>
      </c>
      <c r="C261" s="5" t="str">
        <f ca="1">IFERROR(__xludf.DUMMYFUNCTION("""COMPUTED_VALUE"""),"مصر الجديدة")</f>
        <v>مصر الجديدة</v>
      </c>
      <c r="D261" s="5" t="str">
        <f ca="1">IFERROR(__xludf.DUMMYFUNCTION("""COMPUTED_VALUE"""),"مستشفى")</f>
        <v>مستشفى</v>
      </c>
      <c r="E261" s="5" t="str">
        <f ca="1">IFERROR(__xludf.DUMMYFUNCTION("""COMPUTED_VALUE"""),"مستشفي طبي متخصص")</f>
        <v>مستشفي طبي متخصص</v>
      </c>
      <c r="F261" s="5" t="str">
        <f ca="1">IFERROR(__xludf.DUMMYFUNCTION("""COMPUTED_VALUE"""),"طب النوم والأعصاب")</f>
        <v>طب النوم والأعصاب</v>
      </c>
      <c r="G261" s="5" t="str">
        <f ca="1">IFERROR(__xludf.DUMMYFUNCTION("""COMPUTED_VALUE"""),"مركز طب النوم والأعصاب ( مركز د/ رامز رضا محمود مصطفى)")</f>
        <v>مركز طب النوم والأعصاب ( مركز د/ رامز رضا محمود مصطفى)</v>
      </c>
      <c r="H261" s="5" t="str">
        <f ca="1">IFERROR(__xludf.DUMMYFUNCTION("""COMPUTED_VALUE"""),"2شارع الفيوم من شارع كليوبترا-مصر الجديدة-القاهرة")</f>
        <v>2شارع الفيوم من شارع كليوبترا-مصر الجديدة-القاهرة</v>
      </c>
      <c r="I261" s="6" t="str">
        <f ca="1">IFERROR(__xludf.DUMMYFUNCTION("""COMPUTED_VALUE"""),"01212914040")</f>
        <v>01212914040</v>
      </c>
      <c r="J261" s="6"/>
      <c r="K261" s="6" t="str">
        <f ca="1">IFERROR(__xludf.DUMMYFUNCTION("""COMPUTED_VALUE"""),"خصم 30% علي الأسعار النقدي المعلنة")</f>
        <v>خصم 30% علي الأسعار النقدي المعلنة</v>
      </c>
    </row>
    <row r="262" spans="1:11" x14ac:dyDescent="0.25">
      <c r="A262" s="4" t="str">
        <f ca="1">IFERROR(__xludf.DUMMYFUNCTION("""COMPUTED_VALUE"""),"2301")</f>
        <v>2301</v>
      </c>
      <c r="B262" s="5" t="str">
        <f ca="1">IFERROR(__xludf.DUMMYFUNCTION("""COMPUTED_VALUE"""),"المنوفية")</f>
        <v>المنوفية</v>
      </c>
      <c r="C262" s="5" t="str">
        <f ca="1">IFERROR(__xludf.DUMMYFUNCTION("""COMPUTED_VALUE"""),"شبين الكوم")</f>
        <v>شبين الكوم</v>
      </c>
      <c r="D262" s="5" t="str">
        <f ca="1">IFERROR(__xludf.DUMMYFUNCTION("""COMPUTED_VALUE"""),"هيئة الأطباء")</f>
        <v>هيئة الأطباء</v>
      </c>
      <c r="E262" s="5" t="str">
        <f ca="1">IFERROR(__xludf.DUMMYFUNCTION("""COMPUTED_VALUE"""),"باطنة")</f>
        <v>باطنة</v>
      </c>
      <c r="F262" s="5" t="str">
        <f ca="1">IFERROR(__xludf.DUMMYFUNCTION("""COMPUTED_VALUE"""),"روماتيزم و مفاصل")</f>
        <v>روماتيزم و مفاصل</v>
      </c>
      <c r="G262" s="5" t="str">
        <f ca="1">IFERROR(__xludf.DUMMYFUNCTION("""COMPUTED_VALUE"""),"د/ محمود محمد محمود هدهود")</f>
        <v>د/ محمود محمد محمود هدهود</v>
      </c>
      <c r="H262" s="5" t="str">
        <f ca="1">IFERROR(__xludf.DUMMYFUNCTION("""COMPUTED_VALUE"""),"ميدان شرف - برج الكوثر-شبين الكوم-المنوفية")</f>
        <v>ميدان شرف - برج الكوثر-شبين الكوم-المنوفية</v>
      </c>
      <c r="I262" s="6" t="str">
        <f ca="1">IFERROR(__xludf.DUMMYFUNCTION("""COMPUTED_VALUE"""),"20482310929")</f>
        <v>20482310929</v>
      </c>
      <c r="J262" s="6"/>
      <c r="K262" s="6" t="str">
        <f ca="1">IFERROR(__xludf.DUMMYFUNCTION("""COMPUTED_VALUE"""),"خصم 30% علي الأسعار النقدي المعلنه")</f>
        <v>خصم 30% علي الأسعار النقدي المعلنه</v>
      </c>
    </row>
    <row r="263" spans="1:11" x14ac:dyDescent="0.25">
      <c r="A263" s="4" t="str">
        <f ca="1">IFERROR(__xludf.DUMMYFUNCTION("""COMPUTED_VALUE"""),"2106")</f>
        <v>2106</v>
      </c>
      <c r="B263" s="5" t="str">
        <f ca="1">IFERROR(__xludf.DUMMYFUNCTION("""COMPUTED_VALUE"""),"القاهرة")</f>
        <v>القاهرة</v>
      </c>
      <c r="C263" s="5" t="str">
        <f ca="1">IFERROR(__xludf.DUMMYFUNCTION("""COMPUTED_VALUE"""),"المقطم")</f>
        <v>المقطم</v>
      </c>
      <c r="D263" s="5" t="str">
        <f ca="1">IFERROR(__xludf.DUMMYFUNCTION("""COMPUTED_VALUE"""),"مستشفى")</f>
        <v>مستشفى</v>
      </c>
      <c r="E263" s="5" t="str">
        <f ca="1">IFERROR(__xludf.DUMMYFUNCTION("""COMPUTED_VALUE"""),"مستشفي طبي متخصص")</f>
        <v>مستشفي طبي متخصص</v>
      </c>
      <c r="F263" s="5" t="str">
        <f ca="1">IFERROR(__xludf.DUMMYFUNCTION("""COMPUTED_VALUE"""),"نفسية وعصبية")</f>
        <v>نفسية وعصبية</v>
      </c>
      <c r="G263" s="5" t="str">
        <f ca="1">IFERROR(__xludf.DUMMYFUNCTION("""COMPUTED_VALUE"""),"مستشفى د- احمد جمال ماضي ابو العزايم (دار ابو العزايم)")</f>
        <v>مستشفى د- احمد جمال ماضي ابو العزايم (دار ابو العزايم)</v>
      </c>
      <c r="H263" s="5" t="str">
        <f ca="1">IFERROR(__xludf.DUMMYFUNCTION("""COMPUTED_VALUE"""),"الهضبة الوسطى للمقطم - امام كارفور خلف نادي الصيد الجديد - محطة سنترال ال70 فدان-المقطم-القاهرة")</f>
        <v>الهضبة الوسطى للمقطم - امام كارفور خلف نادي الصيد الجديد - محطة سنترال ال70 فدان-المقطم-القاهرة</v>
      </c>
      <c r="I263" s="6" t="str">
        <f ca="1">IFERROR(__xludf.DUMMYFUNCTION("""COMPUTED_VALUE"""),"01000048807")</f>
        <v>01000048807</v>
      </c>
      <c r="J263" s="6"/>
      <c r="K263" s="6" t="str">
        <f ca="1">IFERROR(__xludf.DUMMYFUNCTION("""COMPUTED_VALUE"""),"50% على الكشف ,30% على باقى الخدمات")</f>
        <v>50% على الكشف ,30% على باقى الخدمات</v>
      </c>
    </row>
    <row r="264" spans="1:11" x14ac:dyDescent="0.25">
      <c r="A264" s="4" t="str">
        <f ca="1">IFERROR(__xludf.DUMMYFUNCTION("""COMPUTED_VALUE"""),"2106-B")</f>
        <v>2106-B</v>
      </c>
      <c r="B264" s="5" t="str">
        <f ca="1">IFERROR(__xludf.DUMMYFUNCTION("""COMPUTED_VALUE"""),"القاهرة")</f>
        <v>القاهرة</v>
      </c>
      <c r="C264" s="5" t="str">
        <f ca="1">IFERROR(__xludf.DUMMYFUNCTION("""COMPUTED_VALUE"""),"مصر الجديدة")</f>
        <v>مصر الجديدة</v>
      </c>
      <c r="D264" s="5" t="str">
        <f ca="1">IFERROR(__xludf.DUMMYFUNCTION("""COMPUTED_VALUE"""),"مستشفى")</f>
        <v>مستشفى</v>
      </c>
      <c r="E264" s="5" t="str">
        <f ca="1">IFERROR(__xludf.DUMMYFUNCTION("""COMPUTED_VALUE"""),"مستشفي طبي متخصص")</f>
        <v>مستشفي طبي متخصص</v>
      </c>
      <c r="F264" s="5" t="str">
        <f ca="1">IFERROR(__xludf.DUMMYFUNCTION("""COMPUTED_VALUE"""),"نفسية وعصبية")</f>
        <v>نفسية وعصبية</v>
      </c>
      <c r="G264" s="5" t="str">
        <f ca="1">IFERROR(__xludf.DUMMYFUNCTION("""COMPUTED_VALUE"""),"مستشفى د- احمد جمال ماضي ابو العزايم (دار ابو العزايم) (عيادة خارجية)")</f>
        <v>مستشفى د- احمد جمال ماضي ابو العزايم (دار ابو العزايم) (عيادة خارجية)</v>
      </c>
      <c r="H264" s="5" t="str">
        <f ca="1">IFERROR(__xludf.DUMMYFUNCTION("""COMPUTED_VALUE"""),"41 شارع الامام علي - ميدان الاسماعيلية-مصر الجديدة-القاهرة")</f>
        <v>41 شارع الامام علي - ميدان الاسماعيلية-مصر الجديدة-القاهرة</v>
      </c>
      <c r="I264" s="6" t="str">
        <f ca="1">IFERROR(__xludf.DUMMYFUNCTION("""COMPUTED_VALUE"""),"01022575701")</f>
        <v>01022575701</v>
      </c>
      <c r="J264" s="6"/>
      <c r="K264" s="6" t="str">
        <f ca="1">IFERROR(__xludf.DUMMYFUNCTION("""COMPUTED_VALUE"""),"50% على الكشف ,30% على باقى الخدمات")</f>
        <v>50% على الكشف ,30% على باقى الخدمات</v>
      </c>
    </row>
    <row r="265" spans="1:11" x14ac:dyDescent="0.25">
      <c r="A265" s="4" t="str">
        <f ca="1">IFERROR(__xludf.DUMMYFUNCTION("""COMPUTED_VALUE"""),"2106-B")</f>
        <v>2106-B</v>
      </c>
      <c r="B265" s="5" t="str">
        <f ca="1">IFERROR(__xludf.DUMMYFUNCTION("""COMPUTED_VALUE"""),"القاهرة")</f>
        <v>القاهرة</v>
      </c>
      <c r="C265" s="5" t="str">
        <f ca="1">IFERROR(__xludf.DUMMYFUNCTION("""COMPUTED_VALUE"""),"وسط البلد")</f>
        <v>وسط البلد</v>
      </c>
      <c r="D265" s="5" t="str">
        <f ca="1">IFERROR(__xludf.DUMMYFUNCTION("""COMPUTED_VALUE"""),"مستشفى")</f>
        <v>مستشفى</v>
      </c>
      <c r="E265" s="5" t="str">
        <f ca="1">IFERROR(__xludf.DUMMYFUNCTION("""COMPUTED_VALUE"""),"مستشفي طبي متخصص")</f>
        <v>مستشفي طبي متخصص</v>
      </c>
      <c r="F265" s="5" t="str">
        <f ca="1">IFERROR(__xludf.DUMMYFUNCTION("""COMPUTED_VALUE"""),"نفسية وعصبية")</f>
        <v>نفسية وعصبية</v>
      </c>
      <c r="G265" s="5" t="str">
        <f ca="1">IFERROR(__xludf.DUMMYFUNCTION("""COMPUTED_VALUE"""),"مستشفى د- احمد جمال ماضي ابو العزايم (دار ابو العزايم) (عيادة خارجية)")</f>
        <v>مستشفى د- احمد جمال ماضي ابو العزايم (دار ابو العزايم) (عيادة خارجية)</v>
      </c>
      <c r="H265" s="5" t="str">
        <f ca="1">IFERROR(__xludf.DUMMYFUNCTION("""COMPUTED_VALUE"""),"11 ميدان الفلكي - باب اللوق-وسط البلد-القاهرة")</f>
        <v>11 ميدان الفلكي - باب اللوق-وسط البلد-القاهرة</v>
      </c>
      <c r="I265" s="6" t="str">
        <f ca="1">IFERROR(__xludf.DUMMYFUNCTION("""COMPUTED_VALUE"""),"01022575702")</f>
        <v>01022575702</v>
      </c>
      <c r="J265" s="6"/>
      <c r="K265" s="6" t="str">
        <f ca="1">IFERROR(__xludf.DUMMYFUNCTION("""COMPUTED_VALUE"""),"50% على الكشف ,30% على باقى الخدمات")</f>
        <v>50% على الكشف ,30% على باقى الخدمات</v>
      </c>
    </row>
    <row r="266" spans="1:11" x14ac:dyDescent="0.25">
      <c r="A266" s="4" t="str">
        <f ca="1">IFERROR(__xludf.DUMMYFUNCTION("""COMPUTED_VALUE"""),"103969")</f>
        <v>103969</v>
      </c>
      <c r="B266" s="5" t="str">
        <f ca="1">IFERROR(__xludf.DUMMYFUNCTION("""COMPUTED_VALUE"""),"الجيزة")</f>
        <v>الجيزة</v>
      </c>
      <c r="C266" s="5" t="str">
        <f ca="1">IFERROR(__xludf.DUMMYFUNCTION("""COMPUTED_VALUE"""),"السادس من اكتوبر")</f>
        <v>السادس من اكتوبر</v>
      </c>
      <c r="D266" s="5" t="str">
        <f ca="1">IFERROR(__xludf.DUMMYFUNCTION("""COMPUTED_VALUE"""),"مستشفى")</f>
        <v>مستشفى</v>
      </c>
      <c r="E266" s="5" t="str">
        <f ca="1">IFERROR(__xludf.DUMMYFUNCTION("""COMPUTED_VALUE"""),"مستشفي طبي متخصص")</f>
        <v>مستشفي طبي متخصص</v>
      </c>
      <c r="F266" s="5" t="str">
        <f ca="1">IFERROR(__xludf.DUMMYFUNCTION("""COMPUTED_VALUE"""),"جلسات العلاج الطبيعي")</f>
        <v>جلسات العلاج الطبيعي</v>
      </c>
      <c r="G266" s="5" t="str">
        <f ca="1">IFERROR(__xludf.DUMMYFUNCTION("""COMPUTED_VALUE"""),"منتجع دار المنى للعلاج الطبيعى واعادة التأهيل")</f>
        <v>منتجع دار المنى للعلاج الطبيعى واعادة التأهيل</v>
      </c>
      <c r="H266" s="5" t="str">
        <f ca="1">IFERROR(__xludf.DUMMYFUNCTION("""COMPUTED_VALUE"""),"ك 20 طريق مصر اسكندرية الصحراوى")</f>
        <v>ك 20 طريق مصر اسكندرية الصحراوى</v>
      </c>
      <c r="I266" s="6" t="str">
        <f ca="1">IFERROR(__xludf.DUMMYFUNCTION("""COMPUTED_VALUE"""),"1000172408")</f>
        <v>1000172408</v>
      </c>
      <c r="J266" s="6"/>
      <c r="K266" s="6" t="str">
        <f ca="1">IFERROR(__xludf.DUMMYFUNCTION("""COMPUTED_VALUE"""),"40% على جميع الخدمات")</f>
        <v>40% على جميع الخدمات</v>
      </c>
    </row>
    <row r="267" spans="1:11" x14ac:dyDescent="0.25">
      <c r="A267" s="4" t="str">
        <f ca="1">IFERROR(__xludf.DUMMYFUNCTION("""COMPUTED_VALUE"""),"104814")</f>
        <v>104814</v>
      </c>
      <c r="B267" s="5" t="str">
        <f ca="1">IFERROR(__xludf.DUMMYFUNCTION("""COMPUTED_VALUE"""),"المنوفية")</f>
        <v>المنوفية</v>
      </c>
      <c r="C267" s="5" t="str">
        <f ca="1">IFERROR(__xludf.DUMMYFUNCTION("""COMPUTED_VALUE"""),"قويسنا")</f>
        <v>قويسنا</v>
      </c>
      <c r="D267" s="5" t="str">
        <f ca="1">IFERROR(__xludf.DUMMYFUNCTION("""COMPUTED_VALUE"""),"مركز علاج طبيعي")</f>
        <v>مركز علاج طبيعي</v>
      </c>
      <c r="E267" s="5" t="str">
        <f ca="1">IFERROR(__xludf.DUMMYFUNCTION("""COMPUTED_VALUE"""),"علاج طبيعي")</f>
        <v>علاج طبيعي</v>
      </c>
      <c r="F267" s="5" t="str">
        <f ca="1">IFERROR(__xludf.DUMMYFUNCTION("""COMPUTED_VALUE"""),"جلسات العلاج الطبيعي")</f>
        <v>جلسات العلاج الطبيعي</v>
      </c>
      <c r="G267" s="5" t="str">
        <f ca="1">IFERROR(__xludf.DUMMYFUNCTION("""COMPUTED_VALUE"""),"مركز الروان للعلاج الطبيعي (د/ايهاب على محمد عبدالله)")</f>
        <v>مركز الروان للعلاج الطبيعي (د/ايهاب على محمد عبدالله)</v>
      </c>
      <c r="H267" s="5" t="str">
        <f ca="1">IFERROR(__xludf.DUMMYFUNCTION("""COMPUTED_VALUE"""),"43ش احمد ماهر بجوار بنك مصر - قويسنا - المنوفية")</f>
        <v>43ش احمد ماهر بجوار بنك مصر - قويسنا - المنوفية</v>
      </c>
      <c r="I267" s="6" t="str">
        <f ca="1">IFERROR(__xludf.DUMMYFUNCTION("""COMPUTED_VALUE"""),"201223674916")</f>
        <v>201223674916</v>
      </c>
      <c r="J267" s="6"/>
      <c r="K267" s="6" t="str">
        <f ca="1">IFERROR(__xludf.DUMMYFUNCTION("""COMPUTED_VALUE"""),"نسبة خصم 25%")</f>
        <v>نسبة خصم 25%</v>
      </c>
    </row>
    <row r="268" spans="1:11" x14ac:dyDescent="0.25">
      <c r="A268" s="4" t="str">
        <f ca="1">IFERROR(__xludf.DUMMYFUNCTION("""COMPUTED_VALUE"""),"103937-B")</f>
        <v>103937-B</v>
      </c>
      <c r="B268" s="5" t="str">
        <f ca="1">IFERROR(__xludf.DUMMYFUNCTION("""COMPUTED_VALUE"""),"الاسكندرية")</f>
        <v>الاسكندرية</v>
      </c>
      <c r="C268" s="5" t="str">
        <f ca="1">IFERROR(__xludf.DUMMYFUNCTION("""COMPUTED_VALUE"""),"العجمي")</f>
        <v>العجمي</v>
      </c>
      <c r="D268" s="5" t="str">
        <f ca="1">IFERROR(__xludf.DUMMYFUNCTION("""COMPUTED_VALUE"""),"مركز علاج طبيعي")</f>
        <v>مركز علاج طبيعي</v>
      </c>
      <c r="E268" s="5" t="str">
        <f ca="1">IFERROR(__xludf.DUMMYFUNCTION("""COMPUTED_VALUE"""),"علاج طبيعي")</f>
        <v>علاج طبيعي</v>
      </c>
      <c r="F268" s="5" t="str">
        <f ca="1">IFERROR(__xludf.DUMMYFUNCTION("""COMPUTED_VALUE"""),"جلسات العلاج الطبيعي")</f>
        <v>جلسات العلاج الطبيعي</v>
      </c>
      <c r="G268" s="5" t="str">
        <f ca="1">IFERROR(__xludf.DUMMYFUNCTION("""COMPUTED_VALUE"""),"د/ مينا جوزيف حكيم بقطر وشركاه ( مركز طيبه للعلاج الطبيعي )")</f>
        <v>د/ مينا جوزيف حكيم بقطر وشركاه ( مركز طيبه للعلاج الطبيعي )</v>
      </c>
      <c r="H268" s="5" t="str">
        <f ca="1">IFERROR(__xludf.DUMMYFUNCTION("""COMPUTED_VALUE"""),"العجمى - ميدان كيلو 21 طريق اسكندرية مطروح")</f>
        <v>العجمى - ميدان كيلو 21 طريق اسكندرية مطروح</v>
      </c>
      <c r="I268" s="6" t="str">
        <f ca="1">IFERROR(__xludf.DUMMYFUNCTION("""COMPUTED_VALUE"""),"034117036")</f>
        <v>034117036</v>
      </c>
      <c r="J268" s="6"/>
      <c r="K268" s="6" t="str">
        <f ca="1">IFERROR(__xludf.DUMMYFUNCTION("""COMPUTED_VALUE"""),"نسبة خصم 20%")</f>
        <v>نسبة خصم 20%</v>
      </c>
    </row>
    <row r="269" spans="1:11" x14ac:dyDescent="0.25">
      <c r="A269" s="4" t="str">
        <f ca="1">IFERROR(__xludf.DUMMYFUNCTION("""COMPUTED_VALUE"""),"103937")</f>
        <v>103937</v>
      </c>
      <c r="B269" s="5" t="str">
        <f ca="1">IFERROR(__xludf.DUMMYFUNCTION("""COMPUTED_VALUE"""),"الاسكندرية")</f>
        <v>الاسكندرية</v>
      </c>
      <c r="C269" s="5" t="str">
        <f ca="1">IFERROR(__xludf.DUMMYFUNCTION("""COMPUTED_VALUE"""),"سبورتنج")</f>
        <v>سبورتنج</v>
      </c>
      <c r="D269" s="5" t="str">
        <f ca="1">IFERROR(__xludf.DUMMYFUNCTION("""COMPUTED_VALUE"""),"مركز علاج طبيعي")</f>
        <v>مركز علاج طبيعي</v>
      </c>
      <c r="E269" s="5" t="str">
        <f ca="1">IFERROR(__xludf.DUMMYFUNCTION("""COMPUTED_VALUE"""),"علاج طبيعي")</f>
        <v>علاج طبيعي</v>
      </c>
      <c r="F269" s="5" t="str">
        <f ca="1">IFERROR(__xludf.DUMMYFUNCTION("""COMPUTED_VALUE"""),"جلسات العلاج الطبيعي")</f>
        <v>جلسات العلاج الطبيعي</v>
      </c>
      <c r="G269" s="5" t="str">
        <f ca="1">IFERROR(__xludf.DUMMYFUNCTION("""COMPUTED_VALUE"""),"د/ مينا جوزيف حكيم بقطر وشركاه ( مركز طيبه للعلاج الطبيعي )")</f>
        <v>د/ مينا جوزيف حكيم بقطر وشركاه ( مركز طيبه للعلاج الطبيعي )</v>
      </c>
      <c r="H269" s="5" t="str">
        <f ca="1">IFERROR(__xludf.DUMMYFUNCTION("""COMPUTED_VALUE"""),"175 شارع بورسعيد - سبورتنج الصغرى - سبورتنج - الاسكندرية")</f>
        <v>175 شارع بورسعيد - سبورتنج الصغرى - سبورتنج - الاسكندرية</v>
      </c>
      <c r="I269" s="6" t="str">
        <f ca="1">IFERROR(__xludf.DUMMYFUNCTION("""COMPUTED_VALUE"""),"2035919323")</f>
        <v>2035919323</v>
      </c>
      <c r="J269" s="6"/>
      <c r="K269" s="6" t="str">
        <f ca="1">IFERROR(__xludf.DUMMYFUNCTION("""COMPUTED_VALUE"""),"نسبة خصم 20%")</f>
        <v>نسبة خصم 20%</v>
      </c>
    </row>
    <row r="270" spans="1:11" x14ac:dyDescent="0.25">
      <c r="A270" s="4" t="str">
        <f ca="1">IFERROR(__xludf.DUMMYFUNCTION("""COMPUTED_VALUE"""),"103745")</f>
        <v>103745</v>
      </c>
      <c r="B270" s="5" t="str">
        <f ca="1">IFERROR(__xludf.DUMMYFUNCTION("""COMPUTED_VALUE"""),"الإسماعيلية")</f>
        <v>الإسماعيلية</v>
      </c>
      <c r="C270" s="5" t="str">
        <f ca="1">IFERROR(__xludf.DUMMYFUNCTION("""COMPUTED_VALUE"""),"الإسماعيلية")</f>
        <v>الإسماعيلية</v>
      </c>
      <c r="D270" s="5" t="str">
        <f ca="1">IFERROR(__xludf.DUMMYFUNCTION("""COMPUTED_VALUE"""),"مركز علاج طبيعي")</f>
        <v>مركز علاج طبيعي</v>
      </c>
      <c r="E270" s="5" t="str">
        <f ca="1">IFERROR(__xludf.DUMMYFUNCTION("""COMPUTED_VALUE"""),"علاج طبيعي")</f>
        <v>علاج طبيعي</v>
      </c>
      <c r="F270" s="5" t="str">
        <f ca="1">IFERROR(__xludf.DUMMYFUNCTION("""COMPUTED_VALUE"""),"جلسات العلاج الطبيعي")</f>
        <v>جلسات العلاج الطبيعي</v>
      </c>
      <c r="G270" s="5" t="str">
        <f ca="1">IFERROR(__xludf.DUMMYFUNCTION("""COMPUTED_VALUE"""),"مركز العيادي للعلاج الطبيعي و التأهيل")</f>
        <v>مركز العيادي للعلاج الطبيعي و التأهيل</v>
      </c>
      <c r="H270" s="5" t="str">
        <f ca="1">IFERROR(__xludf.DUMMYFUNCTION("""COMPUTED_VALUE"""),"42 شارع حسين حجازي فاروق خلف القاضي للسيارات-الاسماعيلية")</f>
        <v>42 شارع حسين حجازي فاروق خلف القاضي للسيارات-الاسماعيلية</v>
      </c>
      <c r="I270" s="6" t="str">
        <f ca="1">IFERROR(__xludf.DUMMYFUNCTION("""COMPUTED_VALUE"""),"201113451353")</f>
        <v>201113451353</v>
      </c>
      <c r="J270" s="6"/>
      <c r="K270" s="6" t="str">
        <f ca="1">IFERROR(__xludf.DUMMYFUNCTION("""COMPUTED_VALUE"""),"خصم 35% علي جيمع الخدمات علي الاسعار النقدي المعلنه 
")</f>
        <v xml:space="preserve">خصم 35% علي جيمع الخدمات علي الاسعار النقدي المعلنه 
</v>
      </c>
    </row>
    <row r="271" spans="1:11" x14ac:dyDescent="0.25">
      <c r="A271" s="4" t="str">
        <f ca="1">IFERROR(__xludf.DUMMYFUNCTION("""COMPUTED_VALUE"""),"104499")</f>
        <v>104499</v>
      </c>
      <c r="B271" s="5" t="str">
        <f ca="1">IFERROR(__xludf.DUMMYFUNCTION("""COMPUTED_VALUE"""),"الإسماعيلية")</f>
        <v>الإسماعيلية</v>
      </c>
      <c r="C271" s="5" t="str">
        <f ca="1">IFERROR(__xludf.DUMMYFUNCTION("""COMPUTED_VALUE"""),"الإسماعيلية")</f>
        <v>الإسماعيلية</v>
      </c>
      <c r="D271" s="5" t="str">
        <f ca="1">IFERROR(__xludf.DUMMYFUNCTION("""COMPUTED_VALUE"""),"مركز علاج طبيعي")</f>
        <v>مركز علاج طبيعي</v>
      </c>
      <c r="E271" s="5" t="str">
        <f ca="1">IFERROR(__xludf.DUMMYFUNCTION("""COMPUTED_VALUE"""),"علاج طبيعي")</f>
        <v>علاج طبيعي</v>
      </c>
      <c r="F271" s="5" t="str">
        <f ca="1">IFERROR(__xludf.DUMMYFUNCTION("""COMPUTED_VALUE"""),"جلسات العلاج الطبيعي")</f>
        <v>جلسات العلاج الطبيعي</v>
      </c>
      <c r="G271" s="5" t="str">
        <f ca="1">IFERROR(__xludf.DUMMYFUNCTION("""COMPUTED_VALUE"""),"مركز السلاموني للعلاج الطبيعي ( د- حمدي محمد السيد )")</f>
        <v>مركز السلاموني للعلاج الطبيعي ( د- حمدي محمد السيد )</v>
      </c>
      <c r="H271" s="5" t="str">
        <f ca="1">IFERROR(__xludf.DUMMYFUNCTION("""COMPUTED_VALUE"""),"7 شارع قناة السويس - منطقة الممر- بجوار بنك مصر - الاسماعيلية")</f>
        <v>7 شارع قناة السويس - منطقة الممر- بجوار بنك مصر - الاسماعيلية</v>
      </c>
      <c r="I271" s="6" t="str">
        <f ca="1">IFERROR(__xludf.DUMMYFUNCTION("""COMPUTED_VALUE"""),"20643922388")</f>
        <v>20643922388</v>
      </c>
      <c r="J271" s="6"/>
      <c r="K271" s="6" t="str">
        <f ca="1">IFERROR(__xludf.DUMMYFUNCTION("""COMPUTED_VALUE"""),"خصم 50% علي الاسعار النقدي")</f>
        <v>خصم 50% علي الاسعار النقدي</v>
      </c>
    </row>
    <row r="272" spans="1:11" x14ac:dyDescent="0.25">
      <c r="A272" s="4" t="str">
        <f ca="1">IFERROR(__xludf.DUMMYFUNCTION("""COMPUTED_VALUE"""),"104570")</f>
        <v>104570</v>
      </c>
      <c r="B272" s="5" t="str">
        <f ca="1">IFERROR(__xludf.DUMMYFUNCTION("""COMPUTED_VALUE"""),"السويس")</f>
        <v>السويس</v>
      </c>
      <c r="C272" s="5" t="str">
        <f ca="1">IFERROR(__xludf.DUMMYFUNCTION("""COMPUTED_VALUE"""),"السويس")</f>
        <v>السويس</v>
      </c>
      <c r="D272" s="5" t="str">
        <f ca="1">IFERROR(__xludf.DUMMYFUNCTION("""COMPUTED_VALUE"""),"مركز علاج طبيعي")</f>
        <v>مركز علاج طبيعي</v>
      </c>
      <c r="E272" s="5" t="str">
        <f ca="1">IFERROR(__xludf.DUMMYFUNCTION("""COMPUTED_VALUE"""),"علاج طبيعي")</f>
        <v>علاج طبيعي</v>
      </c>
      <c r="F272" s="5" t="str">
        <f ca="1">IFERROR(__xludf.DUMMYFUNCTION("""COMPUTED_VALUE"""),"جلسات العلاج الطبيعي")</f>
        <v>جلسات العلاج الطبيعي</v>
      </c>
      <c r="G272" s="5" t="str">
        <f ca="1">IFERROR(__xludf.DUMMYFUNCTION("""COMPUTED_VALUE"""),"المركز المصري للعلاج الطبيعي (د.عادل زكريا حبيب)")</f>
        <v>المركز المصري للعلاج الطبيعي (د.عادل زكريا حبيب)</v>
      </c>
      <c r="H272" s="5" t="str">
        <f ca="1">IFERROR(__xludf.DUMMYFUNCTION("""COMPUTED_VALUE"""),"برج البطل أعلى فودافون - ميدان الترعة - شارع الجيش - السويس")</f>
        <v>برج البطل أعلى فودافون - ميدان الترعة - شارع الجيش - السويس</v>
      </c>
      <c r="I272" s="6" t="str">
        <f ca="1">IFERROR(__xludf.DUMMYFUNCTION("""COMPUTED_VALUE"""),"201227612671")</f>
        <v>201227612671</v>
      </c>
      <c r="J272" s="6"/>
      <c r="K272" s="6" t="str">
        <f ca="1">IFERROR(__xludf.DUMMYFUNCTION("""COMPUTED_VALUE"""),"نسبة خصم 40% علي الاسعار المعلنة")</f>
        <v>نسبة خصم 40% علي الاسعار المعلنة</v>
      </c>
    </row>
    <row r="273" spans="1:11" x14ac:dyDescent="0.25">
      <c r="A273" s="4" t="str">
        <f ca="1">IFERROR(__xludf.DUMMYFUNCTION("""COMPUTED_VALUE"""),"4617")</f>
        <v>4617</v>
      </c>
      <c r="B273" s="5" t="str">
        <f ca="1">IFERROR(__xludf.DUMMYFUNCTION("""COMPUTED_VALUE"""),"السويس")</f>
        <v>السويس</v>
      </c>
      <c r="C273" s="5" t="str">
        <f ca="1">IFERROR(__xludf.DUMMYFUNCTION("""COMPUTED_VALUE"""),"السويس")</f>
        <v>السويس</v>
      </c>
      <c r="D273" s="5" t="str">
        <f ca="1">IFERROR(__xludf.DUMMYFUNCTION("""COMPUTED_VALUE"""),"مركز علاج طبيعي")</f>
        <v>مركز علاج طبيعي</v>
      </c>
      <c r="E273" s="5" t="str">
        <f ca="1">IFERROR(__xludf.DUMMYFUNCTION("""COMPUTED_VALUE"""),"علاج طبيعي")</f>
        <v>علاج طبيعي</v>
      </c>
      <c r="F273" s="5" t="str">
        <f ca="1">IFERROR(__xludf.DUMMYFUNCTION("""COMPUTED_VALUE"""),"جلسات العلاج الطبيعي")</f>
        <v>جلسات العلاج الطبيعي</v>
      </c>
      <c r="G273" s="5" t="str">
        <f ca="1">IFERROR(__xludf.DUMMYFUNCTION("""COMPUTED_VALUE"""),"مركز د/صالح أبو العلا صالح للعلاج الطبيعي (المركز التخصصي للعلاج الطبيعي و التاهيل)")</f>
        <v>مركز د/صالح أبو العلا صالح للعلاج الطبيعي (المركز التخصصي للعلاج الطبيعي و التاهيل)</v>
      </c>
      <c r="H273" s="5" t="str">
        <f ca="1">IFERROR(__xludf.DUMMYFUNCTION("""COMPUTED_VALUE"""),"1شارع سعد زغلول برج بلير - بجوار البنك الأهلى-السويس")</f>
        <v>1شارع سعد زغلول برج بلير - بجوار البنك الأهلى-السويس</v>
      </c>
      <c r="I273" s="6" t="str">
        <f ca="1">IFERROR(__xludf.DUMMYFUNCTION("""COMPUTED_VALUE"""),"20623347900")</f>
        <v>20623347900</v>
      </c>
      <c r="J273" s="6"/>
      <c r="K273" s="6" t="str">
        <f ca="1">IFERROR(__xludf.DUMMYFUNCTION("""COMPUTED_VALUE"""),"عضو واحد: 60 , عضوين: 80 , اكثر من عضوين: 100 , شوك ويف : 200")</f>
        <v>عضو واحد: 60 , عضوين: 80 , اكثر من عضوين: 100 , شوك ويف : 200</v>
      </c>
    </row>
    <row r="274" spans="1:11" x14ac:dyDescent="0.25">
      <c r="A274" s="4" t="str">
        <f ca="1">IFERROR(__xludf.DUMMYFUNCTION("""COMPUTED_VALUE"""),"2181")</f>
        <v>2181</v>
      </c>
      <c r="B274" s="5" t="str">
        <f ca="1">IFERROR(__xludf.DUMMYFUNCTION("""COMPUTED_VALUE"""),"الشرقية")</f>
        <v>الشرقية</v>
      </c>
      <c r="C274" s="5" t="str">
        <f ca="1">IFERROR(__xludf.DUMMYFUNCTION("""COMPUTED_VALUE"""),"الزقازيق")</f>
        <v>الزقازيق</v>
      </c>
      <c r="D274" s="5" t="str">
        <f ca="1">IFERROR(__xludf.DUMMYFUNCTION("""COMPUTED_VALUE"""),"مركز علاج طبيعي")</f>
        <v>مركز علاج طبيعي</v>
      </c>
      <c r="E274" s="5" t="str">
        <f ca="1">IFERROR(__xludf.DUMMYFUNCTION("""COMPUTED_VALUE"""),"علاج طبيعي")</f>
        <v>علاج طبيعي</v>
      </c>
      <c r="F274" s="5" t="str">
        <f ca="1">IFERROR(__xludf.DUMMYFUNCTION("""COMPUTED_VALUE"""),"جلسات العلاج الطبيعي")</f>
        <v>جلسات العلاج الطبيعي</v>
      </c>
      <c r="G274" s="5" t="str">
        <f ca="1">IFERROR(__xludf.DUMMYFUNCTION("""COMPUTED_VALUE"""),"مركز سلمى للعلاج الطبيعي (د/ ياسر فتحي)")</f>
        <v>مركز سلمى للعلاج الطبيعي (د/ ياسر فتحي)</v>
      </c>
      <c r="H274" s="5" t="str">
        <f ca="1">IFERROR(__xludf.DUMMYFUNCTION("""COMPUTED_VALUE"""),"30 شارع مسجد الرحمن من طريق موقف المنصورة-الزقازيق-الشرقية")</f>
        <v>30 شارع مسجد الرحمن من طريق موقف المنصورة-الزقازيق-الشرقية</v>
      </c>
      <c r="I274" s="6" t="str">
        <f ca="1">IFERROR(__xludf.DUMMYFUNCTION("""COMPUTED_VALUE"""),"20552347751")</f>
        <v>20552347751</v>
      </c>
      <c r="J274" s="6"/>
      <c r="K274" s="6" t="str">
        <f ca="1">IFERROR(__xludf.DUMMYFUNCTION("""COMPUTED_VALUE"""),"خصم 35 % على الاسعار المعلنة
")</f>
        <v xml:space="preserve">خصم 35 % على الاسعار المعلنة
</v>
      </c>
    </row>
    <row r="275" spans="1:11" x14ac:dyDescent="0.25">
      <c r="A275" s="4" t="str">
        <f ca="1">IFERROR(__xludf.DUMMYFUNCTION("""COMPUTED_VALUE"""),"104193")</f>
        <v>104193</v>
      </c>
      <c r="B275" s="5" t="str">
        <f ca="1">IFERROR(__xludf.DUMMYFUNCTION("""COMPUTED_VALUE"""),"الفيوم")</f>
        <v>الفيوم</v>
      </c>
      <c r="C275" s="5" t="str">
        <f ca="1">IFERROR(__xludf.DUMMYFUNCTION("""COMPUTED_VALUE"""),"الفيوم")</f>
        <v>الفيوم</v>
      </c>
      <c r="D275" s="5" t="str">
        <f ca="1">IFERROR(__xludf.DUMMYFUNCTION("""COMPUTED_VALUE"""),"مركز علاج طبيعي")</f>
        <v>مركز علاج طبيعي</v>
      </c>
      <c r="E275" s="5" t="str">
        <f ca="1">IFERROR(__xludf.DUMMYFUNCTION("""COMPUTED_VALUE"""),"علاج طبيعي")</f>
        <v>علاج طبيعي</v>
      </c>
      <c r="F275" s="5" t="str">
        <f ca="1">IFERROR(__xludf.DUMMYFUNCTION("""COMPUTED_VALUE"""),"جلسات العلاج الطبيعي")</f>
        <v>جلسات العلاج الطبيعي</v>
      </c>
      <c r="G275" s="5" t="str">
        <f ca="1">IFERROR(__xludf.DUMMYFUNCTION("""COMPUTED_VALUE"""),"مركز النجم الدولي للعلاج الطبيعي")</f>
        <v>مركز النجم الدولي للعلاج الطبيعي</v>
      </c>
      <c r="H275" s="5" t="str">
        <f ca="1">IFERROR(__xludf.DUMMYFUNCTION("""COMPUTED_VALUE"""),"شارع النبوي المهندس - أمام الأيمان للأشعة - المسلة - الفيوم .")</f>
        <v>شارع النبوي المهندس - أمام الأيمان للأشعة - المسلة - الفيوم .</v>
      </c>
      <c r="I275" s="6" t="str">
        <f ca="1">IFERROR(__xludf.DUMMYFUNCTION("""COMPUTED_VALUE"""),"20849201222")</f>
        <v>20849201222</v>
      </c>
      <c r="J275" s="6"/>
      <c r="K275" s="6" t="str">
        <f ca="1">IFERROR(__xludf.DUMMYFUNCTION("""COMPUTED_VALUE"""),"خصم 25% علي الاسعار النقدي ")</f>
        <v xml:space="preserve">خصم 25% علي الاسعار النقدي </v>
      </c>
    </row>
    <row r="276" spans="1:11" x14ac:dyDescent="0.25">
      <c r="A276" s="4" t="str">
        <f ca="1">IFERROR(__xludf.DUMMYFUNCTION("""COMPUTED_VALUE"""),"104468")</f>
        <v>104468</v>
      </c>
      <c r="B276" s="5" t="str">
        <f ca="1">IFERROR(__xludf.DUMMYFUNCTION("""COMPUTED_VALUE"""),"الفيوم")</f>
        <v>الفيوم</v>
      </c>
      <c r="C276" s="5" t="str">
        <f ca="1">IFERROR(__xludf.DUMMYFUNCTION("""COMPUTED_VALUE"""),"الفيوم")</f>
        <v>الفيوم</v>
      </c>
      <c r="D276" s="5" t="str">
        <f ca="1">IFERROR(__xludf.DUMMYFUNCTION("""COMPUTED_VALUE"""),"مركز علاج طبيعي")</f>
        <v>مركز علاج طبيعي</v>
      </c>
      <c r="E276" s="5" t="str">
        <f ca="1">IFERROR(__xludf.DUMMYFUNCTION("""COMPUTED_VALUE"""),"علاج طبيعي")</f>
        <v>علاج طبيعي</v>
      </c>
      <c r="F276" s="5" t="str">
        <f ca="1">IFERROR(__xludf.DUMMYFUNCTION("""COMPUTED_VALUE"""),"جلسات العلاج الطبيعي")</f>
        <v>جلسات العلاج الطبيعي</v>
      </c>
      <c r="G276" s="5" t="str">
        <f ca="1">IFERROR(__xludf.DUMMYFUNCTION("""COMPUTED_VALUE"""),"مركز رعاية للعلاج الطبيعي (د. محمد حسن محمد)")</f>
        <v>مركز رعاية للعلاج الطبيعي (د. محمد حسن محمد)</v>
      </c>
      <c r="H276" s="5" t="str">
        <f ca="1">IFERROR(__xludf.DUMMYFUNCTION("""COMPUTED_VALUE"""),"أمام فيلا المحافظ - شارع أحمد شوقي - الفيوم")</f>
        <v>أمام فيلا المحافظ - شارع أحمد شوقي - الفيوم</v>
      </c>
      <c r="I276" s="6" t="str">
        <f ca="1">IFERROR(__xludf.DUMMYFUNCTION("""COMPUTED_VALUE"""),"201062008449")</f>
        <v>201062008449</v>
      </c>
      <c r="J276" s="6"/>
      <c r="K276" s="6" t="str">
        <f ca="1">IFERROR(__xludf.DUMMYFUNCTION("""COMPUTED_VALUE"""),"Session One organ or More:25EGP , EMG according to M.S 2010 ,shockwave session : 180EGP")</f>
        <v>Session One organ or More:25EGP , EMG according to M.S 2010 ,shockwave session : 180EGP</v>
      </c>
    </row>
    <row r="277" spans="1:11" x14ac:dyDescent="0.25">
      <c r="A277" s="4" t="str">
        <f ca="1">IFERROR(__xludf.DUMMYFUNCTION("""COMPUTED_VALUE"""),"3222")</f>
        <v>3222</v>
      </c>
      <c r="B277" s="5" t="str">
        <f ca="1">IFERROR(__xludf.DUMMYFUNCTION("""COMPUTED_VALUE"""),"الجيزة")</f>
        <v>الجيزة</v>
      </c>
      <c r="C277" s="5" t="str">
        <f ca="1">IFERROR(__xludf.DUMMYFUNCTION("""COMPUTED_VALUE"""),"الهرم")</f>
        <v>الهرم</v>
      </c>
      <c r="D277" s="5" t="str">
        <f ca="1">IFERROR(__xludf.DUMMYFUNCTION("""COMPUTED_VALUE"""),"مركز علاج طبيعي")</f>
        <v>مركز علاج طبيعي</v>
      </c>
      <c r="E277" s="5" t="str">
        <f ca="1">IFERROR(__xludf.DUMMYFUNCTION("""COMPUTED_VALUE"""),"علاج طبيعي")</f>
        <v>علاج طبيعي</v>
      </c>
      <c r="F277" s="5" t="str">
        <f ca="1">IFERROR(__xludf.DUMMYFUNCTION("""COMPUTED_VALUE"""),"جلسات العلاج الطبيعي")</f>
        <v>جلسات العلاج الطبيعي</v>
      </c>
      <c r="G277" s="5" t="str">
        <f ca="1">IFERROR(__xludf.DUMMYFUNCTION("""COMPUTED_VALUE"""),"مركز حسبو للعلاج الطبيعي")</f>
        <v>مركز حسبو للعلاج الطبيعي</v>
      </c>
      <c r="H277" s="5" t="str">
        <f ca="1">IFERROR(__xludf.DUMMYFUNCTION("""COMPUTED_VALUE"""),"7أ عمارات بنك التعمير والاسكان - شارع العمدة الجديدة الكوم الأخضر متفرع من شارع الهرم- الجيزة")</f>
        <v>7أ عمارات بنك التعمير والاسكان - شارع العمدة الجديدة الكوم الأخضر متفرع من شارع الهرم- الجيزة</v>
      </c>
      <c r="I277" s="6" t="str">
        <f ca="1">IFERROR(__xludf.DUMMYFUNCTION("""COMPUTED_VALUE"""),"20237720840")</f>
        <v>20237720840</v>
      </c>
      <c r="J277" s="6"/>
      <c r="K277" s="6" t="str">
        <f ca="1">IFERROR(__xludf.DUMMYFUNCTION("""COMPUTED_VALUE"""),"خصم 25% علي جميع الخدمات")</f>
        <v>خصم 25% علي جميع الخدمات</v>
      </c>
    </row>
    <row r="278" spans="1:11" x14ac:dyDescent="0.25">
      <c r="A278" s="4" t="str">
        <f ca="1">IFERROR(__xludf.DUMMYFUNCTION("""COMPUTED_VALUE"""),"104294-B")</f>
        <v>104294-B</v>
      </c>
      <c r="B278" s="5" t="str">
        <f ca="1">IFERROR(__xludf.DUMMYFUNCTION("""COMPUTED_VALUE"""),"الجيزة")</f>
        <v>الجيزة</v>
      </c>
      <c r="C278" s="5" t="str">
        <f ca="1">IFERROR(__xludf.DUMMYFUNCTION("""COMPUTED_VALUE"""),"السادس من اكتوبر")</f>
        <v>السادس من اكتوبر</v>
      </c>
      <c r="D278" s="5" t="str">
        <f ca="1">IFERROR(__xludf.DUMMYFUNCTION("""COMPUTED_VALUE"""),"مركز علاج طبيعي")</f>
        <v>مركز علاج طبيعي</v>
      </c>
      <c r="E278" s="5" t="str">
        <f ca="1">IFERROR(__xludf.DUMMYFUNCTION("""COMPUTED_VALUE"""),"علاج طبيعي")</f>
        <v>علاج طبيعي</v>
      </c>
      <c r="F278" s="5" t="str">
        <f ca="1">IFERROR(__xludf.DUMMYFUNCTION("""COMPUTED_VALUE"""),"جلسات العلاج الطبيعي")</f>
        <v>جلسات العلاج الطبيعي</v>
      </c>
      <c r="G278" s="5" t="str">
        <f ca="1">IFERROR(__xludf.DUMMYFUNCTION("""COMPUTED_VALUE"""),"مركز الهلال للعلاج الطبيعي")</f>
        <v>مركز الهلال للعلاج الطبيعي</v>
      </c>
      <c r="H278" s="5" t="str">
        <f ca="1">IFERROR(__xludf.DUMMYFUNCTION("""COMPUTED_VALUE"""),"عمارة رقم 255 - المجاورة التانية - الحي الرابع - طريق المحور المركزي - امام بنك الاسكان و التعمير")</f>
        <v>عمارة رقم 255 - المجاورة التانية - الحي الرابع - طريق المحور المركزي - امام بنك الاسكان و التعمير</v>
      </c>
      <c r="I278" s="6" t="str">
        <f ca="1">IFERROR(__xludf.DUMMYFUNCTION("""COMPUTED_VALUE"""),"201225725490")</f>
        <v>201225725490</v>
      </c>
      <c r="J278" s="6"/>
      <c r="K278" s="6" t="str">
        <f ca="1">IFERROR(__xludf.DUMMYFUNCTION("""COMPUTED_VALUE"""),"35% على الاسعار النقدي المعلنة")</f>
        <v>35% على الاسعار النقدي المعلنة</v>
      </c>
    </row>
    <row r="279" spans="1:11" x14ac:dyDescent="0.25">
      <c r="A279" s="4" t="str">
        <f ca="1">IFERROR(__xludf.DUMMYFUNCTION("""COMPUTED_VALUE"""),"2982-B")</f>
        <v>2982-B</v>
      </c>
      <c r="B279" s="5" t="str">
        <f ca="1">IFERROR(__xludf.DUMMYFUNCTION("""COMPUTED_VALUE"""),"القاهرة")</f>
        <v>القاهرة</v>
      </c>
      <c r="C279" s="5" t="str">
        <f ca="1">IFERROR(__xludf.DUMMYFUNCTION("""COMPUTED_VALUE"""),"المعادى")</f>
        <v>المعادى</v>
      </c>
      <c r="D279" s="5" t="str">
        <f ca="1">IFERROR(__xludf.DUMMYFUNCTION("""COMPUTED_VALUE"""),"مركز علاج طبيعي")</f>
        <v>مركز علاج طبيعي</v>
      </c>
      <c r="E279" s="5" t="str">
        <f ca="1">IFERROR(__xludf.DUMMYFUNCTION("""COMPUTED_VALUE"""),"علاج طبيعي")</f>
        <v>علاج طبيعي</v>
      </c>
      <c r="F279" s="5" t="str">
        <f ca="1">IFERROR(__xludf.DUMMYFUNCTION("""COMPUTED_VALUE"""),"جلسات العلاج الطبيعي")</f>
        <v>جلسات العلاج الطبيعي</v>
      </c>
      <c r="G279" s="5" t="str">
        <f ca="1">IFERROR(__xludf.DUMMYFUNCTION("""COMPUTED_VALUE"""),"د/ اسماعيل ابراهيم الخشاب")</f>
        <v>د/ اسماعيل ابراهيم الخشاب</v>
      </c>
      <c r="H279" s="5" t="str">
        <f ca="1">IFERROR(__xludf.DUMMYFUNCTION("""COMPUTED_VALUE"""),"عمارة 3 بلوك 76 الشطر العاشر أمام كارفور عمارة دهانات الجزيرة - زهراء المعادى - المعادي")</f>
        <v>عمارة 3 بلوك 76 الشطر العاشر أمام كارفور عمارة دهانات الجزيرة - زهراء المعادى - المعادي</v>
      </c>
      <c r="I279" s="6" t="str">
        <f ca="1">IFERROR(__xludf.DUMMYFUNCTION("""COMPUTED_VALUE"""),"0223103720")</f>
        <v>0223103720</v>
      </c>
      <c r="J279" s="6"/>
      <c r="K279" s="6" t="str">
        <f ca="1">IFERROR(__xludf.DUMMYFUNCTION("""COMPUTED_VALUE"""),"25% نسبة خصم")</f>
        <v>25% نسبة خصم</v>
      </c>
    </row>
    <row r="280" spans="1:11" x14ac:dyDescent="0.25">
      <c r="A280" s="4" t="str">
        <f ca="1">IFERROR(__xludf.DUMMYFUNCTION("""COMPUTED_VALUE"""),"3964")</f>
        <v>3964</v>
      </c>
      <c r="B280" s="5" t="str">
        <f ca="1">IFERROR(__xludf.DUMMYFUNCTION("""COMPUTED_VALUE"""),"القاهرة")</f>
        <v>القاهرة</v>
      </c>
      <c r="C280" s="5" t="str">
        <f ca="1">IFERROR(__xludf.DUMMYFUNCTION("""COMPUTED_VALUE"""),"المعادى")</f>
        <v>المعادى</v>
      </c>
      <c r="D280" s="5" t="str">
        <f ca="1">IFERROR(__xludf.DUMMYFUNCTION("""COMPUTED_VALUE"""),"مركز علاج طبيعي")</f>
        <v>مركز علاج طبيعي</v>
      </c>
      <c r="E280" s="5" t="str">
        <f ca="1">IFERROR(__xludf.DUMMYFUNCTION("""COMPUTED_VALUE"""),"علاج طبيعي")</f>
        <v>علاج طبيعي</v>
      </c>
      <c r="F280" s="5" t="str">
        <f ca="1">IFERROR(__xludf.DUMMYFUNCTION("""COMPUTED_VALUE"""),"جلسات العلاج الطبيعي")</f>
        <v>جلسات العلاج الطبيعي</v>
      </c>
      <c r="G280" s="5" t="str">
        <f ca="1">IFERROR(__xludf.DUMMYFUNCTION("""COMPUTED_VALUE"""),"مركز د/ هشام عطا (مركز علاج الالام)")</f>
        <v>مركز د/ هشام عطا (مركز علاج الالام)</v>
      </c>
      <c r="H280" s="5" t="str">
        <f ca="1">IFERROR(__xludf.DUMMYFUNCTION("""COMPUTED_VALUE"""),"19طريق مصر حلوان الزراعى - الدور 16 المعادى - القاهرة")</f>
        <v>19طريق مصر حلوان الزراعى - الدور 16 المعادى - القاهرة</v>
      </c>
      <c r="I280" s="6" t="str">
        <f ca="1">IFERROR(__xludf.DUMMYFUNCTION("""COMPUTED_VALUE"""),"20223585858")</f>
        <v>20223585858</v>
      </c>
      <c r="J280" s="6"/>
      <c r="K280" s="6" t="str">
        <f ca="1">IFERROR(__xludf.DUMMYFUNCTION("""COMPUTED_VALUE"""),"40% نسبة خصم")</f>
        <v>40% نسبة خصم</v>
      </c>
    </row>
    <row r="281" spans="1:11" x14ac:dyDescent="0.25">
      <c r="A281" s="4" t="str">
        <f ca="1">IFERROR(__xludf.DUMMYFUNCTION("""COMPUTED_VALUE"""),"104151")</f>
        <v>104151</v>
      </c>
      <c r="B281" s="5" t="str">
        <f ca="1">IFERROR(__xludf.DUMMYFUNCTION("""COMPUTED_VALUE"""),"القاهرة")</f>
        <v>القاهرة</v>
      </c>
      <c r="C281" s="5" t="str">
        <f ca="1">IFERROR(__xludf.DUMMYFUNCTION("""COMPUTED_VALUE"""),"المنيل")</f>
        <v>المنيل</v>
      </c>
      <c r="D281" s="5" t="str">
        <f ca="1">IFERROR(__xludf.DUMMYFUNCTION("""COMPUTED_VALUE"""),"مركز علاج طبيعي")</f>
        <v>مركز علاج طبيعي</v>
      </c>
      <c r="E281" s="5" t="str">
        <f ca="1">IFERROR(__xludf.DUMMYFUNCTION("""COMPUTED_VALUE"""),"علاج طبيعي")</f>
        <v>علاج طبيعي</v>
      </c>
      <c r="F281" s="5" t="str">
        <f ca="1">IFERROR(__xludf.DUMMYFUNCTION("""COMPUTED_VALUE"""),"جلسات العلاج الطبيعي")</f>
        <v>جلسات العلاج الطبيعي</v>
      </c>
      <c r="G281" s="5" t="str">
        <f ca="1">IFERROR(__xludf.DUMMYFUNCTION("""COMPUTED_VALUE"""),"مركز البرج للعلاج الطبيعي")</f>
        <v>مركز البرج للعلاج الطبيعي</v>
      </c>
      <c r="H281" s="5" t="str">
        <f ca="1">IFERROR(__xludf.DUMMYFUNCTION("""COMPUTED_VALUE"""),"10 شارع محمد فريد وجدي - المنيل - القاهرة")</f>
        <v>10 شارع محمد فريد وجدي - المنيل - القاهرة</v>
      </c>
      <c r="I281" s="6" t="str">
        <f ca="1">IFERROR(__xludf.DUMMYFUNCTION("""COMPUTED_VALUE"""),"01005504412")</f>
        <v>01005504412</v>
      </c>
      <c r="J281" s="6"/>
      <c r="K281" s="6" t="str">
        <f ca="1">IFERROR(__xludf.DUMMYFUNCTION("""COMPUTED_VALUE"""),"نسبة الخصم 30%")</f>
        <v>نسبة الخصم 30%</v>
      </c>
    </row>
    <row r="282" spans="1:11" x14ac:dyDescent="0.25">
      <c r="A282" s="4" t="str">
        <f ca="1">IFERROR(__xludf.DUMMYFUNCTION("""COMPUTED_VALUE"""),"1877")</f>
        <v>1877</v>
      </c>
      <c r="B282" s="5" t="str">
        <f ca="1">IFERROR(__xludf.DUMMYFUNCTION("""COMPUTED_VALUE"""),"الجيزة")</f>
        <v>الجيزة</v>
      </c>
      <c r="C282" s="5" t="str">
        <f ca="1">IFERROR(__xludf.DUMMYFUNCTION("""COMPUTED_VALUE"""),"المهندسين")</f>
        <v>المهندسين</v>
      </c>
      <c r="D282" s="5" t="str">
        <f ca="1">IFERROR(__xludf.DUMMYFUNCTION("""COMPUTED_VALUE"""),"مركز علاج طبيعي")</f>
        <v>مركز علاج طبيعي</v>
      </c>
      <c r="E282" s="5" t="str">
        <f ca="1">IFERROR(__xludf.DUMMYFUNCTION("""COMPUTED_VALUE"""),"علاج طبيعي")</f>
        <v>علاج طبيعي</v>
      </c>
      <c r="F282" s="5" t="str">
        <f ca="1">IFERROR(__xludf.DUMMYFUNCTION("""COMPUTED_VALUE"""),"جلسات العلاج الطبيعي")</f>
        <v>جلسات العلاج الطبيعي</v>
      </c>
      <c r="G282" s="5" t="str">
        <f ca="1">IFERROR(__xludf.DUMMYFUNCTION("""COMPUTED_VALUE"""),"المركز الطبي للعلاج الطبيعي (د. على حسن توفيق )")</f>
        <v>المركز الطبي للعلاج الطبيعي (د. على حسن توفيق )</v>
      </c>
      <c r="H282" s="5" t="str">
        <f ca="1">IFERROR(__xludf.DUMMYFUNCTION("""COMPUTED_VALUE"""),"153شارع  السودان - المهندسين امام السلام للمحجبات-المهندسين- الجيزة")</f>
        <v>153شارع  السودان - المهندسين امام السلام للمحجبات-المهندسين- الجيزة</v>
      </c>
      <c r="I282" s="6" t="str">
        <f ca="1">IFERROR(__xludf.DUMMYFUNCTION("""COMPUTED_VALUE"""),"20233374833")</f>
        <v>20233374833</v>
      </c>
      <c r="J282" s="6"/>
      <c r="K282" s="6" t="str">
        <f ca="1">IFERROR(__xludf.DUMMYFUNCTION("""COMPUTED_VALUE"""),"خصم 30% علي الاسعار النقدي ")</f>
        <v xml:space="preserve">خصم 30% علي الاسعار النقدي </v>
      </c>
    </row>
    <row r="283" spans="1:11" x14ac:dyDescent="0.25">
      <c r="A283" s="4" t="str">
        <f ca="1">IFERROR(__xludf.DUMMYFUNCTION("""COMPUTED_VALUE"""),"2982")</f>
        <v>2982</v>
      </c>
      <c r="B283" s="5" t="str">
        <f ca="1">IFERROR(__xludf.DUMMYFUNCTION("""COMPUTED_VALUE"""),"الجيزة")</f>
        <v>الجيزة</v>
      </c>
      <c r="C283" s="5" t="str">
        <f ca="1">IFERROR(__xludf.DUMMYFUNCTION("""COMPUTED_VALUE"""),"المهندسين")</f>
        <v>المهندسين</v>
      </c>
      <c r="D283" s="5" t="str">
        <f ca="1">IFERROR(__xludf.DUMMYFUNCTION("""COMPUTED_VALUE"""),"مركز علاج طبيعي")</f>
        <v>مركز علاج طبيعي</v>
      </c>
      <c r="E283" s="5" t="str">
        <f ca="1">IFERROR(__xludf.DUMMYFUNCTION("""COMPUTED_VALUE"""),"علاج طبيعي")</f>
        <v>علاج طبيعي</v>
      </c>
      <c r="F283" s="5" t="str">
        <f ca="1">IFERROR(__xludf.DUMMYFUNCTION("""COMPUTED_VALUE"""),"جلسات العلاج الطبيعي")</f>
        <v>جلسات العلاج الطبيعي</v>
      </c>
      <c r="G283" s="5" t="str">
        <f ca="1">IFERROR(__xludf.DUMMYFUNCTION("""COMPUTED_VALUE"""),"د/ اسماعيل ابراهيم الخشاب")</f>
        <v>د/ اسماعيل ابراهيم الخشاب</v>
      </c>
      <c r="H283" s="5" t="str">
        <f ca="1">IFERROR(__xludf.DUMMYFUNCTION("""COMPUTED_VALUE"""),"33شارع احمد عرابى - عمارة الشبراوي - امام عمر افندى- الدور الاول شقه 2- المهندسين- الجيزة")</f>
        <v>33شارع احمد عرابى - عمارة الشبراوي - امام عمر افندى- الدور الاول شقه 2- المهندسين- الجيزة</v>
      </c>
      <c r="I283" s="6" t="str">
        <f ca="1">IFERROR(__xludf.DUMMYFUNCTION("""COMPUTED_VALUE"""),"0233046333")</f>
        <v>0233046333</v>
      </c>
      <c r="J283" s="6"/>
      <c r="K283" s="6" t="str">
        <f ca="1">IFERROR(__xludf.DUMMYFUNCTION("""COMPUTED_VALUE"""),"25% نسبة خصم")</f>
        <v>25% نسبة خصم</v>
      </c>
    </row>
    <row r="284" spans="1:11" x14ac:dyDescent="0.25">
      <c r="A284" s="4" t="str">
        <f ca="1">IFERROR(__xludf.DUMMYFUNCTION("""COMPUTED_VALUE"""),"3921")</f>
        <v>3921</v>
      </c>
      <c r="B284" s="5" t="str">
        <f ca="1">IFERROR(__xludf.DUMMYFUNCTION("""COMPUTED_VALUE"""),"الجيزة")</f>
        <v>الجيزة</v>
      </c>
      <c r="C284" s="5" t="str">
        <f ca="1">IFERROR(__xludf.DUMMYFUNCTION("""COMPUTED_VALUE"""),"المهندسين")</f>
        <v>المهندسين</v>
      </c>
      <c r="D284" s="5" t="str">
        <f ca="1">IFERROR(__xludf.DUMMYFUNCTION("""COMPUTED_VALUE"""),"مركز علاج طبيعي")</f>
        <v>مركز علاج طبيعي</v>
      </c>
      <c r="E284" s="5" t="str">
        <f ca="1">IFERROR(__xludf.DUMMYFUNCTION("""COMPUTED_VALUE"""),"علاج طبيعي")</f>
        <v>علاج طبيعي</v>
      </c>
      <c r="F284" s="5" t="str">
        <f ca="1">IFERROR(__xludf.DUMMYFUNCTION("""COMPUTED_VALUE"""),"جلسات العلاج الطبيعي")</f>
        <v>جلسات العلاج الطبيعي</v>
      </c>
      <c r="G284" s="5" t="str">
        <f ca="1">IFERROR(__xludf.DUMMYFUNCTION("""COMPUTED_VALUE"""),"مركز أبو زهرة للعلاج الطبيعي")</f>
        <v>مركز أبو زهرة للعلاج الطبيعي</v>
      </c>
      <c r="H284" s="5" t="str">
        <f ca="1">IFERROR(__xludf.DUMMYFUNCTION("""COMPUTED_VALUE"""),"15شارع أحمد عرابي-عماره تويوتا -المهندسين- الجيزة")</f>
        <v>15شارع أحمد عرابي-عماره تويوتا -المهندسين- الجيزة</v>
      </c>
      <c r="I284" s="6" t="str">
        <f ca="1">IFERROR(__xludf.DUMMYFUNCTION("""COMPUTED_VALUE"""),"20233047914")</f>
        <v>20233047914</v>
      </c>
      <c r="J284" s="6"/>
      <c r="K284" s="6" t="str">
        <f ca="1">IFERROR(__xludf.DUMMYFUNCTION("""COMPUTED_VALUE"""),"40% على جميع الخدمات")</f>
        <v>40% على جميع الخدمات</v>
      </c>
    </row>
    <row r="285" spans="1:11" x14ac:dyDescent="0.25">
      <c r="A285" s="4" t="str">
        <f ca="1">IFERROR(__xludf.DUMMYFUNCTION("""COMPUTED_VALUE"""),"3964-B")</f>
        <v>3964-B</v>
      </c>
      <c r="B285" s="5" t="str">
        <f ca="1">IFERROR(__xludf.DUMMYFUNCTION("""COMPUTED_VALUE"""),"الجيزة")</f>
        <v>الجيزة</v>
      </c>
      <c r="C285" s="5" t="str">
        <f ca="1">IFERROR(__xludf.DUMMYFUNCTION("""COMPUTED_VALUE"""),"المهندسين")</f>
        <v>المهندسين</v>
      </c>
      <c r="D285" s="5" t="str">
        <f ca="1">IFERROR(__xludf.DUMMYFUNCTION("""COMPUTED_VALUE"""),"مركز علاج طبيعي")</f>
        <v>مركز علاج طبيعي</v>
      </c>
      <c r="E285" s="5" t="str">
        <f ca="1">IFERROR(__xludf.DUMMYFUNCTION("""COMPUTED_VALUE"""),"علاج طبيعي")</f>
        <v>علاج طبيعي</v>
      </c>
      <c r="F285" s="5" t="str">
        <f ca="1">IFERROR(__xludf.DUMMYFUNCTION("""COMPUTED_VALUE"""),"جلسات العلاج الطبيعي")</f>
        <v>جلسات العلاج الطبيعي</v>
      </c>
      <c r="G285" s="5" t="str">
        <f ca="1">IFERROR(__xludf.DUMMYFUNCTION("""COMPUTED_VALUE"""),"مركز د/ هشام عطا (مركز علاج الالام)")</f>
        <v>مركز د/ هشام عطا (مركز علاج الالام)</v>
      </c>
      <c r="H285" s="5" t="str">
        <f ca="1">IFERROR(__xludf.DUMMYFUNCTION("""COMPUTED_VALUE"""),"20 شارع البطل أحمد عبد العزيز الدور 10شقة 4-المهندسين- الجيزة")</f>
        <v>20 شارع البطل أحمد عبد العزيز الدور 10شقة 4-المهندسين- الجيزة</v>
      </c>
      <c r="I285" s="6" t="str">
        <f ca="1">IFERROR(__xludf.DUMMYFUNCTION("""COMPUTED_VALUE"""),"20237492802")</f>
        <v>20237492802</v>
      </c>
      <c r="J285" s="6"/>
      <c r="K285" s="6" t="str">
        <f ca="1">IFERROR(__xludf.DUMMYFUNCTION("""COMPUTED_VALUE"""),"40% نسبة خصم")</f>
        <v>40% نسبة خصم</v>
      </c>
    </row>
    <row r="286" spans="1:11" x14ac:dyDescent="0.25">
      <c r="A286" s="4" t="str">
        <f ca="1">IFERROR(__xludf.DUMMYFUNCTION("""COMPUTED_VALUE"""),"2982-B")</f>
        <v>2982-B</v>
      </c>
      <c r="B286" s="5" t="str">
        <f ca="1">IFERROR(__xludf.DUMMYFUNCTION("""COMPUTED_VALUE"""),"الجيزة")</f>
        <v>الجيزة</v>
      </c>
      <c r="C286" s="5" t="str">
        <f ca="1">IFERROR(__xludf.DUMMYFUNCTION("""COMPUTED_VALUE"""),"الهرم")</f>
        <v>الهرم</v>
      </c>
      <c r="D286" s="5" t="str">
        <f ca="1">IFERROR(__xludf.DUMMYFUNCTION("""COMPUTED_VALUE"""),"مركز علاج طبيعي")</f>
        <v>مركز علاج طبيعي</v>
      </c>
      <c r="E286" s="5" t="str">
        <f ca="1">IFERROR(__xludf.DUMMYFUNCTION("""COMPUTED_VALUE"""),"علاج طبيعي")</f>
        <v>علاج طبيعي</v>
      </c>
      <c r="F286" s="5" t="str">
        <f ca="1">IFERROR(__xludf.DUMMYFUNCTION("""COMPUTED_VALUE"""),"جلسات العلاج الطبيعي")</f>
        <v>جلسات العلاج الطبيعي</v>
      </c>
      <c r="G286" s="5" t="str">
        <f ca="1">IFERROR(__xludf.DUMMYFUNCTION("""COMPUTED_VALUE"""),"د/ اسماعيل ابراهيم الخشاب")</f>
        <v>د/ اسماعيل ابراهيم الخشاب</v>
      </c>
      <c r="H286" s="5" t="str">
        <f ca="1">IFERROR(__xludf.DUMMYFUNCTION("""COMPUTED_VALUE"""),"410ش الهرم- عمارة بنك بلوم-الهرم- الجيزة")</f>
        <v>410ش الهرم- عمارة بنك بلوم-الهرم- الجيزة</v>
      </c>
      <c r="I286" s="6" t="str">
        <f ca="1">IFERROR(__xludf.DUMMYFUNCTION("""COMPUTED_VALUE"""),"20235702431")</f>
        <v>20235702431</v>
      </c>
      <c r="J286" s="6"/>
      <c r="K286" s="6" t="str">
        <f ca="1">IFERROR(__xludf.DUMMYFUNCTION("""COMPUTED_VALUE"""),"25% نسبة خصم")</f>
        <v>25% نسبة خصم</v>
      </c>
    </row>
    <row r="287" spans="1:11" x14ac:dyDescent="0.25">
      <c r="A287" s="4" t="str">
        <f ca="1">IFERROR(__xludf.DUMMYFUNCTION("""COMPUTED_VALUE"""),"4641")</f>
        <v>4641</v>
      </c>
      <c r="B287" s="5" t="str">
        <f ca="1">IFERROR(__xludf.DUMMYFUNCTION("""COMPUTED_VALUE"""),"الجيزة")</f>
        <v>الجيزة</v>
      </c>
      <c r="C287" s="5" t="str">
        <f ca="1">IFERROR(__xludf.DUMMYFUNCTION("""COMPUTED_VALUE"""),"الهرم")</f>
        <v>الهرم</v>
      </c>
      <c r="D287" s="5" t="str">
        <f ca="1">IFERROR(__xludf.DUMMYFUNCTION("""COMPUTED_VALUE"""),"مركز علاج طبيعي")</f>
        <v>مركز علاج طبيعي</v>
      </c>
      <c r="E287" s="5" t="str">
        <f ca="1">IFERROR(__xludf.DUMMYFUNCTION("""COMPUTED_VALUE"""),"علاج طبيعي")</f>
        <v>علاج طبيعي</v>
      </c>
      <c r="F287" s="5" t="str">
        <f ca="1">IFERROR(__xludf.DUMMYFUNCTION("""COMPUTED_VALUE"""),"جلسات العلاج الطبيعي")</f>
        <v>جلسات العلاج الطبيعي</v>
      </c>
      <c r="G287" s="5" t="str">
        <f ca="1">IFERROR(__xludf.DUMMYFUNCTION("""COMPUTED_VALUE"""),"مركز لايف سبورت للعلاج الطبيعى واصابات الملاعب والتأهيل")</f>
        <v>مركز لايف سبورت للعلاج الطبيعى واصابات الملاعب والتأهيل</v>
      </c>
      <c r="H287" s="5" t="str">
        <f ca="1">IFERROR(__xludf.DUMMYFUNCTION("""COMPUTED_VALUE"""),"1 شارع اشرف بطران - نفق المريوطية-الهرم - الجيزة")</f>
        <v>1 شارع اشرف بطران - نفق المريوطية-الهرم - الجيزة</v>
      </c>
      <c r="I287" s="6" t="str">
        <f ca="1">IFERROR(__xludf.DUMMYFUNCTION("""COMPUTED_VALUE"""),"01006002009")</f>
        <v>01006002009</v>
      </c>
      <c r="J287" s="6"/>
      <c r="K287" s="6" t="str">
        <f ca="1">IFERROR(__xludf.DUMMYFUNCTION("""COMPUTED_VALUE"""),"25% نسبة خصم")</f>
        <v>25% نسبة خصم</v>
      </c>
    </row>
    <row r="288" spans="1:11" x14ac:dyDescent="0.25">
      <c r="A288" s="4" t="str">
        <f ca="1">IFERROR(__xludf.DUMMYFUNCTION("""COMPUTED_VALUE"""),"1992")</f>
        <v>1992</v>
      </c>
      <c r="B288" s="5" t="str">
        <f ca="1">IFERROR(__xludf.DUMMYFUNCTION("""COMPUTED_VALUE"""),"الجيزة")</f>
        <v>الجيزة</v>
      </c>
      <c r="C288" s="5" t="str">
        <f ca="1">IFERROR(__xludf.DUMMYFUNCTION("""COMPUTED_VALUE"""),"حدائق الاهرام")</f>
        <v>حدائق الاهرام</v>
      </c>
      <c r="D288" s="5" t="str">
        <f ca="1">IFERROR(__xludf.DUMMYFUNCTION("""COMPUTED_VALUE"""),"مركز علاج طبيعي")</f>
        <v>مركز علاج طبيعي</v>
      </c>
      <c r="E288" s="5" t="str">
        <f ca="1">IFERROR(__xludf.DUMMYFUNCTION("""COMPUTED_VALUE"""),"علاج طبيعي")</f>
        <v>علاج طبيعي</v>
      </c>
      <c r="F288" s="5" t="str">
        <f ca="1">IFERROR(__xludf.DUMMYFUNCTION("""COMPUTED_VALUE"""),"جلسات العلاج الطبيعي")</f>
        <v>جلسات العلاج الطبيعي</v>
      </c>
      <c r="G288" s="5" t="str">
        <f ca="1">IFERROR(__xludf.DUMMYFUNCTION("""COMPUTED_VALUE"""),"مركز الاهرام للعلاج الطبيعي")</f>
        <v>مركز الاهرام للعلاج الطبيعي</v>
      </c>
      <c r="H288" s="5" t="str">
        <f ca="1">IFERROR(__xludf.DUMMYFUNCTION("""COMPUTED_VALUE"""),"195ب شارع جاردينيا - حدائق الاهرام-  بوابة خوفو-حدائق الأهرام- الجيزة")</f>
        <v>195ب شارع جاردينيا - حدائق الاهرام-  بوابة خوفو-حدائق الأهرام- الجيزة</v>
      </c>
      <c r="I288" s="6" t="str">
        <f ca="1">IFERROR(__xludf.DUMMYFUNCTION("""COMPUTED_VALUE"""),"20233800741")</f>
        <v>20233800741</v>
      </c>
      <c r="J288" s="6"/>
      <c r="K288" s="6" t="str">
        <f ca="1">IFERROR(__xludf.DUMMYFUNCTION("""COMPUTED_VALUE"""),"50%على الكشف , 30% على ياقى الخدمات")</f>
        <v>50%على الكشف , 30% على ياقى الخدمات</v>
      </c>
    </row>
    <row r="289" spans="1:11" x14ac:dyDescent="0.25">
      <c r="A289" s="4" t="str">
        <f ca="1">IFERROR(__xludf.DUMMYFUNCTION("""COMPUTED_VALUE"""),"1876-B")</f>
        <v>1876-B</v>
      </c>
      <c r="B289" s="5" t="str">
        <f ca="1">IFERROR(__xludf.DUMMYFUNCTION("""COMPUTED_VALUE"""),"القاهرة")</f>
        <v>القاهرة</v>
      </c>
      <c r="C289" s="5" t="str">
        <f ca="1">IFERROR(__xludf.DUMMYFUNCTION("""COMPUTED_VALUE"""),"حدائق القبة")</f>
        <v>حدائق القبة</v>
      </c>
      <c r="D289" s="5" t="str">
        <f ca="1">IFERROR(__xludf.DUMMYFUNCTION("""COMPUTED_VALUE"""),"مركز علاج طبيعي")</f>
        <v>مركز علاج طبيعي</v>
      </c>
      <c r="E289" s="5" t="str">
        <f ca="1">IFERROR(__xludf.DUMMYFUNCTION("""COMPUTED_VALUE"""),"علاج طبيعي")</f>
        <v>علاج طبيعي</v>
      </c>
      <c r="F289" s="5" t="str">
        <f ca="1">IFERROR(__xludf.DUMMYFUNCTION("""COMPUTED_VALUE"""),"جلسات العلاج الطبيعي")</f>
        <v>جلسات العلاج الطبيعي</v>
      </c>
      <c r="G289" s="5" t="str">
        <f ca="1">IFERROR(__xludf.DUMMYFUNCTION("""COMPUTED_VALUE"""),"مركز الزايد للعلاج الطبيعي")</f>
        <v>مركز الزايد للعلاج الطبيعي</v>
      </c>
      <c r="H289" s="5" t="str">
        <f ca="1">IFERROR(__xludf.DUMMYFUNCTION("""COMPUTED_VALUE"""),"89 شارع وادي النيل امام مستشفى وادي النيل (المخابرات)-حدائق القبة-القاهرة")</f>
        <v>89 شارع وادي النيل امام مستشفى وادي النيل (المخابرات)-حدائق القبة-القاهرة</v>
      </c>
      <c r="I289" s="6" t="str">
        <f ca="1">IFERROR(__xludf.DUMMYFUNCTION("""COMPUTED_VALUE"""),"201026140004")</f>
        <v>201026140004</v>
      </c>
      <c r="J289" s="6"/>
      <c r="K289" s="6" t="str">
        <f ca="1">IFERROR(__xludf.DUMMYFUNCTION("""COMPUTED_VALUE"""),"20% على جميع الخدمات")</f>
        <v>20% على جميع الخدمات</v>
      </c>
    </row>
    <row r="290" spans="1:11" x14ac:dyDescent="0.25">
      <c r="A290" s="4" t="str">
        <f ca="1">IFERROR(__xludf.DUMMYFUNCTION("""COMPUTED_VALUE"""),"104049")</f>
        <v>104049</v>
      </c>
      <c r="B290" s="5" t="str">
        <f ca="1">IFERROR(__xludf.DUMMYFUNCTION("""COMPUTED_VALUE"""),"القاهرة")</f>
        <v>القاهرة</v>
      </c>
      <c r="C290" s="5" t="str">
        <f ca="1">IFERROR(__xludf.DUMMYFUNCTION("""COMPUTED_VALUE"""),"حلوان")</f>
        <v>حلوان</v>
      </c>
      <c r="D290" s="5" t="str">
        <f ca="1">IFERROR(__xludf.DUMMYFUNCTION("""COMPUTED_VALUE"""),"مركز علاج طبيعي")</f>
        <v>مركز علاج طبيعي</v>
      </c>
      <c r="E290" s="5" t="str">
        <f ca="1">IFERROR(__xludf.DUMMYFUNCTION("""COMPUTED_VALUE"""),"علاج طبيعي")</f>
        <v>علاج طبيعي</v>
      </c>
      <c r="F290" s="5" t="str">
        <f ca="1">IFERROR(__xludf.DUMMYFUNCTION("""COMPUTED_VALUE"""),"جلسات العلاج الطبيعي")</f>
        <v>جلسات العلاج الطبيعي</v>
      </c>
      <c r="G290" s="5" t="str">
        <f ca="1">IFERROR(__xludf.DUMMYFUNCTION("""COMPUTED_VALUE"""),"مركز السلام للعلاج الطبيعي")</f>
        <v>مركز السلام للعلاج الطبيعي</v>
      </c>
      <c r="H290" s="5" t="str">
        <f ca="1">IFERROR(__xludf.DUMMYFUNCTION("""COMPUTED_VALUE"""),"70 شارع محمد سيد احمد تقاطع شارع رايل امام نادى النصر الرياضى (صيدناوى سابقاً)-حلوان-القاهرة")</f>
        <v>70 شارع محمد سيد احمد تقاطع شارع رايل امام نادى النصر الرياضى (صيدناوى سابقاً)-حلوان-القاهرة</v>
      </c>
      <c r="I290" s="6" t="str">
        <f ca="1">IFERROR(__xludf.DUMMYFUNCTION("""COMPUTED_VALUE"""),"201001179993")</f>
        <v>201001179993</v>
      </c>
      <c r="J290" s="6"/>
      <c r="K290" s="6" t="str">
        <f ca="1">IFERROR(__xludf.DUMMYFUNCTION("""COMPUTED_VALUE"""),"20% نسبة خصم")</f>
        <v>20% نسبة خصم</v>
      </c>
    </row>
    <row r="291" spans="1:11" x14ac:dyDescent="0.25">
      <c r="A291" s="4" t="str">
        <f ca="1">IFERROR(__xludf.DUMMYFUNCTION("""COMPUTED_VALUE"""),"3512")</f>
        <v>3512</v>
      </c>
      <c r="B291" s="5" t="str">
        <f ca="1">IFERROR(__xludf.DUMMYFUNCTION("""COMPUTED_VALUE"""),"القاهرة")</f>
        <v>القاهرة</v>
      </c>
      <c r="C291" s="5" t="str">
        <f ca="1">IFERROR(__xludf.DUMMYFUNCTION("""COMPUTED_VALUE"""),"حلوان")</f>
        <v>حلوان</v>
      </c>
      <c r="D291" s="5" t="str">
        <f ca="1">IFERROR(__xludf.DUMMYFUNCTION("""COMPUTED_VALUE"""),"مركز علاج طبيعي")</f>
        <v>مركز علاج طبيعي</v>
      </c>
      <c r="E291" s="5" t="str">
        <f ca="1">IFERROR(__xludf.DUMMYFUNCTION("""COMPUTED_VALUE"""),"علاج طبيعي")</f>
        <v>علاج طبيعي</v>
      </c>
      <c r="F291" s="5" t="str">
        <f ca="1">IFERROR(__xludf.DUMMYFUNCTION("""COMPUTED_VALUE"""),"جلسات العلاج الطبيعي")</f>
        <v>جلسات العلاج الطبيعي</v>
      </c>
      <c r="G291" s="5" t="str">
        <f ca="1">IFERROR(__xludf.DUMMYFUNCTION("""COMPUTED_VALUE"""),"مركز مكة للعلاج الطبيعي")</f>
        <v>مركز مكة للعلاج الطبيعي</v>
      </c>
      <c r="H291" s="5" t="str">
        <f ca="1">IFERROR(__xludf.DUMMYFUNCTION("""COMPUTED_VALUE"""),"16 شارع صالح صبحي مع شارع مصطفى صفوت-حلوان-القاهرة")</f>
        <v>16 شارع صالح صبحي مع شارع مصطفى صفوت-حلوان-القاهرة</v>
      </c>
      <c r="I291" s="6" t="str">
        <f ca="1">IFERROR(__xludf.DUMMYFUNCTION("""COMPUTED_VALUE"""),"20225554242")</f>
        <v>20225554242</v>
      </c>
      <c r="J291" s="6"/>
      <c r="K291" s="6" t="str">
        <f ca="1">IFERROR(__xludf.DUMMYFUNCTION("""COMPUTED_VALUE"""),"20% علي الكشف، 15% علي جلسات العلاج الطبيعي.")</f>
        <v>20% علي الكشف، 15% علي جلسات العلاج الطبيعي.</v>
      </c>
    </row>
    <row r="292" spans="1:11" x14ac:dyDescent="0.25">
      <c r="A292" s="4" t="str">
        <f ca="1">IFERROR(__xludf.DUMMYFUNCTION("""COMPUTED_VALUE"""),"3916")</f>
        <v>3916</v>
      </c>
      <c r="B292" s="5" t="str">
        <f ca="1">IFERROR(__xludf.DUMMYFUNCTION("""COMPUTED_VALUE"""),"القاهرة")</f>
        <v>القاهرة</v>
      </c>
      <c r="C292" s="5" t="str">
        <f ca="1">IFERROR(__xludf.DUMMYFUNCTION("""COMPUTED_VALUE"""),"شبرا")</f>
        <v>شبرا</v>
      </c>
      <c r="D292" s="5" t="str">
        <f ca="1">IFERROR(__xludf.DUMMYFUNCTION("""COMPUTED_VALUE"""),"مركز علاج طبيعي")</f>
        <v>مركز علاج طبيعي</v>
      </c>
      <c r="E292" s="5" t="str">
        <f ca="1">IFERROR(__xludf.DUMMYFUNCTION("""COMPUTED_VALUE"""),"علاج طبيعي")</f>
        <v>علاج طبيعي</v>
      </c>
      <c r="F292" s="5" t="str">
        <f ca="1">IFERROR(__xludf.DUMMYFUNCTION("""COMPUTED_VALUE"""),"جلسات العلاج الطبيعي")</f>
        <v>جلسات العلاج الطبيعي</v>
      </c>
      <c r="G292" s="5" t="str">
        <f ca="1">IFERROR(__xludf.DUMMYFUNCTION("""COMPUTED_VALUE"""),"د/ سرحان فهمي (المركز التخصصي للعلاج الطبيعي و انقاص الوزن)")</f>
        <v>د/ سرحان فهمي (المركز التخصصي للعلاج الطبيعي و انقاص الوزن)</v>
      </c>
      <c r="H292" s="5" t="str">
        <f ca="1">IFERROR(__xludf.DUMMYFUNCTION("""COMPUTED_VALUE"""),"53شارع شبرا - برج سعد - الدور الرابع شقة 402-شبرا-القاهرة")</f>
        <v>53شارع شبرا - برج سعد - الدور الرابع شقة 402-شبرا-القاهرة</v>
      </c>
      <c r="I292" s="6" t="str">
        <f ca="1">IFERROR(__xludf.DUMMYFUNCTION("""COMPUTED_VALUE"""),"20225769408")</f>
        <v>20225769408</v>
      </c>
      <c r="J292" s="6"/>
      <c r="K292" s="6" t="str">
        <f ca="1">IFERROR(__xludf.DUMMYFUNCTION("""COMPUTED_VALUE"""),"30% علي كل الخدمات")</f>
        <v>30% علي كل الخدمات</v>
      </c>
    </row>
    <row r="293" spans="1:11" x14ac:dyDescent="0.25">
      <c r="A293" s="4" t="str">
        <f ca="1">IFERROR(__xludf.DUMMYFUNCTION("""COMPUTED_VALUE"""),"104340")</f>
        <v>104340</v>
      </c>
      <c r="B293" s="5" t="str">
        <f ca="1">IFERROR(__xludf.DUMMYFUNCTION("""COMPUTED_VALUE"""),"القاهرة")</f>
        <v>القاهرة</v>
      </c>
      <c r="C293" s="5" t="str">
        <f ca="1">IFERROR(__xludf.DUMMYFUNCTION("""COMPUTED_VALUE"""),"شبرا")</f>
        <v>شبرا</v>
      </c>
      <c r="D293" s="5" t="str">
        <f ca="1">IFERROR(__xludf.DUMMYFUNCTION("""COMPUTED_VALUE"""),"مركز علاج طبيعي")</f>
        <v>مركز علاج طبيعي</v>
      </c>
      <c r="E293" s="5" t="str">
        <f ca="1">IFERROR(__xludf.DUMMYFUNCTION("""COMPUTED_VALUE"""),"علاج طبيعي")</f>
        <v>علاج طبيعي</v>
      </c>
      <c r="F293" s="5" t="str">
        <f ca="1">IFERROR(__xludf.DUMMYFUNCTION("""COMPUTED_VALUE"""),"جلسات العلاج الطبيعي")</f>
        <v>جلسات العلاج الطبيعي</v>
      </c>
      <c r="G293" s="5" t="str">
        <f ca="1">IFERROR(__xludf.DUMMYFUNCTION("""COMPUTED_VALUE"""),"مركز الشروق للعلاج الطبيعي")</f>
        <v>مركز الشروق للعلاج الطبيعي</v>
      </c>
      <c r="H293" s="5" t="str">
        <f ca="1">IFERROR(__xludf.DUMMYFUNCTION("""COMPUTED_VALUE"""),"5 شارع دنشواي - امام مستشفى الساحل التعليمي - شبرا - القاهرة")</f>
        <v>5 شارع دنشواي - امام مستشفى الساحل التعليمي - شبرا - القاهرة</v>
      </c>
      <c r="I293" s="6" t="str">
        <f ca="1">IFERROR(__xludf.DUMMYFUNCTION("""COMPUTED_VALUE"""),"20222007005")</f>
        <v>20222007005</v>
      </c>
      <c r="J293" s="6"/>
      <c r="K293" s="6" t="str">
        <f ca="1">IFERROR(__xludf.DUMMYFUNCTION("""COMPUTED_VALUE"""),"خصم 20% علي الأسعار النقدي المعلنه")</f>
        <v>خصم 20% علي الأسعار النقدي المعلنه</v>
      </c>
    </row>
    <row r="294" spans="1:11" x14ac:dyDescent="0.25">
      <c r="A294" s="4" t="str">
        <f ca="1">IFERROR(__xludf.DUMMYFUNCTION("""COMPUTED_VALUE"""),"104294-B")</f>
        <v>104294-B</v>
      </c>
      <c r="B294" s="5" t="str">
        <f ca="1">IFERROR(__xludf.DUMMYFUNCTION("""COMPUTED_VALUE"""),"الجيزة")</f>
        <v>الجيزة</v>
      </c>
      <c r="C294" s="5" t="str">
        <f ca="1">IFERROR(__xludf.DUMMYFUNCTION("""COMPUTED_VALUE"""),"فيصل")</f>
        <v>فيصل</v>
      </c>
      <c r="D294" s="5" t="str">
        <f ca="1">IFERROR(__xludf.DUMMYFUNCTION("""COMPUTED_VALUE"""),"مركز علاج طبيعي")</f>
        <v>مركز علاج طبيعي</v>
      </c>
      <c r="E294" s="5" t="str">
        <f ca="1">IFERROR(__xludf.DUMMYFUNCTION("""COMPUTED_VALUE"""),"علاج طبيعي")</f>
        <v>علاج طبيعي</v>
      </c>
      <c r="F294" s="5" t="str">
        <f ca="1">IFERROR(__xludf.DUMMYFUNCTION("""COMPUTED_VALUE"""),"جلسات العلاج الطبيعي")</f>
        <v>جلسات العلاج الطبيعي</v>
      </c>
      <c r="G294" s="5" t="str">
        <f ca="1">IFERROR(__xludf.DUMMYFUNCTION("""COMPUTED_VALUE"""),"مركز الهلال للعلاج الطبيعي")</f>
        <v>مركز الهلال للعلاج الطبيعي</v>
      </c>
      <c r="H294" s="5" t="str">
        <f ca="1">IFERROR(__xludf.DUMMYFUNCTION("""COMPUTED_VALUE"""),"159 شارع الملك فيصل - محطة الكوم الأخضر - اعلى معمل ألفا - فيصل")</f>
        <v>159 شارع الملك فيصل - محطة الكوم الأخضر - اعلى معمل ألفا - فيصل</v>
      </c>
      <c r="I294" s="6" t="str">
        <f ca="1">IFERROR(__xludf.DUMMYFUNCTION("""COMPUTED_VALUE"""),"201121122121")</f>
        <v>201121122121</v>
      </c>
      <c r="J294" s="6"/>
      <c r="K294" s="6" t="str">
        <f ca="1">IFERROR(__xludf.DUMMYFUNCTION("""COMPUTED_VALUE"""),"35% على الاسعار النقدي المعلنة")</f>
        <v>35% على الاسعار النقدي المعلنة</v>
      </c>
    </row>
    <row r="295" spans="1:11" x14ac:dyDescent="0.25">
      <c r="A295" s="4" t="str">
        <f ca="1">IFERROR(__xludf.DUMMYFUNCTION("""COMPUTED_VALUE"""),"1769")</f>
        <v>1769</v>
      </c>
      <c r="B295" s="5" t="str">
        <f ca="1">IFERROR(__xludf.DUMMYFUNCTION("""COMPUTED_VALUE"""),"القاهرة")</f>
        <v>القاهرة</v>
      </c>
      <c r="C295" s="5" t="str">
        <f ca="1">IFERROR(__xludf.DUMMYFUNCTION("""COMPUTED_VALUE"""),"مدينة نصر")</f>
        <v>مدينة نصر</v>
      </c>
      <c r="D295" s="5" t="str">
        <f ca="1">IFERROR(__xludf.DUMMYFUNCTION("""COMPUTED_VALUE"""),"مركز علاج طبيعي")</f>
        <v>مركز علاج طبيعي</v>
      </c>
      <c r="E295" s="5" t="str">
        <f ca="1">IFERROR(__xludf.DUMMYFUNCTION("""COMPUTED_VALUE"""),"علاج طبيعي")</f>
        <v>علاج طبيعي</v>
      </c>
      <c r="F295" s="5" t="str">
        <f ca="1">IFERROR(__xludf.DUMMYFUNCTION("""COMPUTED_VALUE"""),"جلسات العلاج الطبيعي")</f>
        <v>جلسات العلاج الطبيعي</v>
      </c>
      <c r="G295" s="5" t="str">
        <f ca="1">IFERROR(__xludf.DUMMYFUNCTION("""COMPUTED_VALUE"""),"المركز الدولي لرعاية الصحية")</f>
        <v>المركز الدولي لرعاية الصحية</v>
      </c>
      <c r="H295" s="5" t="str">
        <f ca="1">IFERROR(__xludf.DUMMYFUNCTION("""COMPUTED_VALUE"""),"جمعية الوفاء و الامل- شارع ذاكر حسين- بجوار عالم الرياضة-مدينة نصر-القاهرة")</f>
        <v>جمعية الوفاء و الامل- شارع ذاكر حسين- بجوار عالم الرياضة-مدينة نصر-القاهرة</v>
      </c>
      <c r="I295" s="6" t="str">
        <f ca="1">IFERROR(__xludf.DUMMYFUNCTION("""COMPUTED_VALUE"""),"20222750346")</f>
        <v>20222750346</v>
      </c>
      <c r="J295" s="6"/>
      <c r="K295" s="6" t="str">
        <f ca="1">IFERROR(__xludf.DUMMYFUNCTION("""COMPUTED_VALUE"""),"35% خصم على الأسعار النقدي المعلنة
")</f>
        <v xml:space="preserve">35% خصم على الأسعار النقدي المعلنة
</v>
      </c>
    </row>
    <row r="296" spans="1:11" x14ac:dyDescent="0.25">
      <c r="A296" s="4" t="str">
        <f ca="1">IFERROR(__xludf.DUMMYFUNCTION("""COMPUTED_VALUE"""),"103649")</f>
        <v>103649</v>
      </c>
      <c r="B296" s="5" t="str">
        <f ca="1">IFERROR(__xludf.DUMMYFUNCTION("""COMPUTED_VALUE"""),"القاهرة")</f>
        <v>القاهرة</v>
      </c>
      <c r="C296" s="5" t="str">
        <f ca="1">IFERROR(__xludf.DUMMYFUNCTION("""COMPUTED_VALUE"""),"مصر الجديدة")</f>
        <v>مصر الجديدة</v>
      </c>
      <c r="D296" s="5" t="str">
        <f ca="1">IFERROR(__xludf.DUMMYFUNCTION("""COMPUTED_VALUE"""),"مركز علاج طبيعي")</f>
        <v>مركز علاج طبيعي</v>
      </c>
      <c r="E296" s="5" t="str">
        <f ca="1">IFERROR(__xludf.DUMMYFUNCTION("""COMPUTED_VALUE"""),"علاج طبيعي")</f>
        <v>علاج طبيعي</v>
      </c>
      <c r="F296" s="5" t="str">
        <f ca="1">IFERROR(__xludf.DUMMYFUNCTION("""COMPUTED_VALUE"""),"جلسات العلاج الطبيعي")</f>
        <v>جلسات العلاج الطبيعي</v>
      </c>
      <c r="G296" s="5" t="str">
        <f ca="1">IFERROR(__xludf.DUMMYFUNCTION("""COMPUTED_VALUE"""),"مركز د/ ايناس راجح للعلاج الطبيعي")</f>
        <v>مركز د/ ايناس راجح للعلاج الطبيعي</v>
      </c>
      <c r="H296" s="5" t="str">
        <f ca="1">IFERROR(__xludf.DUMMYFUNCTION("""COMPUTED_VALUE"""),"12شارع قاسم فرحات من شارع  المؤرخ محمد رفعت - النزهة الجديدة-مصر الجديدة-القاهرة")</f>
        <v>12شارع قاسم فرحات من شارع  المؤرخ محمد رفعت - النزهة الجديدة-مصر الجديدة-القاهرة</v>
      </c>
      <c r="I296" s="6" t="str">
        <f ca="1">IFERROR(__xludf.DUMMYFUNCTION("""COMPUTED_VALUE"""),"01069911426")</f>
        <v>01069911426</v>
      </c>
      <c r="J296" s="6"/>
      <c r="K296" s="6" t="str">
        <f ca="1">IFERROR(__xludf.DUMMYFUNCTION("""COMPUTED_VALUE"""),"25% نسبة خصم")</f>
        <v>25% نسبة خصم</v>
      </c>
    </row>
    <row r="297" spans="1:11" x14ac:dyDescent="0.25">
      <c r="A297" s="4" t="str">
        <f ca="1">IFERROR(__xludf.DUMMYFUNCTION("""COMPUTED_VALUE"""),"103462-B")</f>
        <v>103462-B</v>
      </c>
      <c r="B297" s="5" t="str">
        <f ca="1">IFERROR(__xludf.DUMMYFUNCTION("""COMPUTED_VALUE"""),"القاهرة")</f>
        <v>القاهرة</v>
      </c>
      <c r="C297" s="5" t="str">
        <f ca="1">IFERROR(__xludf.DUMMYFUNCTION("""COMPUTED_VALUE"""),"مصر الجديدة")</f>
        <v>مصر الجديدة</v>
      </c>
      <c r="D297" s="5" t="str">
        <f ca="1">IFERROR(__xludf.DUMMYFUNCTION("""COMPUTED_VALUE"""),"مركز علاج طبيعي")</f>
        <v>مركز علاج طبيعي</v>
      </c>
      <c r="E297" s="5" t="str">
        <f ca="1">IFERROR(__xludf.DUMMYFUNCTION("""COMPUTED_VALUE"""),"علاج طبيعي")</f>
        <v>علاج طبيعي</v>
      </c>
      <c r="F297" s="5" t="str">
        <f ca="1">IFERROR(__xludf.DUMMYFUNCTION("""COMPUTED_VALUE"""),"جلسات العلاج الطبيعي")</f>
        <v>جلسات العلاج الطبيعي</v>
      </c>
      <c r="G297" s="5" t="str">
        <f ca="1">IFERROR(__xludf.DUMMYFUNCTION("""COMPUTED_VALUE"""),"مركز الفيروز لجراحة الاسنان والعلاج الطبيعي")</f>
        <v>مركز الفيروز لجراحة الاسنان والعلاج الطبيعي</v>
      </c>
      <c r="H297" s="5" t="str">
        <f ca="1">IFERROR(__xludf.DUMMYFUNCTION("""COMPUTED_VALUE"""),"شارع المؤرخ محمد رفعت امام شبراوى اعلى فودافون-النزهة الجديدة")</f>
        <v>شارع المؤرخ محمد رفعت امام شبراوى اعلى فودافون-النزهة الجديدة</v>
      </c>
      <c r="I297" s="6" t="str">
        <f ca="1">IFERROR(__xludf.DUMMYFUNCTION("""COMPUTED_VALUE"""),"20226209765")</f>
        <v>20226209765</v>
      </c>
      <c r="J297" s="6"/>
      <c r="K297" s="6" t="str">
        <f ca="1">IFERROR(__xludf.DUMMYFUNCTION("""COMPUTED_VALUE"""),"الكشف 40 ,عضو واحد 70, اكثر من عضو 90, الاسنان نقابه 2018")</f>
        <v>الكشف 40 ,عضو واحد 70, اكثر من عضو 90, الاسنان نقابه 2018</v>
      </c>
    </row>
    <row r="298" spans="1:11" x14ac:dyDescent="0.25">
      <c r="A298" s="4" t="str">
        <f ca="1">IFERROR(__xludf.DUMMYFUNCTION("""COMPUTED_VALUE"""),"1877-B")</f>
        <v>1877-B</v>
      </c>
      <c r="B298" s="5" t="str">
        <f ca="1">IFERROR(__xludf.DUMMYFUNCTION("""COMPUTED_VALUE"""),"القاهرة")</f>
        <v>القاهرة</v>
      </c>
      <c r="C298" s="5" t="str">
        <f ca="1">IFERROR(__xludf.DUMMYFUNCTION("""COMPUTED_VALUE"""),"وسط البلد")</f>
        <v>وسط البلد</v>
      </c>
      <c r="D298" s="5" t="str">
        <f ca="1">IFERROR(__xludf.DUMMYFUNCTION("""COMPUTED_VALUE"""),"مركز علاج طبيعي")</f>
        <v>مركز علاج طبيعي</v>
      </c>
      <c r="E298" s="5" t="str">
        <f ca="1">IFERROR(__xludf.DUMMYFUNCTION("""COMPUTED_VALUE"""),"علاج طبيعي")</f>
        <v>علاج طبيعي</v>
      </c>
      <c r="F298" s="5" t="str">
        <f ca="1">IFERROR(__xludf.DUMMYFUNCTION("""COMPUTED_VALUE"""),"جلسات العلاج الطبيعي")</f>
        <v>جلسات العلاج الطبيعي</v>
      </c>
      <c r="G298" s="5" t="str">
        <f ca="1">IFERROR(__xludf.DUMMYFUNCTION("""COMPUTED_VALUE"""),"المركز الطبي للعلاج الطبيعي (د. على حسن توفيق )")</f>
        <v>المركز الطبي للعلاج الطبيعي (د. على حسن توفيق )</v>
      </c>
      <c r="H298" s="5" t="str">
        <f ca="1">IFERROR(__xludf.DUMMYFUNCTION("""COMPUTED_VALUE"""),"3 عمارة الشرطة شارع  رشدي-باب اللوقً-وسط البلد-القاهرة")</f>
        <v>3 عمارة الشرطة شارع  رشدي-باب اللوقً-وسط البلد-القاهرة</v>
      </c>
      <c r="I298" s="6" t="str">
        <f ca="1">IFERROR(__xludf.DUMMYFUNCTION("""COMPUTED_VALUE"""),"20223939440")</f>
        <v>20223939440</v>
      </c>
      <c r="J298" s="6"/>
      <c r="K298" s="6" t="str">
        <f ca="1">IFERROR(__xludf.DUMMYFUNCTION("""COMPUTED_VALUE"""),"خصم 30% علي الاسعار النقدي ")</f>
        <v xml:space="preserve">خصم 30% علي الاسعار النقدي </v>
      </c>
    </row>
    <row r="299" spans="1:11" x14ac:dyDescent="0.25">
      <c r="A299" s="4" t="str">
        <f ca="1">IFERROR(__xludf.DUMMYFUNCTION("""COMPUTED_VALUE"""),"2982-B")</f>
        <v>2982-B</v>
      </c>
      <c r="B299" s="5" t="str">
        <f ca="1">IFERROR(__xludf.DUMMYFUNCTION("""COMPUTED_VALUE"""),"القاهرة")</f>
        <v>القاهرة</v>
      </c>
      <c r="C299" s="5" t="str">
        <f ca="1">IFERROR(__xludf.DUMMYFUNCTION("""COMPUTED_VALUE"""),"وسط البلد")</f>
        <v>وسط البلد</v>
      </c>
      <c r="D299" s="5" t="str">
        <f ca="1">IFERROR(__xludf.DUMMYFUNCTION("""COMPUTED_VALUE"""),"مركز علاج طبيعي")</f>
        <v>مركز علاج طبيعي</v>
      </c>
      <c r="E299" s="5" t="str">
        <f ca="1">IFERROR(__xludf.DUMMYFUNCTION("""COMPUTED_VALUE"""),"علاج طبيعي")</f>
        <v>علاج طبيعي</v>
      </c>
      <c r="F299" s="5" t="str">
        <f ca="1">IFERROR(__xludf.DUMMYFUNCTION("""COMPUTED_VALUE"""),"جلسات العلاج الطبيعي")</f>
        <v>جلسات العلاج الطبيعي</v>
      </c>
      <c r="G299" s="5" t="str">
        <f ca="1">IFERROR(__xludf.DUMMYFUNCTION("""COMPUTED_VALUE"""),"د/ اسماعيل ابراهيم الخشاب")</f>
        <v>د/ اسماعيل ابراهيم الخشاب</v>
      </c>
      <c r="H299" s="5" t="str">
        <f ca="1">IFERROR(__xludf.DUMMYFUNCTION("""COMPUTED_VALUE"""),"5شارع الجمهورية تقاطع شارع حسن الأكبر - عابدين-وسط البلد-القاهرة")</f>
        <v>5شارع الجمهورية تقاطع شارع حسن الأكبر - عابدين-وسط البلد-القاهرة</v>
      </c>
      <c r="I299" s="6" t="str">
        <f ca="1">IFERROR(__xludf.DUMMYFUNCTION("""COMPUTED_VALUE"""),"20223909509")</f>
        <v>20223909509</v>
      </c>
      <c r="J299" s="6"/>
      <c r="K299" s="6" t="str">
        <f ca="1">IFERROR(__xludf.DUMMYFUNCTION("""COMPUTED_VALUE"""),"25% نسبة خصم")</f>
        <v>25% نسبة خصم</v>
      </c>
    </row>
    <row r="300" spans="1:11" x14ac:dyDescent="0.25">
      <c r="A300" s="4" t="str">
        <f ca="1">IFERROR(__xludf.DUMMYFUNCTION("""COMPUTED_VALUE"""),"1876")</f>
        <v>1876</v>
      </c>
      <c r="B300" s="5" t="str">
        <f ca="1">IFERROR(__xludf.DUMMYFUNCTION("""COMPUTED_VALUE"""),"القاهرة")</f>
        <v>القاهرة</v>
      </c>
      <c r="C300" s="5" t="str">
        <f ca="1">IFERROR(__xludf.DUMMYFUNCTION("""COMPUTED_VALUE"""),"وسط البلد")</f>
        <v>وسط البلد</v>
      </c>
      <c r="D300" s="5" t="str">
        <f ca="1">IFERROR(__xludf.DUMMYFUNCTION("""COMPUTED_VALUE"""),"مركز علاج طبيعي")</f>
        <v>مركز علاج طبيعي</v>
      </c>
      <c r="E300" s="5" t="str">
        <f ca="1">IFERROR(__xludf.DUMMYFUNCTION("""COMPUTED_VALUE"""),"علاج طبيعي")</f>
        <v>علاج طبيعي</v>
      </c>
      <c r="F300" s="5" t="str">
        <f ca="1">IFERROR(__xludf.DUMMYFUNCTION("""COMPUTED_VALUE"""),"جلسات العلاج الطبيعي")</f>
        <v>جلسات العلاج الطبيعي</v>
      </c>
      <c r="G300" s="5" t="str">
        <f ca="1">IFERROR(__xludf.DUMMYFUNCTION("""COMPUTED_VALUE"""),"مركز الزايد للعلاج الطبيعي")</f>
        <v>مركز الزايد للعلاج الطبيعي</v>
      </c>
      <c r="H300" s="5" t="str">
        <f ca="1">IFERROR(__xludf.DUMMYFUNCTION("""COMPUTED_VALUE"""),"6 شارع  عدلي- ميدان الأوبرا-وسط البلد-القاهرة")</f>
        <v>6 شارع  عدلي- ميدان الأوبرا-وسط البلد-القاهرة</v>
      </c>
      <c r="I300" s="6" t="str">
        <f ca="1">IFERROR(__xludf.DUMMYFUNCTION("""COMPUTED_VALUE"""),"201026150005")</f>
        <v>201026150005</v>
      </c>
      <c r="J300" s="6"/>
      <c r="K300" s="6" t="str">
        <f ca="1">IFERROR(__xludf.DUMMYFUNCTION("""COMPUTED_VALUE"""),"20% على جميع الخدمات")</f>
        <v>20% على جميع الخدمات</v>
      </c>
    </row>
    <row r="301" spans="1:11" x14ac:dyDescent="0.25">
      <c r="A301" s="4" t="str">
        <f ca="1">IFERROR(__xludf.DUMMYFUNCTION("""COMPUTED_VALUE"""),"3666")</f>
        <v>3666</v>
      </c>
      <c r="B301" s="5" t="str">
        <f ca="1">IFERROR(__xludf.DUMMYFUNCTION("""COMPUTED_VALUE"""),"القليوبية")</f>
        <v>القليوبية</v>
      </c>
      <c r="C301" s="5" t="str">
        <f ca="1">IFERROR(__xludf.DUMMYFUNCTION("""COMPUTED_VALUE"""),"القناطر الخيرية")</f>
        <v>القناطر الخيرية</v>
      </c>
      <c r="D301" s="5" t="str">
        <f ca="1">IFERROR(__xludf.DUMMYFUNCTION("""COMPUTED_VALUE"""),"مركز علاج طبيعي")</f>
        <v>مركز علاج طبيعي</v>
      </c>
      <c r="E301" s="5" t="str">
        <f ca="1">IFERROR(__xludf.DUMMYFUNCTION("""COMPUTED_VALUE"""),"علاج طبيعي")</f>
        <v>علاج طبيعي</v>
      </c>
      <c r="F301" s="5" t="str">
        <f ca="1">IFERROR(__xludf.DUMMYFUNCTION("""COMPUTED_VALUE"""),"جلسات العلاج الطبيعي")</f>
        <v>جلسات العلاج الطبيعي</v>
      </c>
      <c r="G301" s="5" t="str">
        <f ca="1">IFERROR(__xludf.DUMMYFUNCTION("""COMPUTED_VALUE"""),"د/ ايهاب عبد الرؤف")</f>
        <v>د/ ايهاب عبد الرؤف</v>
      </c>
      <c r="H301" s="5" t="str">
        <f ca="1">IFERROR(__xludf.DUMMYFUNCTION("""COMPUTED_VALUE"""),"17شارع امير الشعراء من شارع 14-القناطر الخيرية-القليوبية")</f>
        <v>17شارع امير الشعراء من شارع 14-القناطر الخيرية-القليوبية</v>
      </c>
      <c r="I301" s="6" t="str">
        <f ca="1">IFERROR(__xludf.DUMMYFUNCTION("""COMPUTED_VALUE"""),"201001549146")</f>
        <v>201001549146</v>
      </c>
      <c r="J301" s="6"/>
      <c r="K301" s="6" t="str">
        <f ca="1">IFERROR(__xludf.DUMMYFUNCTION("""COMPUTED_VALUE"""),"20% على جميع الخدمات ")</f>
        <v xml:space="preserve">20% على جميع الخدمات </v>
      </c>
    </row>
    <row r="302" spans="1:11" x14ac:dyDescent="0.25">
      <c r="A302" s="4" t="str">
        <f ca="1">IFERROR(__xludf.DUMMYFUNCTION("""COMPUTED_VALUE"""),"104151-B")</f>
        <v>104151-B</v>
      </c>
      <c r="B302" s="5" t="str">
        <f ca="1">IFERROR(__xludf.DUMMYFUNCTION("""COMPUTED_VALUE"""),"القليوبية")</f>
        <v>القليوبية</v>
      </c>
      <c r="C302" s="5" t="str">
        <f ca="1">IFERROR(__xludf.DUMMYFUNCTION("""COMPUTED_VALUE"""),"شبرا الخيمة")</f>
        <v>شبرا الخيمة</v>
      </c>
      <c r="D302" s="5" t="str">
        <f ca="1">IFERROR(__xludf.DUMMYFUNCTION("""COMPUTED_VALUE"""),"مركز علاج طبيعي")</f>
        <v>مركز علاج طبيعي</v>
      </c>
      <c r="E302" s="5" t="str">
        <f ca="1">IFERROR(__xludf.DUMMYFUNCTION("""COMPUTED_VALUE"""),"علاج طبيعي")</f>
        <v>علاج طبيعي</v>
      </c>
      <c r="F302" s="5" t="str">
        <f ca="1">IFERROR(__xludf.DUMMYFUNCTION("""COMPUTED_VALUE"""),"جلسات العلاج الطبيعي")</f>
        <v>جلسات العلاج الطبيعي</v>
      </c>
      <c r="G302" s="5" t="str">
        <f ca="1">IFERROR(__xludf.DUMMYFUNCTION("""COMPUTED_VALUE"""),"مركز البرج للعلاج الطبيعي")</f>
        <v>مركز البرج للعلاج الطبيعي</v>
      </c>
      <c r="H302" s="5" t="str">
        <f ca="1">IFERROR(__xludf.DUMMYFUNCTION("""COMPUTED_VALUE"""),"1شارع أحمد عرابي - برج الأطباء - آخر كوبري عرابي -شبرا الخيمة -القليوبية")</f>
        <v>1شارع أحمد عرابي - برج الأطباء - آخر كوبري عرابي -شبرا الخيمة -القليوبية</v>
      </c>
      <c r="I302" s="6" t="str">
        <f ca="1">IFERROR(__xludf.DUMMYFUNCTION("""COMPUTED_VALUE"""),"01112777815")</f>
        <v>01112777815</v>
      </c>
      <c r="J302" s="6" t="str">
        <f ca="1">IFERROR(__xludf.DUMMYFUNCTION("""COMPUTED_VALUE"""),"01222217916")</f>
        <v>01222217916</v>
      </c>
      <c r="K302" s="6" t="str">
        <f ca="1">IFERROR(__xludf.DUMMYFUNCTION("""COMPUTED_VALUE"""),"نسبة الخصم 30%")</f>
        <v>نسبة الخصم 30%</v>
      </c>
    </row>
    <row r="303" spans="1:11" x14ac:dyDescent="0.25">
      <c r="A303" s="4" t="str">
        <f ca="1">IFERROR(__xludf.DUMMYFUNCTION("""COMPUTED_VALUE"""),"103355")</f>
        <v>103355</v>
      </c>
      <c r="B303" s="5" t="str">
        <f ca="1">IFERROR(__xludf.DUMMYFUNCTION("""COMPUTED_VALUE"""),"القليوبية")</f>
        <v>القليوبية</v>
      </c>
      <c r="C303" s="5" t="str">
        <f ca="1">IFERROR(__xludf.DUMMYFUNCTION("""COMPUTED_VALUE"""),"شبين القناطر")</f>
        <v>شبين القناطر</v>
      </c>
      <c r="D303" s="5" t="str">
        <f ca="1">IFERROR(__xludf.DUMMYFUNCTION("""COMPUTED_VALUE"""),"مركز علاج طبيعي")</f>
        <v>مركز علاج طبيعي</v>
      </c>
      <c r="E303" s="5" t="str">
        <f ca="1">IFERROR(__xludf.DUMMYFUNCTION("""COMPUTED_VALUE"""),"علاج طبيعي")</f>
        <v>علاج طبيعي</v>
      </c>
      <c r="F303" s="5" t="str">
        <f ca="1">IFERROR(__xludf.DUMMYFUNCTION("""COMPUTED_VALUE"""),"جلسات العلاج الطبيعي")</f>
        <v>جلسات العلاج الطبيعي</v>
      </c>
      <c r="G303" s="5" t="str">
        <f ca="1">IFERROR(__xludf.DUMMYFUNCTION("""COMPUTED_VALUE"""),"مركز د/ محمود محمد محمود مصطفى للعلاج الطبيعي")</f>
        <v>مركز د/ محمود محمد محمود مصطفى للعلاج الطبيعي</v>
      </c>
      <c r="H303" s="5" t="str">
        <f ca="1">IFERROR(__xludf.DUMMYFUNCTION("""COMPUTED_VALUE"""),"شبين القاطر متفرع من شارع بورسعيد - امام سوبر ماركت ابو روقية-شبين القناطر -القليوبية")</f>
        <v>شبين القاطر متفرع من شارع بورسعيد - امام سوبر ماركت ابو روقية-شبين القناطر -القليوبية</v>
      </c>
      <c r="I303" s="6" t="str">
        <f ca="1">IFERROR(__xludf.DUMMYFUNCTION("""COMPUTED_VALUE"""),"20132722958")</f>
        <v>20132722958</v>
      </c>
      <c r="J303" s="6"/>
      <c r="K303" s="6" t="str">
        <f ca="1">IFERROR(__xludf.DUMMYFUNCTION("""COMPUTED_VALUE"""),"20% علي الأسعار النقدي المعلنة")</f>
        <v>20% علي الأسعار النقدي المعلنة</v>
      </c>
    </row>
    <row r="304" spans="1:11" x14ac:dyDescent="0.25">
      <c r="A304" s="4" t="str">
        <f ca="1">IFERROR(__xludf.DUMMYFUNCTION("""COMPUTED_VALUE"""),"2168")</f>
        <v>2168</v>
      </c>
      <c r="B304" s="5" t="str">
        <f ca="1">IFERROR(__xludf.DUMMYFUNCTION("""COMPUTED_VALUE"""),"القليوبية")</f>
        <v>القليوبية</v>
      </c>
      <c r="C304" s="5" t="str">
        <f ca="1">IFERROR(__xludf.DUMMYFUNCTION("""COMPUTED_VALUE"""),"قليوب")</f>
        <v>قليوب</v>
      </c>
      <c r="D304" s="5" t="str">
        <f ca="1">IFERROR(__xludf.DUMMYFUNCTION("""COMPUTED_VALUE"""),"مركز علاج طبيعي")</f>
        <v>مركز علاج طبيعي</v>
      </c>
      <c r="E304" s="5" t="str">
        <f ca="1">IFERROR(__xludf.DUMMYFUNCTION("""COMPUTED_VALUE"""),"علاج طبيعي")</f>
        <v>علاج طبيعي</v>
      </c>
      <c r="F304" s="5" t="str">
        <f ca="1">IFERROR(__xludf.DUMMYFUNCTION("""COMPUTED_VALUE"""),"جلسات العلاج الطبيعي")</f>
        <v>جلسات العلاج الطبيعي</v>
      </c>
      <c r="G304" s="5" t="str">
        <f ca="1">IFERROR(__xludf.DUMMYFUNCTION("""COMPUTED_VALUE"""),"مركز العلاج الطبيعي الحديث")</f>
        <v>مركز العلاج الطبيعي الحديث</v>
      </c>
      <c r="H304" s="5" t="str">
        <f ca="1">IFERROR(__xludf.DUMMYFUNCTION("""COMPUTED_VALUE"""),"شارع الساحة الشعبية - امام مدرسة التجارة - قليوب البلد-قليوب-القليوبية")</f>
        <v>شارع الساحة الشعبية - امام مدرسة التجارة - قليوب البلد-قليوب-القليوبية</v>
      </c>
      <c r="I304" s="6" t="str">
        <f ca="1">IFERROR(__xludf.DUMMYFUNCTION("""COMPUTED_VALUE"""),"20242104777")</f>
        <v>20242104777</v>
      </c>
      <c r="J304" s="6"/>
      <c r="K304" s="6" t="str">
        <f ca="1">IFERROR(__xludf.DUMMYFUNCTION("""COMPUTED_VALUE"""),"نسبة خصم 30 % علي الاسعار النقدي")</f>
        <v>نسبة خصم 30 % علي الاسعار النقدي</v>
      </c>
    </row>
    <row r="305" spans="1:11" x14ac:dyDescent="0.25">
      <c r="A305" s="4" t="str">
        <f ca="1">IFERROR(__xludf.DUMMYFUNCTION("""COMPUTED_VALUE"""),"3739")</f>
        <v>3739</v>
      </c>
      <c r="B305" s="5" t="str">
        <f ca="1">IFERROR(__xludf.DUMMYFUNCTION("""COMPUTED_VALUE"""),"المنوفية")</f>
        <v>المنوفية</v>
      </c>
      <c r="C305" s="5" t="str">
        <f ca="1">IFERROR(__xludf.DUMMYFUNCTION("""COMPUTED_VALUE"""),"منوف")</f>
        <v>منوف</v>
      </c>
      <c r="D305" s="5" t="str">
        <f ca="1">IFERROR(__xludf.DUMMYFUNCTION("""COMPUTED_VALUE"""),"مركز علاج طبيعي")</f>
        <v>مركز علاج طبيعي</v>
      </c>
      <c r="E305" s="5" t="str">
        <f ca="1">IFERROR(__xludf.DUMMYFUNCTION("""COMPUTED_VALUE"""),"علاج طبيعي")</f>
        <v>علاج طبيعي</v>
      </c>
      <c r="F305" s="5" t="str">
        <f ca="1">IFERROR(__xludf.DUMMYFUNCTION("""COMPUTED_VALUE"""),"جلسات العلاج الطبيعي")</f>
        <v>جلسات العلاج الطبيعي</v>
      </c>
      <c r="G305" s="5" t="str">
        <f ca="1">IFERROR(__xludf.DUMMYFUNCTION("""COMPUTED_VALUE"""),"مركز خضريجي للعلاج الطبيعي")</f>
        <v>مركز خضريجي للعلاج الطبيعي</v>
      </c>
      <c r="H305" s="5" t="str">
        <f ca="1">IFERROR(__xludf.DUMMYFUNCTION("""COMPUTED_VALUE"""),"طريق المستشفي الاميري - امام الاداره الزراعيه-منوف -المنوفية")</f>
        <v>طريق المستشفي الاميري - امام الاداره الزراعيه-منوف -المنوفية</v>
      </c>
      <c r="I305" s="6" t="str">
        <f ca="1">IFERROR(__xludf.DUMMYFUNCTION("""COMPUTED_VALUE"""),"20483675333")</f>
        <v>20483675333</v>
      </c>
      <c r="J305" s="6"/>
      <c r="K305" s="6" t="str">
        <f ca="1">IFERROR(__xludf.DUMMYFUNCTION("""COMPUTED_VALUE"""),"المؤسسه العلاجيه 2007")</f>
        <v>المؤسسه العلاجيه 2007</v>
      </c>
    </row>
    <row r="306" spans="1:11" x14ac:dyDescent="0.25">
      <c r="A306" s="4" t="str">
        <f ca="1">IFERROR(__xludf.DUMMYFUNCTION("""COMPUTED_VALUE"""),"103462-B")</f>
        <v>103462-B</v>
      </c>
      <c r="B306" s="5" t="str">
        <f ca="1">IFERROR(__xludf.DUMMYFUNCTION("""COMPUTED_VALUE"""),"بورسعيد")</f>
        <v>بورسعيد</v>
      </c>
      <c r="C306" s="5" t="str">
        <f ca="1">IFERROR(__xludf.DUMMYFUNCTION("""COMPUTED_VALUE"""),"بورسعيد")</f>
        <v>بورسعيد</v>
      </c>
      <c r="D306" s="5" t="str">
        <f ca="1">IFERROR(__xludf.DUMMYFUNCTION("""COMPUTED_VALUE"""),"مركز علاج طبيعي")</f>
        <v>مركز علاج طبيعي</v>
      </c>
      <c r="E306" s="5" t="str">
        <f ca="1">IFERROR(__xludf.DUMMYFUNCTION("""COMPUTED_VALUE"""),"علاج طبيعي")</f>
        <v>علاج طبيعي</v>
      </c>
      <c r="F306" s="5" t="str">
        <f ca="1">IFERROR(__xludf.DUMMYFUNCTION("""COMPUTED_VALUE"""),"جلسات العلاج الطبيعي")</f>
        <v>جلسات العلاج الطبيعي</v>
      </c>
      <c r="G306" s="5" t="str">
        <f ca="1">IFERROR(__xludf.DUMMYFUNCTION("""COMPUTED_VALUE"""),"مركز الفيروز لجراحة الاسنان والعلاج الطبيعي")</f>
        <v>مركز الفيروز لجراحة الاسنان والعلاج الطبيعي</v>
      </c>
      <c r="H306" s="5" t="str">
        <f ca="1">IFERROR(__xludf.DUMMYFUNCTION("""COMPUTED_VALUE"""),"شارع 23يوليو وصلاح سالم - برج لهيطة أمام مسجد لطفى شبارة - بورسعيد")</f>
        <v>شارع 23يوليو وصلاح سالم - برج لهيطة أمام مسجد لطفى شبارة - بورسعيد</v>
      </c>
      <c r="I306" s="6" t="str">
        <f ca="1">IFERROR(__xludf.DUMMYFUNCTION("""COMPUTED_VALUE"""),"201114101094")</f>
        <v>201114101094</v>
      </c>
      <c r="J306" s="6"/>
      <c r="K306" s="6" t="str">
        <f ca="1">IFERROR(__xludf.DUMMYFUNCTION("""COMPUTED_VALUE"""),"الكشف 40 ,عضو واحد 70, اكثر من عضو 90, الاسنان نقابه 2018")</f>
        <v>الكشف 40 ,عضو واحد 70, اكثر من عضو 90, الاسنان نقابه 2018</v>
      </c>
    </row>
    <row r="307" spans="1:11" x14ac:dyDescent="0.25">
      <c r="A307" s="4" t="str">
        <f ca="1">IFERROR(__xludf.DUMMYFUNCTION("""COMPUTED_VALUE"""),"1876-B")</f>
        <v>1876-B</v>
      </c>
      <c r="B307" s="5" t="str">
        <f ca="1">IFERROR(__xludf.DUMMYFUNCTION("""COMPUTED_VALUE"""),"القاهرة")</f>
        <v>القاهرة</v>
      </c>
      <c r="C307" s="5" t="str">
        <f ca="1">IFERROR(__xludf.DUMMYFUNCTION("""COMPUTED_VALUE"""),"المعادى")</f>
        <v>المعادى</v>
      </c>
      <c r="D307" s="5" t="str">
        <f ca="1">IFERROR(__xludf.DUMMYFUNCTION("""COMPUTED_VALUE"""),"مركز علاج طبيعي")</f>
        <v>مركز علاج طبيعي</v>
      </c>
      <c r="E307" s="5" t="str">
        <f ca="1">IFERROR(__xludf.DUMMYFUNCTION("""COMPUTED_VALUE"""),"علاج طبيعي")</f>
        <v>علاج طبيعي</v>
      </c>
      <c r="F307" s="5" t="str">
        <f ca="1">IFERROR(__xludf.DUMMYFUNCTION("""COMPUTED_VALUE"""),"جلسات العلاج الطبيعي")</f>
        <v>جلسات العلاج الطبيعي</v>
      </c>
      <c r="G307" s="5" t="str">
        <f ca="1">IFERROR(__xludf.DUMMYFUNCTION("""COMPUTED_VALUE"""),"مركز الزايد للعلاج الطبيعي")</f>
        <v>مركز الزايد للعلاج الطبيعي</v>
      </c>
      <c r="H307" s="5" t="str">
        <f ca="1">IFERROR(__xludf.DUMMYFUNCTION("""COMPUTED_VALUE"""),"100ش 9 عمارة البنك الأهلى  بجوار محطة مترو المعادي - المعادي")</f>
        <v>100ش 9 عمارة البنك الأهلى  بجوار محطة مترو المعادي - المعادي</v>
      </c>
      <c r="I307" s="6" t="str">
        <f ca="1">IFERROR(__xludf.DUMMYFUNCTION("""COMPUTED_VALUE"""),"201010559795")</f>
        <v>201010559795</v>
      </c>
      <c r="J307" s="6"/>
      <c r="K307" s="6" t="str">
        <f ca="1">IFERROR(__xludf.DUMMYFUNCTION("""COMPUTED_VALUE"""),"20% على جميع الخدمات")</f>
        <v>20% على جميع الخدمات</v>
      </c>
    </row>
    <row r="308" spans="1:11" x14ac:dyDescent="0.25">
      <c r="A308" s="4" t="str">
        <f ca="1">IFERROR(__xludf.DUMMYFUNCTION("""COMPUTED_VALUE"""),"104850")</f>
        <v>104850</v>
      </c>
      <c r="B308" s="5" t="str">
        <f ca="1">IFERROR(__xludf.DUMMYFUNCTION("""COMPUTED_VALUE"""),"القليوبية")</f>
        <v>القليوبية</v>
      </c>
      <c r="C308" s="5" t="str">
        <f ca="1">IFERROR(__xludf.DUMMYFUNCTION("""COMPUTED_VALUE"""),"الخانكة")</f>
        <v>الخانكة</v>
      </c>
      <c r="D308" s="5" t="str">
        <f ca="1">IFERROR(__xludf.DUMMYFUNCTION("""COMPUTED_VALUE"""),"مركز علاج طبيعي")</f>
        <v>مركز علاج طبيعي</v>
      </c>
      <c r="E308" s="5" t="str">
        <f ca="1">IFERROR(__xludf.DUMMYFUNCTION("""COMPUTED_VALUE"""),"علاج طبيعي")</f>
        <v>علاج طبيعي</v>
      </c>
      <c r="F308" s="5" t="str">
        <f ca="1">IFERROR(__xludf.DUMMYFUNCTION("""COMPUTED_VALUE"""),"علاج طبيعي و تأهيل المسنين")</f>
        <v>علاج طبيعي و تأهيل المسنين</v>
      </c>
      <c r="G308" s="5" t="str">
        <f ca="1">IFERROR(__xludf.DUMMYFUNCTION("""COMPUTED_VALUE"""),"د/عمر سيد القاضى")</f>
        <v>د/عمر سيد القاضى</v>
      </c>
      <c r="H308" s="5" t="str">
        <f ca="1">IFERROR(__xludf.DUMMYFUNCTION("""COMPUTED_VALUE"""),"امام مستشفى المركزى -بجوار المرور -الخانكة -القليوبية")</f>
        <v>امام مستشفى المركزى -بجوار المرور -الخانكة -القليوبية</v>
      </c>
      <c r="I308" s="6" t="str">
        <f ca="1">IFERROR(__xludf.DUMMYFUNCTION("""COMPUTED_VALUE"""),"201065805816")</f>
        <v>201065805816</v>
      </c>
      <c r="J308" s="6"/>
      <c r="K308" s="6" t="str">
        <f ca="1">IFERROR(__xludf.DUMMYFUNCTION("""COMPUTED_VALUE"""),"عضو : 50 , عضوين او اكثر : 70")</f>
        <v>عضو : 50 , عضوين او اكثر : 70</v>
      </c>
    </row>
    <row r="309" spans="1:11" x14ac:dyDescent="0.25">
      <c r="A309" s="4" t="str">
        <f ca="1">IFERROR(__xludf.DUMMYFUNCTION("""COMPUTED_VALUE"""),"104856")</f>
        <v>104856</v>
      </c>
      <c r="B309" s="5" t="str">
        <f ca="1">IFERROR(__xludf.DUMMYFUNCTION("""COMPUTED_VALUE"""),"دمياط")</f>
        <v>دمياط</v>
      </c>
      <c r="C309" s="5" t="str">
        <f ca="1">IFERROR(__xludf.DUMMYFUNCTION("""COMPUTED_VALUE"""),"دمياط")</f>
        <v>دمياط</v>
      </c>
      <c r="D309" s="5" t="str">
        <f ca="1">IFERROR(__xludf.DUMMYFUNCTION("""COMPUTED_VALUE"""),"مركز علاج طبيعي")</f>
        <v>مركز علاج طبيعي</v>
      </c>
      <c r="E309" s="5" t="str">
        <f ca="1">IFERROR(__xludf.DUMMYFUNCTION("""COMPUTED_VALUE"""),"علاج طبيعي")</f>
        <v>علاج طبيعي</v>
      </c>
      <c r="F309" s="5" t="str">
        <f ca="1">IFERROR(__xludf.DUMMYFUNCTION("""COMPUTED_VALUE"""),"جلسات العلاج الطبيعي")</f>
        <v>جلسات العلاج الطبيعي</v>
      </c>
      <c r="G309" s="5" t="str">
        <f ca="1">IFERROR(__xludf.DUMMYFUNCTION("""COMPUTED_VALUE"""),"د/غادة محمود ابراهيم وادى (مركز صحتى للعلاج الطبيعى)")</f>
        <v>د/غادة محمود ابراهيم وادى (مركز صحتى للعلاج الطبيعى)</v>
      </c>
      <c r="H309" s="5" t="str">
        <f ca="1">IFERROR(__xludf.DUMMYFUNCTION("""COMPUTED_VALUE"""),"شارع الدكتور مشرفة امام مسجد ابو العطا -دمياط")</f>
        <v>شارع الدكتور مشرفة امام مسجد ابو العطا -دمياط</v>
      </c>
      <c r="I309" s="6" t="str">
        <f ca="1">IFERROR(__xludf.DUMMYFUNCTION("""COMPUTED_VALUE"""),"201013558058")</f>
        <v>201013558058</v>
      </c>
      <c r="J309" s="6"/>
      <c r="K309" s="6" t="str">
        <f ca="1">IFERROR(__xludf.DUMMYFUNCTION("""COMPUTED_VALUE"""),"25% علي الكشف ،20% علي الجلسات علي الاسعار النقدي المعلنة")</f>
        <v>25% علي الكشف ،20% علي الجلسات علي الاسعار النقدي المعلنة</v>
      </c>
    </row>
    <row r="310" spans="1:11" x14ac:dyDescent="0.25">
      <c r="A310" s="4" t="str">
        <f ca="1">IFERROR(__xludf.DUMMYFUNCTION("""COMPUTED_VALUE"""),"1683-B")</f>
        <v>1683-B</v>
      </c>
      <c r="B310" s="5" t="str">
        <f ca="1">IFERROR(__xludf.DUMMYFUNCTION("""COMPUTED_VALUE"""),"الاسكندرية")</f>
        <v>الاسكندرية</v>
      </c>
      <c r="C310" s="5" t="str">
        <f ca="1">IFERROR(__xludf.DUMMYFUNCTION("""COMPUTED_VALUE"""),"الازاريطا")</f>
        <v>الازاريطا</v>
      </c>
      <c r="D310" s="5" t="str">
        <f ca="1">IFERROR(__xludf.DUMMYFUNCTION("""COMPUTED_VALUE"""),"صيدلية")</f>
        <v>صيدلية</v>
      </c>
      <c r="E310" s="5" t="str">
        <f ca="1">IFERROR(__xludf.DUMMYFUNCTION("""COMPUTED_VALUE"""),"صيدلية")</f>
        <v>صيدلية</v>
      </c>
      <c r="F310" s="5" t="str">
        <f ca="1">IFERROR(__xludf.DUMMYFUNCTION("""COMPUTED_VALUE"""),"صيدلية (أدوية ومستلزمات طبية)")</f>
        <v>صيدلية (أدوية ومستلزمات طبية)</v>
      </c>
      <c r="G31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10" s="5" t="str">
        <f ca="1">IFERROR(__xludf.DUMMYFUNCTION("""COMPUTED_VALUE"""),"41اسكندر الأكبر - أزاريطا-الاسكندرية")</f>
        <v>41اسكندر الأكبر - أزاريطا-الاسكندرية</v>
      </c>
      <c r="I310" s="6" t="str">
        <f ca="1">IFERROR(__xludf.DUMMYFUNCTION("""COMPUTED_VALUE"""),"1110079664
")</f>
        <v xml:space="preserve">1110079664
</v>
      </c>
      <c r="J310" s="6" t="str">
        <f ca="1">IFERROR(__xludf.DUMMYFUNCTION("""COMPUTED_VALUE"""),"19600")</f>
        <v>19600</v>
      </c>
      <c r="K310" s="6" t="str">
        <f ca="1">IFERROR(__xludf.DUMMYFUNCTION("""COMPUTED_VALUE"""),"7.5 % على المحلى ,5% على المستلزمات الطبية و التجميل")</f>
        <v>7.5 % على المحلى ,5% على المستلزمات الطبية و التجميل</v>
      </c>
    </row>
    <row r="311" spans="1:11" x14ac:dyDescent="0.25">
      <c r="A311" s="4" t="str">
        <f ca="1">IFERROR(__xludf.DUMMYFUNCTION("""COMPUTED_VALUE"""),"1683-B")</f>
        <v>1683-B</v>
      </c>
      <c r="B311" s="5" t="str">
        <f ca="1">IFERROR(__xludf.DUMMYFUNCTION("""COMPUTED_VALUE"""),"مرسى مطروح")</f>
        <v>مرسى مطروح</v>
      </c>
      <c r="C311" s="5" t="str">
        <f ca="1">IFERROR(__xludf.DUMMYFUNCTION("""COMPUTED_VALUE"""),"الساحل الشمالي")</f>
        <v>الساحل الشمالي</v>
      </c>
      <c r="D311" s="5" t="str">
        <f ca="1">IFERROR(__xludf.DUMMYFUNCTION("""COMPUTED_VALUE"""),"صيدلية")</f>
        <v>صيدلية</v>
      </c>
      <c r="E311" s="5" t="str">
        <f ca="1">IFERROR(__xludf.DUMMYFUNCTION("""COMPUTED_VALUE"""),"صيدلية")</f>
        <v>صيدلية</v>
      </c>
      <c r="F311" s="5" t="str">
        <f ca="1">IFERROR(__xludf.DUMMYFUNCTION("""COMPUTED_VALUE"""),"صيدلية (أدوية ومستلزمات طبية)")</f>
        <v>صيدلية (أدوية ومستلزمات طبية)</v>
      </c>
      <c r="G31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11" s="5" t="str">
        <f ca="1">IFERROR(__xludf.DUMMYFUNCTION("""COMPUTED_VALUE"""),"بورتو مارينا - الساحل الشمالي - محل 79 (خلال الموسم الصيفي فقط)-الساحل الشمالي-الاسكندرية")</f>
        <v>بورتو مارينا - الساحل الشمالي - محل 79 (خلال الموسم الصيفي فقط)-الساحل الشمالي-الاسكندرية</v>
      </c>
      <c r="I311" s="6" t="str">
        <f ca="1">IFERROR(__xludf.DUMMYFUNCTION("""COMPUTED_VALUE"""),"1116666363
")</f>
        <v xml:space="preserve">1116666363
</v>
      </c>
      <c r="J311" s="6" t="str">
        <f ca="1">IFERROR(__xludf.DUMMYFUNCTION("""COMPUTED_VALUE"""),"19600")</f>
        <v>19600</v>
      </c>
      <c r="K311" s="6" t="str">
        <f ca="1">IFERROR(__xludf.DUMMYFUNCTION("""COMPUTED_VALUE"""),"7.5 % على المحلى ,5% على المستلزمات الطبية و التجميل")</f>
        <v>7.5 % على المحلى ,5% على المستلزمات الطبية و التجميل</v>
      </c>
    </row>
    <row r="312" spans="1:11" x14ac:dyDescent="0.25">
      <c r="A312" s="4" t="str">
        <f ca="1">IFERROR(__xludf.DUMMYFUNCTION("""COMPUTED_VALUE"""),"1683-B")</f>
        <v>1683-B</v>
      </c>
      <c r="B312" s="5" t="str">
        <f ca="1">IFERROR(__xludf.DUMMYFUNCTION("""COMPUTED_VALUE"""),"مرسى مطروح")</f>
        <v>مرسى مطروح</v>
      </c>
      <c r="C312" s="5" t="str">
        <f ca="1">IFERROR(__xludf.DUMMYFUNCTION("""COMPUTED_VALUE"""),"الساحل الشمالي")</f>
        <v>الساحل الشمالي</v>
      </c>
      <c r="D312" s="5" t="str">
        <f ca="1">IFERROR(__xludf.DUMMYFUNCTION("""COMPUTED_VALUE"""),"صيدلية")</f>
        <v>صيدلية</v>
      </c>
      <c r="E312" s="5" t="str">
        <f ca="1">IFERROR(__xludf.DUMMYFUNCTION("""COMPUTED_VALUE"""),"صيدلية")</f>
        <v>صيدلية</v>
      </c>
      <c r="F312" s="5" t="str">
        <f ca="1">IFERROR(__xludf.DUMMYFUNCTION("""COMPUTED_VALUE"""),"صيدلية (أدوية ومستلزمات طبية)")</f>
        <v>صيدلية (أدوية ومستلزمات طبية)</v>
      </c>
      <c r="G31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12" s="5" t="str">
        <f ca="1">IFERROR(__xludf.DUMMYFUNCTION("""COMPUTED_VALUE"""),"مارينا 4- بوابة 4 (خلال الموسم الصيفي فقط)-الساحل الشمالي-الاسكندرية")</f>
        <v>مارينا 4- بوابة 4 (خلال الموسم الصيفي فقط)-الساحل الشمالي-الاسكندرية</v>
      </c>
      <c r="I312" s="6" t="str">
        <f ca="1">IFERROR(__xludf.DUMMYFUNCTION("""COMPUTED_VALUE"""),"1153333931")</f>
        <v>1153333931</v>
      </c>
      <c r="J312" s="6" t="str">
        <f ca="1">IFERROR(__xludf.DUMMYFUNCTION("""COMPUTED_VALUE"""),"19600")</f>
        <v>19600</v>
      </c>
      <c r="K312" s="6" t="str">
        <f ca="1">IFERROR(__xludf.DUMMYFUNCTION("""COMPUTED_VALUE"""),"7.5 % على المحلى ,5% على المستلزمات الطبية و التجميل")</f>
        <v>7.5 % على المحلى ,5% على المستلزمات الطبية و التجميل</v>
      </c>
    </row>
    <row r="313" spans="1:11" x14ac:dyDescent="0.25">
      <c r="A313" s="4" t="str">
        <f ca="1">IFERROR(__xludf.DUMMYFUNCTION("""COMPUTED_VALUE"""),"1683-B")</f>
        <v>1683-B</v>
      </c>
      <c r="B313" s="5" t="str">
        <f ca="1">IFERROR(__xludf.DUMMYFUNCTION("""COMPUTED_VALUE"""),"مرسى مطروح")</f>
        <v>مرسى مطروح</v>
      </c>
      <c r="C313" s="5" t="str">
        <f ca="1">IFERROR(__xludf.DUMMYFUNCTION("""COMPUTED_VALUE"""),"الساحل الشمالي")</f>
        <v>الساحل الشمالي</v>
      </c>
      <c r="D313" s="5" t="str">
        <f ca="1">IFERROR(__xludf.DUMMYFUNCTION("""COMPUTED_VALUE"""),"صيدلية")</f>
        <v>صيدلية</v>
      </c>
      <c r="E313" s="5" t="str">
        <f ca="1">IFERROR(__xludf.DUMMYFUNCTION("""COMPUTED_VALUE"""),"صيدلية")</f>
        <v>صيدلية</v>
      </c>
      <c r="F313" s="5" t="str">
        <f ca="1">IFERROR(__xludf.DUMMYFUNCTION("""COMPUTED_VALUE"""),"صيدلية (أدوية ومستلزمات طبية)")</f>
        <v>صيدلية (أدوية ومستلزمات طبية)</v>
      </c>
      <c r="G31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13" s="5" t="str">
        <f ca="1">IFERROR(__xludf.DUMMYFUNCTION("""COMPUTED_VALUE"""),"مارينا 5-بوابة  (خلال الموسم الصيفي فقط)-الساحل الشمالي-الاسكندرية")</f>
        <v>مارينا 5-بوابة  (خلال الموسم الصيفي فقط)-الساحل الشمالي-الاسكندرية</v>
      </c>
      <c r="I313" s="6" t="str">
        <f ca="1">IFERROR(__xludf.DUMMYFUNCTION("""COMPUTED_VALUE"""),"1153333932")</f>
        <v>1153333932</v>
      </c>
      <c r="J313" s="6" t="str">
        <f ca="1">IFERROR(__xludf.DUMMYFUNCTION("""COMPUTED_VALUE"""),"19600")</f>
        <v>19600</v>
      </c>
      <c r="K313" s="6" t="str">
        <f ca="1">IFERROR(__xludf.DUMMYFUNCTION("""COMPUTED_VALUE"""),"7.5 % على المحلى ,5% على المستلزمات الطبية و التجميل")</f>
        <v>7.5 % على المحلى ,5% على المستلزمات الطبية و التجميل</v>
      </c>
    </row>
    <row r="314" spans="1:11" x14ac:dyDescent="0.25">
      <c r="A314" s="4" t="str">
        <f ca="1">IFERROR(__xludf.DUMMYFUNCTION("""COMPUTED_VALUE"""),"2822-B")</f>
        <v>2822-B</v>
      </c>
      <c r="B314" s="5" t="str">
        <f ca="1">IFERROR(__xludf.DUMMYFUNCTION("""COMPUTED_VALUE"""),"الاسكندرية")</f>
        <v>الاسكندرية</v>
      </c>
      <c r="C314" s="5" t="str">
        <f ca="1">IFERROR(__xludf.DUMMYFUNCTION("""COMPUTED_VALUE"""),"الطريق الصحراوى")</f>
        <v>الطريق الصحراوى</v>
      </c>
      <c r="D314" s="5" t="str">
        <f ca="1">IFERROR(__xludf.DUMMYFUNCTION("""COMPUTED_VALUE"""),"صيدلية")</f>
        <v>صيدلية</v>
      </c>
      <c r="E314" s="5" t="str">
        <f ca="1">IFERROR(__xludf.DUMMYFUNCTION("""COMPUTED_VALUE"""),"صيدلية")</f>
        <v>صيدلية</v>
      </c>
      <c r="F314" s="5" t="str">
        <f ca="1">IFERROR(__xludf.DUMMYFUNCTION("""COMPUTED_VALUE"""),"صيدلية (أدوية ومستلزمات طبية)")</f>
        <v>صيدلية (أدوية ومستلزمات طبية)</v>
      </c>
      <c r="G314" s="5" t="str">
        <f ca="1">IFERROR(__xludf.DUMMYFUNCTION("""COMPUTED_VALUE"""),"صيدليات سيف")</f>
        <v>صيدليات سيف</v>
      </c>
      <c r="H314" s="5" t="str">
        <f ca="1">IFERROR(__xludf.DUMMYFUNCTION("""COMPUTED_VALUE"""),"طريق الاسكندرية الصحرواى - المستر-الاسكندرية")</f>
        <v>طريق الاسكندرية الصحرواى - المستر-الاسكندرية</v>
      </c>
      <c r="I314" s="6" t="str">
        <f ca="1">IFERROR(__xludf.DUMMYFUNCTION("""COMPUTED_VALUE"""),"201117708839")</f>
        <v>201117708839</v>
      </c>
      <c r="J314" s="6" t="str">
        <f ca="1">IFERROR(__xludf.DUMMYFUNCTION("""COMPUTED_VALUE"""),"19199")</f>
        <v>19199</v>
      </c>
      <c r="K314"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15" spans="1:11" x14ac:dyDescent="0.25">
      <c r="A315" s="4" t="str">
        <f ca="1">IFERROR(__xludf.DUMMYFUNCTION("""COMPUTED_VALUE"""),"4665")</f>
        <v>4665</v>
      </c>
      <c r="B315" s="5" t="str">
        <f ca="1">IFERROR(__xludf.DUMMYFUNCTION("""COMPUTED_VALUE"""),"الاسكندرية")</f>
        <v>الاسكندرية</v>
      </c>
      <c r="C315" s="5" t="str">
        <f ca="1">IFERROR(__xludf.DUMMYFUNCTION("""COMPUTED_VALUE"""),"العطارين")</f>
        <v>العطارين</v>
      </c>
      <c r="D315" s="5" t="str">
        <f ca="1">IFERROR(__xludf.DUMMYFUNCTION("""COMPUTED_VALUE"""),"صيدلية")</f>
        <v>صيدلية</v>
      </c>
      <c r="E315" s="5" t="str">
        <f ca="1">IFERROR(__xludf.DUMMYFUNCTION("""COMPUTED_VALUE"""),"صيدلية")</f>
        <v>صيدلية</v>
      </c>
      <c r="F315" s="5" t="str">
        <f ca="1">IFERROR(__xludf.DUMMYFUNCTION("""COMPUTED_VALUE"""),"صيدلية (أدوية ومستلزمات طبية)")</f>
        <v>صيدلية (أدوية ومستلزمات طبية)</v>
      </c>
      <c r="G315" s="5" t="str">
        <f ca="1">IFERROR(__xludf.DUMMYFUNCTION("""COMPUTED_VALUE"""),"صيدلية المركزية")</f>
        <v>صيدلية المركزية</v>
      </c>
      <c r="H315" s="5" t="str">
        <f ca="1">IFERROR(__xludf.DUMMYFUNCTION("""COMPUTED_VALUE"""),"19شارع أحمد عرابى ناصية سيزو ستريس - العطارين-الاسكندرية")</f>
        <v>19شارع أحمد عرابى ناصية سيزو ستريس - العطارين-الاسكندرية</v>
      </c>
      <c r="I315" s="6" t="str">
        <f ca="1">IFERROR(__xludf.DUMMYFUNCTION("""COMPUTED_VALUE"""),"2034860744")</f>
        <v>2034860744</v>
      </c>
      <c r="J315" s="6"/>
      <c r="K315" s="6" t="str">
        <f ca="1">IFERROR(__xludf.DUMMYFUNCTION("""COMPUTED_VALUE"""),"Discount 13% on Local and 5% on Imported")</f>
        <v>Discount 13% on Local and 5% on Imported</v>
      </c>
    </row>
    <row r="316" spans="1:11" x14ac:dyDescent="0.25">
      <c r="A316" s="4" t="str">
        <f ca="1">IFERROR(__xludf.DUMMYFUNCTION("""COMPUTED_VALUE"""),"4622")</f>
        <v>4622</v>
      </c>
      <c r="B316" s="5" t="str">
        <f ca="1">IFERROR(__xludf.DUMMYFUNCTION("""COMPUTED_VALUE"""),"الاسكندرية")</f>
        <v>الاسكندرية</v>
      </c>
      <c r="C316" s="5" t="str">
        <f ca="1">IFERROR(__xludf.DUMMYFUNCTION("""COMPUTED_VALUE"""),"برج العرب")</f>
        <v>برج العرب</v>
      </c>
      <c r="D316" s="5" t="str">
        <f ca="1">IFERROR(__xludf.DUMMYFUNCTION("""COMPUTED_VALUE"""),"صيدلية")</f>
        <v>صيدلية</v>
      </c>
      <c r="E316" s="5" t="str">
        <f ca="1">IFERROR(__xludf.DUMMYFUNCTION("""COMPUTED_VALUE"""),"صيدلية")</f>
        <v>صيدلية</v>
      </c>
      <c r="F316" s="5" t="str">
        <f ca="1">IFERROR(__xludf.DUMMYFUNCTION("""COMPUTED_VALUE"""),"صيدلية (أدوية ومستلزمات طبية)")</f>
        <v>صيدلية (أدوية ومستلزمات طبية)</v>
      </c>
      <c r="G316" s="5" t="str">
        <f ca="1">IFERROR(__xludf.DUMMYFUNCTION("""COMPUTED_VALUE"""),"صيدلية د. عبد الفتاح عبد العزيز طه")</f>
        <v>صيدلية د. عبد الفتاح عبد العزيز طه</v>
      </c>
      <c r="H316" s="5" t="str">
        <f ca="1">IFERROR(__xludf.DUMMYFUNCTION("""COMPUTED_VALUE"""),"4شارع سوق الفتح ، برج العرب الجديدة-برج العرب-الاسكندرية")</f>
        <v>4شارع سوق الفتح ، برج العرب الجديدة-برج العرب-الاسكندرية</v>
      </c>
      <c r="I316" s="6" t="str">
        <f ca="1">IFERROR(__xludf.DUMMYFUNCTION("""COMPUTED_VALUE"""),"2033683848")</f>
        <v>2033683848</v>
      </c>
      <c r="J316" s="6"/>
      <c r="K316" s="6" t="str">
        <f ca="1">IFERROR(__xludf.DUMMYFUNCTION("""COMPUTED_VALUE"""),"خصم 10% علي المحلي&amp; 5% علي المستورد")</f>
        <v>خصم 10% علي المحلي&amp; 5% علي المستورد</v>
      </c>
    </row>
    <row r="317" spans="1:11" x14ac:dyDescent="0.25">
      <c r="A317" s="4" t="str">
        <f ca="1">IFERROR(__xludf.DUMMYFUNCTION("""COMPUTED_VALUE"""),"2822-B")</f>
        <v>2822-B</v>
      </c>
      <c r="B317" s="5" t="str">
        <f ca="1">IFERROR(__xludf.DUMMYFUNCTION("""COMPUTED_VALUE"""),"الاسكندرية")</f>
        <v>الاسكندرية</v>
      </c>
      <c r="C317" s="5" t="str">
        <f ca="1">IFERROR(__xludf.DUMMYFUNCTION("""COMPUTED_VALUE"""),"رشدي")</f>
        <v>رشدي</v>
      </c>
      <c r="D317" s="5" t="str">
        <f ca="1">IFERROR(__xludf.DUMMYFUNCTION("""COMPUTED_VALUE"""),"صيدلية")</f>
        <v>صيدلية</v>
      </c>
      <c r="E317" s="5" t="str">
        <f ca="1">IFERROR(__xludf.DUMMYFUNCTION("""COMPUTED_VALUE"""),"صيدلية")</f>
        <v>صيدلية</v>
      </c>
      <c r="F317" s="5" t="str">
        <f ca="1">IFERROR(__xludf.DUMMYFUNCTION("""COMPUTED_VALUE"""),"صيدلية (أدوية ومستلزمات طبية)")</f>
        <v>صيدلية (أدوية ومستلزمات طبية)</v>
      </c>
      <c r="G317" s="5" t="str">
        <f ca="1">IFERROR(__xludf.DUMMYFUNCTION("""COMPUTED_VALUE"""),"صيدليات سيف")</f>
        <v>صيدليات سيف</v>
      </c>
      <c r="H317" s="5" t="str">
        <f ca="1">IFERROR(__xludf.DUMMYFUNCTION("""COMPUTED_VALUE"""),"22ش سوريا : شارع الجمهورية-الاسكندرية")</f>
        <v>22ش سوريا : شارع الجمهورية-الاسكندرية</v>
      </c>
      <c r="I317" s="6" t="str">
        <f ca="1">IFERROR(__xludf.DUMMYFUNCTION("""COMPUTED_VALUE"""),"2035445103")</f>
        <v>2035445103</v>
      </c>
      <c r="J317" s="6" t="str">
        <f ca="1">IFERROR(__xludf.DUMMYFUNCTION("""COMPUTED_VALUE"""),"19199")</f>
        <v>19199</v>
      </c>
      <c r="K317"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18" spans="1:11" x14ac:dyDescent="0.25">
      <c r="A318" s="4" t="str">
        <f ca="1">IFERROR(__xludf.DUMMYFUNCTION("""COMPUTED_VALUE"""),"1683-B")</f>
        <v>1683-B</v>
      </c>
      <c r="B318" s="5" t="str">
        <f ca="1">IFERROR(__xludf.DUMMYFUNCTION("""COMPUTED_VALUE"""),"الاسكندرية")</f>
        <v>الاسكندرية</v>
      </c>
      <c r="C318" s="5" t="str">
        <f ca="1">IFERROR(__xludf.DUMMYFUNCTION("""COMPUTED_VALUE"""),"رشدي")</f>
        <v>رشدي</v>
      </c>
      <c r="D318" s="5" t="str">
        <f ca="1">IFERROR(__xludf.DUMMYFUNCTION("""COMPUTED_VALUE"""),"صيدلية")</f>
        <v>صيدلية</v>
      </c>
      <c r="E318" s="5" t="str">
        <f ca="1">IFERROR(__xludf.DUMMYFUNCTION("""COMPUTED_VALUE"""),"صيدلية")</f>
        <v>صيدلية</v>
      </c>
      <c r="F318" s="5" t="str">
        <f ca="1">IFERROR(__xludf.DUMMYFUNCTION("""COMPUTED_VALUE"""),"صيدلية (أدوية ومستلزمات طبية)")</f>
        <v>صيدلية (أدوية ومستلزمات طبية)</v>
      </c>
      <c r="G31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18" s="5" t="str">
        <f ca="1">IFERROR(__xludf.DUMMYFUNCTION("""COMPUTED_VALUE"""),"15شارع سوريا - رشدى ناصية شارع عبد الحميد-الاسكندرية")</f>
        <v>15شارع سوريا - رشدى ناصية شارع عبد الحميد-الاسكندرية</v>
      </c>
      <c r="I318" s="6" t="str">
        <f ca="1">IFERROR(__xludf.DUMMYFUNCTION("""COMPUTED_VALUE"""),"1110079612")</f>
        <v>1110079612</v>
      </c>
      <c r="J318" s="6" t="str">
        <f ca="1">IFERROR(__xludf.DUMMYFUNCTION("""COMPUTED_VALUE"""),"19600")</f>
        <v>19600</v>
      </c>
      <c r="K318" s="6" t="str">
        <f ca="1">IFERROR(__xludf.DUMMYFUNCTION("""COMPUTED_VALUE"""),"7.5 % على المحلى ,5% على المستلزمات الطبية و التجميل")</f>
        <v>7.5 % على المحلى ,5% على المستلزمات الطبية و التجميل</v>
      </c>
    </row>
    <row r="319" spans="1:11" x14ac:dyDescent="0.25">
      <c r="A319" s="4" t="str">
        <f ca="1">IFERROR(__xludf.DUMMYFUNCTION("""COMPUTED_VALUE"""),"1683-B")</f>
        <v>1683-B</v>
      </c>
      <c r="B319" s="5" t="str">
        <f ca="1">IFERROR(__xludf.DUMMYFUNCTION("""COMPUTED_VALUE"""),"الاسكندرية")</f>
        <v>الاسكندرية</v>
      </c>
      <c r="C319" s="5" t="str">
        <f ca="1">IFERROR(__xludf.DUMMYFUNCTION("""COMPUTED_VALUE"""),"زيزينيا")</f>
        <v>زيزينيا</v>
      </c>
      <c r="D319" s="5" t="str">
        <f ca="1">IFERROR(__xludf.DUMMYFUNCTION("""COMPUTED_VALUE"""),"صيدلية")</f>
        <v>صيدلية</v>
      </c>
      <c r="E319" s="5" t="str">
        <f ca="1">IFERROR(__xludf.DUMMYFUNCTION("""COMPUTED_VALUE"""),"صيدلية")</f>
        <v>صيدلية</v>
      </c>
      <c r="F319" s="5" t="str">
        <f ca="1">IFERROR(__xludf.DUMMYFUNCTION("""COMPUTED_VALUE"""),"صيدلية (أدوية ومستلزمات طبية)")</f>
        <v>صيدلية (أدوية ومستلزمات طبية)</v>
      </c>
      <c r="G31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19" s="5" t="str">
        <f ca="1">IFERROR(__xludf.DUMMYFUNCTION("""COMPUTED_VALUE"""),"601شارع طريق الحرية - زيزينيا-الاسكندرية")</f>
        <v>601شارع طريق الحرية - زيزينيا-الاسكندرية</v>
      </c>
      <c r="I319" s="6" t="str">
        <f ca="1">IFERROR(__xludf.DUMMYFUNCTION("""COMPUTED_VALUE"""),"1110079648")</f>
        <v>1110079648</v>
      </c>
      <c r="J319" s="6" t="str">
        <f ca="1">IFERROR(__xludf.DUMMYFUNCTION("""COMPUTED_VALUE"""),"19600")</f>
        <v>19600</v>
      </c>
      <c r="K319" s="6" t="str">
        <f ca="1">IFERROR(__xludf.DUMMYFUNCTION("""COMPUTED_VALUE"""),"7.5 % على المحلى ,5% على المستلزمات الطبية و التجميل")</f>
        <v>7.5 % على المحلى ,5% على المستلزمات الطبية و التجميل</v>
      </c>
    </row>
    <row r="320" spans="1:11" x14ac:dyDescent="0.25">
      <c r="A320" s="4" t="str">
        <f ca="1">IFERROR(__xludf.DUMMYFUNCTION("""COMPUTED_VALUE"""),"1683-B")</f>
        <v>1683-B</v>
      </c>
      <c r="B320" s="5" t="str">
        <f ca="1">IFERROR(__xludf.DUMMYFUNCTION("""COMPUTED_VALUE"""),"الاسكندرية")</f>
        <v>الاسكندرية</v>
      </c>
      <c r="C320" s="5" t="str">
        <f ca="1">IFERROR(__xludf.DUMMYFUNCTION("""COMPUTED_VALUE"""),"سان ستيفانو")</f>
        <v>سان ستيفانو</v>
      </c>
      <c r="D320" s="5" t="str">
        <f ca="1">IFERROR(__xludf.DUMMYFUNCTION("""COMPUTED_VALUE"""),"صيدلية")</f>
        <v>صيدلية</v>
      </c>
      <c r="E320" s="5" t="str">
        <f ca="1">IFERROR(__xludf.DUMMYFUNCTION("""COMPUTED_VALUE"""),"صيدلية")</f>
        <v>صيدلية</v>
      </c>
      <c r="F320" s="5" t="str">
        <f ca="1">IFERROR(__xludf.DUMMYFUNCTION("""COMPUTED_VALUE"""),"صيدلية (أدوية ومستلزمات طبية)")</f>
        <v>صيدلية (أدوية ومستلزمات طبية)</v>
      </c>
      <c r="G32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20" s="5" t="str">
        <f ca="1">IFERROR(__xludf.DUMMYFUNCTION("""COMPUTED_VALUE"""),"2شارع طلعت و شارع الكازينو - سان إستيفانو - امام فندق سان ستيفانو - محل رقم 4-الاسكندرية")</f>
        <v>2شارع طلعت و شارع الكازينو - سان إستيفانو - امام فندق سان ستيفانو - محل رقم 4-الاسكندرية</v>
      </c>
      <c r="I320" s="6" t="str">
        <f ca="1">IFERROR(__xludf.DUMMYFUNCTION("""COMPUTED_VALUE"""),"1110079611")</f>
        <v>1110079611</v>
      </c>
      <c r="J320" s="6" t="str">
        <f ca="1">IFERROR(__xludf.DUMMYFUNCTION("""COMPUTED_VALUE"""),"19600")</f>
        <v>19600</v>
      </c>
      <c r="K320" s="6" t="str">
        <f ca="1">IFERROR(__xludf.DUMMYFUNCTION("""COMPUTED_VALUE"""),"7.5 % على المحلى ,5% على المستلزمات الطبية و التجميل")</f>
        <v>7.5 % على المحلى ,5% على المستلزمات الطبية و التجميل</v>
      </c>
    </row>
    <row r="321" spans="1:11" x14ac:dyDescent="0.25">
      <c r="A321" s="4" t="str">
        <f ca="1">IFERROR(__xludf.DUMMYFUNCTION("""COMPUTED_VALUE"""),"3786")</f>
        <v>3786</v>
      </c>
      <c r="B321" s="5" t="str">
        <f ca="1">IFERROR(__xludf.DUMMYFUNCTION("""COMPUTED_VALUE"""),"الاسكندرية")</f>
        <v>الاسكندرية</v>
      </c>
      <c r="C321" s="5" t="str">
        <f ca="1">IFERROR(__xludf.DUMMYFUNCTION("""COMPUTED_VALUE"""),"سموحة")</f>
        <v>سموحة</v>
      </c>
      <c r="D321" s="5" t="str">
        <f ca="1">IFERROR(__xludf.DUMMYFUNCTION("""COMPUTED_VALUE"""),"صيدلية")</f>
        <v>صيدلية</v>
      </c>
      <c r="E321" s="5" t="str">
        <f ca="1">IFERROR(__xludf.DUMMYFUNCTION("""COMPUTED_VALUE"""),"صيدلية")</f>
        <v>صيدلية</v>
      </c>
      <c r="F321" s="5" t="str">
        <f ca="1">IFERROR(__xludf.DUMMYFUNCTION("""COMPUTED_VALUE"""),"صيدلية (أدوية ومستلزمات طبية)")</f>
        <v>صيدلية (أدوية ومستلزمات طبية)</v>
      </c>
      <c r="G321" s="5" t="str">
        <f ca="1">IFERROR(__xludf.DUMMYFUNCTION("""COMPUTED_VALUE"""),"صيدلية البرديني")</f>
        <v>صيدلية البرديني</v>
      </c>
      <c r="H321" s="5" t="str">
        <f ca="1">IFERROR(__xludf.DUMMYFUNCTION("""COMPUTED_VALUE"""),"11شارع كمال الدين صلاح سموحة-الاسكندرية")</f>
        <v>11شارع كمال الدين صلاح سموحة-الاسكندرية</v>
      </c>
      <c r="I321" s="6" t="str">
        <f ca="1">IFERROR(__xludf.DUMMYFUNCTION("""COMPUTED_VALUE"""),"2034204100")</f>
        <v>2034204100</v>
      </c>
      <c r="J321" s="6"/>
      <c r="K321" s="6" t="str">
        <f ca="1">IFERROR(__xludf.DUMMYFUNCTION("""COMPUTED_VALUE"""),"خصم 15% علي المحلي و 5% علي المستورد")</f>
        <v>خصم 15% علي المحلي و 5% علي المستورد</v>
      </c>
    </row>
    <row r="322" spans="1:11" x14ac:dyDescent="0.25">
      <c r="A322" s="4" t="str">
        <f ca="1">IFERROR(__xludf.DUMMYFUNCTION("""COMPUTED_VALUE"""),"2993")</f>
        <v>2993</v>
      </c>
      <c r="B322" s="5" t="str">
        <f ca="1">IFERROR(__xludf.DUMMYFUNCTION("""COMPUTED_VALUE"""),"الاسكندرية")</f>
        <v>الاسكندرية</v>
      </c>
      <c r="C322" s="5" t="str">
        <f ca="1">IFERROR(__xludf.DUMMYFUNCTION("""COMPUTED_VALUE"""),"سموحة")</f>
        <v>سموحة</v>
      </c>
      <c r="D322" s="5" t="str">
        <f ca="1">IFERROR(__xludf.DUMMYFUNCTION("""COMPUTED_VALUE"""),"صيدلية")</f>
        <v>صيدلية</v>
      </c>
      <c r="E322" s="5" t="str">
        <f ca="1">IFERROR(__xludf.DUMMYFUNCTION("""COMPUTED_VALUE"""),"صيدلية")</f>
        <v>صيدلية</v>
      </c>
      <c r="F322" s="5" t="str">
        <f ca="1">IFERROR(__xludf.DUMMYFUNCTION("""COMPUTED_VALUE"""),"صيدلية (أدوية ومستلزمات طبية)")</f>
        <v>صيدلية (أدوية ومستلزمات طبية)</v>
      </c>
      <c r="G322" s="5" t="str">
        <f ca="1">IFERROR(__xludf.DUMMYFUNCTION("""COMPUTED_VALUE"""),"شركة اليكس فارما (ايمن حسن زاهر بلبع و شركاه)")</f>
        <v>شركة اليكس فارما (ايمن حسن زاهر بلبع و شركاه)</v>
      </c>
      <c r="H322" s="5" t="str">
        <f ca="1">IFERROR(__xludf.DUMMYFUNCTION("""COMPUTED_VALUE"""),"131شارع البرت الاول – سموحة-الاسكندرية")</f>
        <v>131شارع البرت الاول – سموحة-الاسكندرية</v>
      </c>
      <c r="I322" s="6" t="str">
        <f ca="1">IFERROR(__xludf.DUMMYFUNCTION("""COMPUTED_VALUE"""),"2034262588")</f>
        <v>2034262588</v>
      </c>
      <c r="J322" s="6"/>
      <c r="K322" s="6" t="str">
        <f ca="1">IFERROR(__xludf.DUMMYFUNCTION("""COMPUTED_VALUE"""),"خصم 10% علي المحلي و 5% علي المستورد")</f>
        <v>خصم 10% علي المحلي و 5% علي المستورد</v>
      </c>
    </row>
    <row r="323" spans="1:11" x14ac:dyDescent="0.25">
      <c r="A323" s="4" t="str">
        <f ca="1">IFERROR(__xludf.DUMMYFUNCTION("""COMPUTED_VALUE"""),"1683-B")</f>
        <v>1683-B</v>
      </c>
      <c r="B323" s="5" t="str">
        <f ca="1">IFERROR(__xludf.DUMMYFUNCTION("""COMPUTED_VALUE"""),"الاسكندرية")</f>
        <v>الاسكندرية</v>
      </c>
      <c r="C323" s="5" t="str">
        <f ca="1">IFERROR(__xludf.DUMMYFUNCTION("""COMPUTED_VALUE"""),"سيدي جابر")</f>
        <v>سيدي جابر</v>
      </c>
      <c r="D323" s="5" t="str">
        <f ca="1">IFERROR(__xludf.DUMMYFUNCTION("""COMPUTED_VALUE"""),"صيدلية")</f>
        <v>صيدلية</v>
      </c>
      <c r="E323" s="5" t="str">
        <f ca="1">IFERROR(__xludf.DUMMYFUNCTION("""COMPUTED_VALUE"""),"صيدلية")</f>
        <v>صيدلية</v>
      </c>
      <c r="F323" s="5" t="str">
        <f ca="1">IFERROR(__xludf.DUMMYFUNCTION("""COMPUTED_VALUE"""),"صيدلية (أدوية ومستلزمات طبية)")</f>
        <v>صيدلية (أدوية ومستلزمات طبية)</v>
      </c>
      <c r="G32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23" s="5" t="str">
        <f ca="1">IFERROR(__xludf.DUMMYFUNCTION("""COMPUTED_VALUE"""),"السكة الحديد- محطة سيدى جابر-الاسكندرية")</f>
        <v>السكة الحديد- محطة سيدى جابر-الاسكندرية</v>
      </c>
      <c r="I323" s="6" t="str">
        <f ca="1">IFERROR(__xludf.DUMMYFUNCTION("""COMPUTED_VALUE"""),"1002188023")</f>
        <v>1002188023</v>
      </c>
      <c r="J323" s="6" t="str">
        <f ca="1">IFERROR(__xludf.DUMMYFUNCTION("""COMPUTED_VALUE"""),"19600")</f>
        <v>19600</v>
      </c>
      <c r="K323" s="6" t="str">
        <f ca="1">IFERROR(__xludf.DUMMYFUNCTION("""COMPUTED_VALUE"""),"7.5 % على المحلى ,5% على المستلزمات الطبية و التجميل")</f>
        <v>7.5 % على المحلى ,5% على المستلزمات الطبية و التجميل</v>
      </c>
    </row>
    <row r="324" spans="1:11" x14ac:dyDescent="0.25">
      <c r="A324" s="4" t="str">
        <f ca="1">IFERROR(__xludf.DUMMYFUNCTION("""COMPUTED_VALUE"""),"2822-B")</f>
        <v>2822-B</v>
      </c>
      <c r="B324" s="5" t="str">
        <f ca="1">IFERROR(__xludf.DUMMYFUNCTION("""COMPUTED_VALUE"""),"الاسكندرية")</f>
        <v>الاسكندرية</v>
      </c>
      <c r="C324" s="5" t="str">
        <f ca="1">IFERROR(__xludf.DUMMYFUNCTION("""COMPUTED_VALUE"""),"محطة الرمل")</f>
        <v>محطة الرمل</v>
      </c>
      <c r="D324" s="5" t="str">
        <f ca="1">IFERROR(__xludf.DUMMYFUNCTION("""COMPUTED_VALUE"""),"صيدلية")</f>
        <v>صيدلية</v>
      </c>
      <c r="E324" s="5" t="str">
        <f ca="1">IFERROR(__xludf.DUMMYFUNCTION("""COMPUTED_VALUE"""),"صيدلية")</f>
        <v>صيدلية</v>
      </c>
      <c r="F324" s="5" t="str">
        <f ca="1">IFERROR(__xludf.DUMMYFUNCTION("""COMPUTED_VALUE"""),"صيدلية (أدوية ومستلزمات طبية)")</f>
        <v>صيدلية (أدوية ومستلزمات طبية)</v>
      </c>
      <c r="G324" s="5" t="str">
        <f ca="1">IFERROR(__xludf.DUMMYFUNCTION("""COMPUTED_VALUE"""),"صيدليات سيف")</f>
        <v>صيدليات سيف</v>
      </c>
      <c r="H324" s="5" t="str">
        <f ca="1">IFERROR(__xludf.DUMMYFUNCTION("""COMPUTED_VALUE"""),"22ش محمود عزمي متفرع من شارع النبى دانيال - محطة الرمل-الاسكندرية")</f>
        <v>22ش محمود عزمي متفرع من شارع النبى دانيال - محطة الرمل-الاسكندرية</v>
      </c>
      <c r="I324" s="6" t="str">
        <f ca="1">IFERROR(__xludf.DUMMYFUNCTION("""COMPUTED_VALUE"""),"2034858090")</f>
        <v>2034858090</v>
      </c>
      <c r="J324" s="6" t="str">
        <f ca="1">IFERROR(__xludf.DUMMYFUNCTION("""COMPUTED_VALUE"""),"19199")</f>
        <v>19199</v>
      </c>
      <c r="K324"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25" spans="1:11" x14ac:dyDescent="0.25">
      <c r="A325" s="4" t="str">
        <f ca="1">IFERROR(__xludf.DUMMYFUNCTION("""COMPUTED_VALUE"""),"1683-B")</f>
        <v>1683-B</v>
      </c>
      <c r="B325" s="5" t="str">
        <f ca="1">IFERROR(__xludf.DUMMYFUNCTION("""COMPUTED_VALUE"""),"الاسكندرية")</f>
        <v>الاسكندرية</v>
      </c>
      <c r="C325" s="5" t="str">
        <f ca="1">IFERROR(__xludf.DUMMYFUNCTION("""COMPUTED_VALUE"""),"محطه مصر")</f>
        <v>محطه مصر</v>
      </c>
      <c r="D325" s="5" t="str">
        <f ca="1">IFERROR(__xludf.DUMMYFUNCTION("""COMPUTED_VALUE"""),"صيدلية")</f>
        <v>صيدلية</v>
      </c>
      <c r="E325" s="5" t="str">
        <f ca="1">IFERROR(__xludf.DUMMYFUNCTION("""COMPUTED_VALUE"""),"صيدلية")</f>
        <v>صيدلية</v>
      </c>
      <c r="F325" s="5" t="str">
        <f ca="1">IFERROR(__xludf.DUMMYFUNCTION("""COMPUTED_VALUE"""),"صيدلية (أدوية ومستلزمات طبية)")</f>
        <v>صيدلية (أدوية ومستلزمات طبية)</v>
      </c>
      <c r="G32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25" s="5" t="str">
        <f ca="1">IFERROR(__xludf.DUMMYFUNCTION("""COMPUTED_VALUE"""),"السكة الحديد- محطة مصر-الاسكندرية")</f>
        <v>السكة الحديد- محطة مصر-الاسكندرية</v>
      </c>
      <c r="I325" s="6" t="str">
        <f ca="1">IFERROR(__xludf.DUMMYFUNCTION("""COMPUTED_VALUE"""),"1150550770")</f>
        <v>1150550770</v>
      </c>
      <c r="J325" s="6" t="str">
        <f ca="1">IFERROR(__xludf.DUMMYFUNCTION("""COMPUTED_VALUE"""),"19600")</f>
        <v>19600</v>
      </c>
      <c r="K325" s="6" t="str">
        <f ca="1">IFERROR(__xludf.DUMMYFUNCTION("""COMPUTED_VALUE"""),"7.5 % على المحلى ,5% على المستلزمات الطبية و التجميل")</f>
        <v>7.5 % على المحلى ,5% على المستلزمات الطبية و التجميل</v>
      </c>
    </row>
    <row r="326" spans="1:11" x14ac:dyDescent="0.25">
      <c r="A326" s="4" t="str">
        <f ca="1">IFERROR(__xludf.DUMMYFUNCTION("""COMPUTED_VALUE"""),"2048")</f>
        <v>2048</v>
      </c>
      <c r="B326" s="5" t="str">
        <f ca="1">IFERROR(__xludf.DUMMYFUNCTION("""COMPUTED_VALUE"""),"الأقصر")</f>
        <v>الأقصر</v>
      </c>
      <c r="C326" s="5" t="str">
        <f ca="1">IFERROR(__xludf.DUMMYFUNCTION("""COMPUTED_VALUE"""),"الأقصر")</f>
        <v>الأقصر</v>
      </c>
      <c r="D326" s="5" t="str">
        <f ca="1">IFERROR(__xludf.DUMMYFUNCTION("""COMPUTED_VALUE"""),"صيدلية")</f>
        <v>صيدلية</v>
      </c>
      <c r="E326" s="5" t="str">
        <f ca="1">IFERROR(__xludf.DUMMYFUNCTION("""COMPUTED_VALUE"""),"صيدلية")</f>
        <v>صيدلية</v>
      </c>
      <c r="F326" s="5" t="str">
        <f ca="1">IFERROR(__xludf.DUMMYFUNCTION("""COMPUTED_VALUE"""),"صيدلية (أدوية ومستلزمات طبية)")</f>
        <v>صيدلية (أدوية ومستلزمات طبية)</v>
      </c>
      <c r="G326" s="5" t="str">
        <f ca="1">IFERROR(__xludf.DUMMYFUNCTION("""COMPUTED_VALUE"""),"صيدلية أشرف")</f>
        <v>صيدلية أشرف</v>
      </c>
      <c r="H326" s="5" t="str">
        <f ca="1">IFERROR(__xludf.DUMMYFUNCTION("""COMPUTED_VALUE"""),"شارع يوسف حسن بجوار الأسواق الحرة-الأقصر")</f>
        <v>شارع يوسف حسن بجوار الأسواق الحرة-الأقصر</v>
      </c>
      <c r="I326" s="6" t="str">
        <f ca="1">IFERROR(__xludf.DUMMYFUNCTION("""COMPUTED_VALUE"""),"20952381862")</f>
        <v>20952381862</v>
      </c>
      <c r="J326" s="6"/>
      <c r="K326" s="6" t="str">
        <f ca="1">IFERROR(__xludf.DUMMYFUNCTION("""COMPUTED_VALUE"""),"خصم 12% علي المحلي و 6% علي المستورد")</f>
        <v>خصم 12% علي المحلي و 6% علي المستورد</v>
      </c>
    </row>
    <row r="327" spans="1:11" x14ac:dyDescent="0.25">
      <c r="A327" s="4" t="str">
        <f ca="1">IFERROR(__xludf.DUMMYFUNCTION("""COMPUTED_VALUE"""),"2164")</f>
        <v>2164</v>
      </c>
      <c r="B327" s="5" t="str">
        <f ca="1">IFERROR(__xludf.DUMMYFUNCTION("""COMPUTED_VALUE"""),"الأقصر")</f>
        <v>الأقصر</v>
      </c>
      <c r="C327" s="5" t="str">
        <f ca="1">IFERROR(__xludf.DUMMYFUNCTION("""COMPUTED_VALUE"""),"الأقصر")</f>
        <v>الأقصر</v>
      </c>
      <c r="D327" s="5" t="str">
        <f ca="1">IFERROR(__xludf.DUMMYFUNCTION("""COMPUTED_VALUE"""),"صيدلية")</f>
        <v>صيدلية</v>
      </c>
      <c r="E327" s="5" t="str">
        <f ca="1">IFERROR(__xludf.DUMMYFUNCTION("""COMPUTED_VALUE"""),"صيدلية")</f>
        <v>صيدلية</v>
      </c>
      <c r="F327" s="5" t="str">
        <f ca="1">IFERROR(__xludf.DUMMYFUNCTION("""COMPUTED_VALUE"""),"صيدلية (أدوية ومستلزمات طبية)")</f>
        <v>صيدلية (أدوية ومستلزمات طبية)</v>
      </c>
      <c r="G327" s="5" t="str">
        <f ca="1">IFERROR(__xludf.DUMMYFUNCTION("""COMPUTED_VALUE"""),"صيدلية د/ هبه")</f>
        <v>صيدلية د/ هبه</v>
      </c>
      <c r="H327" s="5" t="str">
        <f ca="1">IFERROR(__xludf.DUMMYFUNCTION("""COMPUTED_VALUE"""),"المنشية - شارع محمد فريد-الأقصر-الأقصر")</f>
        <v>المنشية - شارع محمد فريد-الأقصر-الأقصر</v>
      </c>
      <c r="I327" s="6" t="str">
        <f ca="1">IFERROR(__xludf.DUMMYFUNCTION("""COMPUTED_VALUE"""),"201009216050")</f>
        <v>201009216050</v>
      </c>
      <c r="J327" s="6"/>
      <c r="K327" s="6" t="str">
        <f ca="1">IFERROR(__xludf.DUMMYFUNCTION("""COMPUTED_VALUE"""),"خصم 12% علي المحلي و 6% علي المستورد")</f>
        <v>خصم 12% علي المحلي و 6% علي المستورد</v>
      </c>
    </row>
    <row r="328" spans="1:11" x14ac:dyDescent="0.25">
      <c r="A328" s="4" t="str">
        <f ca="1">IFERROR(__xludf.DUMMYFUNCTION("""COMPUTED_VALUE"""),"1683-B")</f>
        <v>1683-B</v>
      </c>
      <c r="B328" s="5" t="str">
        <f ca="1">IFERROR(__xludf.DUMMYFUNCTION("""COMPUTED_VALUE"""),"الإسماعيلية")</f>
        <v>الإسماعيلية</v>
      </c>
      <c r="C328" s="5" t="str">
        <f ca="1">IFERROR(__xludf.DUMMYFUNCTION("""COMPUTED_VALUE"""),"الإسماعيلية")</f>
        <v>الإسماعيلية</v>
      </c>
      <c r="D328" s="5" t="str">
        <f ca="1">IFERROR(__xludf.DUMMYFUNCTION("""COMPUTED_VALUE"""),"صيدلية")</f>
        <v>صيدلية</v>
      </c>
      <c r="E328" s="5" t="str">
        <f ca="1">IFERROR(__xludf.DUMMYFUNCTION("""COMPUTED_VALUE"""),"صيدلية")</f>
        <v>صيدلية</v>
      </c>
      <c r="F328" s="5" t="str">
        <f ca="1">IFERROR(__xludf.DUMMYFUNCTION("""COMPUTED_VALUE"""),"صيدلية (أدوية ومستلزمات طبية)")</f>
        <v>صيدلية (أدوية ومستلزمات طبية)</v>
      </c>
      <c r="G32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28" s="5" t="str">
        <f ca="1">IFERROR(__xludf.DUMMYFUNCTION("""COMPUTED_VALUE"""),"209 شارع الحرية - الاسماعيلية")</f>
        <v>209 شارع الحرية - الاسماعيلية</v>
      </c>
      <c r="I328" s="6" t="str">
        <f ca="1">IFERROR(__xludf.DUMMYFUNCTION("""COMPUTED_VALUE"""),"20643920559")</f>
        <v>20643920559</v>
      </c>
      <c r="J328" s="6" t="str">
        <f ca="1">IFERROR(__xludf.DUMMYFUNCTION("""COMPUTED_VALUE"""),"19600")</f>
        <v>19600</v>
      </c>
      <c r="K328" s="6" t="str">
        <f ca="1">IFERROR(__xludf.DUMMYFUNCTION("""COMPUTED_VALUE"""),"7.5 % على المحلى ,5% على المستلزمات الطبية و التجميل")</f>
        <v>7.5 % على المحلى ,5% على المستلزمات الطبية و التجميل</v>
      </c>
    </row>
    <row r="329" spans="1:11" x14ac:dyDescent="0.25">
      <c r="A329" s="4" t="str">
        <f ca="1">IFERROR(__xludf.DUMMYFUNCTION("""COMPUTED_VALUE"""),"1683-B")</f>
        <v>1683-B</v>
      </c>
      <c r="B329" s="5" t="str">
        <f ca="1">IFERROR(__xludf.DUMMYFUNCTION("""COMPUTED_VALUE"""),"الإسماعيلية")</f>
        <v>الإسماعيلية</v>
      </c>
      <c r="C329" s="5" t="str">
        <f ca="1">IFERROR(__xludf.DUMMYFUNCTION("""COMPUTED_VALUE"""),"الإسماعيلية")</f>
        <v>الإسماعيلية</v>
      </c>
      <c r="D329" s="5" t="str">
        <f ca="1">IFERROR(__xludf.DUMMYFUNCTION("""COMPUTED_VALUE"""),"صيدلية")</f>
        <v>صيدلية</v>
      </c>
      <c r="E329" s="5" t="str">
        <f ca="1">IFERROR(__xludf.DUMMYFUNCTION("""COMPUTED_VALUE"""),"صيدلية")</f>
        <v>صيدلية</v>
      </c>
      <c r="F329" s="5" t="str">
        <f ca="1">IFERROR(__xludf.DUMMYFUNCTION("""COMPUTED_VALUE"""),"صيدلية (أدوية ومستلزمات طبية)")</f>
        <v>صيدلية (أدوية ومستلزمات طبية)</v>
      </c>
      <c r="G32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29" s="5" t="str">
        <f ca="1">IFERROR(__xludf.DUMMYFUNCTION("""COMPUTED_VALUE"""),"تقاطع شارع 227 وشارع شبين الكوم - الاسماعيلية")</f>
        <v>تقاطع شارع 227 وشارع شبين الكوم - الاسماعيلية</v>
      </c>
      <c r="I329" s="6" t="str">
        <f ca="1">IFERROR(__xludf.DUMMYFUNCTION("""COMPUTED_VALUE"""),"20643344453")</f>
        <v>20643344453</v>
      </c>
      <c r="J329" s="6" t="str">
        <f ca="1">IFERROR(__xludf.DUMMYFUNCTION("""COMPUTED_VALUE"""),"19600")</f>
        <v>19600</v>
      </c>
      <c r="K329" s="6" t="str">
        <f ca="1">IFERROR(__xludf.DUMMYFUNCTION("""COMPUTED_VALUE"""),"7.5 % على المحلى ,5% على المستلزمات الطبية و التجميل")</f>
        <v>7.5 % على المحلى ,5% على المستلزمات الطبية و التجميل</v>
      </c>
    </row>
    <row r="330" spans="1:11" x14ac:dyDescent="0.25">
      <c r="A330" s="4" t="str">
        <f ca="1">IFERROR(__xludf.DUMMYFUNCTION("""COMPUTED_VALUE"""),"3911")</f>
        <v>3911</v>
      </c>
      <c r="B330" s="5" t="str">
        <f ca="1">IFERROR(__xludf.DUMMYFUNCTION("""COMPUTED_VALUE"""),"الإسماعيلية")</f>
        <v>الإسماعيلية</v>
      </c>
      <c r="C330" s="5" t="str">
        <f ca="1">IFERROR(__xludf.DUMMYFUNCTION("""COMPUTED_VALUE"""),"الإسماعيلية")</f>
        <v>الإسماعيلية</v>
      </c>
      <c r="D330" s="5" t="str">
        <f ca="1">IFERROR(__xludf.DUMMYFUNCTION("""COMPUTED_VALUE"""),"صيدلية")</f>
        <v>صيدلية</v>
      </c>
      <c r="E330" s="5" t="str">
        <f ca="1">IFERROR(__xludf.DUMMYFUNCTION("""COMPUTED_VALUE"""),"صيدلية")</f>
        <v>صيدلية</v>
      </c>
      <c r="F330" s="5" t="str">
        <f ca="1">IFERROR(__xludf.DUMMYFUNCTION("""COMPUTED_VALUE"""),"صيدلية (أدوية ومستلزمات طبية)")</f>
        <v>صيدلية (أدوية ومستلزمات طبية)</v>
      </c>
      <c r="G330" s="5" t="str">
        <f ca="1">IFERROR(__xludf.DUMMYFUNCTION("""COMPUTED_VALUE"""),"صيدلية عزالدين محمد الطاهر عبدالله سري")</f>
        <v>صيدلية عزالدين محمد الطاهر عبدالله سري</v>
      </c>
      <c r="H330" s="5" t="str">
        <f ca="1">IFERROR(__xludf.DUMMYFUNCTION("""COMPUTED_VALUE"""),"تقاطع شارعى اسماعيل سرى ومصر-الاسماعيلية")</f>
        <v>تقاطع شارعى اسماعيل سرى ومصر-الاسماعيلية</v>
      </c>
      <c r="I330" s="6" t="str">
        <f ca="1">IFERROR(__xludf.DUMMYFUNCTION("""COMPUTED_VALUE"""),"20643920535")</f>
        <v>20643920535</v>
      </c>
      <c r="J330" s="6"/>
      <c r="K330" s="6" t="str">
        <f ca="1">IFERROR(__xludf.DUMMYFUNCTION("""COMPUTED_VALUE"""),"خصم 10% علي الادوية المحلي و 6% علي المستورد.")</f>
        <v>خصم 10% علي الادوية المحلي و 6% علي المستورد.</v>
      </c>
    </row>
    <row r="331" spans="1:11" x14ac:dyDescent="0.25">
      <c r="A331" s="4" t="str">
        <f ca="1">IFERROR(__xludf.DUMMYFUNCTION("""COMPUTED_VALUE"""),"1683-B")</f>
        <v>1683-B</v>
      </c>
      <c r="B331" s="5" t="str">
        <f ca="1">IFERROR(__xludf.DUMMYFUNCTION("""COMPUTED_VALUE"""),"البحر الاحمر")</f>
        <v>البحر الاحمر</v>
      </c>
      <c r="C331" s="5" t="str">
        <f ca="1">IFERROR(__xludf.DUMMYFUNCTION("""COMPUTED_VALUE"""),"الغردقة")</f>
        <v>الغردقة</v>
      </c>
      <c r="D331" s="5" t="str">
        <f ca="1">IFERROR(__xludf.DUMMYFUNCTION("""COMPUTED_VALUE"""),"صيدلية")</f>
        <v>صيدلية</v>
      </c>
      <c r="E331" s="5" t="str">
        <f ca="1">IFERROR(__xludf.DUMMYFUNCTION("""COMPUTED_VALUE"""),"صيدلية")</f>
        <v>صيدلية</v>
      </c>
      <c r="F331" s="5" t="str">
        <f ca="1">IFERROR(__xludf.DUMMYFUNCTION("""COMPUTED_VALUE"""),"صيدلية (أدوية ومستلزمات طبية)")</f>
        <v>صيدلية (أدوية ومستلزمات طبية)</v>
      </c>
      <c r="G33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31" s="5" t="str">
        <f ca="1">IFERROR(__xludf.DUMMYFUNCTION("""COMPUTED_VALUE"""),"شارع النصر -المحل رقم 2 بالدور الأرضي - سنتر محارم مول التجاري - الدهار - الغردقة - البحر الأحمر")</f>
        <v>شارع النصر -المحل رقم 2 بالدور الأرضي - سنتر محارم مول التجاري - الدهار - الغردقة - البحر الأحمر</v>
      </c>
      <c r="I331" s="6" t="str">
        <f ca="1">IFERROR(__xludf.DUMMYFUNCTION("""COMPUTED_VALUE"""),"20653547308")</f>
        <v>20653547308</v>
      </c>
      <c r="J331" s="6" t="str">
        <f ca="1">IFERROR(__xludf.DUMMYFUNCTION("""COMPUTED_VALUE"""),"19600")</f>
        <v>19600</v>
      </c>
      <c r="K331" s="6" t="str">
        <f ca="1">IFERROR(__xludf.DUMMYFUNCTION("""COMPUTED_VALUE"""),"7.5 % على المحلى ,5% على المستلزمات الطبية و التجميل")</f>
        <v>7.5 % على المحلى ,5% على المستلزمات الطبية و التجميل</v>
      </c>
    </row>
    <row r="332" spans="1:11" x14ac:dyDescent="0.25">
      <c r="A332" s="4" t="str">
        <f ca="1">IFERROR(__xludf.DUMMYFUNCTION("""COMPUTED_VALUE"""),"1683-B")</f>
        <v>1683-B</v>
      </c>
      <c r="B332" s="5" t="str">
        <f ca="1">IFERROR(__xludf.DUMMYFUNCTION("""COMPUTED_VALUE"""),"البحر الاحمر")</f>
        <v>البحر الاحمر</v>
      </c>
      <c r="C332" s="5" t="str">
        <f ca="1">IFERROR(__xludf.DUMMYFUNCTION("""COMPUTED_VALUE"""),"الغردقة")</f>
        <v>الغردقة</v>
      </c>
      <c r="D332" s="5" t="str">
        <f ca="1">IFERROR(__xludf.DUMMYFUNCTION("""COMPUTED_VALUE"""),"صيدلية")</f>
        <v>صيدلية</v>
      </c>
      <c r="E332" s="5" t="str">
        <f ca="1">IFERROR(__xludf.DUMMYFUNCTION("""COMPUTED_VALUE"""),"صيدلية")</f>
        <v>صيدلية</v>
      </c>
      <c r="F332" s="5" t="str">
        <f ca="1">IFERROR(__xludf.DUMMYFUNCTION("""COMPUTED_VALUE"""),"صيدلية (أدوية ومستلزمات طبية)")</f>
        <v>صيدلية (أدوية ومستلزمات طبية)</v>
      </c>
      <c r="G33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32" s="5" t="str">
        <f ca="1">IFERROR(__xludf.DUMMYFUNCTION("""COMPUTED_VALUE"""),"عمارة أبو عشرة أمام بوابة المطار - مطار الغردقة-الغردقة-البحر الاحمر")</f>
        <v>عمارة أبو عشرة أمام بوابة المطار - مطار الغردقة-الغردقة-البحر الاحمر</v>
      </c>
      <c r="I332" s="6" t="str">
        <f ca="1">IFERROR(__xludf.DUMMYFUNCTION("""COMPUTED_VALUE"""),"20653462686")</f>
        <v>20653462686</v>
      </c>
      <c r="J332" s="6" t="str">
        <f ca="1">IFERROR(__xludf.DUMMYFUNCTION("""COMPUTED_VALUE"""),"19600")</f>
        <v>19600</v>
      </c>
      <c r="K332" s="6" t="str">
        <f ca="1">IFERROR(__xludf.DUMMYFUNCTION("""COMPUTED_VALUE"""),"7.5 % على المحلى ,5% على المستلزمات الطبية و التجميل")</f>
        <v>7.5 % على المحلى ,5% على المستلزمات الطبية و التجميل</v>
      </c>
    </row>
    <row r="333" spans="1:11" x14ac:dyDescent="0.25">
      <c r="A333" s="4" t="str">
        <f ca="1">IFERROR(__xludf.DUMMYFUNCTION("""COMPUTED_VALUE"""),"3007")</f>
        <v>3007</v>
      </c>
      <c r="B333" s="5" t="str">
        <f ca="1">IFERROR(__xludf.DUMMYFUNCTION("""COMPUTED_VALUE"""),"البحر الاحمر")</f>
        <v>البحر الاحمر</v>
      </c>
      <c r="C333" s="5" t="str">
        <f ca="1">IFERROR(__xludf.DUMMYFUNCTION("""COMPUTED_VALUE"""),"الغردقة")</f>
        <v>الغردقة</v>
      </c>
      <c r="D333" s="5" t="str">
        <f ca="1">IFERROR(__xludf.DUMMYFUNCTION("""COMPUTED_VALUE"""),"صيدلية")</f>
        <v>صيدلية</v>
      </c>
      <c r="E333" s="5" t="str">
        <f ca="1">IFERROR(__xludf.DUMMYFUNCTION("""COMPUTED_VALUE"""),"صيدلية")</f>
        <v>صيدلية</v>
      </c>
      <c r="F333" s="5" t="str">
        <f ca="1">IFERROR(__xludf.DUMMYFUNCTION("""COMPUTED_VALUE"""),"صيدلية (أدوية ومستلزمات طبية)")</f>
        <v>صيدلية (أدوية ومستلزمات طبية)</v>
      </c>
      <c r="G333" s="5" t="str">
        <f ca="1">IFERROR(__xludf.DUMMYFUNCTION("""COMPUTED_VALUE"""),"صيدلية ايمن وليم")</f>
        <v>صيدلية ايمن وليم</v>
      </c>
      <c r="H333" s="5" t="str">
        <f ca="1">IFERROR(__xludf.DUMMYFUNCTION("""COMPUTED_VALUE"""),"الدهار - شارع سوق الخضار القديم- بجوار محلات النور و التوحيد لملابس- خلف البوسطة-الغردقة-البحر الاحمر")</f>
        <v>الدهار - شارع سوق الخضار القديم- بجوار محلات النور و التوحيد لملابس- خلف البوسطة-الغردقة-البحر الاحمر</v>
      </c>
      <c r="I333" s="6" t="str">
        <f ca="1">IFERROR(__xludf.DUMMYFUNCTION("""COMPUTED_VALUE"""),"20653540204")</f>
        <v>20653540204</v>
      </c>
      <c r="J333" s="6"/>
      <c r="K333" s="6" t="str">
        <f ca="1">IFERROR(__xludf.DUMMYFUNCTION("""COMPUTED_VALUE"""),"خصم 8% علي كل الادويه")</f>
        <v>خصم 8% علي كل الادويه</v>
      </c>
    </row>
    <row r="334" spans="1:11" x14ac:dyDescent="0.25">
      <c r="A334" s="4" t="str">
        <f ca="1">IFERROR(__xludf.DUMMYFUNCTION("""COMPUTED_VALUE"""),"104078")</f>
        <v>104078</v>
      </c>
      <c r="B334" s="5" t="str">
        <f ca="1">IFERROR(__xludf.DUMMYFUNCTION("""COMPUTED_VALUE"""),"البحر الاحمر")</f>
        <v>البحر الاحمر</v>
      </c>
      <c r="C334" s="5" t="str">
        <f ca="1">IFERROR(__xludf.DUMMYFUNCTION("""COMPUTED_VALUE"""),"سفاجا")</f>
        <v>سفاجا</v>
      </c>
      <c r="D334" s="5" t="str">
        <f ca="1">IFERROR(__xludf.DUMMYFUNCTION("""COMPUTED_VALUE"""),"صيدلية")</f>
        <v>صيدلية</v>
      </c>
      <c r="E334" s="5" t="str">
        <f ca="1">IFERROR(__xludf.DUMMYFUNCTION("""COMPUTED_VALUE"""),"صيدلية")</f>
        <v>صيدلية</v>
      </c>
      <c r="F334" s="5" t="str">
        <f ca="1">IFERROR(__xludf.DUMMYFUNCTION("""COMPUTED_VALUE"""),"صيدلية (أدوية ومستلزمات طبية)")</f>
        <v>صيدلية (أدوية ومستلزمات طبية)</v>
      </c>
      <c r="G334" s="5" t="str">
        <f ca="1">IFERROR(__xludf.DUMMYFUNCTION("""COMPUTED_VALUE"""),"صيدلية د/ بسام الجديدة")</f>
        <v>صيدلية د/ بسام الجديدة</v>
      </c>
      <c r="H334" s="5" t="str">
        <f ca="1">IFERROR(__xludf.DUMMYFUNCTION("""COMPUTED_VALUE"""),"تقييم فيلات الالومنيوم-عقار رقم 3-سفاجا-البحر الاحمر")</f>
        <v>تقييم فيلات الالومنيوم-عقار رقم 3-سفاجا-البحر الاحمر</v>
      </c>
      <c r="I334" s="6" t="str">
        <f ca="1">IFERROR(__xludf.DUMMYFUNCTION("""COMPUTED_VALUE"""),"01090108111")</f>
        <v>01090108111</v>
      </c>
      <c r="J334" s="6"/>
      <c r="K334" s="6" t="str">
        <f ca="1">IFERROR(__xludf.DUMMYFUNCTION("""COMPUTED_VALUE"""),"خصم 10% علي كل الادويه")</f>
        <v>خصم 10% علي كل الادويه</v>
      </c>
    </row>
    <row r="335" spans="1:11" x14ac:dyDescent="0.25">
      <c r="A335" s="4" t="str">
        <f ca="1">IFERROR(__xludf.DUMMYFUNCTION("""COMPUTED_VALUE"""),"3593")</f>
        <v>3593</v>
      </c>
      <c r="B335" s="5" t="str">
        <f ca="1">IFERROR(__xludf.DUMMYFUNCTION("""COMPUTED_VALUE"""),"البحيرة")</f>
        <v>البحيرة</v>
      </c>
      <c r="C335" s="5" t="str">
        <f ca="1">IFERROR(__xludf.DUMMYFUNCTION("""COMPUTED_VALUE"""),"ادكو")</f>
        <v>ادكو</v>
      </c>
      <c r="D335" s="5" t="str">
        <f ca="1">IFERROR(__xludf.DUMMYFUNCTION("""COMPUTED_VALUE"""),"صيدلية")</f>
        <v>صيدلية</v>
      </c>
      <c r="E335" s="5" t="str">
        <f ca="1">IFERROR(__xludf.DUMMYFUNCTION("""COMPUTED_VALUE"""),"صيدلية")</f>
        <v>صيدلية</v>
      </c>
      <c r="F335" s="5" t="str">
        <f ca="1">IFERROR(__xludf.DUMMYFUNCTION("""COMPUTED_VALUE"""),"صيدلية (أدوية ومستلزمات طبية)")</f>
        <v>صيدلية (أدوية ومستلزمات طبية)</v>
      </c>
      <c r="G335" s="5" t="str">
        <f ca="1">IFERROR(__xludf.DUMMYFUNCTION("""COMPUTED_VALUE"""),"صيدلية د- سحر محمد محمد نمير")</f>
        <v>صيدلية د- سحر محمد محمد نمير</v>
      </c>
      <c r="H335" s="5" t="str">
        <f ca="1">IFERROR(__xludf.DUMMYFUNCTION("""COMPUTED_VALUE"""),"شارع الامام علي - ادكو-البحيرة")</f>
        <v>شارع الامام علي - ادكو-البحيرة</v>
      </c>
      <c r="I335" s="6" t="str">
        <f ca="1">IFERROR(__xludf.DUMMYFUNCTION("""COMPUTED_VALUE"""),"20452917881")</f>
        <v>20452917881</v>
      </c>
      <c r="J335" s="6"/>
      <c r="K335" s="6" t="str">
        <f ca="1">IFERROR(__xludf.DUMMYFUNCTION("""COMPUTED_VALUE"""),"خصم 11% محلي و 5% المستورد")</f>
        <v>خصم 11% محلي و 5% المستورد</v>
      </c>
    </row>
    <row r="336" spans="1:11" x14ac:dyDescent="0.25">
      <c r="A336" s="4" t="str">
        <f ca="1">IFERROR(__xludf.DUMMYFUNCTION("""COMPUTED_VALUE"""),"3593-B")</f>
        <v>3593-B</v>
      </c>
      <c r="B336" s="5" t="str">
        <f ca="1">IFERROR(__xludf.DUMMYFUNCTION("""COMPUTED_VALUE"""),"البحيرة")</f>
        <v>البحيرة</v>
      </c>
      <c r="C336" s="5" t="str">
        <f ca="1">IFERROR(__xludf.DUMMYFUNCTION("""COMPUTED_VALUE"""),"ادكو")</f>
        <v>ادكو</v>
      </c>
      <c r="D336" s="5" t="str">
        <f ca="1">IFERROR(__xludf.DUMMYFUNCTION("""COMPUTED_VALUE"""),"صيدلية")</f>
        <v>صيدلية</v>
      </c>
      <c r="E336" s="5" t="str">
        <f ca="1">IFERROR(__xludf.DUMMYFUNCTION("""COMPUTED_VALUE"""),"صيدلية")</f>
        <v>صيدلية</v>
      </c>
      <c r="F336" s="5" t="str">
        <f ca="1">IFERROR(__xludf.DUMMYFUNCTION("""COMPUTED_VALUE"""),"صيدلية (أدوية ومستلزمات طبية)")</f>
        <v>صيدلية (أدوية ومستلزمات طبية)</v>
      </c>
      <c r="G336" s="5" t="str">
        <f ca="1">IFERROR(__xludf.DUMMYFUNCTION("""COMPUTED_VALUE"""),"صيدلية د- سحر محمد محمد نمير")</f>
        <v>صيدلية د- سحر محمد محمد نمير</v>
      </c>
      <c r="H336" s="5" t="str">
        <f ca="1">IFERROR(__xludf.DUMMYFUNCTION("""COMPUTED_VALUE"""),"شارع العجمى  - ادكو-البحيرة")</f>
        <v>شارع العجمى  - ادكو-البحيرة</v>
      </c>
      <c r="I336" s="6" t="str">
        <f ca="1">IFERROR(__xludf.DUMMYFUNCTION("""COMPUTED_VALUE"""),"20452902200")</f>
        <v>20452902200</v>
      </c>
      <c r="J336" s="6"/>
      <c r="K336" s="6" t="str">
        <f ca="1">IFERROR(__xludf.DUMMYFUNCTION("""COMPUTED_VALUE"""),"خصم 11% محلي و 5% المستورد")</f>
        <v>خصم 11% محلي و 5% المستورد</v>
      </c>
    </row>
    <row r="337" spans="1:11" x14ac:dyDescent="0.25">
      <c r="A337" s="4" t="str">
        <f ca="1">IFERROR(__xludf.DUMMYFUNCTION("""COMPUTED_VALUE"""),"104084")</f>
        <v>104084</v>
      </c>
      <c r="B337" s="5" t="str">
        <f ca="1">IFERROR(__xludf.DUMMYFUNCTION("""COMPUTED_VALUE"""),"البحيرة")</f>
        <v>البحيرة</v>
      </c>
      <c r="C337" s="5" t="str">
        <f ca="1">IFERROR(__xludf.DUMMYFUNCTION("""COMPUTED_VALUE"""),"دمنهور")</f>
        <v>دمنهور</v>
      </c>
      <c r="D337" s="5" t="str">
        <f ca="1">IFERROR(__xludf.DUMMYFUNCTION("""COMPUTED_VALUE"""),"صيدلية")</f>
        <v>صيدلية</v>
      </c>
      <c r="E337" s="5" t="str">
        <f ca="1">IFERROR(__xludf.DUMMYFUNCTION("""COMPUTED_VALUE"""),"صيدلية")</f>
        <v>صيدلية</v>
      </c>
      <c r="F337" s="5" t="str">
        <f ca="1">IFERROR(__xludf.DUMMYFUNCTION("""COMPUTED_VALUE"""),"صيدلية (أدوية ومستلزمات طبية)")</f>
        <v>صيدلية (أدوية ومستلزمات طبية)</v>
      </c>
      <c r="G337" s="5" t="str">
        <f ca="1">IFERROR(__xludf.DUMMYFUNCTION("""COMPUTED_VALUE"""),"صيدلية د/ غادة الخولي")</f>
        <v>صيدلية د/ غادة الخولي</v>
      </c>
      <c r="H337" s="5" t="str">
        <f ca="1">IFERROR(__xludf.DUMMYFUNCTION("""COMPUTED_VALUE"""),"شارع الجيش امام مديرية الامن الجديدة-دمنهور-البحيرة")</f>
        <v>شارع الجيش امام مديرية الامن الجديدة-دمنهور-البحيرة</v>
      </c>
      <c r="I337" s="6" t="str">
        <f ca="1">IFERROR(__xludf.DUMMYFUNCTION("""COMPUTED_VALUE"""),"01147900006")</f>
        <v>01147900006</v>
      </c>
      <c r="J337" s="6"/>
      <c r="K337" s="6" t="str">
        <f ca="1">IFERROR(__xludf.DUMMYFUNCTION("""COMPUTED_VALUE"""),"خصم 14% علي المحلي و 5% علي المستورد")</f>
        <v>خصم 14% علي المحلي و 5% علي المستورد</v>
      </c>
    </row>
    <row r="338" spans="1:11" x14ac:dyDescent="0.25">
      <c r="A338" s="4" t="str">
        <f ca="1">IFERROR(__xludf.DUMMYFUNCTION("""COMPUTED_VALUE"""),"3585")</f>
        <v>3585</v>
      </c>
      <c r="B338" s="5" t="str">
        <f ca="1">IFERROR(__xludf.DUMMYFUNCTION("""COMPUTED_VALUE"""),"البحيرة")</f>
        <v>البحيرة</v>
      </c>
      <c r="C338" s="5" t="str">
        <f ca="1">IFERROR(__xludf.DUMMYFUNCTION("""COMPUTED_VALUE"""),"دمنهور")</f>
        <v>دمنهور</v>
      </c>
      <c r="D338" s="5" t="str">
        <f ca="1">IFERROR(__xludf.DUMMYFUNCTION("""COMPUTED_VALUE"""),"صيدلية")</f>
        <v>صيدلية</v>
      </c>
      <c r="E338" s="5" t="str">
        <f ca="1">IFERROR(__xludf.DUMMYFUNCTION("""COMPUTED_VALUE"""),"صيدلية")</f>
        <v>صيدلية</v>
      </c>
      <c r="F338" s="5" t="str">
        <f ca="1">IFERROR(__xludf.DUMMYFUNCTION("""COMPUTED_VALUE"""),"صيدلية (أدوية ومستلزمات طبية)")</f>
        <v>صيدلية (أدوية ومستلزمات طبية)</v>
      </c>
      <c r="G338" s="5" t="str">
        <f ca="1">IFERROR(__xludf.DUMMYFUNCTION("""COMPUTED_VALUE"""),"صيدلية د/ياسر حموده")</f>
        <v>صيدلية د/ياسر حموده</v>
      </c>
      <c r="H338" s="5" t="str">
        <f ca="1">IFERROR(__xludf.DUMMYFUNCTION("""COMPUTED_VALUE"""),"شارع السجن خلف البنك الأهلي امام نادي الشرطة-دمنهور-البحيرة")</f>
        <v>شارع السجن خلف البنك الأهلي امام نادي الشرطة-دمنهور-البحيرة</v>
      </c>
      <c r="I338" s="6" t="str">
        <f ca="1">IFERROR(__xludf.DUMMYFUNCTION("""COMPUTED_VALUE"""),"20453308380")</f>
        <v>20453308380</v>
      </c>
      <c r="J338" s="6"/>
      <c r="K338" s="6" t="str">
        <f ca="1">IFERROR(__xludf.DUMMYFUNCTION("""COMPUTED_VALUE"""),"خصم 10% علي كل الادويه.")</f>
        <v>خصم 10% علي كل الادويه.</v>
      </c>
    </row>
    <row r="339" spans="1:11" x14ac:dyDescent="0.25">
      <c r="A339" s="4" t="str">
        <f ca="1">IFERROR(__xludf.DUMMYFUNCTION("""COMPUTED_VALUE"""),"104511")</f>
        <v>104511</v>
      </c>
      <c r="B339" s="5" t="str">
        <f ca="1">IFERROR(__xludf.DUMMYFUNCTION("""COMPUTED_VALUE"""),"الجيزة")</f>
        <v>الجيزة</v>
      </c>
      <c r="C339" s="5" t="str">
        <f ca="1">IFERROR(__xludf.DUMMYFUNCTION("""COMPUTED_VALUE"""),"العياط")</f>
        <v>العياط</v>
      </c>
      <c r="D339" s="5" t="str">
        <f ca="1">IFERROR(__xludf.DUMMYFUNCTION("""COMPUTED_VALUE"""),"صيدلية")</f>
        <v>صيدلية</v>
      </c>
      <c r="E339" s="5" t="str">
        <f ca="1">IFERROR(__xludf.DUMMYFUNCTION("""COMPUTED_VALUE"""),"صيدلية")</f>
        <v>صيدلية</v>
      </c>
      <c r="F339" s="5" t="str">
        <f ca="1">IFERROR(__xludf.DUMMYFUNCTION("""COMPUTED_VALUE"""),"صيدلية (أدوية ومستلزمات طبية)")</f>
        <v>صيدلية (أدوية ومستلزمات طبية)</v>
      </c>
      <c r="G339" s="5" t="str">
        <f ca="1">IFERROR(__xludf.DUMMYFUNCTION("""COMPUTED_VALUE"""),"صيدلية مستشفى الزهراء")</f>
        <v>صيدلية مستشفى الزهراء</v>
      </c>
      <c r="H339" s="5" t="str">
        <f ca="1">IFERROR(__xludf.DUMMYFUNCTION("""COMPUTED_VALUE"""),"العياط ش الجيش بجوار الادارة الزراعية-العياط-الجيزة")</f>
        <v>العياط ش الجيش بجوار الادارة الزراعية-العياط-الجيزة</v>
      </c>
      <c r="I339" s="6" t="str">
        <f ca="1">IFERROR(__xludf.DUMMYFUNCTION("""COMPUTED_VALUE"""),"01112010111")</f>
        <v>01112010111</v>
      </c>
      <c r="J339" s="6"/>
      <c r="K339" s="6" t="str">
        <f ca="1">IFERROR(__xludf.DUMMYFUNCTION("""COMPUTED_VALUE"""),"خصم 8% علي المحلي و 5% علي المستورد")</f>
        <v>خصم 8% علي المحلي و 5% علي المستورد</v>
      </c>
    </row>
    <row r="340" spans="1:11" x14ac:dyDescent="0.25">
      <c r="A340" s="4" t="str">
        <f ca="1">IFERROR(__xludf.DUMMYFUNCTION("""COMPUTED_VALUE"""),"103912")</f>
        <v>103912</v>
      </c>
      <c r="B340" s="5" t="str">
        <f ca="1">IFERROR(__xludf.DUMMYFUNCTION("""COMPUTED_VALUE"""),"الدقهلية")</f>
        <v>الدقهلية</v>
      </c>
      <c r="C340" s="5" t="str">
        <f ca="1">IFERROR(__xludf.DUMMYFUNCTION("""COMPUTED_VALUE"""),"السنبلاوين")</f>
        <v>السنبلاوين</v>
      </c>
      <c r="D340" s="5" t="str">
        <f ca="1">IFERROR(__xludf.DUMMYFUNCTION("""COMPUTED_VALUE"""),"صيدلية")</f>
        <v>صيدلية</v>
      </c>
      <c r="E340" s="5" t="str">
        <f ca="1">IFERROR(__xludf.DUMMYFUNCTION("""COMPUTED_VALUE"""),"صيدلية")</f>
        <v>صيدلية</v>
      </c>
      <c r="F340" s="5" t="str">
        <f ca="1">IFERROR(__xludf.DUMMYFUNCTION("""COMPUTED_VALUE"""),"صيدلية (أدوية ومستلزمات طبية)")</f>
        <v>صيدلية (أدوية ومستلزمات طبية)</v>
      </c>
      <c r="G340" s="5" t="str">
        <f ca="1">IFERROR(__xludf.DUMMYFUNCTION("""COMPUTED_VALUE"""),"صيدلية د/ عمرو سمير")</f>
        <v>صيدلية د/ عمرو سمير</v>
      </c>
      <c r="H340" s="5" t="str">
        <f ca="1">IFERROR(__xludf.DUMMYFUNCTION("""COMPUTED_VALUE"""),"ميدان القنطرة - خلف بنك القاهرة - السنبلاوين - الدقهلية")</f>
        <v>ميدان القنطرة - خلف بنك القاهرة - السنبلاوين - الدقهلية</v>
      </c>
      <c r="I340" s="6" t="str">
        <f ca="1">IFERROR(__xludf.DUMMYFUNCTION("""COMPUTED_VALUE"""),"20506694567")</f>
        <v>20506694567</v>
      </c>
      <c r="J340" s="6"/>
      <c r="K340" s="6" t="str">
        <f ca="1">IFERROR(__xludf.DUMMYFUNCTION("""COMPUTED_VALUE"""),"خصم 16% علي كل الادويه")</f>
        <v>خصم 16% علي كل الادويه</v>
      </c>
    </row>
    <row r="341" spans="1:11" x14ac:dyDescent="0.25">
      <c r="A341" s="4" t="str">
        <f ca="1">IFERROR(__xludf.DUMMYFUNCTION("""COMPUTED_VALUE"""),"1683-B")</f>
        <v>1683-B</v>
      </c>
      <c r="B341" s="5" t="str">
        <f ca="1">IFERROR(__xludf.DUMMYFUNCTION("""COMPUTED_VALUE"""),"الدقهلية")</f>
        <v>الدقهلية</v>
      </c>
      <c r="C341" s="5" t="str">
        <f ca="1">IFERROR(__xludf.DUMMYFUNCTION("""COMPUTED_VALUE"""),"المنصورة")</f>
        <v>المنصورة</v>
      </c>
      <c r="D341" s="5" t="str">
        <f ca="1">IFERROR(__xludf.DUMMYFUNCTION("""COMPUTED_VALUE"""),"صيدلية")</f>
        <v>صيدلية</v>
      </c>
      <c r="E341" s="5" t="str">
        <f ca="1">IFERROR(__xludf.DUMMYFUNCTION("""COMPUTED_VALUE"""),"صيدلية")</f>
        <v>صيدلية</v>
      </c>
      <c r="F341" s="5" t="str">
        <f ca="1">IFERROR(__xludf.DUMMYFUNCTION("""COMPUTED_VALUE"""),"صيدلية (أدوية ومستلزمات طبية)")</f>
        <v>صيدلية (أدوية ومستلزمات طبية)</v>
      </c>
      <c r="G34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41" s="5" t="str">
        <f ca="1">IFERROR(__xludf.DUMMYFUNCTION("""COMPUTED_VALUE"""),"شارع الجمهورية - برج أبو طوق-المنصورة-الدقهلية")</f>
        <v>شارع الجمهورية - برج أبو طوق-المنصورة-الدقهلية</v>
      </c>
      <c r="I341" s="6" t="str">
        <f ca="1">IFERROR(__xludf.DUMMYFUNCTION("""COMPUTED_VALUE"""),"1110079632
")</f>
        <v xml:space="preserve">1110079632
</v>
      </c>
      <c r="J341" s="6" t="str">
        <f ca="1">IFERROR(__xludf.DUMMYFUNCTION("""COMPUTED_VALUE"""),"19600")</f>
        <v>19600</v>
      </c>
      <c r="K341" s="6" t="str">
        <f ca="1">IFERROR(__xludf.DUMMYFUNCTION("""COMPUTED_VALUE"""),"7.5 % على المحلى ,5% على المستلزمات الطبية و التجميل")</f>
        <v>7.5 % على المحلى ,5% على المستلزمات الطبية و التجميل</v>
      </c>
    </row>
    <row r="342" spans="1:11" x14ac:dyDescent="0.25">
      <c r="A342" s="4" t="str">
        <f ca="1">IFERROR(__xludf.DUMMYFUNCTION("""COMPUTED_VALUE"""),"1683-B")</f>
        <v>1683-B</v>
      </c>
      <c r="B342" s="5" t="str">
        <f ca="1">IFERROR(__xludf.DUMMYFUNCTION("""COMPUTED_VALUE"""),"الدقهلية")</f>
        <v>الدقهلية</v>
      </c>
      <c r="C342" s="5" t="str">
        <f ca="1">IFERROR(__xludf.DUMMYFUNCTION("""COMPUTED_VALUE"""),"المنصورة")</f>
        <v>المنصورة</v>
      </c>
      <c r="D342" s="5" t="str">
        <f ca="1">IFERROR(__xludf.DUMMYFUNCTION("""COMPUTED_VALUE"""),"صيدلية")</f>
        <v>صيدلية</v>
      </c>
      <c r="E342" s="5" t="str">
        <f ca="1">IFERROR(__xludf.DUMMYFUNCTION("""COMPUTED_VALUE"""),"صيدلية")</f>
        <v>صيدلية</v>
      </c>
      <c r="F342" s="5" t="str">
        <f ca="1">IFERROR(__xludf.DUMMYFUNCTION("""COMPUTED_VALUE"""),"صيدلية (أدوية ومستلزمات طبية)")</f>
        <v>صيدلية (أدوية ومستلزمات طبية)</v>
      </c>
      <c r="G34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42" s="5" t="str">
        <f ca="1">IFERROR(__xludf.DUMMYFUNCTION("""COMPUTED_VALUE"""),"شارع حسنى مبارك - المشاية السفلية - برج المعمورة بجوار فندق مارشال-المنصورة-الدقهلية")</f>
        <v>شارع حسنى مبارك - المشاية السفلية - برج المعمورة بجوار فندق مارشال-المنصورة-الدقهلية</v>
      </c>
      <c r="I342" s="6" t="str">
        <f ca="1">IFERROR(__xludf.DUMMYFUNCTION("""COMPUTED_VALUE"""),"1110079631
")</f>
        <v xml:space="preserve">1110079631
</v>
      </c>
      <c r="J342" s="6" t="str">
        <f ca="1">IFERROR(__xludf.DUMMYFUNCTION("""COMPUTED_VALUE"""),"19600")</f>
        <v>19600</v>
      </c>
      <c r="K342" s="6" t="str">
        <f ca="1">IFERROR(__xludf.DUMMYFUNCTION("""COMPUTED_VALUE"""),"7.5 % على المحلى ,5% على المستلزمات الطبية و التجميل")</f>
        <v>7.5 % على المحلى ,5% على المستلزمات الطبية و التجميل</v>
      </c>
    </row>
    <row r="343" spans="1:11" x14ac:dyDescent="0.25">
      <c r="A343" s="4" t="str">
        <f ca="1">IFERROR(__xludf.DUMMYFUNCTION("""COMPUTED_VALUE"""),"1683-B")</f>
        <v>1683-B</v>
      </c>
      <c r="B343" s="5" t="str">
        <f ca="1">IFERROR(__xludf.DUMMYFUNCTION("""COMPUTED_VALUE"""),"الدقهلية")</f>
        <v>الدقهلية</v>
      </c>
      <c r="C343" s="5" t="str">
        <f ca="1">IFERROR(__xludf.DUMMYFUNCTION("""COMPUTED_VALUE"""),"المنصورة")</f>
        <v>المنصورة</v>
      </c>
      <c r="D343" s="5" t="str">
        <f ca="1">IFERROR(__xludf.DUMMYFUNCTION("""COMPUTED_VALUE"""),"صيدلية")</f>
        <v>صيدلية</v>
      </c>
      <c r="E343" s="5" t="str">
        <f ca="1">IFERROR(__xludf.DUMMYFUNCTION("""COMPUTED_VALUE"""),"صيدلية")</f>
        <v>صيدلية</v>
      </c>
      <c r="F343" s="5" t="str">
        <f ca="1">IFERROR(__xludf.DUMMYFUNCTION("""COMPUTED_VALUE"""),"صيدلية (أدوية ومستلزمات طبية)")</f>
        <v>صيدلية (أدوية ومستلزمات طبية)</v>
      </c>
      <c r="G34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43" s="5" t="str">
        <f ca="1">IFERROR(__xludf.DUMMYFUNCTION("""COMPUTED_VALUE"""),"شارع قناة السويس - برج النور-المنصورة-الدقهلية")</f>
        <v>شارع قناة السويس - برج النور-المنصورة-الدقهلية</v>
      </c>
      <c r="I343" s="6" t="str">
        <f ca="1">IFERROR(__xludf.DUMMYFUNCTION("""COMPUTED_VALUE"""),"1110079634
")</f>
        <v xml:space="preserve">1110079634
</v>
      </c>
      <c r="J343" s="6" t="str">
        <f ca="1">IFERROR(__xludf.DUMMYFUNCTION("""COMPUTED_VALUE"""),"19600")</f>
        <v>19600</v>
      </c>
      <c r="K343" s="6" t="str">
        <f ca="1">IFERROR(__xludf.DUMMYFUNCTION("""COMPUTED_VALUE"""),"7.5 % على المحلى ,5% على المستلزمات الطبية و التجميل")</f>
        <v>7.5 % على المحلى ,5% على المستلزمات الطبية و التجميل</v>
      </c>
    </row>
    <row r="344" spans="1:11" x14ac:dyDescent="0.25">
      <c r="A344" s="4" t="str">
        <f ca="1">IFERROR(__xludf.DUMMYFUNCTION("""COMPUTED_VALUE"""),"3019")</f>
        <v>3019</v>
      </c>
      <c r="B344" s="5" t="str">
        <f ca="1">IFERROR(__xludf.DUMMYFUNCTION("""COMPUTED_VALUE"""),"الدقهلية")</f>
        <v>الدقهلية</v>
      </c>
      <c r="C344" s="5" t="str">
        <f ca="1">IFERROR(__xludf.DUMMYFUNCTION("""COMPUTED_VALUE"""),"المنصورة")</f>
        <v>المنصورة</v>
      </c>
      <c r="D344" s="5" t="str">
        <f ca="1">IFERROR(__xludf.DUMMYFUNCTION("""COMPUTED_VALUE"""),"صيدلية")</f>
        <v>صيدلية</v>
      </c>
      <c r="E344" s="5" t="str">
        <f ca="1">IFERROR(__xludf.DUMMYFUNCTION("""COMPUTED_VALUE"""),"صيدلية")</f>
        <v>صيدلية</v>
      </c>
      <c r="F344" s="5" t="str">
        <f ca="1">IFERROR(__xludf.DUMMYFUNCTION("""COMPUTED_VALUE"""),"صيدلية (أدوية ومستلزمات طبية)")</f>
        <v>صيدلية (أدوية ومستلزمات طبية)</v>
      </c>
      <c r="G344" s="5" t="str">
        <f ca="1">IFERROR(__xludf.DUMMYFUNCTION("""COMPUTED_VALUE"""),"صيدلية القطان الجديدة")</f>
        <v>صيدلية القطان الجديدة</v>
      </c>
      <c r="H344" s="5" t="str">
        <f ca="1">IFERROR(__xludf.DUMMYFUNCTION("""COMPUTED_VALUE"""),"شارع الجيش - برج تبارك الأتوبيسي الدولي-المنصورة-الدقهلية")</f>
        <v>شارع الجيش - برج تبارك الأتوبيسي الدولي-المنصورة-الدقهلية</v>
      </c>
      <c r="I344" s="6" t="str">
        <f ca="1">IFERROR(__xludf.DUMMYFUNCTION("""COMPUTED_VALUE"""),"01144894141")</f>
        <v>01144894141</v>
      </c>
      <c r="J344" s="6"/>
      <c r="K344" s="6" t="str">
        <f ca="1">IFERROR(__xludf.DUMMYFUNCTION("""COMPUTED_VALUE"""),"خصم 10% علي المحلي و 5% علي المستورد")</f>
        <v>خصم 10% علي المحلي و 5% علي المستورد</v>
      </c>
    </row>
    <row r="345" spans="1:11" x14ac:dyDescent="0.25">
      <c r="A345" s="4" t="str">
        <f ca="1">IFERROR(__xludf.DUMMYFUNCTION("""COMPUTED_VALUE"""),"1732")</f>
        <v>1732</v>
      </c>
      <c r="B345" s="5" t="str">
        <f ca="1">IFERROR(__xludf.DUMMYFUNCTION("""COMPUTED_VALUE"""),"الدقهلية")</f>
        <v>الدقهلية</v>
      </c>
      <c r="C345" s="5" t="str">
        <f ca="1">IFERROR(__xludf.DUMMYFUNCTION("""COMPUTED_VALUE"""),"دكرنس")</f>
        <v>دكرنس</v>
      </c>
      <c r="D345" s="5" t="str">
        <f ca="1">IFERROR(__xludf.DUMMYFUNCTION("""COMPUTED_VALUE"""),"صيدلية")</f>
        <v>صيدلية</v>
      </c>
      <c r="E345" s="5" t="str">
        <f ca="1">IFERROR(__xludf.DUMMYFUNCTION("""COMPUTED_VALUE"""),"صيدلية")</f>
        <v>صيدلية</v>
      </c>
      <c r="F345" s="5" t="str">
        <f ca="1">IFERROR(__xludf.DUMMYFUNCTION("""COMPUTED_VALUE"""),"صيدلية (أدوية ومستلزمات طبية)")</f>
        <v>صيدلية (أدوية ومستلزمات طبية)</v>
      </c>
      <c r="G345" s="5" t="str">
        <f ca="1">IFERROR(__xludf.DUMMYFUNCTION("""COMPUTED_VALUE"""),"صيدلية د/ وليد محمد عباس")</f>
        <v>صيدلية د/ وليد محمد عباس</v>
      </c>
      <c r="H345" s="5" t="str">
        <f ca="1">IFERROR(__xludf.DUMMYFUNCTION("""COMPUTED_VALUE"""),"ش التامين - بحري - منية النصر - دكرنس- الدقهلية")</f>
        <v>ش التامين - بحري - منية النصر - دكرنس- الدقهلية</v>
      </c>
      <c r="I345" s="6" t="str">
        <f ca="1">IFERROR(__xludf.DUMMYFUNCTION("""COMPUTED_VALUE"""),"20507502445")</f>
        <v>20507502445</v>
      </c>
      <c r="J345" s="6"/>
      <c r="K345" s="6" t="str">
        <f ca="1">IFERROR(__xludf.DUMMYFUNCTION("""COMPUTED_VALUE"""),"خصم 12% علي المحلي ,6%علي المستورد")</f>
        <v>خصم 12% علي المحلي ,6%علي المستورد</v>
      </c>
    </row>
    <row r="346" spans="1:11" x14ac:dyDescent="0.25">
      <c r="A346" s="4" t="str">
        <f ca="1">IFERROR(__xludf.DUMMYFUNCTION("""COMPUTED_VALUE"""),"2822-B")</f>
        <v>2822-B</v>
      </c>
      <c r="B346" s="5" t="str">
        <f ca="1">IFERROR(__xludf.DUMMYFUNCTION("""COMPUTED_VALUE"""),"السويس")</f>
        <v>السويس</v>
      </c>
      <c r="C346" s="5" t="str">
        <f ca="1">IFERROR(__xludf.DUMMYFUNCTION("""COMPUTED_VALUE"""),"العين السخنة")</f>
        <v>العين السخنة</v>
      </c>
      <c r="D346" s="5" t="str">
        <f ca="1">IFERROR(__xludf.DUMMYFUNCTION("""COMPUTED_VALUE"""),"صيدلية")</f>
        <v>صيدلية</v>
      </c>
      <c r="E346" s="5" t="str">
        <f ca="1">IFERROR(__xludf.DUMMYFUNCTION("""COMPUTED_VALUE"""),"صيدلية")</f>
        <v>صيدلية</v>
      </c>
      <c r="F346" s="5" t="str">
        <f ca="1">IFERROR(__xludf.DUMMYFUNCTION("""COMPUTED_VALUE"""),"صيدلية (أدوية ومستلزمات طبية)")</f>
        <v>صيدلية (أدوية ومستلزمات طبية)</v>
      </c>
      <c r="G346" s="5" t="str">
        <f ca="1">IFERROR(__xludf.DUMMYFUNCTION("""COMPUTED_VALUE"""),"صيدليات سيف")</f>
        <v>صيدليات سيف</v>
      </c>
      <c r="H346" s="5" t="str">
        <f ca="1">IFERROR(__xludf.DUMMYFUNCTION("""COMPUTED_VALUE"""),"العين السخنة - الكيلو 92 طريق الزعفرانة - قرية أوشن بلو - السويس .")</f>
        <v>العين السخنة - الكيلو 92 طريق الزعفرانة - قرية أوشن بلو - السويس .</v>
      </c>
      <c r="I346" s="6" t="str">
        <f ca="1">IFERROR(__xludf.DUMMYFUNCTION("""COMPUTED_VALUE"""),"201200000780")</f>
        <v>201200000780</v>
      </c>
      <c r="J346" s="6" t="str">
        <f ca="1">IFERROR(__xludf.DUMMYFUNCTION("""COMPUTED_VALUE"""),"19199")</f>
        <v>19199</v>
      </c>
      <c r="K346"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47" spans="1:11" x14ac:dyDescent="0.25">
      <c r="A347" s="4" t="str">
        <f ca="1">IFERROR(__xludf.DUMMYFUNCTION("""COMPUTED_VALUE"""),"4819")</f>
        <v>4819</v>
      </c>
      <c r="B347" s="5" t="str">
        <f ca="1">IFERROR(__xludf.DUMMYFUNCTION("""COMPUTED_VALUE"""),"الشرقية")</f>
        <v>الشرقية</v>
      </c>
      <c r="C347" s="5" t="str">
        <f ca="1">IFERROR(__xludf.DUMMYFUNCTION("""COMPUTED_VALUE"""),"الابراهيمية")</f>
        <v>الابراهيمية</v>
      </c>
      <c r="D347" s="5" t="str">
        <f ca="1">IFERROR(__xludf.DUMMYFUNCTION("""COMPUTED_VALUE"""),"صيدلية")</f>
        <v>صيدلية</v>
      </c>
      <c r="E347" s="5" t="str">
        <f ca="1">IFERROR(__xludf.DUMMYFUNCTION("""COMPUTED_VALUE"""),"صيدلية")</f>
        <v>صيدلية</v>
      </c>
      <c r="F347" s="5" t="str">
        <f ca="1">IFERROR(__xludf.DUMMYFUNCTION("""COMPUTED_VALUE"""),"صيدلية (أدوية ومستلزمات طبية)")</f>
        <v>صيدلية (أدوية ومستلزمات طبية)</v>
      </c>
      <c r="G347" s="5" t="str">
        <f ca="1">IFERROR(__xludf.DUMMYFUNCTION("""COMPUTED_VALUE"""),"صيدلية المروة بالإبراهمية")</f>
        <v>صيدلية المروة بالإبراهمية</v>
      </c>
      <c r="H347" s="5" t="str">
        <f ca="1">IFERROR(__xludf.DUMMYFUNCTION("""COMPUTED_VALUE"""),"شارع بور سعيد-الإبراهيمية-الشرقية")</f>
        <v>شارع بور سعيد-الإبراهيمية-الشرقية</v>
      </c>
      <c r="I347" s="6" t="str">
        <f ca="1">IFERROR(__xludf.DUMMYFUNCTION("""COMPUTED_VALUE"""),"20552590165")</f>
        <v>20552590165</v>
      </c>
      <c r="J347" s="6"/>
      <c r="K347" s="6" t="str">
        <f ca="1">IFERROR(__xludf.DUMMYFUNCTION("""COMPUTED_VALUE"""),"خصم 10% علي المحلي و 5% علي المستورد")</f>
        <v>خصم 10% علي المحلي و 5% علي المستورد</v>
      </c>
    </row>
    <row r="348" spans="1:11" x14ac:dyDescent="0.25">
      <c r="A348" s="4" t="str">
        <f ca="1">IFERROR(__xludf.DUMMYFUNCTION("""COMPUTED_VALUE"""),"4834")</f>
        <v>4834</v>
      </c>
      <c r="B348" s="5" t="str">
        <f ca="1">IFERROR(__xludf.DUMMYFUNCTION("""COMPUTED_VALUE"""),"الشرقية")</f>
        <v>الشرقية</v>
      </c>
      <c r="C348" s="5" t="str">
        <f ca="1">IFERROR(__xludf.DUMMYFUNCTION("""COMPUTED_VALUE"""),"الزقازيق")</f>
        <v>الزقازيق</v>
      </c>
      <c r="D348" s="5" t="str">
        <f ca="1">IFERROR(__xludf.DUMMYFUNCTION("""COMPUTED_VALUE"""),"صيدلية")</f>
        <v>صيدلية</v>
      </c>
      <c r="E348" s="5" t="str">
        <f ca="1">IFERROR(__xludf.DUMMYFUNCTION("""COMPUTED_VALUE"""),"صيدلية")</f>
        <v>صيدلية</v>
      </c>
      <c r="F348" s="5" t="str">
        <f ca="1">IFERROR(__xludf.DUMMYFUNCTION("""COMPUTED_VALUE"""),"صيدلية (أدوية ومستلزمات طبية)")</f>
        <v>صيدلية (أدوية ومستلزمات طبية)</v>
      </c>
      <c r="G348" s="5" t="str">
        <f ca="1">IFERROR(__xludf.DUMMYFUNCTION("""COMPUTED_VALUE"""),"صيدلية د/ أكرم عبدالله")</f>
        <v>صيدلية د/ أكرم عبدالله</v>
      </c>
      <c r="H348" s="5" t="str">
        <f ca="1">IFERROR(__xludf.DUMMYFUNCTION("""COMPUTED_VALUE"""),"8 شارع مسجد الزهراء - منشية السادات - بجوار مستشفى التيسير الدولي - الزقازيق - الشرقية")</f>
        <v>8 شارع مسجد الزهراء - منشية السادات - بجوار مستشفى التيسير الدولي - الزقازيق - الشرقية</v>
      </c>
      <c r="I348" s="6" t="str">
        <f ca="1">IFERROR(__xludf.DUMMYFUNCTION("""COMPUTED_VALUE"""),"201006211974")</f>
        <v>201006211974</v>
      </c>
      <c r="J348" s="6"/>
      <c r="K348" s="6" t="str">
        <f ca="1">IFERROR(__xludf.DUMMYFUNCTION("""COMPUTED_VALUE"""),"خصم 12% علي كل الادويه")</f>
        <v>خصم 12% علي كل الادويه</v>
      </c>
    </row>
    <row r="349" spans="1:11" x14ac:dyDescent="0.25">
      <c r="A349" s="4" t="str">
        <f ca="1">IFERROR(__xludf.DUMMYFUNCTION("""COMPUTED_VALUE"""),"104166")</f>
        <v>104166</v>
      </c>
      <c r="B349" s="5" t="str">
        <f ca="1">IFERROR(__xludf.DUMMYFUNCTION("""COMPUTED_VALUE"""),"الشرقية")</f>
        <v>الشرقية</v>
      </c>
      <c r="C349" s="5" t="str">
        <f ca="1">IFERROR(__xludf.DUMMYFUNCTION("""COMPUTED_VALUE"""),"ديرب نجم")</f>
        <v>ديرب نجم</v>
      </c>
      <c r="D349" s="5" t="str">
        <f ca="1">IFERROR(__xludf.DUMMYFUNCTION("""COMPUTED_VALUE"""),"صيدلية")</f>
        <v>صيدلية</v>
      </c>
      <c r="E349" s="5" t="str">
        <f ca="1">IFERROR(__xludf.DUMMYFUNCTION("""COMPUTED_VALUE"""),"صيدلية")</f>
        <v>صيدلية</v>
      </c>
      <c r="F349" s="5" t="str">
        <f ca="1">IFERROR(__xludf.DUMMYFUNCTION("""COMPUTED_VALUE"""),"صيدلية (أدوية ومستلزمات طبية)")</f>
        <v>صيدلية (أدوية ومستلزمات طبية)</v>
      </c>
      <c r="G349" s="5" t="str">
        <f ca="1">IFERROR(__xludf.DUMMYFUNCTION("""COMPUTED_VALUE"""),"صيدلية د . بلال")</f>
        <v>صيدلية د . بلال</v>
      </c>
      <c r="H349" s="5" t="str">
        <f ca="1">IFERROR(__xludf.DUMMYFUNCTION("""COMPUTED_VALUE"""),"شارع المرور - مدينة ديرب نجم - الشرقية .")</f>
        <v>شارع المرور - مدينة ديرب نجم - الشرقية .</v>
      </c>
      <c r="I349" s="6" t="str">
        <f ca="1">IFERROR(__xludf.DUMMYFUNCTION("""COMPUTED_VALUE"""),"20553769645")</f>
        <v>20553769645</v>
      </c>
      <c r="J349" s="6"/>
      <c r="K349" s="6" t="str">
        <f ca="1">IFERROR(__xludf.DUMMYFUNCTION("""COMPUTED_VALUE"""),"خصم 12% علي المحلي و 6% علي المستورد")</f>
        <v>خصم 12% علي المحلي و 6% علي المستورد</v>
      </c>
    </row>
    <row r="350" spans="1:11" x14ac:dyDescent="0.25">
      <c r="A350" s="4" t="str">
        <f ca="1">IFERROR(__xludf.DUMMYFUNCTION("""COMPUTED_VALUE"""),"4131")</f>
        <v>4131</v>
      </c>
      <c r="B350" s="5" t="str">
        <f ca="1">IFERROR(__xludf.DUMMYFUNCTION("""COMPUTED_VALUE"""),"الشرقية")</f>
        <v>الشرقية</v>
      </c>
      <c r="C350" s="5" t="str">
        <f ca="1">IFERROR(__xludf.DUMMYFUNCTION("""COMPUTED_VALUE"""),"ههيا")</f>
        <v>ههيا</v>
      </c>
      <c r="D350" s="5" t="str">
        <f ca="1">IFERROR(__xludf.DUMMYFUNCTION("""COMPUTED_VALUE"""),"صيدلية")</f>
        <v>صيدلية</v>
      </c>
      <c r="E350" s="5" t="str">
        <f ca="1">IFERROR(__xludf.DUMMYFUNCTION("""COMPUTED_VALUE"""),"صيدلية")</f>
        <v>صيدلية</v>
      </c>
      <c r="F350" s="5" t="str">
        <f ca="1">IFERROR(__xludf.DUMMYFUNCTION("""COMPUTED_VALUE"""),"صيدلية (أدوية ومستلزمات طبية)")</f>
        <v>صيدلية (أدوية ومستلزمات طبية)</v>
      </c>
      <c r="G350" s="5" t="str">
        <f ca="1">IFERROR(__xludf.DUMMYFUNCTION("""COMPUTED_VALUE"""),"صيدلية د/ محمد البدري - الشرقية")</f>
        <v>صيدلية د/ محمد البدري - الشرقية</v>
      </c>
      <c r="H350" s="5" t="str">
        <f ca="1">IFERROR(__xludf.DUMMYFUNCTION("""COMPUTED_VALUE"""),"شارع عمر بن الخطاب -ههيا-الشرقية")</f>
        <v>شارع عمر بن الخطاب -ههيا-الشرقية</v>
      </c>
      <c r="I350" s="6" t="str">
        <f ca="1">IFERROR(__xludf.DUMMYFUNCTION("""COMPUTED_VALUE"""),"20552555244")</f>
        <v>20552555244</v>
      </c>
      <c r="J350" s="6"/>
      <c r="K350" s="6" t="str">
        <f ca="1">IFERROR(__xludf.DUMMYFUNCTION("""COMPUTED_VALUE"""),"خصم 10% علي المحلي و 5% علي المستورد")</f>
        <v>خصم 10% علي المحلي و 5% علي المستورد</v>
      </c>
    </row>
    <row r="351" spans="1:11" x14ac:dyDescent="0.25">
      <c r="A351" s="4" t="str">
        <f ca="1">IFERROR(__xludf.DUMMYFUNCTION("""COMPUTED_VALUE"""),"2153")</f>
        <v>2153</v>
      </c>
      <c r="B351" s="5" t="str">
        <f ca="1">IFERROR(__xludf.DUMMYFUNCTION("""COMPUTED_VALUE"""),"الغربية")</f>
        <v>الغربية</v>
      </c>
      <c r="C351" s="5" t="str">
        <f ca="1">IFERROR(__xludf.DUMMYFUNCTION("""COMPUTED_VALUE"""),"زفتى")</f>
        <v>زفتى</v>
      </c>
      <c r="D351" s="5" t="str">
        <f ca="1">IFERROR(__xludf.DUMMYFUNCTION("""COMPUTED_VALUE"""),"صيدلية")</f>
        <v>صيدلية</v>
      </c>
      <c r="E351" s="5" t="str">
        <f ca="1">IFERROR(__xludf.DUMMYFUNCTION("""COMPUTED_VALUE"""),"صيدلية")</f>
        <v>صيدلية</v>
      </c>
      <c r="F351" s="5" t="str">
        <f ca="1">IFERROR(__xludf.DUMMYFUNCTION("""COMPUTED_VALUE"""),"صيدلية (أدوية ومستلزمات طبية)")</f>
        <v>صيدلية (أدوية ومستلزمات طبية)</v>
      </c>
      <c r="G351" s="5" t="str">
        <f ca="1">IFERROR(__xludf.DUMMYFUNCTION("""COMPUTED_VALUE"""),"صيدلية الانوار")</f>
        <v>صيدلية الانوار</v>
      </c>
      <c r="H351" s="5" t="str">
        <f ca="1">IFERROR(__xludf.DUMMYFUNCTION("""COMPUTED_VALUE"""),"شارع الجمهورية-زفتى-الغربية")</f>
        <v>شارع الجمهورية-زفتى-الغربية</v>
      </c>
      <c r="I351" s="6" t="str">
        <f ca="1">IFERROR(__xludf.DUMMYFUNCTION("""COMPUTED_VALUE"""),"20405701901")</f>
        <v>20405701901</v>
      </c>
      <c r="J351" s="6"/>
      <c r="K351" s="6" t="str">
        <f ca="1">IFERROR(__xludf.DUMMYFUNCTION("""COMPUTED_VALUE"""),"خصم 10% علي المحلي و 5% علي المستورد")</f>
        <v>خصم 10% علي المحلي و 5% علي المستورد</v>
      </c>
    </row>
    <row r="352" spans="1:11" x14ac:dyDescent="0.25">
      <c r="A352" s="4" t="str">
        <f ca="1">IFERROR(__xludf.DUMMYFUNCTION("""COMPUTED_VALUE"""),"1760")</f>
        <v>1760</v>
      </c>
      <c r="B352" s="5" t="str">
        <f ca="1">IFERROR(__xludf.DUMMYFUNCTION("""COMPUTED_VALUE"""),"الغربية")</f>
        <v>الغربية</v>
      </c>
      <c r="C352" s="5" t="str">
        <f ca="1">IFERROR(__xludf.DUMMYFUNCTION("""COMPUTED_VALUE"""),"طنطا")</f>
        <v>طنطا</v>
      </c>
      <c r="D352" s="5" t="str">
        <f ca="1">IFERROR(__xludf.DUMMYFUNCTION("""COMPUTED_VALUE"""),"صيدلية")</f>
        <v>صيدلية</v>
      </c>
      <c r="E352" s="5" t="str">
        <f ca="1">IFERROR(__xludf.DUMMYFUNCTION("""COMPUTED_VALUE"""),"صيدلية")</f>
        <v>صيدلية</v>
      </c>
      <c r="F352" s="5" t="str">
        <f ca="1">IFERROR(__xludf.DUMMYFUNCTION("""COMPUTED_VALUE"""),"صيدلية (أدوية ومستلزمات طبية)")</f>
        <v>صيدلية (أدوية ومستلزمات طبية)</v>
      </c>
      <c r="G352" s="5" t="str">
        <f ca="1">IFERROR(__xludf.DUMMYFUNCTION("""COMPUTED_VALUE"""),"صيدلية الصيرفى - طنطا")</f>
        <v>صيدلية الصيرفى - طنطا</v>
      </c>
      <c r="H352" s="5" t="str">
        <f ca="1">IFERROR(__xludf.DUMMYFUNCTION("""COMPUTED_VALUE"""),"38 شارع طه الحكيم بجوار البوستة القديمة-طنطا-الغربية")</f>
        <v>38 شارع طه الحكيم بجوار البوستة القديمة-طنطا-الغربية</v>
      </c>
      <c r="I352" s="6" t="str">
        <f ca="1">IFERROR(__xludf.DUMMYFUNCTION("""COMPUTED_VALUE"""),"20403331232")</f>
        <v>20403331232</v>
      </c>
      <c r="J352" s="6"/>
      <c r="K352" s="6" t="str">
        <f ca="1">IFERROR(__xludf.DUMMYFUNCTION("""COMPUTED_VALUE"""),"خصم 12% علي المحلي ,6%علي المستورد")</f>
        <v>خصم 12% علي المحلي ,6%علي المستورد</v>
      </c>
    </row>
    <row r="353" spans="1:11" x14ac:dyDescent="0.25">
      <c r="A353" s="4" t="str">
        <f ca="1">IFERROR(__xludf.DUMMYFUNCTION("""COMPUTED_VALUE"""),"3158")</f>
        <v>3158</v>
      </c>
      <c r="B353" s="5" t="str">
        <f ca="1">IFERROR(__xludf.DUMMYFUNCTION("""COMPUTED_VALUE"""),"الغربية")</f>
        <v>الغربية</v>
      </c>
      <c r="C353" s="5" t="str">
        <f ca="1">IFERROR(__xludf.DUMMYFUNCTION("""COMPUTED_VALUE"""),"طنطا")</f>
        <v>طنطا</v>
      </c>
      <c r="D353" s="5" t="str">
        <f ca="1">IFERROR(__xludf.DUMMYFUNCTION("""COMPUTED_VALUE"""),"صيدلية")</f>
        <v>صيدلية</v>
      </c>
      <c r="E353" s="5" t="str">
        <f ca="1">IFERROR(__xludf.DUMMYFUNCTION("""COMPUTED_VALUE"""),"صيدلية")</f>
        <v>صيدلية</v>
      </c>
      <c r="F353" s="5" t="str">
        <f ca="1">IFERROR(__xludf.DUMMYFUNCTION("""COMPUTED_VALUE"""),"صيدلية (أدوية ومستلزمات طبية)")</f>
        <v>صيدلية (أدوية ومستلزمات طبية)</v>
      </c>
      <c r="G353" s="5" t="str">
        <f ca="1">IFERROR(__xludf.DUMMYFUNCTION("""COMPUTED_VALUE"""),"صيدلية د/ وائل محمد عبد النبى")</f>
        <v>صيدلية د/ وائل محمد عبد النبى</v>
      </c>
      <c r="H353" s="5" t="str">
        <f ca="1">IFERROR(__xludf.DUMMYFUNCTION("""COMPUTED_VALUE"""),"ش كفر عصام تقاطع شارع أنور (ناصية ابو الفضل)-طنطا-الغربية")</f>
        <v>ش كفر عصام تقاطع شارع أنور (ناصية ابو الفضل)-طنطا-الغربية</v>
      </c>
      <c r="I353" s="6" t="str">
        <f ca="1">IFERROR(__xludf.DUMMYFUNCTION("""COMPUTED_VALUE"""),"20403344588")</f>
        <v>20403344588</v>
      </c>
      <c r="J353" s="6"/>
      <c r="K353" s="6" t="str">
        <f ca="1">IFERROR(__xludf.DUMMYFUNCTION("""COMPUTED_VALUE"""),"خصم 10% علي كل الادويه")</f>
        <v>خصم 10% علي كل الادويه</v>
      </c>
    </row>
    <row r="354" spans="1:11" x14ac:dyDescent="0.25">
      <c r="A354" s="4" t="str">
        <f ca="1">IFERROR(__xludf.DUMMYFUNCTION("""COMPUTED_VALUE"""),"103992")</f>
        <v>103992</v>
      </c>
      <c r="B354" s="5" t="str">
        <f ca="1">IFERROR(__xludf.DUMMYFUNCTION("""COMPUTED_VALUE"""),"الغربية")</f>
        <v>الغربية</v>
      </c>
      <c r="C354" s="5" t="str">
        <f ca="1">IFERROR(__xludf.DUMMYFUNCTION("""COMPUTED_VALUE"""),"كفر الزيات")</f>
        <v>كفر الزيات</v>
      </c>
      <c r="D354" s="5" t="str">
        <f ca="1">IFERROR(__xludf.DUMMYFUNCTION("""COMPUTED_VALUE"""),"صيدلية")</f>
        <v>صيدلية</v>
      </c>
      <c r="E354" s="5" t="str">
        <f ca="1">IFERROR(__xludf.DUMMYFUNCTION("""COMPUTED_VALUE"""),"صيدلية")</f>
        <v>صيدلية</v>
      </c>
      <c r="F354" s="5" t="str">
        <f ca="1">IFERROR(__xludf.DUMMYFUNCTION("""COMPUTED_VALUE"""),"صيدلية (أدوية ومستلزمات طبية)")</f>
        <v>صيدلية (أدوية ومستلزمات طبية)</v>
      </c>
      <c r="G354" s="5" t="str">
        <f ca="1">IFERROR(__xludf.DUMMYFUNCTION("""COMPUTED_VALUE"""),"صيدلية د/ محمد امين ابو هانى")</f>
        <v>صيدلية د/ محمد امين ابو هانى</v>
      </c>
      <c r="H354" s="5" t="str">
        <f ca="1">IFERROR(__xludf.DUMMYFUNCTION("""COMPUTED_VALUE"""),"4 شارع عرابى- خلف موقف الاتوبيس - كفر الزيات -الغربية")</f>
        <v>4 شارع عرابى- خلف موقف الاتوبيس - كفر الزيات -الغربية</v>
      </c>
      <c r="I354" s="6" t="str">
        <f ca="1">IFERROR(__xludf.DUMMYFUNCTION("""COMPUTED_VALUE"""),"20402534566")</f>
        <v>20402534566</v>
      </c>
      <c r="J354" s="6"/>
      <c r="K354" s="6" t="str">
        <f ca="1">IFERROR(__xludf.DUMMYFUNCTION("""COMPUTED_VALUE"""),"خصم 8% علي كل الادويه")</f>
        <v>خصم 8% علي كل الادويه</v>
      </c>
    </row>
    <row r="355" spans="1:11" x14ac:dyDescent="0.25">
      <c r="A355" s="4" t="str">
        <f ca="1">IFERROR(__xludf.DUMMYFUNCTION("""COMPUTED_VALUE"""),"104230")</f>
        <v>104230</v>
      </c>
      <c r="B355" s="5" t="str">
        <f ca="1">IFERROR(__xludf.DUMMYFUNCTION("""COMPUTED_VALUE"""),"الفيوم")</f>
        <v>الفيوم</v>
      </c>
      <c r="C355" s="5" t="str">
        <f ca="1">IFERROR(__xludf.DUMMYFUNCTION("""COMPUTED_VALUE"""),"الفيوم")</f>
        <v>الفيوم</v>
      </c>
      <c r="D355" s="5" t="str">
        <f ca="1">IFERROR(__xludf.DUMMYFUNCTION("""COMPUTED_VALUE"""),"صيدلية")</f>
        <v>صيدلية</v>
      </c>
      <c r="E355" s="5" t="str">
        <f ca="1">IFERROR(__xludf.DUMMYFUNCTION("""COMPUTED_VALUE"""),"صيدلية")</f>
        <v>صيدلية</v>
      </c>
      <c r="F355" s="5" t="str">
        <f ca="1">IFERROR(__xludf.DUMMYFUNCTION("""COMPUTED_VALUE"""),"صيدلية (أدوية ومستلزمات طبية)")</f>
        <v>صيدلية (أدوية ومستلزمات طبية)</v>
      </c>
      <c r="G355" s="5" t="str">
        <f ca="1">IFERROR(__xludf.DUMMYFUNCTION("""COMPUTED_VALUE"""),"صيدلية- د . أحمد محمد بكير")</f>
        <v>صيدلية- د . أحمد محمد بكير</v>
      </c>
      <c r="H355" s="5" t="str">
        <f ca="1">IFERROR(__xludf.DUMMYFUNCTION("""COMPUTED_VALUE"""),"شارع جورج نيورز حى الاصلاح الزراعى - شارع الاصلاح الزراعى - - خلف جمعية رسالة -  - الفيوم .")</f>
        <v>شارع جورج نيورز حى الاصلاح الزراعى - شارع الاصلاح الزراعى - - خلف جمعية رسالة -  - الفيوم .</v>
      </c>
      <c r="I355" s="6" t="str">
        <f ca="1">IFERROR(__xludf.DUMMYFUNCTION("""COMPUTED_VALUE"""),"20842152000")</f>
        <v>20842152000</v>
      </c>
      <c r="J355" s="6"/>
      <c r="K355" s="6" t="str">
        <f ca="1">IFERROR(__xludf.DUMMYFUNCTION("""COMPUTED_VALUE"""),"خصم 15% علي المحلي و 6% علي المستورد")</f>
        <v>خصم 15% علي المحلي و 6% علي المستورد</v>
      </c>
    </row>
    <row r="356" spans="1:11" x14ac:dyDescent="0.25">
      <c r="A356" s="4" t="str">
        <f ca="1">IFERROR(__xludf.DUMMYFUNCTION("""COMPUTED_VALUE"""),"2146")</f>
        <v>2146</v>
      </c>
      <c r="B356" s="5" t="str">
        <f ca="1">IFERROR(__xludf.DUMMYFUNCTION("""COMPUTED_VALUE"""),"الفيوم")</f>
        <v>الفيوم</v>
      </c>
      <c r="C356" s="5" t="str">
        <f ca="1">IFERROR(__xludf.DUMMYFUNCTION("""COMPUTED_VALUE"""),"الفيوم")</f>
        <v>الفيوم</v>
      </c>
      <c r="D356" s="5" t="str">
        <f ca="1">IFERROR(__xludf.DUMMYFUNCTION("""COMPUTED_VALUE"""),"صيدلية")</f>
        <v>صيدلية</v>
      </c>
      <c r="E356" s="5" t="str">
        <f ca="1">IFERROR(__xludf.DUMMYFUNCTION("""COMPUTED_VALUE"""),"صيدلية")</f>
        <v>صيدلية</v>
      </c>
      <c r="F356" s="5" t="str">
        <f ca="1">IFERROR(__xludf.DUMMYFUNCTION("""COMPUTED_VALUE"""),"صيدلية (أدوية ومستلزمات طبية)")</f>
        <v>صيدلية (أدوية ومستلزمات طبية)</v>
      </c>
      <c r="G356" s="5" t="str">
        <f ca="1">IFERROR(__xludf.DUMMYFUNCTION("""COMPUTED_VALUE"""),"صيدلية ابو العلا")</f>
        <v>صيدلية ابو العلا</v>
      </c>
      <c r="H356" s="5" t="str">
        <f ca="1">IFERROR(__xludf.DUMMYFUNCTION("""COMPUTED_VALUE"""),"شارع الحرية - امام قصر الثقافة  - وسط البلد-الفيوم")</f>
        <v>شارع الحرية - امام قصر الثقافة  - وسط البلد-الفيوم</v>
      </c>
      <c r="I356" s="6" t="str">
        <f ca="1">IFERROR(__xludf.DUMMYFUNCTION("""COMPUTED_VALUE"""),"01008008121")</f>
        <v>01008008121</v>
      </c>
      <c r="J356" s="6"/>
      <c r="K356" s="6" t="str">
        <f ca="1">IFERROR(__xludf.DUMMYFUNCTION("""COMPUTED_VALUE"""),"خصم 10% علي المحلي و 5% علي المستورد")</f>
        <v>خصم 10% علي المحلي و 5% علي المستورد</v>
      </c>
    </row>
    <row r="357" spans="1:11" x14ac:dyDescent="0.25">
      <c r="A357" s="4" t="str">
        <f ca="1">IFERROR(__xludf.DUMMYFUNCTION("""COMPUTED_VALUE"""),"3185")</f>
        <v>3185</v>
      </c>
      <c r="B357" s="5" t="str">
        <f ca="1">IFERROR(__xludf.DUMMYFUNCTION("""COMPUTED_VALUE"""),"الفيوم")</f>
        <v>الفيوم</v>
      </c>
      <c r="C357" s="5" t="str">
        <f ca="1">IFERROR(__xludf.DUMMYFUNCTION("""COMPUTED_VALUE"""),"الفيوم")</f>
        <v>الفيوم</v>
      </c>
      <c r="D357" s="5" t="str">
        <f ca="1">IFERROR(__xludf.DUMMYFUNCTION("""COMPUTED_VALUE"""),"صيدلية")</f>
        <v>صيدلية</v>
      </c>
      <c r="E357" s="5" t="str">
        <f ca="1">IFERROR(__xludf.DUMMYFUNCTION("""COMPUTED_VALUE"""),"صيدلية")</f>
        <v>صيدلية</v>
      </c>
      <c r="F357" s="5" t="str">
        <f ca="1">IFERROR(__xludf.DUMMYFUNCTION("""COMPUTED_VALUE"""),"صيدلية (أدوية ومستلزمات طبية)")</f>
        <v>صيدلية (أدوية ومستلزمات طبية)</v>
      </c>
      <c r="G357" s="5" t="str">
        <f ca="1">IFERROR(__xludf.DUMMYFUNCTION("""COMPUTED_VALUE"""),"صيدلية السيد محمد السيد مهدلي")</f>
        <v>صيدلية السيد محمد السيد مهدلي</v>
      </c>
      <c r="H357" s="5" t="str">
        <f ca="1">IFERROR(__xludf.DUMMYFUNCTION("""COMPUTED_VALUE"""),"شارع عدلي يكن برج المعلمين -بجوار استوديو مودرن-الفيوم")</f>
        <v>شارع عدلي يكن برج المعلمين -بجوار استوديو مودرن-الفيوم</v>
      </c>
      <c r="I357" s="6" t="str">
        <f ca="1">IFERROR(__xludf.DUMMYFUNCTION("""COMPUTED_VALUE"""),"01141116264")</f>
        <v>01141116264</v>
      </c>
      <c r="J357" s="6"/>
      <c r="K357" s="6" t="str">
        <f ca="1">IFERROR(__xludf.DUMMYFUNCTION("""COMPUTED_VALUE"""),"خصم 12% علي المحلي و 5% علي المستورد")</f>
        <v>خصم 12% علي المحلي و 5% علي المستورد</v>
      </c>
    </row>
    <row r="358" spans="1:11" x14ac:dyDescent="0.25">
      <c r="A358" s="4" t="str">
        <f ca="1">IFERROR(__xludf.DUMMYFUNCTION("""COMPUTED_VALUE"""),"3291")</f>
        <v>3291</v>
      </c>
      <c r="B358" s="5" t="str">
        <f ca="1">IFERROR(__xludf.DUMMYFUNCTION("""COMPUTED_VALUE"""),"الفيوم")</f>
        <v>الفيوم</v>
      </c>
      <c r="C358" s="5" t="str">
        <f ca="1">IFERROR(__xludf.DUMMYFUNCTION("""COMPUTED_VALUE"""),"الفيوم")</f>
        <v>الفيوم</v>
      </c>
      <c r="D358" s="5" t="str">
        <f ca="1">IFERROR(__xludf.DUMMYFUNCTION("""COMPUTED_VALUE"""),"صيدلية")</f>
        <v>صيدلية</v>
      </c>
      <c r="E358" s="5" t="str">
        <f ca="1">IFERROR(__xludf.DUMMYFUNCTION("""COMPUTED_VALUE"""),"صيدلية")</f>
        <v>صيدلية</v>
      </c>
      <c r="F358" s="5" t="str">
        <f ca="1">IFERROR(__xludf.DUMMYFUNCTION("""COMPUTED_VALUE"""),"صيدلية (أدوية ومستلزمات طبية)")</f>
        <v>صيدلية (أدوية ومستلزمات طبية)</v>
      </c>
      <c r="G358" s="5" t="str">
        <f ca="1">IFERROR(__xludf.DUMMYFUNCTION("""COMPUTED_VALUE"""),"صيدلية بسمة شكري")</f>
        <v>صيدلية بسمة شكري</v>
      </c>
      <c r="H358" s="5" t="str">
        <f ca="1">IFERROR(__xludf.DUMMYFUNCTION("""COMPUTED_VALUE"""),"2 شارع الجنينة - العريان - حى العريان -شارع السنترال - وسط البلد -الفيوم")</f>
        <v>2 شارع الجنينة - العريان - حى العريان -شارع السنترال - وسط البلد -الفيوم</v>
      </c>
      <c r="I358" s="6" t="str">
        <f ca="1">IFERROR(__xludf.DUMMYFUNCTION("""COMPUTED_VALUE"""),"20846347576")</f>
        <v>20846347576</v>
      </c>
      <c r="J358" s="6"/>
      <c r="K358" s="6" t="str">
        <f ca="1">IFERROR(__xludf.DUMMYFUNCTION("""COMPUTED_VALUE"""),"خصم 12% علي المحلي و 5% علي المستورد")</f>
        <v>خصم 12% علي المحلي و 5% علي المستورد</v>
      </c>
    </row>
    <row r="359" spans="1:11" x14ac:dyDescent="0.25">
      <c r="A359" s="4" t="str">
        <f ca="1">IFERROR(__xludf.DUMMYFUNCTION("""COMPUTED_VALUE"""),"1683-B")</f>
        <v>1683-B</v>
      </c>
      <c r="B359" s="5" t="str">
        <f ca="1">IFERROR(__xludf.DUMMYFUNCTION("""COMPUTED_VALUE"""),"الجيزة")</f>
        <v>الجيزة</v>
      </c>
      <c r="C359" s="5" t="str">
        <f ca="1">IFERROR(__xludf.DUMMYFUNCTION("""COMPUTED_VALUE"""),"الجيزة")</f>
        <v>الجيزة</v>
      </c>
      <c r="D359" s="5" t="str">
        <f ca="1">IFERROR(__xludf.DUMMYFUNCTION("""COMPUTED_VALUE"""),"صيدلية")</f>
        <v>صيدلية</v>
      </c>
      <c r="E359" s="5" t="str">
        <f ca="1">IFERROR(__xludf.DUMMYFUNCTION("""COMPUTED_VALUE"""),"صيدلية")</f>
        <v>صيدلية</v>
      </c>
      <c r="F359" s="5" t="str">
        <f ca="1">IFERROR(__xludf.DUMMYFUNCTION("""COMPUTED_VALUE"""),"صيدلية (أدوية ومستلزمات طبية)")</f>
        <v>صيدلية (أدوية ومستلزمات طبية)</v>
      </c>
      <c r="G35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59" s="5" t="str">
        <f ca="1">IFERROR(__xludf.DUMMYFUNCTION("""COMPUTED_VALUE"""),"134البحر الأعظم-الجيزة")</f>
        <v>134البحر الأعظم-الجيزة</v>
      </c>
      <c r="I359" s="6" t="str">
        <f ca="1">IFERROR(__xludf.DUMMYFUNCTION("""COMPUTED_VALUE"""),"1110079620
")</f>
        <v xml:space="preserve">1110079620
</v>
      </c>
      <c r="J359" s="6" t="str">
        <f ca="1">IFERROR(__xludf.DUMMYFUNCTION("""COMPUTED_VALUE"""),"19600")</f>
        <v>19600</v>
      </c>
      <c r="K359" s="6" t="str">
        <f ca="1">IFERROR(__xludf.DUMMYFUNCTION("""COMPUTED_VALUE"""),"7.5 % على المحلى ,5% على المستلزمات الطبية و التجميل")</f>
        <v>7.5 % على المحلى ,5% على المستلزمات الطبية و التجميل</v>
      </c>
    </row>
    <row r="360" spans="1:11" x14ac:dyDescent="0.25">
      <c r="A360" s="4" t="str">
        <f ca="1">IFERROR(__xludf.DUMMYFUNCTION("""COMPUTED_VALUE"""),"1683-B")</f>
        <v>1683-B</v>
      </c>
      <c r="B360" s="5" t="str">
        <f ca="1">IFERROR(__xludf.DUMMYFUNCTION("""COMPUTED_VALUE"""),"الجيزة")</f>
        <v>الجيزة</v>
      </c>
      <c r="C360" s="5" t="str">
        <f ca="1">IFERROR(__xludf.DUMMYFUNCTION("""COMPUTED_VALUE"""),"الدقي")</f>
        <v>الدقي</v>
      </c>
      <c r="D360" s="5" t="str">
        <f ca="1">IFERROR(__xludf.DUMMYFUNCTION("""COMPUTED_VALUE"""),"صيدلية")</f>
        <v>صيدلية</v>
      </c>
      <c r="E360" s="5" t="str">
        <f ca="1">IFERROR(__xludf.DUMMYFUNCTION("""COMPUTED_VALUE"""),"صيدلية")</f>
        <v>صيدلية</v>
      </c>
      <c r="F360" s="5" t="str">
        <f ca="1">IFERROR(__xludf.DUMMYFUNCTION("""COMPUTED_VALUE"""),"صيدلية (أدوية ومستلزمات طبية)")</f>
        <v>صيدلية (أدوية ومستلزمات طبية)</v>
      </c>
      <c r="G36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60" s="5" t="str">
        <f ca="1">IFERROR(__xludf.DUMMYFUNCTION("""COMPUTED_VALUE"""),"1 شارع رشدان - الدقي")</f>
        <v>1 شارع رشدان - الدقي</v>
      </c>
      <c r="I360" s="6" t="str">
        <f ca="1">IFERROR(__xludf.DUMMYFUNCTION("""COMPUTED_VALUE"""),"1100779056
")</f>
        <v xml:space="preserve">1100779056
</v>
      </c>
      <c r="J360" s="6" t="str">
        <f ca="1">IFERROR(__xludf.DUMMYFUNCTION("""COMPUTED_VALUE"""),"19600")</f>
        <v>19600</v>
      </c>
      <c r="K360" s="6" t="str">
        <f ca="1">IFERROR(__xludf.DUMMYFUNCTION("""COMPUTED_VALUE"""),"7.5 % على المحلى ,5% على المستلزمات الطبية و التجميل")</f>
        <v>7.5 % على المحلى ,5% على المستلزمات الطبية و التجميل</v>
      </c>
    </row>
    <row r="361" spans="1:11" x14ac:dyDescent="0.25">
      <c r="A361" s="4" t="str">
        <f ca="1">IFERROR(__xludf.DUMMYFUNCTION("""COMPUTED_VALUE"""),"1683-B")</f>
        <v>1683-B</v>
      </c>
      <c r="B361" s="5" t="str">
        <f ca="1">IFERROR(__xludf.DUMMYFUNCTION("""COMPUTED_VALUE"""),"الجيزة")</f>
        <v>الجيزة</v>
      </c>
      <c r="C361" s="5" t="str">
        <f ca="1">IFERROR(__xludf.DUMMYFUNCTION("""COMPUTED_VALUE"""),"الدقي")</f>
        <v>الدقي</v>
      </c>
      <c r="D361" s="5" t="str">
        <f ca="1">IFERROR(__xludf.DUMMYFUNCTION("""COMPUTED_VALUE"""),"صيدلية")</f>
        <v>صيدلية</v>
      </c>
      <c r="E361" s="5" t="str">
        <f ca="1">IFERROR(__xludf.DUMMYFUNCTION("""COMPUTED_VALUE"""),"صيدلية")</f>
        <v>صيدلية</v>
      </c>
      <c r="F361" s="5" t="str">
        <f ca="1">IFERROR(__xludf.DUMMYFUNCTION("""COMPUTED_VALUE"""),"صيدلية (أدوية ومستلزمات طبية)")</f>
        <v>صيدلية (أدوية ومستلزمات طبية)</v>
      </c>
      <c r="G36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61" s="5" t="str">
        <f ca="1">IFERROR(__xludf.DUMMYFUNCTION("""COMPUTED_VALUE"""),"22شارع مصدق-الدقي- الجيزة")</f>
        <v>22شارع مصدق-الدقي- الجيزة</v>
      </c>
      <c r="I361" s="6" t="str">
        <f ca="1">IFERROR(__xludf.DUMMYFUNCTION("""COMPUTED_VALUE"""),"1110079616
")</f>
        <v xml:space="preserve">1110079616
</v>
      </c>
      <c r="J361" s="6" t="str">
        <f ca="1">IFERROR(__xludf.DUMMYFUNCTION("""COMPUTED_VALUE"""),"19600")</f>
        <v>19600</v>
      </c>
      <c r="K361" s="6" t="str">
        <f ca="1">IFERROR(__xludf.DUMMYFUNCTION("""COMPUTED_VALUE"""),"7.5 % على المحلى ,5% على المستلزمات الطبية و التجميل")</f>
        <v>7.5 % على المحلى ,5% على المستلزمات الطبية و التجميل</v>
      </c>
    </row>
    <row r="362" spans="1:11" x14ac:dyDescent="0.25">
      <c r="A362" s="4" t="str">
        <f ca="1">IFERROR(__xludf.DUMMYFUNCTION("""COMPUTED_VALUE"""),"1683-B")</f>
        <v>1683-B</v>
      </c>
      <c r="B362" s="5" t="str">
        <f ca="1">IFERROR(__xludf.DUMMYFUNCTION("""COMPUTED_VALUE"""),"الجيزة")</f>
        <v>الجيزة</v>
      </c>
      <c r="C362" s="5" t="str">
        <f ca="1">IFERROR(__xludf.DUMMYFUNCTION("""COMPUTED_VALUE"""),"الدقي")</f>
        <v>الدقي</v>
      </c>
      <c r="D362" s="5" t="str">
        <f ca="1">IFERROR(__xludf.DUMMYFUNCTION("""COMPUTED_VALUE"""),"صيدلية")</f>
        <v>صيدلية</v>
      </c>
      <c r="E362" s="5" t="str">
        <f ca="1">IFERROR(__xludf.DUMMYFUNCTION("""COMPUTED_VALUE"""),"صيدلية")</f>
        <v>صيدلية</v>
      </c>
      <c r="F362" s="5" t="str">
        <f ca="1">IFERROR(__xludf.DUMMYFUNCTION("""COMPUTED_VALUE"""),"صيدلية (أدوية ومستلزمات طبية)")</f>
        <v>صيدلية (أدوية ومستلزمات طبية)</v>
      </c>
      <c r="G36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62" s="5" t="str">
        <f ca="1">IFERROR(__xludf.DUMMYFUNCTION("""COMPUTED_VALUE"""),"فرع نادي الصيد - بوابة 4-الدقي- الجيزة")</f>
        <v>فرع نادي الصيد - بوابة 4-الدقي- الجيزة</v>
      </c>
      <c r="I362" s="6" t="str">
        <f ca="1">IFERROR(__xludf.DUMMYFUNCTION("""COMPUTED_VALUE"""),"1111121000
")</f>
        <v xml:space="preserve">1111121000
</v>
      </c>
      <c r="J362" s="6" t="str">
        <f ca="1">IFERROR(__xludf.DUMMYFUNCTION("""COMPUTED_VALUE"""),"19600")</f>
        <v>19600</v>
      </c>
      <c r="K362" s="6" t="str">
        <f ca="1">IFERROR(__xludf.DUMMYFUNCTION("""COMPUTED_VALUE"""),"7.5 % على المحلى ,5% على المستلزمات الطبية و التجميل")</f>
        <v>7.5 % على المحلى ,5% على المستلزمات الطبية و التجميل</v>
      </c>
    </row>
    <row r="363" spans="1:11" x14ac:dyDescent="0.25">
      <c r="A363" s="4" t="str">
        <f ca="1">IFERROR(__xludf.DUMMYFUNCTION("""COMPUTED_VALUE"""),"2822-B")</f>
        <v>2822-B</v>
      </c>
      <c r="B363" s="5" t="str">
        <f ca="1">IFERROR(__xludf.DUMMYFUNCTION("""COMPUTED_VALUE"""),"القاهرة")</f>
        <v>القاهرة</v>
      </c>
      <c r="C363" s="5" t="str">
        <f ca="1">IFERROR(__xludf.DUMMYFUNCTION("""COMPUTED_VALUE"""),"الزمالك")</f>
        <v>الزمالك</v>
      </c>
      <c r="D363" s="5" t="str">
        <f ca="1">IFERROR(__xludf.DUMMYFUNCTION("""COMPUTED_VALUE"""),"صيدلية")</f>
        <v>صيدلية</v>
      </c>
      <c r="E363" s="5" t="str">
        <f ca="1">IFERROR(__xludf.DUMMYFUNCTION("""COMPUTED_VALUE"""),"صيدلية")</f>
        <v>صيدلية</v>
      </c>
      <c r="F363" s="5" t="str">
        <f ca="1">IFERROR(__xludf.DUMMYFUNCTION("""COMPUTED_VALUE"""),"صيدلية (أدوية ومستلزمات طبية)")</f>
        <v>صيدلية (أدوية ومستلزمات طبية)</v>
      </c>
      <c r="G363" s="5" t="str">
        <f ca="1">IFERROR(__xludf.DUMMYFUNCTION("""COMPUTED_VALUE"""),"صيدليات سيف")</f>
        <v>صيدليات سيف</v>
      </c>
      <c r="H363" s="5" t="str">
        <f ca="1">IFERROR(__xludf.DUMMYFUNCTION("""COMPUTED_VALUE"""),"34شارع محمد مظهرالزمالك-القاهرة")</f>
        <v>34شارع محمد مظهرالزمالك-القاهرة</v>
      </c>
      <c r="I363" s="6" t="str">
        <f ca="1">IFERROR(__xludf.DUMMYFUNCTION("""COMPUTED_VALUE"""),"201227744374")</f>
        <v>201227744374</v>
      </c>
      <c r="J363" s="6" t="str">
        <f ca="1">IFERROR(__xludf.DUMMYFUNCTION("""COMPUTED_VALUE"""),"19199")</f>
        <v>19199</v>
      </c>
      <c r="K363"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64" spans="1:11" x14ac:dyDescent="0.25">
      <c r="A364" s="4" t="str">
        <f ca="1">IFERROR(__xludf.DUMMYFUNCTION("""COMPUTED_VALUE"""),"1683-B")</f>
        <v>1683-B</v>
      </c>
      <c r="B364" s="5" t="str">
        <f ca="1">IFERROR(__xludf.DUMMYFUNCTION("""COMPUTED_VALUE"""),"القاهرة")</f>
        <v>القاهرة</v>
      </c>
      <c r="C364" s="5" t="str">
        <f ca="1">IFERROR(__xludf.DUMMYFUNCTION("""COMPUTED_VALUE"""),"الزمالك")</f>
        <v>الزمالك</v>
      </c>
      <c r="D364" s="5" t="str">
        <f ca="1">IFERROR(__xludf.DUMMYFUNCTION("""COMPUTED_VALUE"""),"صيدلية")</f>
        <v>صيدلية</v>
      </c>
      <c r="E364" s="5" t="str">
        <f ca="1">IFERROR(__xludf.DUMMYFUNCTION("""COMPUTED_VALUE"""),"صيدلية")</f>
        <v>صيدلية</v>
      </c>
      <c r="F364" s="5" t="str">
        <f ca="1">IFERROR(__xludf.DUMMYFUNCTION("""COMPUTED_VALUE"""),"صيدلية (أدوية ومستلزمات طبية)")</f>
        <v>صيدلية (أدوية ومستلزمات طبية)</v>
      </c>
      <c r="G36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64" s="5" t="str">
        <f ca="1">IFERROR(__xludf.DUMMYFUNCTION("""COMPUTED_VALUE"""),"46شارع بهجت على-الزمالك-القاهرة")</f>
        <v>46شارع بهجت على-الزمالك-القاهرة</v>
      </c>
      <c r="I364" s="6" t="str">
        <f ca="1">IFERROR(__xludf.DUMMYFUNCTION("""COMPUTED_VALUE"""),"1116004660
")</f>
        <v xml:space="preserve">1116004660
</v>
      </c>
      <c r="J364" s="6" t="str">
        <f ca="1">IFERROR(__xludf.DUMMYFUNCTION("""COMPUTED_VALUE"""),"19600")</f>
        <v>19600</v>
      </c>
      <c r="K364" s="6" t="str">
        <f ca="1">IFERROR(__xludf.DUMMYFUNCTION("""COMPUTED_VALUE"""),"7.5 % على المحلى ,5% على المستلزمات الطبية و التجميل")</f>
        <v>7.5 % على المحلى ,5% على المستلزمات الطبية و التجميل</v>
      </c>
    </row>
    <row r="365" spans="1:11" x14ac:dyDescent="0.25">
      <c r="A365" s="4" t="str">
        <f ca="1">IFERROR(__xludf.DUMMYFUNCTION("""COMPUTED_VALUE"""),"2822-B")</f>
        <v>2822-B</v>
      </c>
      <c r="B365" s="5" t="str">
        <f ca="1">IFERROR(__xludf.DUMMYFUNCTION("""COMPUTED_VALUE"""),"الجيزة")</f>
        <v>الجيزة</v>
      </c>
      <c r="C365" s="5" t="str">
        <f ca="1">IFERROR(__xludf.DUMMYFUNCTION("""COMPUTED_VALUE"""),"السادس من اكتوبر")</f>
        <v>السادس من اكتوبر</v>
      </c>
      <c r="D365" s="5" t="str">
        <f ca="1">IFERROR(__xludf.DUMMYFUNCTION("""COMPUTED_VALUE"""),"صيدلية")</f>
        <v>صيدلية</v>
      </c>
      <c r="E365" s="5" t="str">
        <f ca="1">IFERROR(__xludf.DUMMYFUNCTION("""COMPUTED_VALUE"""),"صيدلية")</f>
        <v>صيدلية</v>
      </c>
      <c r="F365" s="5" t="str">
        <f ca="1">IFERROR(__xludf.DUMMYFUNCTION("""COMPUTED_VALUE"""),"صيدلية (أدوية ومستلزمات طبية)")</f>
        <v>صيدلية (أدوية ومستلزمات طبية)</v>
      </c>
      <c r="G365" s="5" t="str">
        <f ca="1">IFERROR(__xludf.DUMMYFUNCTION("""COMPUTED_VALUE"""),"صيدليات سيف")</f>
        <v>صيدليات سيف</v>
      </c>
      <c r="H365" s="5" t="str">
        <f ca="1">IFERROR(__xludf.DUMMYFUNCTION("""COMPUTED_VALUE"""),"داخل دولفين لاند مول- الدور الارضى - 6 أكتوبر")</f>
        <v>داخل دولفين لاند مول- الدور الارضى - 6 أكتوبر</v>
      </c>
      <c r="I365" s="6" t="str">
        <f ca="1">IFERROR(__xludf.DUMMYFUNCTION("""COMPUTED_VALUE"""),"20238383413")</f>
        <v>20238383413</v>
      </c>
      <c r="J365" s="6" t="str">
        <f ca="1">IFERROR(__xludf.DUMMYFUNCTION("""COMPUTED_VALUE"""),"19199")</f>
        <v>19199</v>
      </c>
      <c r="K365"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66" spans="1:11" x14ac:dyDescent="0.25">
      <c r="A366" s="4" t="str">
        <f ca="1">IFERROR(__xludf.DUMMYFUNCTION("""COMPUTED_VALUE"""),"1683-B")</f>
        <v>1683-B</v>
      </c>
      <c r="B366" s="5" t="str">
        <f ca="1">IFERROR(__xludf.DUMMYFUNCTION("""COMPUTED_VALUE"""),"الجيزة")</f>
        <v>الجيزة</v>
      </c>
      <c r="C366" s="5" t="str">
        <f ca="1">IFERROR(__xludf.DUMMYFUNCTION("""COMPUTED_VALUE"""),"السادس من اكتوبر")</f>
        <v>السادس من اكتوبر</v>
      </c>
      <c r="D366" s="5" t="str">
        <f ca="1">IFERROR(__xludf.DUMMYFUNCTION("""COMPUTED_VALUE"""),"صيدلية")</f>
        <v>صيدلية</v>
      </c>
      <c r="E366" s="5" t="str">
        <f ca="1">IFERROR(__xludf.DUMMYFUNCTION("""COMPUTED_VALUE"""),"صيدلية")</f>
        <v>صيدلية</v>
      </c>
      <c r="F366" s="5" t="str">
        <f ca="1">IFERROR(__xludf.DUMMYFUNCTION("""COMPUTED_VALUE"""),"صيدلية (أدوية ومستلزمات طبية)")</f>
        <v>صيدلية (أدوية ومستلزمات طبية)</v>
      </c>
      <c r="G36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66" s="5" t="str">
        <f ca="1">IFERROR(__xludf.DUMMYFUNCTION("""COMPUTED_VALUE"""),"17ج المحور المركزى - لاسيتى مول-6 أكتوبر - الجيزة")</f>
        <v>17ج المحور المركزى - لاسيتى مول-6 أكتوبر - الجيزة</v>
      </c>
      <c r="I366" s="6" t="str">
        <f ca="1">IFERROR(__xludf.DUMMYFUNCTION("""COMPUTED_VALUE"""),"1159883211
")</f>
        <v xml:space="preserve">1159883211
</v>
      </c>
      <c r="J366" s="6" t="str">
        <f ca="1">IFERROR(__xludf.DUMMYFUNCTION("""COMPUTED_VALUE"""),"19600")</f>
        <v>19600</v>
      </c>
      <c r="K366" s="6" t="str">
        <f ca="1">IFERROR(__xludf.DUMMYFUNCTION("""COMPUTED_VALUE"""),"7.5 % على المحلى ,5% على المستلزمات الطبية و التجميل")</f>
        <v>7.5 % على المحلى ,5% على المستلزمات الطبية و التجميل</v>
      </c>
    </row>
    <row r="367" spans="1:11" x14ac:dyDescent="0.25">
      <c r="A367" s="4" t="str">
        <f ca="1">IFERROR(__xludf.DUMMYFUNCTION("""COMPUTED_VALUE"""),"1683-B")</f>
        <v>1683-B</v>
      </c>
      <c r="B367" s="5" t="str">
        <f ca="1">IFERROR(__xludf.DUMMYFUNCTION("""COMPUTED_VALUE"""),"الجيزة")</f>
        <v>الجيزة</v>
      </c>
      <c r="C367" s="5" t="str">
        <f ca="1">IFERROR(__xludf.DUMMYFUNCTION("""COMPUTED_VALUE"""),"السادس من اكتوبر")</f>
        <v>السادس من اكتوبر</v>
      </c>
      <c r="D367" s="5" t="str">
        <f ca="1">IFERROR(__xludf.DUMMYFUNCTION("""COMPUTED_VALUE"""),"صيدلية")</f>
        <v>صيدلية</v>
      </c>
      <c r="E367" s="5" t="str">
        <f ca="1">IFERROR(__xludf.DUMMYFUNCTION("""COMPUTED_VALUE"""),"صيدلية")</f>
        <v>صيدلية</v>
      </c>
      <c r="F367" s="5" t="str">
        <f ca="1">IFERROR(__xludf.DUMMYFUNCTION("""COMPUTED_VALUE"""),"صيدلية (أدوية ومستلزمات طبية)")</f>
        <v>صيدلية (أدوية ومستلزمات طبية)</v>
      </c>
      <c r="G36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67" s="5" t="str">
        <f ca="1">IFERROR(__xludf.DUMMYFUNCTION("""COMPUTED_VALUE"""),"قطعة 238 الحى السابع - خلف جامعة 6 أكتوبر-6 أكتوبر - الجيزة")</f>
        <v>قطعة 238 الحى السابع - خلف جامعة 6 أكتوبر-6 أكتوبر - الجيزة</v>
      </c>
      <c r="I367" s="6" t="str">
        <f ca="1">IFERROR(__xludf.DUMMYFUNCTION("""COMPUTED_VALUE"""),"1110079647
")</f>
        <v xml:space="preserve">1110079647
</v>
      </c>
      <c r="J367" s="6" t="str">
        <f ca="1">IFERROR(__xludf.DUMMYFUNCTION("""COMPUTED_VALUE"""),"19600")</f>
        <v>19600</v>
      </c>
      <c r="K367" s="6" t="str">
        <f ca="1">IFERROR(__xludf.DUMMYFUNCTION("""COMPUTED_VALUE"""),"7.5 % على المحلى ,5% على المستلزمات الطبية و التجميل")</f>
        <v>7.5 % على المحلى ,5% على المستلزمات الطبية و التجميل</v>
      </c>
    </row>
    <row r="368" spans="1:11" x14ac:dyDescent="0.25">
      <c r="A368" s="4" t="str">
        <f ca="1">IFERROR(__xludf.DUMMYFUNCTION("""COMPUTED_VALUE"""),"1683-B")</f>
        <v>1683-B</v>
      </c>
      <c r="B368" s="5" t="str">
        <f ca="1">IFERROR(__xludf.DUMMYFUNCTION("""COMPUTED_VALUE"""),"الجيزة")</f>
        <v>الجيزة</v>
      </c>
      <c r="C368" s="5" t="str">
        <f ca="1">IFERROR(__xludf.DUMMYFUNCTION("""COMPUTED_VALUE"""),"السادس من اكتوبر")</f>
        <v>السادس من اكتوبر</v>
      </c>
      <c r="D368" s="5" t="str">
        <f ca="1">IFERROR(__xludf.DUMMYFUNCTION("""COMPUTED_VALUE"""),"صيدلية")</f>
        <v>صيدلية</v>
      </c>
      <c r="E368" s="5" t="str">
        <f ca="1">IFERROR(__xludf.DUMMYFUNCTION("""COMPUTED_VALUE"""),"صيدلية")</f>
        <v>صيدلية</v>
      </c>
      <c r="F368" s="5" t="str">
        <f ca="1">IFERROR(__xludf.DUMMYFUNCTION("""COMPUTED_VALUE"""),"صيدلية (أدوية ومستلزمات طبية)")</f>
        <v>صيدلية (أدوية ومستلزمات طبية)</v>
      </c>
      <c r="G36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68" s="5" t="str">
        <f ca="1">IFERROR(__xludf.DUMMYFUNCTION("""COMPUTED_VALUE"""),"قطعة رقم 101 الحي الثالث - المجاورة الاولي - المحور المركزي - 6 اكتوبر")</f>
        <v>قطعة رقم 101 الحي الثالث - المجاورة الاولي - المحور المركزي - 6 اكتوبر</v>
      </c>
      <c r="I368" s="6" t="str">
        <f ca="1">IFERROR(__xludf.DUMMYFUNCTION("""COMPUTED_VALUE"""),"1153360700
")</f>
        <v xml:space="preserve">1153360700
</v>
      </c>
      <c r="J368" s="6" t="str">
        <f ca="1">IFERROR(__xludf.DUMMYFUNCTION("""COMPUTED_VALUE"""),"19600")</f>
        <v>19600</v>
      </c>
      <c r="K368" s="6" t="str">
        <f ca="1">IFERROR(__xludf.DUMMYFUNCTION("""COMPUTED_VALUE"""),"7.5 % على المحلى ,5% على المستلزمات الطبية و التجميل")</f>
        <v>7.5 % على المحلى ,5% على المستلزمات الطبية و التجميل</v>
      </c>
    </row>
    <row r="369" spans="1:11" x14ac:dyDescent="0.25">
      <c r="A369" s="4" t="str">
        <f ca="1">IFERROR(__xludf.DUMMYFUNCTION("""COMPUTED_VALUE"""),"1683-B")</f>
        <v>1683-B</v>
      </c>
      <c r="B369" s="5" t="str">
        <f ca="1">IFERROR(__xludf.DUMMYFUNCTION("""COMPUTED_VALUE"""),"الجيزة")</f>
        <v>الجيزة</v>
      </c>
      <c r="C369" s="5" t="str">
        <f ca="1">IFERROR(__xludf.DUMMYFUNCTION("""COMPUTED_VALUE"""),"الهرم")</f>
        <v>الهرم</v>
      </c>
      <c r="D369" s="5" t="str">
        <f ca="1">IFERROR(__xludf.DUMMYFUNCTION("""COMPUTED_VALUE"""),"صيدلية")</f>
        <v>صيدلية</v>
      </c>
      <c r="E369" s="5" t="str">
        <f ca="1">IFERROR(__xludf.DUMMYFUNCTION("""COMPUTED_VALUE"""),"صيدلية")</f>
        <v>صيدلية</v>
      </c>
      <c r="F369" s="5" t="str">
        <f ca="1">IFERROR(__xludf.DUMMYFUNCTION("""COMPUTED_VALUE"""),"صيدلية (أدوية ومستلزمات طبية)")</f>
        <v>صيدلية (أدوية ومستلزمات طبية)</v>
      </c>
      <c r="G36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69" s="5" t="str">
        <f ca="1">IFERROR(__xludf.DUMMYFUNCTION("""COMPUTED_VALUE"""),"195 شارع الهرم-الهرم- الجيزة")</f>
        <v>195 شارع الهرم-الهرم- الجيزة</v>
      </c>
      <c r="I369" s="6" t="str">
        <f ca="1">IFERROR(__xludf.DUMMYFUNCTION("""COMPUTED_VALUE"""),"1110079605
")</f>
        <v xml:space="preserve">1110079605
</v>
      </c>
      <c r="J369" s="6" t="str">
        <f ca="1">IFERROR(__xludf.DUMMYFUNCTION("""COMPUTED_VALUE"""),"19600")</f>
        <v>19600</v>
      </c>
      <c r="K369" s="6" t="str">
        <f ca="1">IFERROR(__xludf.DUMMYFUNCTION("""COMPUTED_VALUE"""),"7.5 % على المحلى ,5% على المستلزمات الطبية و التجميل")</f>
        <v>7.5 % على المحلى ,5% على المستلزمات الطبية و التجميل</v>
      </c>
    </row>
    <row r="370" spans="1:11" x14ac:dyDescent="0.25">
      <c r="A370" s="4" t="str">
        <f ca="1">IFERROR(__xludf.DUMMYFUNCTION("""COMPUTED_VALUE"""),"2822-B")</f>
        <v>2822-B</v>
      </c>
      <c r="B370" s="5" t="str">
        <f ca="1">IFERROR(__xludf.DUMMYFUNCTION("""COMPUTED_VALUE"""),"القاهرة")</f>
        <v>القاهرة</v>
      </c>
      <c r="C370" s="5" t="str">
        <f ca="1">IFERROR(__xludf.DUMMYFUNCTION("""COMPUTED_VALUE"""),"السيدة زينب")</f>
        <v>السيدة زينب</v>
      </c>
      <c r="D370" s="5" t="str">
        <f ca="1">IFERROR(__xludf.DUMMYFUNCTION("""COMPUTED_VALUE"""),"صيدلية")</f>
        <v>صيدلية</v>
      </c>
      <c r="E370" s="5" t="str">
        <f ca="1">IFERROR(__xludf.DUMMYFUNCTION("""COMPUTED_VALUE"""),"صيدلية")</f>
        <v>صيدلية</v>
      </c>
      <c r="F370" s="5" t="str">
        <f ca="1">IFERROR(__xludf.DUMMYFUNCTION("""COMPUTED_VALUE"""),"صيدلية (أدوية ومستلزمات طبية)")</f>
        <v>صيدلية (أدوية ومستلزمات طبية)</v>
      </c>
      <c r="G370" s="5" t="str">
        <f ca="1">IFERROR(__xludf.DUMMYFUNCTION("""COMPUTED_VALUE"""),"صيدليات سيف")</f>
        <v>صيدليات سيف</v>
      </c>
      <c r="H370" s="5" t="str">
        <f ca="1">IFERROR(__xludf.DUMMYFUNCTION("""COMPUTED_VALUE"""),"4 شارع قدري - السيدة زينب - القاهرة .")</f>
        <v>4 شارع قدري - السيدة زينب - القاهرة .</v>
      </c>
      <c r="I370" s="6" t="str">
        <f ca="1">IFERROR(__xludf.DUMMYFUNCTION("""COMPUTED_VALUE"""),"20223930283")</f>
        <v>20223930283</v>
      </c>
      <c r="J370" s="6" t="str">
        <f ca="1">IFERROR(__xludf.DUMMYFUNCTION("""COMPUTED_VALUE"""),"19199")</f>
        <v>19199</v>
      </c>
      <c r="K370"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71" spans="1:11" x14ac:dyDescent="0.25">
      <c r="A371" s="4" t="str">
        <f ca="1">IFERROR(__xludf.DUMMYFUNCTION("""COMPUTED_VALUE"""),"1683-B")</f>
        <v>1683-B</v>
      </c>
      <c r="B371" s="5" t="str">
        <f ca="1">IFERROR(__xludf.DUMMYFUNCTION("""COMPUTED_VALUE"""),"الجيزة")</f>
        <v>الجيزة</v>
      </c>
      <c r="C371" s="5" t="str">
        <f ca="1">IFERROR(__xludf.DUMMYFUNCTION("""COMPUTED_VALUE"""),"الشيخ زايد")</f>
        <v>الشيخ زايد</v>
      </c>
      <c r="D371" s="5" t="str">
        <f ca="1">IFERROR(__xludf.DUMMYFUNCTION("""COMPUTED_VALUE"""),"صيدلية")</f>
        <v>صيدلية</v>
      </c>
      <c r="E371" s="5" t="str">
        <f ca="1">IFERROR(__xludf.DUMMYFUNCTION("""COMPUTED_VALUE"""),"صيدلية")</f>
        <v>صيدلية</v>
      </c>
      <c r="F371" s="5" t="str">
        <f ca="1">IFERROR(__xludf.DUMMYFUNCTION("""COMPUTED_VALUE"""),"صيدلية (أدوية ومستلزمات طبية)")</f>
        <v>صيدلية (أدوية ومستلزمات طبية)</v>
      </c>
      <c r="G37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71" s="5" t="str">
        <f ca="1">IFERROR(__xludf.DUMMYFUNCTION("""COMPUTED_VALUE"""),"محل رقم (26)  الدور الارضي - اركان مول - الشيخ زايد - الجيزة")</f>
        <v>محل رقم (26)  الدور الارضي - اركان مول - الشيخ زايد - الجيزة</v>
      </c>
      <c r="I371" s="6" t="str">
        <f ca="1">IFERROR(__xludf.DUMMYFUNCTION("""COMPUTED_VALUE"""),"1146848411
")</f>
        <v xml:space="preserve">1146848411
</v>
      </c>
      <c r="J371" s="6" t="str">
        <f ca="1">IFERROR(__xludf.DUMMYFUNCTION("""COMPUTED_VALUE"""),"19600")</f>
        <v>19600</v>
      </c>
      <c r="K371" s="6" t="str">
        <f ca="1">IFERROR(__xludf.DUMMYFUNCTION("""COMPUTED_VALUE"""),"7.5 % على المحلى ,5% على المستلزمات الطبية و التجميل")</f>
        <v>7.5 % على المحلى ,5% على المستلزمات الطبية و التجميل</v>
      </c>
    </row>
    <row r="372" spans="1:11" x14ac:dyDescent="0.25">
      <c r="A372" s="4" t="str">
        <f ca="1">IFERROR(__xludf.DUMMYFUNCTION("""COMPUTED_VALUE"""),"3876")</f>
        <v>3876</v>
      </c>
      <c r="B372" s="5" t="str">
        <f ca="1">IFERROR(__xludf.DUMMYFUNCTION("""COMPUTED_VALUE"""),"الجيزة")</f>
        <v>الجيزة</v>
      </c>
      <c r="C372" s="5" t="str">
        <f ca="1">IFERROR(__xludf.DUMMYFUNCTION("""COMPUTED_VALUE"""),"الهرم")</f>
        <v>الهرم</v>
      </c>
      <c r="D372" s="5" t="str">
        <f ca="1">IFERROR(__xludf.DUMMYFUNCTION("""COMPUTED_VALUE"""),"صيدلية")</f>
        <v>صيدلية</v>
      </c>
      <c r="E372" s="5" t="str">
        <f ca="1">IFERROR(__xludf.DUMMYFUNCTION("""COMPUTED_VALUE"""),"صيدلية")</f>
        <v>صيدلية</v>
      </c>
      <c r="F372" s="5" t="str">
        <f ca="1">IFERROR(__xludf.DUMMYFUNCTION("""COMPUTED_VALUE"""),"صيدلية (أدوية ومستلزمات طبية)")</f>
        <v>صيدلية (أدوية ومستلزمات طبية)</v>
      </c>
      <c r="G372" s="5" t="str">
        <f ca="1">IFERROR(__xludf.DUMMYFUNCTION("""COMPUTED_VALUE"""),"صيدلية الحوفى")</f>
        <v>صيدلية الحوفى</v>
      </c>
      <c r="H372" s="5" t="str">
        <f ca="1">IFERROR(__xludf.DUMMYFUNCTION("""COMPUTED_VALUE"""),"300شارع الهرم عمارة الاتحادية محطة الطالبية-الهرم- الجيزة")</f>
        <v>300شارع الهرم عمارة الاتحادية محطة الطالبية-الهرم- الجيزة</v>
      </c>
      <c r="I372" s="6" t="str">
        <f ca="1">IFERROR(__xludf.DUMMYFUNCTION("""COMPUTED_VALUE"""),"20237813001")</f>
        <v>20237813001</v>
      </c>
      <c r="J372" s="6"/>
      <c r="K372" s="6" t="str">
        <f ca="1">IFERROR(__xludf.DUMMYFUNCTION("""COMPUTED_VALUE"""),"خصم 15% علي المحلي و 7% علي المستورد")</f>
        <v>خصم 15% علي المحلي و 7% علي المستورد</v>
      </c>
    </row>
    <row r="373" spans="1:11" x14ac:dyDescent="0.25">
      <c r="A373" s="4" t="str">
        <f ca="1">IFERROR(__xludf.DUMMYFUNCTION("""COMPUTED_VALUE"""),"1683-B")</f>
        <v>1683-B</v>
      </c>
      <c r="B373" s="5" t="str">
        <f ca="1">IFERROR(__xludf.DUMMYFUNCTION("""COMPUTED_VALUE"""),"الجيزة")</f>
        <v>الجيزة</v>
      </c>
      <c r="C373" s="5" t="str">
        <f ca="1">IFERROR(__xludf.DUMMYFUNCTION("""COMPUTED_VALUE"""),"فيصل")</f>
        <v>فيصل</v>
      </c>
      <c r="D373" s="5" t="str">
        <f ca="1">IFERROR(__xludf.DUMMYFUNCTION("""COMPUTED_VALUE"""),"صيدلية")</f>
        <v>صيدلية</v>
      </c>
      <c r="E373" s="5" t="str">
        <f ca="1">IFERROR(__xludf.DUMMYFUNCTION("""COMPUTED_VALUE"""),"صيدلية")</f>
        <v>صيدلية</v>
      </c>
      <c r="F373" s="5" t="str">
        <f ca="1">IFERROR(__xludf.DUMMYFUNCTION("""COMPUTED_VALUE"""),"صيدلية (أدوية ومستلزمات طبية)")</f>
        <v>صيدلية (أدوية ومستلزمات طبية)</v>
      </c>
      <c r="G37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73" s="5" t="str">
        <f ca="1">IFERROR(__xludf.DUMMYFUNCTION("""COMPUTED_VALUE"""),"362 شارع فيصل -الطالبية- الجيزة")</f>
        <v>362 شارع فيصل -الطالبية- الجيزة</v>
      </c>
      <c r="I373" s="6" t="str">
        <f ca="1">IFERROR(__xludf.DUMMYFUNCTION("""COMPUTED_VALUE"""),"1110079629
")</f>
        <v xml:space="preserve">1110079629
</v>
      </c>
      <c r="J373" s="6" t="str">
        <f ca="1">IFERROR(__xludf.DUMMYFUNCTION("""COMPUTED_VALUE"""),"19600")</f>
        <v>19600</v>
      </c>
      <c r="K373" s="6" t="str">
        <f ca="1">IFERROR(__xludf.DUMMYFUNCTION("""COMPUTED_VALUE"""),"7.5 % على المحلى ,5% على المستلزمات الطبية و التجميل")</f>
        <v>7.5 % على المحلى ,5% على المستلزمات الطبية و التجميل</v>
      </c>
    </row>
    <row r="374" spans="1:11" x14ac:dyDescent="0.25">
      <c r="A374" s="4" t="str">
        <f ca="1">IFERROR(__xludf.DUMMYFUNCTION("""COMPUTED_VALUE"""),"1683-B")</f>
        <v>1683-B</v>
      </c>
      <c r="B374" s="5" t="str">
        <f ca="1">IFERROR(__xludf.DUMMYFUNCTION("""COMPUTED_VALUE"""),"القاهرة")</f>
        <v>القاهرة</v>
      </c>
      <c r="C374" s="5" t="str">
        <f ca="1">IFERROR(__xludf.DUMMYFUNCTION("""COMPUTED_VALUE"""),"العباسية")</f>
        <v>العباسية</v>
      </c>
      <c r="D374" s="5" t="str">
        <f ca="1">IFERROR(__xludf.DUMMYFUNCTION("""COMPUTED_VALUE"""),"صيدلية")</f>
        <v>صيدلية</v>
      </c>
      <c r="E374" s="5" t="str">
        <f ca="1">IFERROR(__xludf.DUMMYFUNCTION("""COMPUTED_VALUE"""),"صيدلية")</f>
        <v>صيدلية</v>
      </c>
      <c r="F374" s="5" t="str">
        <f ca="1">IFERROR(__xludf.DUMMYFUNCTION("""COMPUTED_VALUE"""),"صيدلية (أدوية ومستلزمات طبية)")</f>
        <v>صيدلية (أدوية ومستلزمات طبية)</v>
      </c>
      <c r="G37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74" s="5" t="str">
        <f ca="1">IFERROR(__xludf.DUMMYFUNCTION("""COMPUTED_VALUE"""),"13شارع على صدقى من ميدان العباسية-العباسية-القاهرة")</f>
        <v>13شارع على صدقى من ميدان العباسية-العباسية-القاهرة</v>
      </c>
      <c r="I374" s="6" t="str">
        <f ca="1">IFERROR(__xludf.DUMMYFUNCTION("""COMPUTED_VALUE"""),"1110079617
")</f>
        <v xml:space="preserve">1110079617
</v>
      </c>
      <c r="J374" s="6" t="str">
        <f ca="1">IFERROR(__xludf.DUMMYFUNCTION("""COMPUTED_VALUE"""),"19600")</f>
        <v>19600</v>
      </c>
      <c r="K374" s="6" t="str">
        <f ca="1">IFERROR(__xludf.DUMMYFUNCTION("""COMPUTED_VALUE"""),"7.5 % على المحلى ,5% على المستلزمات الطبية و التجميل")</f>
        <v>7.5 % على المحلى ,5% على المستلزمات الطبية و التجميل</v>
      </c>
    </row>
    <row r="375" spans="1:11" x14ac:dyDescent="0.25">
      <c r="A375" s="4" t="str">
        <f ca="1">IFERROR(__xludf.DUMMYFUNCTION("""COMPUTED_VALUE"""),"1683-B")</f>
        <v>1683-B</v>
      </c>
      <c r="B375" s="5" t="str">
        <f ca="1">IFERROR(__xludf.DUMMYFUNCTION("""COMPUTED_VALUE"""),"القاهرة")</f>
        <v>القاهرة</v>
      </c>
      <c r="C375" s="5" t="str">
        <f ca="1">IFERROR(__xludf.DUMMYFUNCTION("""COMPUTED_VALUE"""),"العباسية")</f>
        <v>العباسية</v>
      </c>
      <c r="D375" s="5" t="str">
        <f ca="1">IFERROR(__xludf.DUMMYFUNCTION("""COMPUTED_VALUE"""),"صيدلية")</f>
        <v>صيدلية</v>
      </c>
      <c r="E375" s="5" t="str">
        <f ca="1">IFERROR(__xludf.DUMMYFUNCTION("""COMPUTED_VALUE"""),"صيدلية")</f>
        <v>صيدلية</v>
      </c>
      <c r="F375" s="5" t="str">
        <f ca="1">IFERROR(__xludf.DUMMYFUNCTION("""COMPUTED_VALUE"""),"صيدلية (أدوية ومستلزمات طبية)")</f>
        <v>صيدلية (أدوية ومستلزمات طبية)</v>
      </c>
      <c r="G37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75" s="5" t="str">
        <f ca="1">IFERROR(__xludf.DUMMYFUNCTION("""COMPUTED_VALUE"""),"99 شارع العباسية - بجوار قسم الوايلي-العباسية-القاهرة")</f>
        <v>99 شارع العباسية - بجوار قسم الوايلي-العباسية-القاهرة</v>
      </c>
      <c r="I375" s="6" t="str">
        <f ca="1">IFERROR(__xludf.DUMMYFUNCTION("""COMPUTED_VALUE"""),"1110079618
")</f>
        <v xml:space="preserve">1110079618
</v>
      </c>
      <c r="J375" s="6" t="str">
        <f ca="1">IFERROR(__xludf.DUMMYFUNCTION("""COMPUTED_VALUE"""),"19600")</f>
        <v>19600</v>
      </c>
      <c r="K375" s="6" t="str">
        <f ca="1">IFERROR(__xludf.DUMMYFUNCTION("""COMPUTED_VALUE"""),"7.5 % على المحلى ,5% على المستلزمات الطبية و التجميل")</f>
        <v>7.5 % على المحلى ,5% على المستلزمات الطبية و التجميل</v>
      </c>
    </row>
    <row r="376" spans="1:11" x14ac:dyDescent="0.25">
      <c r="A376" s="4" t="str">
        <f ca="1">IFERROR(__xludf.DUMMYFUNCTION("""COMPUTED_VALUE"""),"2822-B")</f>
        <v>2822-B</v>
      </c>
      <c r="B376" s="5" t="str">
        <f ca="1">IFERROR(__xludf.DUMMYFUNCTION("""COMPUTED_VALUE"""),"القاهرة")</f>
        <v>القاهرة</v>
      </c>
      <c r="C376" s="5" t="str">
        <f ca="1">IFERROR(__xludf.DUMMYFUNCTION("""COMPUTED_VALUE"""),"القاهرة الجديدة")</f>
        <v>القاهرة الجديدة</v>
      </c>
      <c r="D376" s="5" t="str">
        <f ca="1">IFERROR(__xludf.DUMMYFUNCTION("""COMPUTED_VALUE"""),"صيدلية")</f>
        <v>صيدلية</v>
      </c>
      <c r="E376" s="5" t="str">
        <f ca="1">IFERROR(__xludf.DUMMYFUNCTION("""COMPUTED_VALUE"""),"صيدلية")</f>
        <v>صيدلية</v>
      </c>
      <c r="F376" s="5" t="str">
        <f ca="1">IFERROR(__xludf.DUMMYFUNCTION("""COMPUTED_VALUE"""),"صيدلية (أدوية ومستلزمات طبية)")</f>
        <v>صيدلية (أدوية ومستلزمات طبية)</v>
      </c>
      <c r="G376" s="5" t="str">
        <f ca="1">IFERROR(__xludf.DUMMYFUNCTION("""COMPUTED_VALUE"""),"صيدليات سيف")</f>
        <v>صيدليات سيف</v>
      </c>
      <c r="H376" s="5" t="str">
        <f ca="1">IFERROR(__xludf.DUMMYFUNCTION("""COMPUTED_VALUE"""),"السوق التجاري - اسكان الشباب - التجمع الاول - القاهرة الجديدة")</f>
        <v>السوق التجاري - اسكان الشباب - التجمع الاول - القاهرة الجديدة</v>
      </c>
      <c r="I376" s="6" t="str">
        <f ca="1">IFERROR(__xludf.DUMMYFUNCTION("""COMPUTED_VALUE"""),"2023448011")</f>
        <v>2023448011</v>
      </c>
      <c r="J376" s="6" t="str">
        <f ca="1">IFERROR(__xludf.DUMMYFUNCTION("""COMPUTED_VALUE"""),"19199")</f>
        <v>19199</v>
      </c>
      <c r="K376"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77" spans="1:11" x14ac:dyDescent="0.25">
      <c r="A377" s="4" t="str">
        <f ca="1">IFERROR(__xludf.DUMMYFUNCTION("""COMPUTED_VALUE"""),"2822-B")</f>
        <v>2822-B</v>
      </c>
      <c r="B377" s="5" t="str">
        <f ca="1">IFERROR(__xludf.DUMMYFUNCTION("""COMPUTED_VALUE"""),"القاهرة")</f>
        <v>القاهرة</v>
      </c>
      <c r="C377" s="5" t="str">
        <f ca="1">IFERROR(__xludf.DUMMYFUNCTION("""COMPUTED_VALUE"""),"القاهرة الجديدة")</f>
        <v>القاهرة الجديدة</v>
      </c>
      <c r="D377" s="5" t="str">
        <f ca="1">IFERROR(__xludf.DUMMYFUNCTION("""COMPUTED_VALUE"""),"صيدلية")</f>
        <v>صيدلية</v>
      </c>
      <c r="E377" s="5" t="str">
        <f ca="1">IFERROR(__xludf.DUMMYFUNCTION("""COMPUTED_VALUE"""),"صيدلية")</f>
        <v>صيدلية</v>
      </c>
      <c r="F377" s="5" t="str">
        <f ca="1">IFERROR(__xludf.DUMMYFUNCTION("""COMPUTED_VALUE"""),"صيدلية (أدوية ومستلزمات طبية)")</f>
        <v>صيدلية (أدوية ومستلزمات طبية)</v>
      </c>
      <c r="G377" s="5" t="str">
        <f ca="1">IFERROR(__xludf.DUMMYFUNCTION("""COMPUTED_VALUE"""),"صيدليات سيف")</f>
        <v>صيدليات سيف</v>
      </c>
      <c r="H377" s="5" t="str">
        <f ca="1">IFERROR(__xludf.DUMMYFUNCTION("""COMPUTED_VALUE"""),"سيفين ستارز مول - بجوار مسجد الحمد ومجمع المحاكم-القاهرة الجديدة-القاهرة")</f>
        <v>سيفين ستارز مول - بجوار مسجد الحمد ومجمع المحاكم-القاهرة الجديدة-القاهرة</v>
      </c>
      <c r="I377" s="6" t="str">
        <f ca="1">IFERROR(__xludf.DUMMYFUNCTION("""COMPUTED_VALUE"""),"20229298577")</f>
        <v>20229298577</v>
      </c>
      <c r="J377" s="6" t="str">
        <f ca="1">IFERROR(__xludf.DUMMYFUNCTION("""COMPUTED_VALUE"""),"19199")</f>
        <v>19199</v>
      </c>
      <c r="K377"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78" spans="1:11" x14ac:dyDescent="0.25">
      <c r="A378" s="4" t="str">
        <f ca="1">IFERROR(__xludf.DUMMYFUNCTION("""COMPUTED_VALUE"""),"2822-B")</f>
        <v>2822-B</v>
      </c>
      <c r="B378" s="5" t="str">
        <f ca="1">IFERROR(__xludf.DUMMYFUNCTION("""COMPUTED_VALUE"""),"القاهرة")</f>
        <v>القاهرة</v>
      </c>
      <c r="C378" s="5" t="str">
        <f ca="1">IFERROR(__xludf.DUMMYFUNCTION("""COMPUTED_VALUE"""),"القاهرة الجديدة")</f>
        <v>القاهرة الجديدة</v>
      </c>
      <c r="D378" s="5" t="str">
        <f ca="1">IFERROR(__xludf.DUMMYFUNCTION("""COMPUTED_VALUE"""),"صيدلية")</f>
        <v>صيدلية</v>
      </c>
      <c r="E378" s="5" t="str">
        <f ca="1">IFERROR(__xludf.DUMMYFUNCTION("""COMPUTED_VALUE"""),"صيدلية")</f>
        <v>صيدلية</v>
      </c>
      <c r="F378" s="5" t="str">
        <f ca="1">IFERROR(__xludf.DUMMYFUNCTION("""COMPUTED_VALUE"""),"صيدلية (أدوية ومستلزمات طبية)")</f>
        <v>صيدلية (أدوية ومستلزمات طبية)</v>
      </c>
      <c r="G378" s="5" t="str">
        <f ca="1">IFERROR(__xludf.DUMMYFUNCTION("""COMPUTED_VALUE"""),"صيدليات سيف")</f>
        <v>صيدليات سيف</v>
      </c>
      <c r="H378" s="5" t="str">
        <f ca="1">IFERROR(__xludf.DUMMYFUNCTION("""COMPUTED_VALUE"""),"كونكورد مول -القاهرة الجديدة-القاهرة")</f>
        <v>كونكورد مول -القاهرة الجديدة-القاهرة</v>
      </c>
      <c r="I378" s="6" t="str">
        <f ca="1">IFERROR(__xludf.DUMMYFUNCTION("""COMPUTED_VALUE"""),"20229296504")</f>
        <v>20229296504</v>
      </c>
      <c r="J378" s="6" t="str">
        <f ca="1">IFERROR(__xludf.DUMMYFUNCTION("""COMPUTED_VALUE"""),"19199")</f>
        <v>19199</v>
      </c>
      <c r="K378"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79" spans="1:11" x14ac:dyDescent="0.25">
      <c r="A379" s="4" t="str">
        <f ca="1">IFERROR(__xludf.DUMMYFUNCTION("""COMPUTED_VALUE"""),"2822-B")</f>
        <v>2822-B</v>
      </c>
      <c r="B379" s="5" t="str">
        <f ca="1">IFERROR(__xludf.DUMMYFUNCTION("""COMPUTED_VALUE"""),"القاهرة")</f>
        <v>القاهرة</v>
      </c>
      <c r="C379" s="5" t="str">
        <f ca="1">IFERROR(__xludf.DUMMYFUNCTION("""COMPUTED_VALUE"""),"القاهرة الجديدة")</f>
        <v>القاهرة الجديدة</v>
      </c>
      <c r="D379" s="5" t="str">
        <f ca="1">IFERROR(__xludf.DUMMYFUNCTION("""COMPUTED_VALUE"""),"صيدلية")</f>
        <v>صيدلية</v>
      </c>
      <c r="E379" s="5" t="str">
        <f ca="1">IFERROR(__xludf.DUMMYFUNCTION("""COMPUTED_VALUE"""),"صيدلية")</f>
        <v>صيدلية</v>
      </c>
      <c r="F379" s="5" t="str">
        <f ca="1">IFERROR(__xludf.DUMMYFUNCTION("""COMPUTED_VALUE"""),"صيدلية (أدوية ومستلزمات طبية)")</f>
        <v>صيدلية (أدوية ومستلزمات طبية)</v>
      </c>
      <c r="G379" s="5" t="str">
        <f ca="1">IFERROR(__xludf.DUMMYFUNCTION("""COMPUTED_VALUE"""),"صيدليات سيف")</f>
        <v>صيدليات سيف</v>
      </c>
      <c r="H379" s="5" t="str">
        <f ca="1">IFERROR(__xludf.DUMMYFUNCTION("""COMPUTED_VALUE"""),"مول داون تاون - مبنى S3 -القاهرة الجديدة-القاهرة")</f>
        <v>مول داون تاون - مبنى S3 -القاهرة الجديدة-القاهرة</v>
      </c>
      <c r="I379" s="6" t="str">
        <f ca="1">IFERROR(__xludf.DUMMYFUNCTION("""COMPUTED_VALUE"""),"20223146237")</f>
        <v>20223146237</v>
      </c>
      <c r="J379" s="6" t="str">
        <f ca="1">IFERROR(__xludf.DUMMYFUNCTION("""COMPUTED_VALUE"""),"19199")</f>
        <v>19199</v>
      </c>
      <c r="K379"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80" spans="1:11" x14ac:dyDescent="0.25">
      <c r="A380" s="4" t="str">
        <f ca="1">IFERROR(__xludf.DUMMYFUNCTION("""COMPUTED_VALUE"""),"1683-B")</f>
        <v>1683-B</v>
      </c>
      <c r="B380" s="5" t="str">
        <f ca="1">IFERROR(__xludf.DUMMYFUNCTION("""COMPUTED_VALUE"""),"القاهرة")</f>
        <v>القاهرة</v>
      </c>
      <c r="C380" s="5" t="str">
        <f ca="1">IFERROR(__xludf.DUMMYFUNCTION("""COMPUTED_VALUE"""),"الرحاب")</f>
        <v>الرحاب</v>
      </c>
      <c r="D380" s="5" t="str">
        <f ca="1">IFERROR(__xludf.DUMMYFUNCTION("""COMPUTED_VALUE"""),"صيدلية")</f>
        <v>صيدلية</v>
      </c>
      <c r="E380" s="5" t="str">
        <f ca="1">IFERROR(__xludf.DUMMYFUNCTION("""COMPUTED_VALUE"""),"صيدلية")</f>
        <v>صيدلية</v>
      </c>
      <c r="F380" s="5" t="str">
        <f ca="1">IFERROR(__xludf.DUMMYFUNCTION("""COMPUTED_VALUE"""),"صيدلية (أدوية ومستلزمات طبية)")</f>
        <v>صيدلية (أدوية ومستلزمات طبية)</v>
      </c>
      <c r="G38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80" s="5" t="str">
        <f ca="1">IFERROR(__xludf.DUMMYFUNCTION("""COMPUTED_VALUE"""),"المحل التجاري -رقم 51و 52 - بمدينة الرحاب -السوق التجاري - منطقة الخدمات المنزلية-الرحاب-القاهرة")</f>
        <v>المحل التجاري -رقم 51و 52 - بمدينة الرحاب -السوق التجاري - منطقة الخدمات المنزلية-الرحاب-القاهرة</v>
      </c>
      <c r="I380" s="6" t="str">
        <f ca="1">IFERROR(__xludf.DUMMYFUNCTION("""COMPUTED_VALUE"""),"1146686587
")</f>
        <v xml:space="preserve">1146686587
</v>
      </c>
      <c r="J380" s="6" t="str">
        <f ca="1">IFERROR(__xludf.DUMMYFUNCTION("""COMPUTED_VALUE"""),"19600")</f>
        <v>19600</v>
      </c>
      <c r="K380" s="6" t="str">
        <f ca="1">IFERROR(__xludf.DUMMYFUNCTION("""COMPUTED_VALUE"""),"7.5 % على المحلى ,5% على المستلزمات الطبية و التجميل")</f>
        <v>7.5 % على المحلى ,5% على المستلزمات الطبية و التجميل</v>
      </c>
    </row>
    <row r="381" spans="1:11" x14ac:dyDescent="0.25">
      <c r="A381" s="4" t="str">
        <f ca="1">IFERROR(__xludf.DUMMYFUNCTION("""COMPUTED_VALUE"""),"1683-B")</f>
        <v>1683-B</v>
      </c>
      <c r="B381" s="5" t="str">
        <f ca="1">IFERROR(__xludf.DUMMYFUNCTION("""COMPUTED_VALUE"""),"القاهرة")</f>
        <v>القاهرة</v>
      </c>
      <c r="C381" s="5" t="str">
        <f ca="1">IFERROR(__xludf.DUMMYFUNCTION("""COMPUTED_VALUE"""),"القاهرة الجديدة")</f>
        <v>القاهرة الجديدة</v>
      </c>
      <c r="D381" s="5" t="str">
        <f ca="1">IFERROR(__xludf.DUMMYFUNCTION("""COMPUTED_VALUE"""),"صيدلية")</f>
        <v>صيدلية</v>
      </c>
      <c r="E381" s="5" t="str">
        <f ca="1">IFERROR(__xludf.DUMMYFUNCTION("""COMPUTED_VALUE"""),"صيدلية")</f>
        <v>صيدلية</v>
      </c>
      <c r="F381" s="5" t="str">
        <f ca="1">IFERROR(__xludf.DUMMYFUNCTION("""COMPUTED_VALUE"""),"صيدلية (أدوية ومستلزمات طبية)")</f>
        <v>صيدلية (أدوية ومستلزمات طبية)</v>
      </c>
      <c r="G38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81" s="5" t="str">
        <f ca="1">IFERROR(__xludf.DUMMYFUNCTION("""COMPUTED_VALUE"""),"الوحدة رقم 2-087 - كايرو فيستيفال - سيتي مول - التجمع الخامس - القاهرة الجديدة")</f>
        <v>الوحدة رقم 2-087 - كايرو فيستيفال - سيتي مول - التجمع الخامس - القاهرة الجديدة</v>
      </c>
      <c r="I381" s="6" t="str">
        <f ca="1">IFERROR(__xludf.DUMMYFUNCTION("""COMPUTED_VALUE"""),"1100779065
")</f>
        <v xml:space="preserve">1100779065
</v>
      </c>
      <c r="J381" s="6" t="str">
        <f ca="1">IFERROR(__xludf.DUMMYFUNCTION("""COMPUTED_VALUE"""),"19600")</f>
        <v>19600</v>
      </c>
      <c r="K381" s="6" t="str">
        <f ca="1">IFERROR(__xludf.DUMMYFUNCTION("""COMPUTED_VALUE"""),"7.5 % على المحلى ,5% على المستلزمات الطبية و التجميل")</f>
        <v>7.5 % على المحلى ,5% على المستلزمات الطبية و التجميل</v>
      </c>
    </row>
    <row r="382" spans="1:11" x14ac:dyDescent="0.25">
      <c r="A382" s="4" t="str">
        <f ca="1">IFERROR(__xludf.DUMMYFUNCTION("""COMPUTED_VALUE"""),"1683-B")</f>
        <v>1683-B</v>
      </c>
      <c r="B382" s="5" t="str">
        <f ca="1">IFERROR(__xludf.DUMMYFUNCTION("""COMPUTED_VALUE"""),"القاهرة")</f>
        <v>القاهرة</v>
      </c>
      <c r="C382" s="5" t="str">
        <f ca="1">IFERROR(__xludf.DUMMYFUNCTION("""COMPUTED_VALUE"""),"القاهرة الجديدة")</f>
        <v>القاهرة الجديدة</v>
      </c>
      <c r="D382" s="5" t="str">
        <f ca="1">IFERROR(__xludf.DUMMYFUNCTION("""COMPUTED_VALUE"""),"صيدلية")</f>
        <v>صيدلية</v>
      </c>
      <c r="E382" s="5" t="str">
        <f ca="1">IFERROR(__xludf.DUMMYFUNCTION("""COMPUTED_VALUE"""),"صيدلية")</f>
        <v>صيدلية</v>
      </c>
      <c r="F382" s="5" t="str">
        <f ca="1">IFERROR(__xludf.DUMMYFUNCTION("""COMPUTED_VALUE"""),"صيدلية (أدوية ومستلزمات طبية)")</f>
        <v>صيدلية (أدوية ومستلزمات طبية)</v>
      </c>
      <c r="G38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82" s="5" t="str">
        <f ca="1">IFERROR(__xludf.DUMMYFUNCTION("""COMPUTED_VALUE"""),"فيوتشر مول - التجمع الثالث - منطقة الخدمات-القاهرة الجديدة-القاهرة")</f>
        <v>فيوتشر مول - التجمع الثالث - منطقة الخدمات-القاهرة الجديدة-القاهرة</v>
      </c>
      <c r="I382" s="6" t="str">
        <f ca="1">IFERROR(__xludf.DUMMYFUNCTION("""COMPUTED_VALUE"""),"1110079621
")</f>
        <v xml:space="preserve">1110079621
</v>
      </c>
      <c r="J382" s="6" t="str">
        <f ca="1">IFERROR(__xludf.DUMMYFUNCTION("""COMPUTED_VALUE"""),"19600")</f>
        <v>19600</v>
      </c>
      <c r="K382" s="6" t="str">
        <f ca="1">IFERROR(__xludf.DUMMYFUNCTION("""COMPUTED_VALUE"""),"7.5 % على المحلى ,5% على المستلزمات الطبية و التجميل")</f>
        <v>7.5 % على المحلى ,5% على المستلزمات الطبية و التجميل</v>
      </c>
    </row>
    <row r="383" spans="1:11" x14ac:dyDescent="0.25">
      <c r="A383" s="4" t="str">
        <f ca="1">IFERROR(__xludf.DUMMYFUNCTION("""COMPUTED_VALUE"""),"1683-B")</f>
        <v>1683-B</v>
      </c>
      <c r="B383" s="5" t="str">
        <f ca="1">IFERROR(__xludf.DUMMYFUNCTION("""COMPUTED_VALUE"""),"القاهرة")</f>
        <v>القاهرة</v>
      </c>
      <c r="C383" s="5" t="str">
        <f ca="1">IFERROR(__xludf.DUMMYFUNCTION("""COMPUTED_VALUE"""),"القاهرة الجديدة")</f>
        <v>القاهرة الجديدة</v>
      </c>
      <c r="D383" s="5" t="str">
        <f ca="1">IFERROR(__xludf.DUMMYFUNCTION("""COMPUTED_VALUE"""),"صيدلية")</f>
        <v>صيدلية</v>
      </c>
      <c r="E383" s="5" t="str">
        <f ca="1">IFERROR(__xludf.DUMMYFUNCTION("""COMPUTED_VALUE"""),"صيدلية")</f>
        <v>صيدلية</v>
      </c>
      <c r="F383" s="5" t="str">
        <f ca="1">IFERROR(__xludf.DUMMYFUNCTION("""COMPUTED_VALUE"""),"صيدلية (أدوية ومستلزمات طبية)")</f>
        <v>صيدلية (أدوية ومستلزمات طبية)</v>
      </c>
      <c r="G38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83" s="5" t="str">
        <f ca="1">IFERROR(__xludf.DUMMYFUNCTION("""COMPUTED_VALUE"""),"محل 9 الدور الأرضى - سلفر ستارز مول - التجمع الخامس-القاهرة الجديدة-القاهرة")</f>
        <v>محل 9 الدور الأرضى - سلفر ستارز مول - التجمع الخامس-القاهرة الجديدة-القاهرة</v>
      </c>
      <c r="I383" s="6" t="str">
        <f ca="1">IFERROR(__xludf.DUMMYFUNCTION("""COMPUTED_VALUE"""),"1110079635
")</f>
        <v xml:space="preserve">1110079635
</v>
      </c>
      <c r="J383" s="6" t="str">
        <f ca="1">IFERROR(__xludf.DUMMYFUNCTION("""COMPUTED_VALUE"""),"19600")</f>
        <v>19600</v>
      </c>
      <c r="K383" s="6" t="str">
        <f ca="1">IFERROR(__xludf.DUMMYFUNCTION("""COMPUTED_VALUE"""),"7.5 % على المحلى ,5% على المستلزمات الطبية و التجميل")</f>
        <v>7.5 % على المحلى ,5% على المستلزمات الطبية و التجميل</v>
      </c>
    </row>
    <row r="384" spans="1:11" x14ac:dyDescent="0.25">
      <c r="A384" s="4" t="str">
        <f ca="1">IFERROR(__xludf.DUMMYFUNCTION("""COMPUTED_VALUE"""),"1683-B")</f>
        <v>1683-B</v>
      </c>
      <c r="B384" s="5" t="str">
        <f ca="1">IFERROR(__xludf.DUMMYFUNCTION("""COMPUTED_VALUE"""),"القاهرة")</f>
        <v>القاهرة</v>
      </c>
      <c r="C384" s="5" t="str">
        <f ca="1">IFERROR(__xludf.DUMMYFUNCTION("""COMPUTED_VALUE"""),"الرحاب")</f>
        <v>الرحاب</v>
      </c>
      <c r="D384" s="5" t="str">
        <f ca="1">IFERROR(__xludf.DUMMYFUNCTION("""COMPUTED_VALUE"""),"صيدلية")</f>
        <v>صيدلية</v>
      </c>
      <c r="E384" s="5" t="str">
        <f ca="1">IFERROR(__xludf.DUMMYFUNCTION("""COMPUTED_VALUE"""),"صيدلية")</f>
        <v>صيدلية</v>
      </c>
      <c r="F384" s="5" t="str">
        <f ca="1">IFERROR(__xludf.DUMMYFUNCTION("""COMPUTED_VALUE"""),"صيدلية (أدوية ومستلزمات طبية)")</f>
        <v>صيدلية (أدوية ومستلزمات طبية)</v>
      </c>
      <c r="G38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84" s="5" t="str">
        <f ca="1">IFERROR(__xludf.DUMMYFUNCTION("""COMPUTED_VALUE"""),"مول 2-الرحاب-القاهرة")</f>
        <v>مول 2-الرحاب-القاهرة</v>
      </c>
      <c r="I384" s="6" t="str">
        <f ca="1">IFERROR(__xludf.DUMMYFUNCTION("""COMPUTED_VALUE"""),"1110079624
")</f>
        <v xml:space="preserve">1110079624
</v>
      </c>
      <c r="J384" s="6" t="str">
        <f ca="1">IFERROR(__xludf.DUMMYFUNCTION("""COMPUTED_VALUE"""),"19600")</f>
        <v>19600</v>
      </c>
      <c r="K384" s="6" t="str">
        <f ca="1">IFERROR(__xludf.DUMMYFUNCTION("""COMPUTED_VALUE"""),"7.5 % على المحلى ,5% على المستلزمات الطبية و التجميل")</f>
        <v>7.5 % على المحلى ,5% على المستلزمات الطبية و التجميل</v>
      </c>
    </row>
    <row r="385" spans="1:11" x14ac:dyDescent="0.25">
      <c r="A385" s="4" t="str">
        <f ca="1">IFERROR(__xludf.DUMMYFUNCTION("""COMPUTED_VALUE"""),"2822-B")</f>
        <v>2822-B</v>
      </c>
      <c r="B385" s="5" t="str">
        <f ca="1">IFERROR(__xludf.DUMMYFUNCTION("""COMPUTED_VALUE"""),"القاهرة")</f>
        <v>القاهرة</v>
      </c>
      <c r="C385" s="5" t="str">
        <f ca="1">IFERROR(__xludf.DUMMYFUNCTION("""COMPUTED_VALUE"""),"المعادى")</f>
        <v>المعادى</v>
      </c>
      <c r="D385" s="5" t="str">
        <f ca="1">IFERROR(__xludf.DUMMYFUNCTION("""COMPUTED_VALUE"""),"صيدلية")</f>
        <v>صيدلية</v>
      </c>
      <c r="E385" s="5" t="str">
        <f ca="1">IFERROR(__xludf.DUMMYFUNCTION("""COMPUTED_VALUE"""),"صيدلية")</f>
        <v>صيدلية</v>
      </c>
      <c r="F385" s="5" t="str">
        <f ca="1">IFERROR(__xludf.DUMMYFUNCTION("""COMPUTED_VALUE"""),"صيدلية (أدوية ومستلزمات طبية)")</f>
        <v>صيدلية (أدوية ومستلزمات طبية)</v>
      </c>
      <c r="G385" s="5" t="str">
        <f ca="1">IFERROR(__xludf.DUMMYFUNCTION("""COMPUTED_VALUE"""),"صيدليات سيف")</f>
        <v>صيدليات سيف</v>
      </c>
      <c r="H385" s="5" t="str">
        <f ca="1">IFERROR(__xludf.DUMMYFUNCTION("""COMPUTED_VALUE"""),"شارع9 - ميدان المحطة (هندام)-المعادي-القاهرة")</f>
        <v>شارع9 - ميدان المحطة (هندام)-المعادي-القاهرة</v>
      </c>
      <c r="I385" s="6" t="str">
        <f ca="1">IFERROR(__xludf.DUMMYFUNCTION("""COMPUTED_VALUE"""),"20223593846")</f>
        <v>20223593846</v>
      </c>
      <c r="J385" s="6" t="str">
        <f ca="1">IFERROR(__xludf.DUMMYFUNCTION("""COMPUTED_VALUE"""),"19199")</f>
        <v>19199</v>
      </c>
      <c r="K385"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86" spans="1:11" x14ac:dyDescent="0.25">
      <c r="A386" s="4" t="str">
        <f ca="1">IFERROR(__xludf.DUMMYFUNCTION("""COMPUTED_VALUE"""),"2822-B")</f>
        <v>2822-B</v>
      </c>
      <c r="B386" s="5" t="str">
        <f ca="1">IFERROR(__xludf.DUMMYFUNCTION("""COMPUTED_VALUE"""),"القاهرة")</f>
        <v>القاهرة</v>
      </c>
      <c r="C386" s="5" t="str">
        <f ca="1">IFERROR(__xludf.DUMMYFUNCTION("""COMPUTED_VALUE"""),"المعادى")</f>
        <v>المعادى</v>
      </c>
      <c r="D386" s="5" t="str">
        <f ca="1">IFERROR(__xludf.DUMMYFUNCTION("""COMPUTED_VALUE"""),"صيدلية")</f>
        <v>صيدلية</v>
      </c>
      <c r="E386" s="5" t="str">
        <f ca="1">IFERROR(__xludf.DUMMYFUNCTION("""COMPUTED_VALUE"""),"صيدلية")</f>
        <v>صيدلية</v>
      </c>
      <c r="F386" s="5" t="str">
        <f ca="1">IFERROR(__xludf.DUMMYFUNCTION("""COMPUTED_VALUE"""),"صيدلية (أدوية ومستلزمات طبية)")</f>
        <v>صيدلية (أدوية ومستلزمات طبية)</v>
      </c>
      <c r="G386" s="5" t="str">
        <f ca="1">IFERROR(__xludf.DUMMYFUNCTION("""COMPUTED_VALUE"""),"صيدليات سيف")</f>
        <v>صيدليات سيف</v>
      </c>
      <c r="H386" s="5" t="str">
        <f ca="1">IFERROR(__xludf.DUMMYFUNCTION("""COMPUTED_VALUE"""),"مول ريحانة رزيدنس زهراء المعادى بجوار خير زمان-المعادي-القاهرة")</f>
        <v>مول ريحانة رزيدنس زهراء المعادى بجوار خير زمان-المعادي-القاهرة</v>
      </c>
      <c r="I386" s="6" t="str">
        <f ca="1">IFERROR(__xludf.DUMMYFUNCTION("""COMPUTED_VALUE"""),"20229702243")</f>
        <v>20229702243</v>
      </c>
      <c r="J386" s="6" t="str">
        <f ca="1">IFERROR(__xludf.DUMMYFUNCTION("""COMPUTED_VALUE"""),"19199")</f>
        <v>19199</v>
      </c>
      <c r="K386"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87" spans="1:11" x14ac:dyDescent="0.25">
      <c r="A387" s="4" t="str">
        <f ca="1">IFERROR(__xludf.DUMMYFUNCTION("""COMPUTED_VALUE"""),"1683-B")</f>
        <v>1683-B</v>
      </c>
      <c r="B387" s="5" t="str">
        <f ca="1">IFERROR(__xludf.DUMMYFUNCTION("""COMPUTED_VALUE"""),"القاهرة")</f>
        <v>القاهرة</v>
      </c>
      <c r="C387" s="5" t="str">
        <f ca="1">IFERROR(__xludf.DUMMYFUNCTION("""COMPUTED_VALUE"""),"المعادى")</f>
        <v>المعادى</v>
      </c>
      <c r="D387" s="5" t="str">
        <f ca="1">IFERROR(__xludf.DUMMYFUNCTION("""COMPUTED_VALUE"""),"صيدلية")</f>
        <v>صيدلية</v>
      </c>
      <c r="E387" s="5" t="str">
        <f ca="1">IFERROR(__xludf.DUMMYFUNCTION("""COMPUTED_VALUE"""),"صيدلية")</f>
        <v>صيدلية</v>
      </c>
      <c r="F387" s="5" t="str">
        <f ca="1">IFERROR(__xludf.DUMMYFUNCTION("""COMPUTED_VALUE"""),"صيدلية (أدوية ومستلزمات طبية)")</f>
        <v>صيدلية (أدوية ومستلزمات طبية)</v>
      </c>
      <c r="G38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87" s="5" t="str">
        <f ca="1">IFERROR(__xludf.DUMMYFUNCTION("""COMPUTED_VALUE"""),"23ميدان الحرية-المعادي-القاهرة")</f>
        <v>23ميدان الحرية-المعادي-القاهرة</v>
      </c>
      <c r="I387" s="6" t="str">
        <f ca="1">IFERROR(__xludf.DUMMYFUNCTION("""COMPUTED_VALUE"""),"1110079645
")</f>
        <v xml:space="preserve">1110079645
</v>
      </c>
      <c r="J387" s="6" t="str">
        <f ca="1">IFERROR(__xludf.DUMMYFUNCTION("""COMPUTED_VALUE"""),"19600")</f>
        <v>19600</v>
      </c>
      <c r="K387" s="6" t="str">
        <f ca="1">IFERROR(__xludf.DUMMYFUNCTION("""COMPUTED_VALUE"""),"7.5 % على المحلى ,5% على المستلزمات الطبية و التجميل")</f>
        <v>7.5 % على المحلى ,5% على المستلزمات الطبية و التجميل</v>
      </c>
    </row>
    <row r="388" spans="1:11" x14ac:dyDescent="0.25">
      <c r="A388" s="4" t="str">
        <f ca="1">IFERROR(__xludf.DUMMYFUNCTION("""COMPUTED_VALUE"""),"1683-B")</f>
        <v>1683-B</v>
      </c>
      <c r="B388" s="5" t="str">
        <f ca="1">IFERROR(__xludf.DUMMYFUNCTION("""COMPUTED_VALUE"""),"القاهرة")</f>
        <v>القاهرة</v>
      </c>
      <c r="C388" s="5" t="str">
        <f ca="1">IFERROR(__xludf.DUMMYFUNCTION("""COMPUTED_VALUE"""),"المعادى")</f>
        <v>المعادى</v>
      </c>
      <c r="D388" s="5" t="str">
        <f ca="1">IFERROR(__xludf.DUMMYFUNCTION("""COMPUTED_VALUE"""),"صيدلية")</f>
        <v>صيدلية</v>
      </c>
      <c r="E388" s="5" t="str">
        <f ca="1">IFERROR(__xludf.DUMMYFUNCTION("""COMPUTED_VALUE"""),"صيدلية")</f>
        <v>صيدلية</v>
      </c>
      <c r="F388" s="5" t="str">
        <f ca="1">IFERROR(__xludf.DUMMYFUNCTION("""COMPUTED_VALUE"""),"صيدلية (أدوية ومستلزمات طبية)")</f>
        <v>صيدلية (أدوية ومستلزمات طبية)</v>
      </c>
      <c r="G38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88" s="5" t="str">
        <f ca="1">IFERROR(__xludf.DUMMYFUNCTION("""COMPUTED_VALUE"""),"45شارع النصر ميدان الجزائر-المعادي-القاهرة")</f>
        <v>45شارع النصر ميدان الجزائر-المعادي-القاهرة</v>
      </c>
      <c r="I388" s="6" t="str">
        <f ca="1">IFERROR(__xludf.DUMMYFUNCTION("""COMPUTED_VALUE"""),"1110079606
")</f>
        <v xml:space="preserve">1110079606
</v>
      </c>
      <c r="J388" s="6" t="str">
        <f ca="1">IFERROR(__xludf.DUMMYFUNCTION("""COMPUTED_VALUE"""),"19600")</f>
        <v>19600</v>
      </c>
      <c r="K388" s="6" t="str">
        <f ca="1">IFERROR(__xludf.DUMMYFUNCTION("""COMPUTED_VALUE"""),"7.5 % على المحلى ,5% على المستلزمات الطبية و التجميل")</f>
        <v>7.5 % على المحلى ,5% على المستلزمات الطبية و التجميل</v>
      </c>
    </row>
    <row r="389" spans="1:11" x14ac:dyDescent="0.25">
      <c r="A389" s="4" t="str">
        <f ca="1">IFERROR(__xludf.DUMMYFUNCTION("""COMPUTED_VALUE"""),"1683-B")</f>
        <v>1683-B</v>
      </c>
      <c r="B389" s="5" t="str">
        <f ca="1">IFERROR(__xludf.DUMMYFUNCTION("""COMPUTED_VALUE"""),"القاهرة")</f>
        <v>القاهرة</v>
      </c>
      <c r="C389" s="5" t="str">
        <f ca="1">IFERROR(__xludf.DUMMYFUNCTION("""COMPUTED_VALUE"""),"المعادى")</f>
        <v>المعادى</v>
      </c>
      <c r="D389" s="5" t="str">
        <f ca="1">IFERROR(__xludf.DUMMYFUNCTION("""COMPUTED_VALUE"""),"صيدلية")</f>
        <v>صيدلية</v>
      </c>
      <c r="E389" s="5" t="str">
        <f ca="1">IFERROR(__xludf.DUMMYFUNCTION("""COMPUTED_VALUE"""),"صيدلية")</f>
        <v>صيدلية</v>
      </c>
      <c r="F389" s="5" t="str">
        <f ca="1">IFERROR(__xludf.DUMMYFUNCTION("""COMPUTED_VALUE"""),"صيدلية (أدوية ومستلزمات طبية)")</f>
        <v>صيدلية (أدوية ومستلزمات طبية)</v>
      </c>
      <c r="G38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89" s="5" t="str">
        <f ca="1">IFERROR(__xludf.DUMMYFUNCTION("""COMPUTED_VALUE"""),"محل رقم ج - الدور الارضي - برج السلام المعادي - بجوار مستشفى السلام الدولي - 516 كورنيش النيل المعادي .")</f>
        <v>محل رقم ج - الدور الارضي - برج السلام المعادي - بجوار مستشفى السلام الدولي - 516 كورنيش النيل المعادي .</v>
      </c>
      <c r="I389" s="6" t="str">
        <f ca="1">IFERROR(__xludf.DUMMYFUNCTION("""COMPUTED_VALUE"""),"1110079627
")</f>
        <v xml:space="preserve">1110079627
</v>
      </c>
      <c r="J389" s="6" t="str">
        <f ca="1">IFERROR(__xludf.DUMMYFUNCTION("""COMPUTED_VALUE"""),"19600")</f>
        <v>19600</v>
      </c>
      <c r="K389" s="6" t="str">
        <f ca="1">IFERROR(__xludf.DUMMYFUNCTION("""COMPUTED_VALUE"""),"7.5 % على المحلى ,5% على المستلزمات الطبية و التجميل")</f>
        <v>7.5 % على المحلى ,5% على المستلزمات الطبية و التجميل</v>
      </c>
    </row>
    <row r="390" spans="1:11" x14ac:dyDescent="0.25">
      <c r="A390" s="4" t="str">
        <f ca="1">IFERROR(__xludf.DUMMYFUNCTION("""COMPUTED_VALUE"""),"104507")</f>
        <v>104507</v>
      </c>
      <c r="B390" s="5" t="str">
        <f ca="1">IFERROR(__xludf.DUMMYFUNCTION("""COMPUTED_VALUE"""),"القاهرة")</f>
        <v>القاهرة</v>
      </c>
      <c r="C390" s="5" t="str">
        <f ca="1">IFERROR(__xludf.DUMMYFUNCTION("""COMPUTED_VALUE"""),"المعادى")</f>
        <v>المعادى</v>
      </c>
      <c r="D390" s="5" t="str">
        <f ca="1">IFERROR(__xludf.DUMMYFUNCTION("""COMPUTED_VALUE"""),"صيدلية")</f>
        <v>صيدلية</v>
      </c>
      <c r="E390" s="5" t="str">
        <f ca="1">IFERROR(__xludf.DUMMYFUNCTION("""COMPUTED_VALUE"""),"صيدلية")</f>
        <v>صيدلية</v>
      </c>
      <c r="F390" s="5" t="str">
        <f ca="1">IFERROR(__xludf.DUMMYFUNCTION("""COMPUTED_VALUE"""),"صيدلية (أدوية ومستلزمات طبية)")</f>
        <v>صيدلية (أدوية ومستلزمات طبية)</v>
      </c>
      <c r="G390" s="5" t="str">
        <f ca="1">IFERROR(__xludf.DUMMYFUNCTION("""COMPUTED_VALUE"""),"صيدلية مستشفى السلام الدولي")</f>
        <v>صيدلية مستشفى السلام الدولي</v>
      </c>
      <c r="H390" s="5" t="str">
        <f ca="1">IFERROR(__xludf.DUMMYFUNCTION("""COMPUTED_VALUE"""),"كورنيش النيل-المعادي-القاهرة")</f>
        <v>كورنيش النيل-المعادي-القاهرة</v>
      </c>
      <c r="I390" s="6" t="str">
        <f ca="1">IFERROR(__xludf.DUMMYFUNCTION("""COMPUTED_VALUE"""),"20225240250")</f>
        <v>20225240250</v>
      </c>
      <c r="J390" s="6" t="str">
        <f ca="1">IFERROR(__xludf.DUMMYFUNCTION("""COMPUTED_VALUE"""),"19885")</f>
        <v>19885</v>
      </c>
      <c r="K390" s="6" t="str">
        <f ca="1">IFERROR(__xludf.DUMMYFUNCTION("""COMPUTED_VALUE"""),"خصم 10% علي الادوية المحلية و 5% علي الادوية المستوردة")</f>
        <v>خصم 10% علي الادوية المحلية و 5% علي الادوية المستوردة</v>
      </c>
    </row>
    <row r="391" spans="1:11" x14ac:dyDescent="0.25">
      <c r="A391" s="4" t="str">
        <f ca="1">IFERROR(__xludf.DUMMYFUNCTION("""COMPUTED_VALUE"""),"104504")</f>
        <v>104504</v>
      </c>
      <c r="B391" s="5" t="str">
        <f ca="1">IFERROR(__xludf.DUMMYFUNCTION("""COMPUTED_VALUE"""),"القاهرة")</f>
        <v>القاهرة</v>
      </c>
      <c r="C391" s="5" t="str">
        <f ca="1">IFERROR(__xludf.DUMMYFUNCTION("""COMPUTED_VALUE"""),"المعادى")</f>
        <v>المعادى</v>
      </c>
      <c r="D391" s="5" t="str">
        <f ca="1">IFERROR(__xludf.DUMMYFUNCTION("""COMPUTED_VALUE"""),"صيدلية")</f>
        <v>صيدلية</v>
      </c>
      <c r="E391" s="5" t="str">
        <f ca="1">IFERROR(__xludf.DUMMYFUNCTION("""COMPUTED_VALUE"""),"صيدلية")</f>
        <v>صيدلية</v>
      </c>
      <c r="F391" s="5" t="str">
        <f ca="1">IFERROR(__xludf.DUMMYFUNCTION("""COMPUTED_VALUE"""),"صيدلية (أدوية ومستلزمات طبية)")</f>
        <v>صيدلية (أدوية ومستلزمات طبية)</v>
      </c>
      <c r="G391" s="5" t="str">
        <f ca="1">IFERROR(__xludf.DUMMYFUNCTION("""COMPUTED_VALUE"""),"صيدلية مستشفى النيل بدراوي")</f>
        <v>صيدلية مستشفى النيل بدراوي</v>
      </c>
      <c r="H391" s="5" t="str">
        <f ca="1">IFERROR(__xludf.DUMMYFUNCTION("""COMPUTED_VALUE"""),"كورنيش النيل-المعادي-القاهرة")</f>
        <v>كورنيش النيل-المعادي-القاهرة</v>
      </c>
      <c r="I391" s="6"/>
      <c r="J391" s="6" t="str">
        <f ca="1">IFERROR(__xludf.DUMMYFUNCTION("""COMPUTED_VALUE"""),"19668")</f>
        <v>19668</v>
      </c>
      <c r="K391" s="6" t="str">
        <f ca="1">IFERROR(__xludf.DUMMYFUNCTION("""COMPUTED_VALUE"""),"7 % على الأدويه المحلى ,3% على الأدويه المستورد")</f>
        <v>7 % على الأدويه المحلى ,3% على الأدويه المستورد</v>
      </c>
    </row>
    <row r="392" spans="1:11" x14ac:dyDescent="0.25">
      <c r="A392" s="4" t="str">
        <f ca="1">IFERROR(__xludf.DUMMYFUNCTION("""COMPUTED_VALUE"""),"2822-B")</f>
        <v>2822-B</v>
      </c>
      <c r="B392" s="5" t="str">
        <f ca="1">IFERROR(__xludf.DUMMYFUNCTION("""COMPUTED_VALUE"""),"القاهرة")</f>
        <v>القاهرة</v>
      </c>
      <c r="C392" s="5" t="str">
        <f ca="1">IFERROR(__xludf.DUMMYFUNCTION("""COMPUTED_VALUE"""),"المقطم")</f>
        <v>المقطم</v>
      </c>
      <c r="D392" s="5" t="str">
        <f ca="1">IFERROR(__xludf.DUMMYFUNCTION("""COMPUTED_VALUE"""),"صيدلية")</f>
        <v>صيدلية</v>
      </c>
      <c r="E392" s="5" t="str">
        <f ca="1">IFERROR(__xludf.DUMMYFUNCTION("""COMPUTED_VALUE"""),"صيدلية")</f>
        <v>صيدلية</v>
      </c>
      <c r="F392" s="5" t="str">
        <f ca="1">IFERROR(__xludf.DUMMYFUNCTION("""COMPUTED_VALUE"""),"صيدلية (أدوية ومستلزمات طبية)")</f>
        <v>صيدلية (أدوية ومستلزمات طبية)</v>
      </c>
      <c r="G392" s="5" t="str">
        <f ca="1">IFERROR(__xludf.DUMMYFUNCTION("""COMPUTED_VALUE"""),"صيدليات سيف")</f>
        <v>صيدليات سيف</v>
      </c>
      <c r="H392" s="5" t="str">
        <f ca="1">IFERROR(__xludf.DUMMYFUNCTION("""COMPUTED_VALUE"""),"13شارع 9 - قطعة 527 الهضبة العليا-المقطم-القاهرة")</f>
        <v>13شارع 9 - قطعة 527 الهضبة العليا-المقطم-القاهرة</v>
      </c>
      <c r="I392" s="6" t="str">
        <f ca="1">IFERROR(__xludf.DUMMYFUNCTION("""COMPUTED_VALUE"""),"201122211103")</f>
        <v>201122211103</v>
      </c>
      <c r="J392" s="6" t="str">
        <f ca="1">IFERROR(__xludf.DUMMYFUNCTION("""COMPUTED_VALUE"""),"19199")</f>
        <v>19199</v>
      </c>
      <c r="K392"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93" spans="1:11" x14ac:dyDescent="0.25">
      <c r="A393" s="4" t="str">
        <f ca="1">IFERROR(__xludf.DUMMYFUNCTION("""COMPUTED_VALUE"""),"1683-B")</f>
        <v>1683-B</v>
      </c>
      <c r="B393" s="5" t="str">
        <f ca="1">IFERROR(__xludf.DUMMYFUNCTION("""COMPUTED_VALUE"""),"القاهرة")</f>
        <v>القاهرة</v>
      </c>
      <c r="C393" s="5" t="str">
        <f ca="1">IFERROR(__xludf.DUMMYFUNCTION("""COMPUTED_VALUE"""),"المقطم")</f>
        <v>المقطم</v>
      </c>
      <c r="D393" s="5" t="str">
        <f ca="1">IFERROR(__xludf.DUMMYFUNCTION("""COMPUTED_VALUE"""),"صيدلية")</f>
        <v>صيدلية</v>
      </c>
      <c r="E393" s="5" t="str">
        <f ca="1">IFERROR(__xludf.DUMMYFUNCTION("""COMPUTED_VALUE"""),"صيدلية")</f>
        <v>صيدلية</v>
      </c>
      <c r="F393" s="5" t="str">
        <f ca="1">IFERROR(__xludf.DUMMYFUNCTION("""COMPUTED_VALUE"""),"صيدلية (أدوية ومستلزمات طبية)")</f>
        <v>صيدلية (أدوية ومستلزمات طبية)</v>
      </c>
      <c r="G39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93" s="5" t="str">
        <f ca="1">IFERROR(__xludf.DUMMYFUNCTION("""COMPUTED_VALUE"""),"98شارع 9 قطعة 6018 - بجوار التوحيد والنور-المقطم-القاهرة")</f>
        <v>98شارع 9 قطعة 6018 - بجوار التوحيد والنور-المقطم-القاهرة</v>
      </c>
      <c r="I393" s="6" t="str">
        <f ca="1">IFERROR(__xludf.DUMMYFUNCTION("""COMPUTED_VALUE"""),"1116004661
")</f>
        <v xml:space="preserve">1116004661
</v>
      </c>
      <c r="J393" s="6" t="str">
        <f ca="1">IFERROR(__xludf.DUMMYFUNCTION("""COMPUTED_VALUE"""),"19600")</f>
        <v>19600</v>
      </c>
      <c r="K393" s="6" t="str">
        <f ca="1">IFERROR(__xludf.DUMMYFUNCTION("""COMPUTED_VALUE"""),"7.5 % على المحلى ,5% على المستلزمات الطبية و التجميل")</f>
        <v>7.5 % على المحلى ,5% على المستلزمات الطبية و التجميل</v>
      </c>
    </row>
    <row r="394" spans="1:11" x14ac:dyDescent="0.25">
      <c r="A394" s="4" t="str">
        <f ca="1">IFERROR(__xludf.DUMMYFUNCTION("""COMPUTED_VALUE"""),"2822-B")</f>
        <v>2822-B</v>
      </c>
      <c r="B394" s="5" t="str">
        <f ca="1">IFERROR(__xludf.DUMMYFUNCTION("""COMPUTED_VALUE"""),"القاهرة")</f>
        <v>القاهرة</v>
      </c>
      <c r="C394" s="5" t="str">
        <f ca="1">IFERROR(__xludf.DUMMYFUNCTION("""COMPUTED_VALUE"""),"المنيل")</f>
        <v>المنيل</v>
      </c>
      <c r="D394" s="5" t="str">
        <f ca="1">IFERROR(__xludf.DUMMYFUNCTION("""COMPUTED_VALUE"""),"صيدلية")</f>
        <v>صيدلية</v>
      </c>
      <c r="E394" s="5" t="str">
        <f ca="1">IFERROR(__xludf.DUMMYFUNCTION("""COMPUTED_VALUE"""),"صيدلية")</f>
        <v>صيدلية</v>
      </c>
      <c r="F394" s="5" t="str">
        <f ca="1">IFERROR(__xludf.DUMMYFUNCTION("""COMPUTED_VALUE"""),"صيدلية (أدوية ومستلزمات طبية)")</f>
        <v>صيدلية (أدوية ومستلزمات طبية)</v>
      </c>
      <c r="G394" s="5" t="str">
        <f ca="1">IFERROR(__xludf.DUMMYFUNCTION("""COMPUTED_VALUE"""),"صيدليات سيف")</f>
        <v>صيدليات سيف</v>
      </c>
      <c r="H394" s="5" t="str">
        <f ca="1">IFERROR(__xludf.DUMMYFUNCTION("""COMPUTED_VALUE"""),"34أ-المنيل الروضة-المنيل-القاهرة")</f>
        <v>34أ-المنيل الروضة-المنيل-القاهرة</v>
      </c>
      <c r="I394" s="6" t="str">
        <f ca="1">IFERROR(__xludf.DUMMYFUNCTION("""COMPUTED_VALUE"""),"20225320490")</f>
        <v>20225320490</v>
      </c>
      <c r="J394" s="6" t="str">
        <f ca="1">IFERROR(__xludf.DUMMYFUNCTION("""COMPUTED_VALUE"""),"19199")</f>
        <v>19199</v>
      </c>
      <c r="K394"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95" spans="1:11" x14ac:dyDescent="0.25">
      <c r="A395" s="4" t="str">
        <f ca="1">IFERROR(__xludf.DUMMYFUNCTION("""COMPUTED_VALUE"""),"1683-B")</f>
        <v>1683-B</v>
      </c>
      <c r="B395" s="5" t="str">
        <f ca="1">IFERROR(__xludf.DUMMYFUNCTION("""COMPUTED_VALUE"""),"القاهرة")</f>
        <v>القاهرة</v>
      </c>
      <c r="C395" s="5" t="str">
        <f ca="1">IFERROR(__xludf.DUMMYFUNCTION("""COMPUTED_VALUE"""),"المنيل")</f>
        <v>المنيل</v>
      </c>
      <c r="D395" s="5" t="str">
        <f ca="1">IFERROR(__xludf.DUMMYFUNCTION("""COMPUTED_VALUE"""),"صيدلية")</f>
        <v>صيدلية</v>
      </c>
      <c r="E395" s="5" t="str">
        <f ca="1">IFERROR(__xludf.DUMMYFUNCTION("""COMPUTED_VALUE"""),"صيدلية")</f>
        <v>صيدلية</v>
      </c>
      <c r="F395" s="5" t="str">
        <f ca="1">IFERROR(__xludf.DUMMYFUNCTION("""COMPUTED_VALUE"""),"صيدلية (أدوية ومستلزمات طبية)")</f>
        <v>صيدلية (أدوية ومستلزمات طبية)</v>
      </c>
      <c r="G39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95" s="5" t="str">
        <f ca="1">IFERROR(__xludf.DUMMYFUNCTION("""COMPUTED_VALUE"""),"123 شارع عبد العزيز آل سعود-المنيل-القاهرة")</f>
        <v>123 شارع عبد العزيز آل سعود-المنيل-القاهرة</v>
      </c>
      <c r="I395" s="6" t="str">
        <f ca="1">IFERROR(__xludf.DUMMYFUNCTION("""COMPUTED_VALUE"""),"1116004662
")</f>
        <v xml:space="preserve">1116004662
</v>
      </c>
      <c r="J395" s="6" t="str">
        <f ca="1">IFERROR(__xludf.DUMMYFUNCTION("""COMPUTED_VALUE"""),"19600")</f>
        <v>19600</v>
      </c>
      <c r="K395" s="6" t="str">
        <f ca="1">IFERROR(__xludf.DUMMYFUNCTION("""COMPUTED_VALUE"""),"7.5 % على المحلى ,5% على المستلزمات الطبية و التجميل")</f>
        <v>7.5 % على المحلى ,5% على المستلزمات الطبية و التجميل</v>
      </c>
    </row>
    <row r="396" spans="1:11" x14ac:dyDescent="0.25">
      <c r="A396" s="4" t="str">
        <f ca="1">IFERROR(__xludf.DUMMYFUNCTION("""COMPUTED_VALUE"""),"1683-B")</f>
        <v>1683-B</v>
      </c>
      <c r="B396" s="5" t="str">
        <f ca="1">IFERROR(__xludf.DUMMYFUNCTION("""COMPUTED_VALUE"""),"القاهرة")</f>
        <v>القاهرة</v>
      </c>
      <c r="C396" s="5" t="str">
        <f ca="1">IFERROR(__xludf.DUMMYFUNCTION("""COMPUTED_VALUE"""),"المنيل")</f>
        <v>المنيل</v>
      </c>
      <c r="D396" s="5" t="str">
        <f ca="1">IFERROR(__xludf.DUMMYFUNCTION("""COMPUTED_VALUE"""),"صيدلية")</f>
        <v>صيدلية</v>
      </c>
      <c r="E396" s="5" t="str">
        <f ca="1">IFERROR(__xludf.DUMMYFUNCTION("""COMPUTED_VALUE"""),"صيدلية")</f>
        <v>صيدلية</v>
      </c>
      <c r="F396" s="5" t="str">
        <f ca="1">IFERROR(__xludf.DUMMYFUNCTION("""COMPUTED_VALUE"""),"صيدلية (أدوية ومستلزمات طبية)")</f>
        <v>صيدلية (أدوية ومستلزمات طبية)</v>
      </c>
      <c r="G39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96" s="5" t="str">
        <f ca="1">IFERROR(__xludf.DUMMYFUNCTION("""COMPUTED_VALUE"""),"69 شارع منيل الروضة - ميدان الباشا - المنيل")</f>
        <v>69 شارع منيل الروضة - ميدان الباشا - المنيل</v>
      </c>
      <c r="I396" s="6" t="str">
        <f ca="1">IFERROR(__xludf.DUMMYFUNCTION("""COMPUTED_VALUE"""),"1100779073
")</f>
        <v xml:space="preserve">1100779073
</v>
      </c>
      <c r="J396" s="6" t="str">
        <f ca="1">IFERROR(__xludf.DUMMYFUNCTION("""COMPUTED_VALUE"""),"19600")</f>
        <v>19600</v>
      </c>
      <c r="K396" s="6" t="str">
        <f ca="1">IFERROR(__xludf.DUMMYFUNCTION("""COMPUTED_VALUE"""),"7.5 % على المحلى ,5% على المستلزمات الطبية و التجميل")</f>
        <v>7.5 % على المحلى ,5% على المستلزمات الطبية و التجميل</v>
      </c>
    </row>
    <row r="397" spans="1:11" x14ac:dyDescent="0.25">
      <c r="A397" s="4" t="str">
        <f ca="1">IFERROR(__xludf.DUMMYFUNCTION("""COMPUTED_VALUE"""),"2822-B")</f>
        <v>2822-B</v>
      </c>
      <c r="B397" s="5" t="str">
        <f ca="1">IFERROR(__xludf.DUMMYFUNCTION("""COMPUTED_VALUE"""),"الجيزة")</f>
        <v>الجيزة</v>
      </c>
      <c r="C397" s="5" t="str">
        <f ca="1">IFERROR(__xludf.DUMMYFUNCTION("""COMPUTED_VALUE"""),"المهندسين")</f>
        <v>المهندسين</v>
      </c>
      <c r="D397" s="5" t="str">
        <f ca="1">IFERROR(__xludf.DUMMYFUNCTION("""COMPUTED_VALUE"""),"صيدلية")</f>
        <v>صيدلية</v>
      </c>
      <c r="E397" s="5" t="str">
        <f ca="1">IFERROR(__xludf.DUMMYFUNCTION("""COMPUTED_VALUE"""),"صيدلية")</f>
        <v>صيدلية</v>
      </c>
      <c r="F397" s="5" t="str">
        <f ca="1">IFERROR(__xludf.DUMMYFUNCTION("""COMPUTED_VALUE"""),"صيدلية (أدوية ومستلزمات طبية)")</f>
        <v>صيدلية (أدوية ومستلزمات طبية)</v>
      </c>
      <c r="G397" s="5" t="str">
        <f ca="1">IFERROR(__xludf.DUMMYFUNCTION("""COMPUTED_VALUE"""),"صيدليات سيف")</f>
        <v>صيدليات سيف</v>
      </c>
      <c r="H397" s="5" t="str">
        <f ca="1">IFERROR(__xludf.DUMMYFUNCTION("""COMPUTED_VALUE"""),"22شارع دجلة - ش شهاب-المهندسين- الجيزة")</f>
        <v>22شارع دجلة - ش شهاب-المهندسين- الجيزة</v>
      </c>
      <c r="I397" s="6" t="str">
        <f ca="1">IFERROR(__xludf.DUMMYFUNCTION("""COMPUTED_VALUE"""),"20237489923")</f>
        <v>20237489923</v>
      </c>
      <c r="J397" s="6" t="str">
        <f ca="1">IFERROR(__xludf.DUMMYFUNCTION("""COMPUTED_VALUE"""),"19199")</f>
        <v>19199</v>
      </c>
      <c r="K397"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98" spans="1:11" x14ac:dyDescent="0.25">
      <c r="A398" s="4" t="str">
        <f ca="1">IFERROR(__xludf.DUMMYFUNCTION("""COMPUTED_VALUE"""),"2822-B")</f>
        <v>2822-B</v>
      </c>
      <c r="B398" s="5" t="str">
        <f ca="1">IFERROR(__xludf.DUMMYFUNCTION("""COMPUTED_VALUE"""),"الجيزة")</f>
        <v>الجيزة</v>
      </c>
      <c r="C398" s="5" t="str">
        <f ca="1">IFERROR(__xludf.DUMMYFUNCTION("""COMPUTED_VALUE"""),"المهندسين")</f>
        <v>المهندسين</v>
      </c>
      <c r="D398" s="5" t="str">
        <f ca="1">IFERROR(__xludf.DUMMYFUNCTION("""COMPUTED_VALUE"""),"صيدلية")</f>
        <v>صيدلية</v>
      </c>
      <c r="E398" s="5" t="str">
        <f ca="1">IFERROR(__xludf.DUMMYFUNCTION("""COMPUTED_VALUE"""),"صيدلية")</f>
        <v>صيدلية</v>
      </c>
      <c r="F398" s="5" t="str">
        <f ca="1">IFERROR(__xludf.DUMMYFUNCTION("""COMPUTED_VALUE"""),"صيدلية (أدوية ومستلزمات طبية)")</f>
        <v>صيدلية (أدوية ومستلزمات طبية)</v>
      </c>
      <c r="G398" s="5" t="str">
        <f ca="1">IFERROR(__xludf.DUMMYFUNCTION("""COMPUTED_VALUE"""),"صيدليات سيف")</f>
        <v>صيدليات سيف</v>
      </c>
      <c r="H398" s="5" t="str">
        <f ca="1">IFERROR(__xludf.DUMMYFUNCTION("""COMPUTED_VALUE"""),"6أبو المحاسن الشاذلي-المهندسين- الجيزة")</f>
        <v>6أبو المحاسن الشاذلي-المهندسين- الجيزة</v>
      </c>
      <c r="I398" s="6" t="str">
        <f ca="1">IFERROR(__xludf.DUMMYFUNCTION("""COMPUTED_VALUE"""),"20233026611")</f>
        <v>20233026611</v>
      </c>
      <c r="J398" s="6" t="str">
        <f ca="1">IFERROR(__xludf.DUMMYFUNCTION("""COMPUTED_VALUE"""),"19199")</f>
        <v>19199</v>
      </c>
      <c r="K398"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399" spans="1:11" x14ac:dyDescent="0.25">
      <c r="A399" s="4" t="str">
        <f ca="1">IFERROR(__xludf.DUMMYFUNCTION("""COMPUTED_VALUE"""),"1683-B")</f>
        <v>1683-B</v>
      </c>
      <c r="B399" s="5" t="str">
        <f ca="1">IFERROR(__xludf.DUMMYFUNCTION("""COMPUTED_VALUE"""),"الجيزة")</f>
        <v>الجيزة</v>
      </c>
      <c r="C399" s="5" t="str">
        <f ca="1">IFERROR(__xludf.DUMMYFUNCTION("""COMPUTED_VALUE"""),"المهندسين")</f>
        <v>المهندسين</v>
      </c>
      <c r="D399" s="5" t="str">
        <f ca="1">IFERROR(__xludf.DUMMYFUNCTION("""COMPUTED_VALUE"""),"صيدلية")</f>
        <v>صيدلية</v>
      </c>
      <c r="E399" s="5" t="str">
        <f ca="1">IFERROR(__xludf.DUMMYFUNCTION("""COMPUTED_VALUE"""),"صيدلية")</f>
        <v>صيدلية</v>
      </c>
      <c r="F399" s="5" t="str">
        <f ca="1">IFERROR(__xludf.DUMMYFUNCTION("""COMPUTED_VALUE"""),"صيدلية (أدوية ومستلزمات طبية)")</f>
        <v>صيدلية (أدوية ومستلزمات طبية)</v>
      </c>
      <c r="G39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399" s="5" t="str">
        <f ca="1">IFERROR(__xludf.DUMMYFUNCTION("""COMPUTED_VALUE"""),"11شارع سوريا-المهندسين- الجيزة")</f>
        <v>11شارع سوريا-المهندسين- الجيزة</v>
      </c>
      <c r="I399" s="6" t="str">
        <f ca="1">IFERROR(__xludf.DUMMYFUNCTION("""COMPUTED_VALUE"""),"1017127555
")</f>
        <v xml:space="preserve">1017127555
</v>
      </c>
      <c r="J399" s="6" t="str">
        <f ca="1">IFERROR(__xludf.DUMMYFUNCTION("""COMPUTED_VALUE"""),"19600")</f>
        <v>19600</v>
      </c>
      <c r="K399" s="6" t="str">
        <f ca="1">IFERROR(__xludf.DUMMYFUNCTION("""COMPUTED_VALUE"""),"7.5 % على المحلى ,5% على المستلزمات الطبية و التجميل")</f>
        <v>7.5 % على المحلى ,5% على المستلزمات الطبية و التجميل</v>
      </c>
    </row>
    <row r="400" spans="1:11" x14ac:dyDescent="0.25">
      <c r="A400" s="4" t="str">
        <f ca="1">IFERROR(__xludf.DUMMYFUNCTION("""COMPUTED_VALUE"""),"1683-B")</f>
        <v>1683-B</v>
      </c>
      <c r="B400" s="5" t="str">
        <f ca="1">IFERROR(__xludf.DUMMYFUNCTION("""COMPUTED_VALUE"""),"الجيزة")</f>
        <v>الجيزة</v>
      </c>
      <c r="C400" s="5" t="str">
        <f ca="1">IFERROR(__xludf.DUMMYFUNCTION("""COMPUTED_VALUE"""),"المهندسين")</f>
        <v>المهندسين</v>
      </c>
      <c r="D400" s="5" t="str">
        <f ca="1">IFERROR(__xludf.DUMMYFUNCTION("""COMPUTED_VALUE"""),"صيدلية")</f>
        <v>صيدلية</v>
      </c>
      <c r="E400" s="5" t="str">
        <f ca="1">IFERROR(__xludf.DUMMYFUNCTION("""COMPUTED_VALUE"""),"صيدلية")</f>
        <v>صيدلية</v>
      </c>
      <c r="F400" s="5" t="str">
        <f ca="1">IFERROR(__xludf.DUMMYFUNCTION("""COMPUTED_VALUE"""),"صيدلية (أدوية ومستلزمات طبية)")</f>
        <v>صيدلية (أدوية ومستلزمات طبية)</v>
      </c>
      <c r="G40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00" s="5" t="str">
        <f ca="1">IFERROR(__xludf.DUMMYFUNCTION("""COMPUTED_VALUE"""),"166 شارع السودان - تقاطع شارع سوريا مع شارع السودان - المهندسين")</f>
        <v>166 شارع السودان - تقاطع شارع سوريا مع شارع السودان - المهندسين</v>
      </c>
      <c r="I400" s="6" t="str">
        <f ca="1">IFERROR(__xludf.DUMMYFUNCTION("""COMPUTED_VALUE"""),"1155566061
")</f>
        <v xml:space="preserve">1155566061
</v>
      </c>
      <c r="J400" s="6" t="str">
        <f ca="1">IFERROR(__xludf.DUMMYFUNCTION("""COMPUTED_VALUE"""),"19600")</f>
        <v>19600</v>
      </c>
      <c r="K400" s="6" t="str">
        <f ca="1">IFERROR(__xludf.DUMMYFUNCTION("""COMPUTED_VALUE"""),"7.5 % على المحلى ,5% على المستلزمات الطبية و التجميل")</f>
        <v>7.5 % على المحلى ,5% على المستلزمات الطبية و التجميل</v>
      </c>
    </row>
    <row r="401" spans="1:11" x14ac:dyDescent="0.25">
      <c r="A401" s="4" t="str">
        <f ca="1">IFERROR(__xludf.DUMMYFUNCTION("""COMPUTED_VALUE"""),"1683-B")</f>
        <v>1683-B</v>
      </c>
      <c r="B401" s="5" t="str">
        <f ca="1">IFERROR(__xludf.DUMMYFUNCTION("""COMPUTED_VALUE"""),"الجيزة")</f>
        <v>الجيزة</v>
      </c>
      <c r="C401" s="5" t="str">
        <f ca="1">IFERROR(__xludf.DUMMYFUNCTION("""COMPUTED_VALUE"""),"المهندسين")</f>
        <v>المهندسين</v>
      </c>
      <c r="D401" s="5" t="str">
        <f ca="1">IFERROR(__xludf.DUMMYFUNCTION("""COMPUTED_VALUE"""),"صيدلية")</f>
        <v>صيدلية</v>
      </c>
      <c r="E401" s="5" t="str">
        <f ca="1">IFERROR(__xludf.DUMMYFUNCTION("""COMPUTED_VALUE"""),"صيدلية")</f>
        <v>صيدلية</v>
      </c>
      <c r="F401" s="5" t="str">
        <f ca="1">IFERROR(__xludf.DUMMYFUNCTION("""COMPUTED_VALUE"""),"صيدلية (أدوية ومستلزمات طبية)")</f>
        <v>صيدلية (أدوية ومستلزمات طبية)</v>
      </c>
      <c r="G40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01" s="5" t="str">
        <f ca="1">IFERROR(__xludf.DUMMYFUNCTION("""COMPUTED_VALUE"""),"65 شارع وادي النيل - ميت عقبة - الجيزة")</f>
        <v>65 شارع وادي النيل - ميت عقبة - الجيزة</v>
      </c>
      <c r="I401" s="6" t="str">
        <f ca="1">IFERROR(__xludf.DUMMYFUNCTION("""COMPUTED_VALUE"""),"1117778248
")</f>
        <v xml:space="preserve">1117778248
</v>
      </c>
      <c r="J401" s="6" t="str">
        <f ca="1">IFERROR(__xludf.DUMMYFUNCTION("""COMPUTED_VALUE"""),"19600")</f>
        <v>19600</v>
      </c>
      <c r="K401" s="6" t="str">
        <f ca="1">IFERROR(__xludf.DUMMYFUNCTION("""COMPUTED_VALUE"""),"7.5 % على المحلى ,5% على المستلزمات الطبية و التجميل")</f>
        <v>7.5 % على المحلى ,5% على المستلزمات الطبية و التجميل</v>
      </c>
    </row>
    <row r="402" spans="1:11" x14ac:dyDescent="0.25">
      <c r="A402" s="4" t="str">
        <f ca="1">IFERROR(__xludf.DUMMYFUNCTION("""COMPUTED_VALUE"""),"1683-B")</f>
        <v>1683-B</v>
      </c>
      <c r="B402" s="5" t="str">
        <f ca="1">IFERROR(__xludf.DUMMYFUNCTION("""COMPUTED_VALUE"""),"الجيزة")</f>
        <v>الجيزة</v>
      </c>
      <c r="C402" s="5" t="str">
        <f ca="1">IFERROR(__xludf.DUMMYFUNCTION("""COMPUTED_VALUE"""),"المهندسين")</f>
        <v>المهندسين</v>
      </c>
      <c r="D402" s="5" t="str">
        <f ca="1">IFERROR(__xludf.DUMMYFUNCTION("""COMPUTED_VALUE"""),"صيدلية")</f>
        <v>صيدلية</v>
      </c>
      <c r="E402" s="5" t="str">
        <f ca="1">IFERROR(__xludf.DUMMYFUNCTION("""COMPUTED_VALUE"""),"صيدلية")</f>
        <v>صيدلية</v>
      </c>
      <c r="F402" s="5" t="str">
        <f ca="1">IFERROR(__xludf.DUMMYFUNCTION("""COMPUTED_VALUE"""),"صيدلية (أدوية ومستلزمات طبية)")</f>
        <v>صيدلية (أدوية ومستلزمات طبية)</v>
      </c>
      <c r="G40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02" s="5" t="str">
        <f ca="1">IFERROR(__xludf.DUMMYFUNCTION("""COMPUTED_VALUE"""),"شارع احمد عرابي - بلوك 5 - مساكن ناصر - المهندسين")</f>
        <v>شارع احمد عرابي - بلوك 5 - مساكن ناصر - المهندسين</v>
      </c>
      <c r="I402" s="6" t="str">
        <f ca="1">IFERROR(__xludf.DUMMYFUNCTION("""COMPUTED_VALUE"""),"1110079601
")</f>
        <v xml:space="preserve">1110079601
</v>
      </c>
      <c r="J402" s="6" t="str">
        <f ca="1">IFERROR(__xludf.DUMMYFUNCTION("""COMPUTED_VALUE"""),"19600")</f>
        <v>19600</v>
      </c>
      <c r="K402" s="6" t="str">
        <f ca="1">IFERROR(__xludf.DUMMYFUNCTION("""COMPUTED_VALUE"""),"7.5 % على المحلى ,5% على المستلزمات الطبية و التجميل")</f>
        <v>7.5 % على المحلى ,5% على المستلزمات الطبية و التجميل</v>
      </c>
    </row>
    <row r="403" spans="1:11" x14ac:dyDescent="0.25">
      <c r="A403" s="4" t="str">
        <f ca="1">IFERROR(__xludf.DUMMYFUNCTION("""COMPUTED_VALUE"""),"2822-B")</f>
        <v>2822-B</v>
      </c>
      <c r="B403" s="5" t="str">
        <f ca="1">IFERROR(__xludf.DUMMYFUNCTION("""COMPUTED_VALUE"""),"الجيزة")</f>
        <v>الجيزة</v>
      </c>
      <c r="C403" s="5" t="str">
        <f ca="1">IFERROR(__xludf.DUMMYFUNCTION("""COMPUTED_VALUE"""),"الهرم")</f>
        <v>الهرم</v>
      </c>
      <c r="D403" s="5" t="str">
        <f ca="1">IFERROR(__xludf.DUMMYFUNCTION("""COMPUTED_VALUE"""),"صيدلية")</f>
        <v>صيدلية</v>
      </c>
      <c r="E403" s="5" t="str">
        <f ca="1">IFERROR(__xludf.DUMMYFUNCTION("""COMPUTED_VALUE"""),"صيدلية")</f>
        <v>صيدلية</v>
      </c>
      <c r="F403" s="5" t="str">
        <f ca="1">IFERROR(__xludf.DUMMYFUNCTION("""COMPUTED_VALUE"""),"صيدلية (أدوية ومستلزمات طبية)")</f>
        <v>صيدلية (أدوية ومستلزمات طبية)</v>
      </c>
      <c r="G403" s="5" t="str">
        <f ca="1">IFERROR(__xludf.DUMMYFUNCTION("""COMPUTED_VALUE"""),"صيدليات سيف")</f>
        <v>صيدليات سيف</v>
      </c>
      <c r="H403" s="5" t="str">
        <f ca="1">IFERROR(__xludf.DUMMYFUNCTION("""COMPUTED_VALUE"""),"417شارع الهرم- عمارة ومبي بجوار بيتزا هت-الهرم- الجيزة")</f>
        <v>417شارع الهرم- عمارة ومبي بجوار بيتزا هت-الهرم- الجيزة</v>
      </c>
      <c r="I403" s="6" t="str">
        <f ca="1">IFERROR(__xludf.DUMMYFUNCTION("""COMPUTED_VALUE"""),"20235859230")</f>
        <v>20235859230</v>
      </c>
      <c r="J403" s="6" t="str">
        <f ca="1">IFERROR(__xludf.DUMMYFUNCTION("""COMPUTED_VALUE"""),"19199")</f>
        <v>19199</v>
      </c>
      <c r="K403"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04" spans="1:11" x14ac:dyDescent="0.25">
      <c r="A404" s="4" t="str">
        <f ca="1">IFERROR(__xludf.DUMMYFUNCTION("""COMPUTED_VALUE"""),"1683-B")</f>
        <v>1683-B</v>
      </c>
      <c r="B404" s="5" t="str">
        <f ca="1">IFERROR(__xludf.DUMMYFUNCTION("""COMPUTED_VALUE"""),"الجيزة")</f>
        <v>الجيزة</v>
      </c>
      <c r="C404" s="5" t="str">
        <f ca="1">IFERROR(__xludf.DUMMYFUNCTION("""COMPUTED_VALUE"""),"الهرم")</f>
        <v>الهرم</v>
      </c>
      <c r="D404" s="5" t="str">
        <f ca="1">IFERROR(__xludf.DUMMYFUNCTION("""COMPUTED_VALUE"""),"صيدلية")</f>
        <v>صيدلية</v>
      </c>
      <c r="E404" s="5" t="str">
        <f ca="1">IFERROR(__xludf.DUMMYFUNCTION("""COMPUTED_VALUE"""),"صيدلية")</f>
        <v>صيدلية</v>
      </c>
      <c r="F404" s="5" t="str">
        <f ca="1">IFERROR(__xludf.DUMMYFUNCTION("""COMPUTED_VALUE"""),"صيدلية (أدوية ومستلزمات طبية)")</f>
        <v>صيدلية (أدوية ومستلزمات طبية)</v>
      </c>
      <c r="G40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04" s="5" t="str">
        <f ca="1">IFERROR(__xludf.DUMMYFUNCTION("""COMPUTED_VALUE"""),"الوحدة رقم 001 - الدور الارضي - زيزينيا مول - شارع الهرم الجيزة")</f>
        <v>الوحدة رقم 001 - الدور الارضي - زيزينيا مول - شارع الهرم الجيزة</v>
      </c>
      <c r="I404" s="6" t="str">
        <f ca="1">IFERROR(__xludf.DUMMYFUNCTION("""COMPUTED_VALUE"""),"1150080904
")</f>
        <v xml:space="preserve">1150080904
</v>
      </c>
      <c r="J404" s="6" t="str">
        <f ca="1">IFERROR(__xludf.DUMMYFUNCTION("""COMPUTED_VALUE"""),"19600")</f>
        <v>19600</v>
      </c>
      <c r="K404" s="6" t="str">
        <f ca="1">IFERROR(__xludf.DUMMYFUNCTION("""COMPUTED_VALUE"""),"7.5 % على المحلى ,5% على المستلزمات الطبية و التجميل")</f>
        <v>7.5 % على المحلى ,5% على المستلزمات الطبية و التجميل</v>
      </c>
    </row>
    <row r="405" spans="1:11" x14ac:dyDescent="0.25">
      <c r="A405" s="4" t="str">
        <f ca="1">IFERROR(__xludf.DUMMYFUNCTION("""COMPUTED_VALUE"""),"1683-B")</f>
        <v>1683-B</v>
      </c>
      <c r="B405" s="5" t="str">
        <f ca="1">IFERROR(__xludf.DUMMYFUNCTION("""COMPUTED_VALUE"""),"الجيزة")</f>
        <v>الجيزة</v>
      </c>
      <c r="C405" s="5" t="str">
        <f ca="1">IFERROR(__xludf.DUMMYFUNCTION("""COMPUTED_VALUE"""),"حدائق الاهرام")</f>
        <v>حدائق الاهرام</v>
      </c>
      <c r="D405" s="5" t="str">
        <f ca="1">IFERROR(__xludf.DUMMYFUNCTION("""COMPUTED_VALUE"""),"صيدلية")</f>
        <v>صيدلية</v>
      </c>
      <c r="E405" s="5" t="str">
        <f ca="1">IFERROR(__xludf.DUMMYFUNCTION("""COMPUTED_VALUE"""),"صيدلية")</f>
        <v>صيدلية</v>
      </c>
      <c r="F405" s="5" t="str">
        <f ca="1">IFERROR(__xludf.DUMMYFUNCTION("""COMPUTED_VALUE"""),"صيدلية (أدوية ومستلزمات طبية)")</f>
        <v>صيدلية (أدوية ومستلزمات طبية)</v>
      </c>
      <c r="G40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05" s="5" t="str">
        <f ca="1">IFERROR(__xludf.DUMMYFUNCTION("""COMPUTED_VALUE"""),"بوابة رقم (1) حدائق الاهرام")</f>
        <v>بوابة رقم (1) حدائق الاهرام</v>
      </c>
      <c r="I405" s="6" t="str">
        <f ca="1">IFERROR(__xludf.DUMMYFUNCTION("""COMPUTED_VALUE"""),"1148890002
")</f>
        <v xml:space="preserve">1148890002
</v>
      </c>
      <c r="J405" s="6" t="str">
        <f ca="1">IFERROR(__xludf.DUMMYFUNCTION("""COMPUTED_VALUE"""),"19600")</f>
        <v>19600</v>
      </c>
      <c r="K405" s="6" t="str">
        <f ca="1">IFERROR(__xludf.DUMMYFUNCTION("""COMPUTED_VALUE"""),"7.5 % على المحلى ,5% على المستلزمات الطبية و التجميل")</f>
        <v>7.5 % على المحلى ,5% على المستلزمات الطبية و التجميل</v>
      </c>
    </row>
    <row r="406" spans="1:11" x14ac:dyDescent="0.25">
      <c r="A406" s="4" t="str">
        <f ca="1">IFERROR(__xludf.DUMMYFUNCTION("""COMPUTED_VALUE"""),"1683-B")</f>
        <v>1683-B</v>
      </c>
      <c r="B406" s="5" t="str">
        <f ca="1">IFERROR(__xludf.DUMMYFUNCTION("""COMPUTED_VALUE"""),"القاهرة")</f>
        <v>القاهرة</v>
      </c>
      <c r="C406" s="5" t="str">
        <f ca="1">IFERROR(__xludf.DUMMYFUNCTION("""COMPUTED_VALUE"""),"حدائق القبة")</f>
        <v>حدائق القبة</v>
      </c>
      <c r="D406" s="5" t="str">
        <f ca="1">IFERROR(__xludf.DUMMYFUNCTION("""COMPUTED_VALUE"""),"صيدلية")</f>
        <v>صيدلية</v>
      </c>
      <c r="E406" s="5" t="str">
        <f ca="1">IFERROR(__xludf.DUMMYFUNCTION("""COMPUTED_VALUE"""),"صيدلية")</f>
        <v>صيدلية</v>
      </c>
      <c r="F406" s="5" t="str">
        <f ca="1">IFERROR(__xludf.DUMMYFUNCTION("""COMPUTED_VALUE"""),"صيدلية (أدوية ومستلزمات طبية)")</f>
        <v>صيدلية (أدوية ومستلزمات طبية)</v>
      </c>
      <c r="G40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06" s="5" t="str">
        <f ca="1">IFERROR(__xludf.DUMMYFUNCTION("""COMPUTED_VALUE"""),"شارع ولى العهد -السرايا مول-حدائق القبة-القاهرة")</f>
        <v>شارع ولى العهد -السرايا مول-حدائق القبة-القاهرة</v>
      </c>
      <c r="I406" s="6" t="str">
        <f ca="1">IFERROR(__xludf.DUMMYFUNCTION("""COMPUTED_VALUE"""),"1013666288
")</f>
        <v xml:space="preserve">1013666288
</v>
      </c>
      <c r="J406" s="6" t="str">
        <f ca="1">IFERROR(__xludf.DUMMYFUNCTION("""COMPUTED_VALUE"""),"19600")</f>
        <v>19600</v>
      </c>
      <c r="K406" s="6" t="str">
        <f ca="1">IFERROR(__xludf.DUMMYFUNCTION("""COMPUTED_VALUE"""),"7.5 % على المحلى ,5% على المستلزمات الطبية و التجميل")</f>
        <v>7.5 % على المحلى ,5% على المستلزمات الطبية و التجميل</v>
      </c>
    </row>
    <row r="407" spans="1:11" x14ac:dyDescent="0.25">
      <c r="A407" s="4" t="str">
        <f ca="1">IFERROR(__xludf.DUMMYFUNCTION("""COMPUTED_VALUE"""),"1683-B")</f>
        <v>1683-B</v>
      </c>
      <c r="B407" s="5" t="str">
        <f ca="1">IFERROR(__xludf.DUMMYFUNCTION("""COMPUTED_VALUE"""),"القاهرة")</f>
        <v>القاهرة</v>
      </c>
      <c r="C407" s="5" t="str">
        <f ca="1">IFERROR(__xludf.DUMMYFUNCTION("""COMPUTED_VALUE"""),"حلوان")</f>
        <v>حلوان</v>
      </c>
      <c r="D407" s="5" t="str">
        <f ca="1">IFERROR(__xludf.DUMMYFUNCTION("""COMPUTED_VALUE"""),"صيدلية")</f>
        <v>صيدلية</v>
      </c>
      <c r="E407" s="5" t="str">
        <f ca="1">IFERROR(__xludf.DUMMYFUNCTION("""COMPUTED_VALUE"""),"صيدلية")</f>
        <v>صيدلية</v>
      </c>
      <c r="F407" s="5" t="str">
        <f ca="1">IFERROR(__xludf.DUMMYFUNCTION("""COMPUTED_VALUE"""),"صيدلية (أدوية ومستلزمات طبية)")</f>
        <v>صيدلية (أدوية ومستلزمات طبية)</v>
      </c>
      <c r="G40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07" s="5" t="str">
        <f ca="1">IFERROR(__xludf.DUMMYFUNCTION("""COMPUTED_VALUE"""),"1 شارع احمد أنسي - ميدان الشهداء - حلوان")</f>
        <v>1 شارع احمد أنسي - ميدان الشهداء - حلوان</v>
      </c>
      <c r="I407" s="6" t="str">
        <f ca="1">IFERROR(__xludf.DUMMYFUNCTION("""COMPUTED_VALUE"""),"1117778282
")</f>
        <v xml:space="preserve">1117778282
</v>
      </c>
      <c r="J407" s="6" t="str">
        <f ca="1">IFERROR(__xludf.DUMMYFUNCTION("""COMPUTED_VALUE"""),"19600")</f>
        <v>19600</v>
      </c>
      <c r="K407" s="6" t="str">
        <f ca="1">IFERROR(__xludf.DUMMYFUNCTION("""COMPUTED_VALUE"""),"7.5 % على المحلى ,5% على المستلزمات الطبية و التجميل")</f>
        <v>7.5 % على المحلى ,5% على المستلزمات الطبية و التجميل</v>
      </c>
    </row>
    <row r="408" spans="1:11" x14ac:dyDescent="0.25">
      <c r="A408" s="4" t="str">
        <f ca="1">IFERROR(__xludf.DUMMYFUNCTION("""COMPUTED_VALUE"""),"1683-B")</f>
        <v>1683-B</v>
      </c>
      <c r="B408" s="5" t="str">
        <f ca="1">IFERROR(__xludf.DUMMYFUNCTION("""COMPUTED_VALUE"""),"القاهرة")</f>
        <v>القاهرة</v>
      </c>
      <c r="C408" s="5" t="str">
        <f ca="1">IFERROR(__xludf.DUMMYFUNCTION("""COMPUTED_VALUE"""),"رمسيس")</f>
        <v>رمسيس</v>
      </c>
      <c r="D408" s="5" t="str">
        <f ca="1">IFERROR(__xludf.DUMMYFUNCTION("""COMPUTED_VALUE"""),"صيدلية")</f>
        <v>صيدلية</v>
      </c>
      <c r="E408" s="5" t="str">
        <f ca="1">IFERROR(__xludf.DUMMYFUNCTION("""COMPUTED_VALUE"""),"صيدلية")</f>
        <v>صيدلية</v>
      </c>
      <c r="F408" s="5" t="str">
        <f ca="1">IFERROR(__xludf.DUMMYFUNCTION("""COMPUTED_VALUE"""),"صيدلية (أدوية ومستلزمات طبية)")</f>
        <v>صيدلية (أدوية ومستلزمات طبية)</v>
      </c>
      <c r="G40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08" s="5" t="str">
        <f ca="1">IFERROR(__xludf.DUMMYFUNCTION("""COMPUTED_VALUE"""),"185 شارع رمسيس - بجوار المستشفى القبطي - غمرة")</f>
        <v>185 شارع رمسيس - بجوار المستشفى القبطي - غمرة</v>
      </c>
      <c r="I408" s="6" t="str">
        <f ca="1">IFERROR(__xludf.DUMMYFUNCTION("""COMPUTED_VALUE"""),"1117778247
")</f>
        <v xml:space="preserve">1117778247
</v>
      </c>
      <c r="J408" s="6" t="str">
        <f ca="1">IFERROR(__xludf.DUMMYFUNCTION("""COMPUTED_VALUE"""),"19600")</f>
        <v>19600</v>
      </c>
      <c r="K408" s="6" t="str">
        <f ca="1">IFERROR(__xludf.DUMMYFUNCTION("""COMPUTED_VALUE"""),"7.5 % على المحلى ,5% على المستلزمات الطبية و التجميل")</f>
        <v>7.5 % على المحلى ,5% على المستلزمات الطبية و التجميل</v>
      </c>
    </row>
    <row r="409" spans="1:11" x14ac:dyDescent="0.25">
      <c r="A409" s="4" t="str">
        <f ca="1">IFERROR(__xludf.DUMMYFUNCTION("""COMPUTED_VALUE"""),"1683-B")</f>
        <v>1683-B</v>
      </c>
      <c r="B409" s="5" t="str">
        <f ca="1">IFERROR(__xludf.DUMMYFUNCTION("""COMPUTED_VALUE"""),"القاهرة")</f>
        <v>القاهرة</v>
      </c>
      <c r="C409" s="5" t="str">
        <f ca="1">IFERROR(__xludf.DUMMYFUNCTION("""COMPUTED_VALUE"""),"رمسيس")</f>
        <v>رمسيس</v>
      </c>
      <c r="D409" s="5" t="str">
        <f ca="1">IFERROR(__xludf.DUMMYFUNCTION("""COMPUTED_VALUE"""),"صيدلية")</f>
        <v>صيدلية</v>
      </c>
      <c r="E409" s="5" t="str">
        <f ca="1">IFERROR(__xludf.DUMMYFUNCTION("""COMPUTED_VALUE"""),"صيدلية")</f>
        <v>صيدلية</v>
      </c>
      <c r="F409" s="5" t="str">
        <f ca="1">IFERROR(__xludf.DUMMYFUNCTION("""COMPUTED_VALUE"""),"صيدلية (أدوية ومستلزمات طبية)")</f>
        <v>صيدلية (أدوية ومستلزمات طبية)</v>
      </c>
      <c r="G40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09" s="5" t="str">
        <f ca="1">IFERROR(__xludf.DUMMYFUNCTION("""COMPUTED_VALUE"""),"محل رقم أ104 -  محطة سكة حديد مصر - رمسيس - القاهرة")</f>
        <v>محل رقم أ104 -  محطة سكة حديد مصر - رمسيس - القاهرة</v>
      </c>
      <c r="I409" s="6" t="str">
        <f ca="1">IFERROR(__xludf.DUMMYFUNCTION("""COMPUTED_VALUE"""),"1146772774
")</f>
        <v xml:space="preserve">1146772774
</v>
      </c>
      <c r="J409" s="6" t="str">
        <f ca="1">IFERROR(__xludf.DUMMYFUNCTION("""COMPUTED_VALUE"""),"19600")</f>
        <v>19600</v>
      </c>
      <c r="K409" s="6" t="str">
        <f ca="1">IFERROR(__xludf.DUMMYFUNCTION("""COMPUTED_VALUE"""),"7.5 % على المحلى ,5% على المستلزمات الطبية و التجميل")</f>
        <v>7.5 % على المحلى ,5% على المستلزمات الطبية و التجميل</v>
      </c>
    </row>
    <row r="410" spans="1:11" x14ac:dyDescent="0.25">
      <c r="A410" s="4" t="str">
        <f ca="1">IFERROR(__xludf.DUMMYFUNCTION("""COMPUTED_VALUE"""),"2822-B")</f>
        <v>2822-B</v>
      </c>
      <c r="B410" s="5" t="str">
        <f ca="1">IFERROR(__xludf.DUMMYFUNCTION("""COMPUTED_VALUE"""),"القاهرة")</f>
        <v>القاهرة</v>
      </c>
      <c r="C410" s="5" t="str">
        <f ca="1">IFERROR(__xludf.DUMMYFUNCTION("""COMPUTED_VALUE"""),"شبرا")</f>
        <v>شبرا</v>
      </c>
      <c r="D410" s="5" t="str">
        <f ca="1">IFERROR(__xludf.DUMMYFUNCTION("""COMPUTED_VALUE"""),"صيدلية")</f>
        <v>صيدلية</v>
      </c>
      <c r="E410" s="5" t="str">
        <f ca="1">IFERROR(__xludf.DUMMYFUNCTION("""COMPUTED_VALUE"""),"صيدلية")</f>
        <v>صيدلية</v>
      </c>
      <c r="F410" s="5" t="str">
        <f ca="1">IFERROR(__xludf.DUMMYFUNCTION("""COMPUTED_VALUE"""),"صيدلية (أدوية ومستلزمات طبية)")</f>
        <v>صيدلية (أدوية ومستلزمات طبية)</v>
      </c>
      <c r="G410" s="5" t="str">
        <f ca="1">IFERROR(__xludf.DUMMYFUNCTION("""COMPUTED_VALUE"""),"صيدليات سيف")</f>
        <v>صيدليات سيف</v>
      </c>
      <c r="H410" s="5" t="str">
        <f ca="1">IFERROR(__xludf.DUMMYFUNCTION("""COMPUTED_VALUE"""),"41شارع شبرا-شبرا-القاهرة")</f>
        <v>41شارع شبرا-شبرا-القاهرة</v>
      </c>
      <c r="I410" s="6" t="str">
        <f ca="1">IFERROR(__xludf.DUMMYFUNCTION("""COMPUTED_VALUE"""),"20225778800")</f>
        <v>20225778800</v>
      </c>
      <c r="J410" s="6" t="str">
        <f ca="1">IFERROR(__xludf.DUMMYFUNCTION("""COMPUTED_VALUE"""),"19199")</f>
        <v>19199</v>
      </c>
      <c r="K410"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11" spans="1:11" x14ac:dyDescent="0.25">
      <c r="A411" s="4" t="str">
        <f ca="1">IFERROR(__xludf.DUMMYFUNCTION("""COMPUTED_VALUE"""),"1683-B")</f>
        <v>1683-B</v>
      </c>
      <c r="B411" s="5" t="str">
        <f ca="1">IFERROR(__xludf.DUMMYFUNCTION("""COMPUTED_VALUE"""),"القاهرة")</f>
        <v>القاهرة</v>
      </c>
      <c r="C411" s="5" t="str">
        <f ca="1">IFERROR(__xludf.DUMMYFUNCTION("""COMPUTED_VALUE"""),"شبرا")</f>
        <v>شبرا</v>
      </c>
      <c r="D411" s="5" t="str">
        <f ca="1">IFERROR(__xludf.DUMMYFUNCTION("""COMPUTED_VALUE"""),"صيدلية")</f>
        <v>صيدلية</v>
      </c>
      <c r="E411" s="5" t="str">
        <f ca="1">IFERROR(__xludf.DUMMYFUNCTION("""COMPUTED_VALUE"""),"صيدلية")</f>
        <v>صيدلية</v>
      </c>
      <c r="F411" s="5" t="str">
        <f ca="1">IFERROR(__xludf.DUMMYFUNCTION("""COMPUTED_VALUE"""),"صيدلية (أدوية ومستلزمات طبية)")</f>
        <v>صيدلية (أدوية ومستلزمات طبية)</v>
      </c>
      <c r="G41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11" s="5" t="str">
        <f ca="1">IFERROR(__xludf.DUMMYFUNCTION("""COMPUTED_VALUE"""),"156شارع شبرا-شبرا-القاهرة")</f>
        <v>156شارع شبرا-شبرا-القاهرة</v>
      </c>
      <c r="I411" s="6" t="str">
        <f ca="1">IFERROR(__xludf.DUMMYFUNCTION("""COMPUTED_VALUE"""),"1110079639
")</f>
        <v xml:space="preserve">1110079639
</v>
      </c>
      <c r="J411" s="6" t="str">
        <f ca="1">IFERROR(__xludf.DUMMYFUNCTION("""COMPUTED_VALUE"""),"19600")</f>
        <v>19600</v>
      </c>
      <c r="K411" s="6" t="str">
        <f ca="1">IFERROR(__xludf.DUMMYFUNCTION("""COMPUTED_VALUE"""),"7.5 % على المحلى ,5% على المستلزمات الطبية و التجميل")</f>
        <v>7.5 % على المحلى ,5% على المستلزمات الطبية و التجميل</v>
      </c>
    </row>
    <row r="412" spans="1:11" x14ac:dyDescent="0.25">
      <c r="A412" s="4" t="str">
        <f ca="1">IFERROR(__xludf.DUMMYFUNCTION("""COMPUTED_VALUE"""),"1683-B")</f>
        <v>1683-B</v>
      </c>
      <c r="B412" s="5" t="str">
        <f ca="1">IFERROR(__xludf.DUMMYFUNCTION("""COMPUTED_VALUE"""),"الجيزة")</f>
        <v>الجيزة</v>
      </c>
      <c r="C412" s="5" t="str">
        <f ca="1">IFERROR(__xludf.DUMMYFUNCTION("""COMPUTED_VALUE"""),"فيصل")</f>
        <v>فيصل</v>
      </c>
      <c r="D412" s="5" t="str">
        <f ca="1">IFERROR(__xludf.DUMMYFUNCTION("""COMPUTED_VALUE"""),"صيدلية")</f>
        <v>صيدلية</v>
      </c>
      <c r="E412" s="5" t="str">
        <f ca="1">IFERROR(__xludf.DUMMYFUNCTION("""COMPUTED_VALUE"""),"صيدلية")</f>
        <v>صيدلية</v>
      </c>
      <c r="F412" s="5" t="str">
        <f ca="1">IFERROR(__xludf.DUMMYFUNCTION("""COMPUTED_VALUE"""),"صيدلية (أدوية ومستلزمات طبية)")</f>
        <v>صيدلية (أدوية ومستلزمات طبية)</v>
      </c>
      <c r="G41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12" s="5" t="str">
        <f ca="1">IFERROR(__xludf.DUMMYFUNCTION("""COMPUTED_VALUE"""),"447 شارع فيصل- محطة مدكور أمام مطعم الركيب-فيصل- الجيزة")</f>
        <v>447 شارع فيصل- محطة مدكور أمام مطعم الركيب-فيصل- الجيزة</v>
      </c>
      <c r="I412" s="6" t="str">
        <f ca="1">IFERROR(__xludf.DUMMYFUNCTION("""COMPUTED_VALUE"""),"1110079603
")</f>
        <v xml:space="preserve">1110079603
</v>
      </c>
      <c r="J412" s="6" t="str">
        <f ca="1">IFERROR(__xludf.DUMMYFUNCTION("""COMPUTED_VALUE"""),"19600")</f>
        <v>19600</v>
      </c>
      <c r="K412" s="6" t="str">
        <f ca="1">IFERROR(__xludf.DUMMYFUNCTION("""COMPUTED_VALUE"""),"7.5 % على المحلى ,5% على المستلزمات الطبية و التجميل")</f>
        <v>7.5 % على المحلى ,5% على المستلزمات الطبية و التجميل</v>
      </c>
    </row>
    <row r="413" spans="1:11" x14ac:dyDescent="0.25">
      <c r="A413" s="4" t="str">
        <f ca="1">IFERROR(__xludf.DUMMYFUNCTION("""COMPUTED_VALUE"""),"2822-B")</f>
        <v>2822-B</v>
      </c>
      <c r="B413" s="5" t="str">
        <f ca="1">IFERROR(__xludf.DUMMYFUNCTION("""COMPUTED_VALUE"""),"القاهرة")</f>
        <v>القاهرة</v>
      </c>
      <c r="C413" s="5" t="str">
        <f ca="1">IFERROR(__xludf.DUMMYFUNCTION("""COMPUTED_VALUE"""),"مدينة الشروق")</f>
        <v>مدينة الشروق</v>
      </c>
      <c r="D413" s="5" t="str">
        <f ca="1">IFERROR(__xludf.DUMMYFUNCTION("""COMPUTED_VALUE"""),"صيدلية")</f>
        <v>صيدلية</v>
      </c>
      <c r="E413" s="5" t="str">
        <f ca="1">IFERROR(__xludf.DUMMYFUNCTION("""COMPUTED_VALUE"""),"صيدلية")</f>
        <v>صيدلية</v>
      </c>
      <c r="F413" s="5" t="str">
        <f ca="1">IFERROR(__xludf.DUMMYFUNCTION("""COMPUTED_VALUE"""),"صيدلية (أدوية ومستلزمات طبية)")</f>
        <v>صيدلية (أدوية ومستلزمات طبية)</v>
      </c>
      <c r="G413" s="5" t="str">
        <f ca="1">IFERROR(__xludf.DUMMYFUNCTION("""COMPUTED_VALUE"""),"صيدليات سيف")</f>
        <v>صيدليات سيف</v>
      </c>
      <c r="H413" s="5" t="str">
        <f ca="1">IFERROR(__xludf.DUMMYFUNCTION("""COMPUTED_VALUE"""),"بجوار اكاديمية الشروق  مول سيتي بلازا-مدينة الشروق-القاهرة")</f>
        <v>بجوار اكاديمية الشروق  مول سيتي بلازا-مدينة الشروق-القاهرة</v>
      </c>
      <c r="I413" s="6" t="str">
        <f ca="1">IFERROR(__xludf.DUMMYFUNCTION("""COMPUTED_VALUE"""),"20229226803")</f>
        <v>20229226803</v>
      </c>
      <c r="J413" s="6" t="str">
        <f ca="1">IFERROR(__xludf.DUMMYFUNCTION("""COMPUTED_VALUE"""),"19199")</f>
        <v>19199</v>
      </c>
      <c r="K413"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14" spans="1:11" x14ac:dyDescent="0.25">
      <c r="A414" s="4" t="str">
        <f ca="1">IFERROR(__xludf.DUMMYFUNCTION("""COMPUTED_VALUE"""),"1683-B")</f>
        <v>1683-B</v>
      </c>
      <c r="B414" s="5" t="str">
        <f ca="1">IFERROR(__xludf.DUMMYFUNCTION("""COMPUTED_VALUE"""),"القاهرة")</f>
        <v>القاهرة</v>
      </c>
      <c r="C414" s="5" t="str">
        <f ca="1">IFERROR(__xludf.DUMMYFUNCTION("""COMPUTED_VALUE"""),"مدينة الشروق")</f>
        <v>مدينة الشروق</v>
      </c>
      <c r="D414" s="5" t="str">
        <f ca="1">IFERROR(__xludf.DUMMYFUNCTION("""COMPUTED_VALUE"""),"صيدلية")</f>
        <v>صيدلية</v>
      </c>
      <c r="E414" s="5" t="str">
        <f ca="1">IFERROR(__xludf.DUMMYFUNCTION("""COMPUTED_VALUE"""),"صيدلية")</f>
        <v>صيدلية</v>
      </c>
      <c r="F414" s="5" t="str">
        <f ca="1">IFERROR(__xludf.DUMMYFUNCTION("""COMPUTED_VALUE"""),"صيدلية (أدوية ومستلزمات طبية)")</f>
        <v>صيدلية (أدوية ومستلزمات طبية)</v>
      </c>
      <c r="G41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14" s="5" t="str">
        <f ca="1">IFERROR(__xludf.DUMMYFUNCTION("""COMPUTED_VALUE"""),"محل رقم أ217 -  الدور الارضي - سكاي بلازا مول - مدينة الشروق")</f>
        <v>محل رقم أ217 -  الدور الارضي - سكاي بلازا مول - مدينة الشروق</v>
      </c>
      <c r="I414" s="6" t="str">
        <f ca="1">IFERROR(__xludf.DUMMYFUNCTION("""COMPUTED_VALUE"""),"1155206017
")</f>
        <v xml:space="preserve">1155206017
</v>
      </c>
      <c r="J414" s="6" t="str">
        <f ca="1">IFERROR(__xludf.DUMMYFUNCTION("""COMPUTED_VALUE"""),"19600")</f>
        <v>19600</v>
      </c>
      <c r="K414" s="6" t="str">
        <f ca="1">IFERROR(__xludf.DUMMYFUNCTION("""COMPUTED_VALUE"""),"7.5 % على المحلى ,5% على المستلزمات الطبية و التجميل")</f>
        <v>7.5 % على المحلى ,5% على المستلزمات الطبية و التجميل</v>
      </c>
    </row>
    <row r="415" spans="1:11" x14ac:dyDescent="0.25">
      <c r="A415" s="4" t="str">
        <f ca="1">IFERROR(__xludf.DUMMYFUNCTION("""COMPUTED_VALUE"""),"2822-B")</f>
        <v>2822-B</v>
      </c>
      <c r="B415" s="5" t="str">
        <f ca="1">IFERROR(__xludf.DUMMYFUNCTION("""COMPUTED_VALUE"""),"القليوبية")</f>
        <v>القليوبية</v>
      </c>
      <c r="C415" s="5" t="str">
        <f ca="1">IFERROR(__xludf.DUMMYFUNCTION("""COMPUTED_VALUE"""),"مدينة العبور")</f>
        <v>مدينة العبور</v>
      </c>
      <c r="D415" s="5" t="str">
        <f ca="1">IFERROR(__xludf.DUMMYFUNCTION("""COMPUTED_VALUE"""),"صيدلية")</f>
        <v>صيدلية</v>
      </c>
      <c r="E415" s="5" t="str">
        <f ca="1">IFERROR(__xludf.DUMMYFUNCTION("""COMPUTED_VALUE"""),"صيدلية")</f>
        <v>صيدلية</v>
      </c>
      <c r="F415" s="5" t="str">
        <f ca="1">IFERROR(__xludf.DUMMYFUNCTION("""COMPUTED_VALUE"""),"صيدلية (أدوية ومستلزمات طبية)")</f>
        <v>صيدلية (أدوية ومستلزمات طبية)</v>
      </c>
      <c r="G415" s="5" t="str">
        <f ca="1">IFERROR(__xludf.DUMMYFUNCTION("""COMPUTED_VALUE"""),"صيدليات سيف")</f>
        <v>صيدليات سيف</v>
      </c>
      <c r="H415" s="5" t="str">
        <f ca="1">IFERROR(__xludf.DUMMYFUNCTION("""COMPUTED_VALUE"""),"جولف سيتي مول-مدينة العبور--القليوبية")</f>
        <v>جولف سيتي مول-مدينة العبور--القليوبية</v>
      </c>
      <c r="I415" s="6" t="str">
        <f ca="1">IFERROR(__xludf.DUMMYFUNCTION("""COMPUTED_VALUE"""),"20246101772")</f>
        <v>20246101772</v>
      </c>
      <c r="J415" s="6" t="str">
        <f ca="1">IFERROR(__xludf.DUMMYFUNCTION("""COMPUTED_VALUE"""),"19199")</f>
        <v>19199</v>
      </c>
      <c r="K415"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16" spans="1:11" x14ac:dyDescent="0.25">
      <c r="A416" s="4" t="str">
        <f ca="1">IFERROR(__xludf.DUMMYFUNCTION("""COMPUTED_VALUE"""),"2822-B")</f>
        <v>2822-B</v>
      </c>
      <c r="B416" s="5" t="str">
        <f ca="1">IFERROR(__xludf.DUMMYFUNCTION("""COMPUTED_VALUE"""),"القليوبية")</f>
        <v>القليوبية</v>
      </c>
      <c r="C416" s="5" t="str">
        <f ca="1">IFERROR(__xludf.DUMMYFUNCTION("""COMPUTED_VALUE"""),"مدينة العبور")</f>
        <v>مدينة العبور</v>
      </c>
      <c r="D416" s="5" t="str">
        <f ca="1">IFERROR(__xludf.DUMMYFUNCTION("""COMPUTED_VALUE"""),"صيدلية")</f>
        <v>صيدلية</v>
      </c>
      <c r="E416" s="5" t="str">
        <f ca="1">IFERROR(__xludf.DUMMYFUNCTION("""COMPUTED_VALUE"""),"صيدلية")</f>
        <v>صيدلية</v>
      </c>
      <c r="F416" s="5" t="str">
        <f ca="1">IFERROR(__xludf.DUMMYFUNCTION("""COMPUTED_VALUE"""),"صيدلية (أدوية ومستلزمات طبية)")</f>
        <v>صيدلية (أدوية ومستلزمات طبية)</v>
      </c>
      <c r="G416" s="5" t="str">
        <f ca="1">IFERROR(__xludf.DUMMYFUNCTION("""COMPUTED_VALUE"""),"صيدليات سيف")</f>
        <v>صيدليات سيف</v>
      </c>
      <c r="H416" s="5" t="str">
        <f ca="1">IFERROR(__xludf.DUMMYFUNCTION("""COMPUTED_VALUE"""),"مدينة الشباب - 63 متر ميدان المستقبل - مدينة العبور - القليوبية .")</f>
        <v>مدينة الشباب - 63 متر ميدان المستقبل - مدينة العبور - القليوبية .</v>
      </c>
      <c r="I416" s="6" t="str">
        <f ca="1">IFERROR(__xludf.DUMMYFUNCTION("""COMPUTED_VALUE"""),"20223130361")</f>
        <v>20223130361</v>
      </c>
      <c r="J416" s="6" t="str">
        <f ca="1">IFERROR(__xludf.DUMMYFUNCTION("""COMPUTED_VALUE"""),"19199")</f>
        <v>19199</v>
      </c>
      <c r="K416"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17" spans="1:11" x14ac:dyDescent="0.25">
      <c r="A417" s="4" t="str">
        <f ca="1">IFERROR(__xludf.DUMMYFUNCTION("""COMPUTED_VALUE"""),"2822-B")</f>
        <v>2822-B</v>
      </c>
      <c r="B417" s="5" t="str">
        <f ca="1">IFERROR(__xludf.DUMMYFUNCTION("""COMPUTED_VALUE"""),"القاهرة")</f>
        <v>القاهرة</v>
      </c>
      <c r="C417" s="5" t="str">
        <f ca="1">IFERROR(__xludf.DUMMYFUNCTION("""COMPUTED_VALUE"""),"مدينة نصر")</f>
        <v>مدينة نصر</v>
      </c>
      <c r="D417" s="5" t="str">
        <f ca="1">IFERROR(__xludf.DUMMYFUNCTION("""COMPUTED_VALUE"""),"صيدلية")</f>
        <v>صيدلية</v>
      </c>
      <c r="E417" s="5" t="str">
        <f ca="1">IFERROR(__xludf.DUMMYFUNCTION("""COMPUTED_VALUE"""),"صيدلية")</f>
        <v>صيدلية</v>
      </c>
      <c r="F417" s="5" t="str">
        <f ca="1">IFERROR(__xludf.DUMMYFUNCTION("""COMPUTED_VALUE"""),"صيدلية (أدوية ومستلزمات طبية)")</f>
        <v>صيدلية (أدوية ومستلزمات طبية)</v>
      </c>
      <c r="G417" s="5" t="str">
        <f ca="1">IFERROR(__xludf.DUMMYFUNCTION("""COMPUTED_VALUE"""),"صيدليات سيف")</f>
        <v>صيدليات سيف</v>
      </c>
      <c r="H417" s="5" t="str">
        <f ca="1">IFERROR(__xludf.DUMMYFUNCTION("""COMPUTED_VALUE"""),"1شارع مكرم عبيد تقاطع مع شارع النصر-مدينة نصر-القاهرة")</f>
        <v>1شارع مكرم عبيد تقاطع مع شارع النصر-مدينة نصر-القاهرة</v>
      </c>
      <c r="I417" s="6" t="str">
        <f ca="1">IFERROR(__xludf.DUMMYFUNCTION("""COMPUTED_VALUE"""),"20223521414")</f>
        <v>20223521414</v>
      </c>
      <c r="J417" s="6" t="str">
        <f ca="1">IFERROR(__xludf.DUMMYFUNCTION("""COMPUTED_VALUE"""),"19199")</f>
        <v>19199</v>
      </c>
      <c r="K417"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18" spans="1:11" x14ac:dyDescent="0.25">
      <c r="A418" s="4" t="str">
        <f ca="1">IFERROR(__xludf.DUMMYFUNCTION("""COMPUTED_VALUE"""),"2822-B")</f>
        <v>2822-B</v>
      </c>
      <c r="B418" s="5" t="str">
        <f ca="1">IFERROR(__xludf.DUMMYFUNCTION("""COMPUTED_VALUE"""),"القاهرة")</f>
        <v>القاهرة</v>
      </c>
      <c r="C418" s="5" t="str">
        <f ca="1">IFERROR(__xludf.DUMMYFUNCTION("""COMPUTED_VALUE"""),"مدينة نصر")</f>
        <v>مدينة نصر</v>
      </c>
      <c r="D418" s="5" t="str">
        <f ca="1">IFERROR(__xludf.DUMMYFUNCTION("""COMPUTED_VALUE"""),"صيدلية")</f>
        <v>صيدلية</v>
      </c>
      <c r="E418" s="5" t="str">
        <f ca="1">IFERROR(__xludf.DUMMYFUNCTION("""COMPUTED_VALUE"""),"صيدلية")</f>
        <v>صيدلية</v>
      </c>
      <c r="F418" s="5" t="str">
        <f ca="1">IFERROR(__xludf.DUMMYFUNCTION("""COMPUTED_VALUE"""),"صيدلية (أدوية ومستلزمات طبية)")</f>
        <v>صيدلية (أدوية ومستلزمات طبية)</v>
      </c>
      <c r="G418" s="5" t="str">
        <f ca="1">IFERROR(__xludf.DUMMYFUNCTION("""COMPUTED_VALUE"""),"صيدليات سيف")</f>
        <v>صيدليات سيف</v>
      </c>
      <c r="H418" s="5" t="str">
        <f ca="1">IFERROR(__xludf.DUMMYFUNCTION("""COMPUTED_VALUE"""),"42 شارع البطراوي - بجوار جنينه مول - مدينة نصر - القاهرة -")</f>
        <v>42 شارع البطراوي - بجوار جنينه مول - مدينة نصر - القاهرة -</v>
      </c>
      <c r="I418" s="6" t="str">
        <f ca="1">IFERROR(__xludf.DUMMYFUNCTION("""COMPUTED_VALUE"""),"20224045960")</f>
        <v>20224045960</v>
      </c>
      <c r="J418" s="6" t="str">
        <f ca="1">IFERROR(__xludf.DUMMYFUNCTION("""COMPUTED_VALUE"""),"19199")</f>
        <v>19199</v>
      </c>
      <c r="K418"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19" spans="1:11" x14ac:dyDescent="0.25">
      <c r="A419" s="4" t="str">
        <f ca="1">IFERROR(__xludf.DUMMYFUNCTION("""COMPUTED_VALUE"""),"2822-B")</f>
        <v>2822-B</v>
      </c>
      <c r="B419" s="5" t="str">
        <f ca="1">IFERROR(__xludf.DUMMYFUNCTION("""COMPUTED_VALUE"""),"القاهرة")</f>
        <v>القاهرة</v>
      </c>
      <c r="C419" s="5" t="str">
        <f ca="1">IFERROR(__xludf.DUMMYFUNCTION("""COMPUTED_VALUE"""),"مدينة نصر")</f>
        <v>مدينة نصر</v>
      </c>
      <c r="D419" s="5" t="str">
        <f ca="1">IFERROR(__xludf.DUMMYFUNCTION("""COMPUTED_VALUE"""),"صيدلية")</f>
        <v>صيدلية</v>
      </c>
      <c r="E419" s="5" t="str">
        <f ca="1">IFERROR(__xludf.DUMMYFUNCTION("""COMPUTED_VALUE"""),"صيدلية")</f>
        <v>صيدلية</v>
      </c>
      <c r="F419" s="5" t="str">
        <f ca="1">IFERROR(__xludf.DUMMYFUNCTION("""COMPUTED_VALUE"""),"صيدلية (أدوية ومستلزمات طبية)")</f>
        <v>صيدلية (أدوية ومستلزمات طبية)</v>
      </c>
      <c r="G419" s="5" t="str">
        <f ca="1">IFERROR(__xludf.DUMMYFUNCTION("""COMPUTED_VALUE"""),"صيدليات سيف")</f>
        <v>صيدليات سيف</v>
      </c>
      <c r="H419" s="5" t="str">
        <f ca="1">IFERROR(__xludf.DUMMYFUNCTION("""COMPUTED_VALUE"""),"50 شارع أبو العتاهية - بجوار وندر لاند - مدينة نصر - القاهرة .")</f>
        <v>50 شارع أبو العتاهية - بجوار وندر لاند - مدينة نصر - القاهرة .</v>
      </c>
      <c r="I419" s="6" t="str">
        <f ca="1">IFERROR(__xludf.DUMMYFUNCTION("""COMPUTED_VALUE"""),"20222730415")</f>
        <v>20222730415</v>
      </c>
      <c r="J419" s="6" t="str">
        <f ca="1">IFERROR(__xludf.DUMMYFUNCTION("""COMPUTED_VALUE"""),"19199")</f>
        <v>19199</v>
      </c>
      <c r="K419"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20" spans="1:11" x14ac:dyDescent="0.25">
      <c r="A420" s="4" t="str">
        <f ca="1">IFERROR(__xludf.DUMMYFUNCTION("""COMPUTED_VALUE"""),"2822-B")</f>
        <v>2822-B</v>
      </c>
      <c r="B420" s="5" t="str">
        <f ca="1">IFERROR(__xludf.DUMMYFUNCTION("""COMPUTED_VALUE"""),"القاهرة")</f>
        <v>القاهرة</v>
      </c>
      <c r="C420" s="5" t="str">
        <f ca="1">IFERROR(__xludf.DUMMYFUNCTION("""COMPUTED_VALUE"""),"مدينة نصر")</f>
        <v>مدينة نصر</v>
      </c>
      <c r="D420" s="5" t="str">
        <f ca="1">IFERROR(__xludf.DUMMYFUNCTION("""COMPUTED_VALUE"""),"صيدلية")</f>
        <v>صيدلية</v>
      </c>
      <c r="E420" s="5" t="str">
        <f ca="1">IFERROR(__xludf.DUMMYFUNCTION("""COMPUTED_VALUE"""),"صيدلية")</f>
        <v>صيدلية</v>
      </c>
      <c r="F420" s="5" t="str">
        <f ca="1">IFERROR(__xludf.DUMMYFUNCTION("""COMPUTED_VALUE"""),"صيدلية (أدوية ومستلزمات طبية)")</f>
        <v>صيدلية (أدوية ومستلزمات طبية)</v>
      </c>
      <c r="G420" s="5" t="str">
        <f ca="1">IFERROR(__xludf.DUMMYFUNCTION("""COMPUTED_VALUE"""),"صيدليات سيف")</f>
        <v>صيدليات سيف</v>
      </c>
      <c r="H420" s="5" t="str">
        <f ca="1">IFERROR(__xludf.DUMMYFUNCTION("""COMPUTED_VALUE"""),"شارع عمر بن الخطاب - سيتي ستارز مول-مدينة نصر-القاهرة")</f>
        <v>شارع عمر بن الخطاب - سيتي ستارز مول-مدينة نصر-القاهرة</v>
      </c>
      <c r="I420" s="6" t="str">
        <f ca="1">IFERROR(__xludf.DUMMYFUNCTION("""COMPUTED_VALUE"""),"20224802148")</f>
        <v>20224802148</v>
      </c>
      <c r="J420" s="6" t="str">
        <f ca="1">IFERROR(__xludf.DUMMYFUNCTION("""COMPUTED_VALUE"""),"19199")</f>
        <v>19199</v>
      </c>
      <c r="K420"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21" spans="1:11" x14ac:dyDescent="0.25">
      <c r="A421" s="4" t="str">
        <f ca="1">IFERROR(__xludf.DUMMYFUNCTION("""COMPUTED_VALUE"""),"1683-B")</f>
        <v>1683-B</v>
      </c>
      <c r="B421" s="5" t="str">
        <f ca="1">IFERROR(__xludf.DUMMYFUNCTION("""COMPUTED_VALUE"""),"القاهرة")</f>
        <v>القاهرة</v>
      </c>
      <c r="C421" s="5" t="str">
        <f ca="1">IFERROR(__xludf.DUMMYFUNCTION("""COMPUTED_VALUE"""),"مدينة نصر")</f>
        <v>مدينة نصر</v>
      </c>
      <c r="D421" s="5" t="str">
        <f ca="1">IFERROR(__xludf.DUMMYFUNCTION("""COMPUTED_VALUE"""),"صيدلية")</f>
        <v>صيدلية</v>
      </c>
      <c r="E421" s="5" t="str">
        <f ca="1">IFERROR(__xludf.DUMMYFUNCTION("""COMPUTED_VALUE"""),"صيدلية")</f>
        <v>صيدلية</v>
      </c>
      <c r="F421" s="5" t="str">
        <f ca="1">IFERROR(__xludf.DUMMYFUNCTION("""COMPUTED_VALUE"""),"صيدلية (أدوية ومستلزمات طبية)")</f>
        <v>صيدلية (أدوية ومستلزمات طبية)</v>
      </c>
      <c r="G42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21" s="5" t="str">
        <f ca="1">IFERROR(__xludf.DUMMYFUNCTION("""COMPUTED_VALUE"""),"42 شارع مصطفى النحاس-مدينة نصر-القاهرة")</f>
        <v>42 شارع مصطفى النحاس-مدينة نصر-القاهرة</v>
      </c>
      <c r="I421" s="6" t="str">
        <f ca="1">IFERROR(__xludf.DUMMYFUNCTION("""COMPUTED_VALUE"""),"1110079622
")</f>
        <v xml:space="preserve">1110079622
</v>
      </c>
      <c r="J421" s="6" t="str">
        <f ca="1">IFERROR(__xludf.DUMMYFUNCTION("""COMPUTED_VALUE"""),"19600")</f>
        <v>19600</v>
      </c>
      <c r="K421" s="6" t="str">
        <f ca="1">IFERROR(__xludf.DUMMYFUNCTION("""COMPUTED_VALUE"""),"7.5 % على المحلى ,5% على المستلزمات الطبية و التجميل")</f>
        <v>7.5 % على المحلى ,5% على المستلزمات الطبية و التجميل</v>
      </c>
    </row>
    <row r="422" spans="1:11" x14ac:dyDescent="0.25">
      <c r="A422" s="4" t="str">
        <f ca="1">IFERROR(__xludf.DUMMYFUNCTION("""COMPUTED_VALUE"""),"1683-B")</f>
        <v>1683-B</v>
      </c>
      <c r="B422" s="5" t="str">
        <f ca="1">IFERROR(__xludf.DUMMYFUNCTION("""COMPUTED_VALUE"""),"القاهرة")</f>
        <v>القاهرة</v>
      </c>
      <c r="C422" s="5" t="str">
        <f ca="1">IFERROR(__xludf.DUMMYFUNCTION("""COMPUTED_VALUE"""),"مدينة نصر")</f>
        <v>مدينة نصر</v>
      </c>
      <c r="D422" s="5" t="str">
        <f ca="1">IFERROR(__xludf.DUMMYFUNCTION("""COMPUTED_VALUE"""),"صيدلية")</f>
        <v>صيدلية</v>
      </c>
      <c r="E422" s="5" t="str">
        <f ca="1">IFERROR(__xludf.DUMMYFUNCTION("""COMPUTED_VALUE"""),"صيدلية")</f>
        <v>صيدلية</v>
      </c>
      <c r="F422" s="5" t="str">
        <f ca="1">IFERROR(__xludf.DUMMYFUNCTION("""COMPUTED_VALUE"""),"صيدلية (أدوية ومستلزمات طبية)")</f>
        <v>صيدلية (أدوية ومستلزمات طبية)</v>
      </c>
      <c r="G42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22" s="5" t="str">
        <f ca="1">IFERROR(__xludf.DUMMYFUNCTION("""COMPUTED_VALUE"""),"8عمارات الشركة السعودية شارع النزهة-مدينة نصر-القاهرة")</f>
        <v>8عمارات الشركة السعودية شارع النزهة-مدينة نصر-القاهرة</v>
      </c>
      <c r="I422" s="6" t="str">
        <f ca="1">IFERROR(__xludf.DUMMYFUNCTION("""COMPUTED_VALUE"""),"1110079690
")</f>
        <v xml:space="preserve">1110079690
</v>
      </c>
      <c r="J422" s="6" t="str">
        <f ca="1">IFERROR(__xludf.DUMMYFUNCTION("""COMPUTED_VALUE"""),"19600")</f>
        <v>19600</v>
      </c>
      <c r="K422" s="6" t="str">
        <f ca="1">IFERROR(__xludf.DUMMYFUNCTION("""COMPUTED_VALUE"""),"7.5 % على المحلى ,5% على المستلزمات الطبية و التجميل")</f>
        <v>7.5 % على المحلى ,5% على المستلزمات الطبية و التجميل</v>
      </c>
    </row>
    <row r="423" spans="1:11" x14ac:dyDescent="0.25">
      <c r="A423" s="4" t="str">
        <f ca="1">IFERROR(__xludf.DUMMYFUNCTION("""COMPUTED_VALUE"""),"1683-B")</f>
        <v>1683-B</v>
      </c>
      <c r="B423" s="5" t="str">
        <f ca="1">IFERROR(__xludf.DUMMYFUNCTION("""COMPUTED_VALUE"""),"القاهرة")</f>
        <v>القاهرة</v>
      </c>
      <c r="C423" s="5" t="str">
        <f ca="1">IFERROR(__xludf.DUMMYFUNCTION("""COMPUTED_VALUE"""),"مدينة نصر")</f>
        <v>مدينة نصر</v>
      </c>
      <c r="D423" s="5" t="str">
        <f ca="1">IFERROR(__xludf.DUMMYFUNCTION("""COMPUTED_VALUE"""),"صيدلية")</f>
        <v>صيدلية</v>
      </c>
      <c r="E423" s="5" t="str">
        <f ca="1">IFERROR(__xludf.DUMMYFUNCTION("""COMPUTED_VALUE"""),"صيدلية")</f>
        <v>صيدلية</v>
      </c>
      <c r="F423" s="5" t="str">
        <f ca="1">IFERROR(__xludf.DUMMYFUNCTION("""COMPUTED_VALUE"""),"صيدلية (أدوية ومستلزمات طبية)")</f>
        <v>صيدلية (أدوية ومستلزمات طبية)</v>
      </c>
      <c r="G42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23" s="5" t="str">
        <f ca="1">IFERROR(__xludf.DUMMYFUNCTION("""COMPUTED_VALUE"""),"94شارع حسن المأمون - امام نادى الأهلى-مدينة نصر-القاهرة")</f>
        <v>94شارع حسن المأمون - امام نادى الأهلى-مدينة نصر-القاهرة</v>
      </c>
      <c r="I423" s="6" t="str">
        <f ca="1">IFERROR(__xludf.DUMMYFUNCTION("""COMPUTED_VALUE"""),"1110788466
")</f>
        <v xml:space="preserve">1110788466
</v>
      </c>
      <c r="J423" s="6" t="str">
        <f ca="1">IFERROR(__xludf.DUMMYFUNCTION("""COMPUTED_VALUE"""),"19600")</f>
        <v>19600</v>
      </c>
      <c r="K423" s="6" t="str">
        <f ca="1">IFERROR(__xludf.DUMMYFUNCTION("""COMPUTED_VALUE"""),"7.5 % على المحلى ,5% على المستلزمات الطبية و التجميل")</f>
        <v>7.5 % على المحلى ,5% على المستلزمات الطبية و التجميل</v>
      </c>
    </row>
    <row r="424" spans="1:11" x14ac:dyDescent="0.25">
      <c r="A424" s="4" t="str">
        <f ca="1">IFERROR(__xludf.DUMMYFUNCTION("""COMPUTED_VALUE"""),"1683-B")</f>
        <v>1683-B</v>
      </c>
      <c r="B424" s="5" t="str">
        <f ca="1">IFERROR(__xludf.DUMMYFUNCTION("""COMPUTED_VALUE"""),"القاهرة")</f>
        <v>القاهرة</v>
      </c>
      <c r="C424" s="5" t="str">
        <f ca="1">IFERROR(__xludf.DUMMYFUNCTION("""COMPUTED_VALUE"""),"مدينة نصر")</f>
        <v>مدينة نصر</v>
      </c>
      <c r="D424" s="5" t="str">
        <f ca="1">IFERROR(__xludf.DUMMYFUNCTION("""COMPUTED_VALUE"""),"صيدلية")</f>
        <v>صيدلية</v>
      </c>
      <c r="E424" s="5" t="str">
        <f ca="1">IFERROR(__xludf.DUMMYFUNCTION("""COMPUTED_VALUE"""),"صيدلية")</f>
        <v>صيدلية</v>
      </c>
      <c r="F424" s="5" t="str">
        <f ca="1">IFERROR(__xludf.DUMMYFUNCTION("""COMPUTED_VALUE"""),"صيدلية (أدوية ومستلزمات طبية)")</f>
        <v>صيدلية (أدوية ومستلزمات طبية)</v>
      </c>
      <c r="G42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24" s="5" t="str">
        <f ca="1">IFERROR(__xludf.DUMMYFUNCTION("""COMPUTED_VALUE"""),"سيتى ستارز مول - أرض الجولف (1 محل أ - مشروع اسكان مدفعية الرئاسة العامة)-مدينة نصر-القاهرة")</f>
        <v>سيتى ستارز مول - أرض الجولف (1 محل أ - مشروع اسكان مدفعية الرئاسة العامة)-مدينة نصر-القاهرة</v>
      </c>
      <c r="I424" s="6" t="str">
        <f ca="1">IFERROR(__xludf.DUMMYFUNCTION("""COMPUTED_VALUE"""),"1110079636
")</f>
        <v xml:space="preserve">1110079636
</v>
      </c>
      <c r="J424" s="6" t="str">
        <f ca="1">IFERROR(__xludf.DUMMYFUNCTION("""COMPUTED_VALUE"""),"19600")</f>
        <v>19600</v>
      </c>
      <c r="K424" s="6" t="str">
        <f ca="1">IFERROR(__xludf.DUMMYFUNCTION("""COMPUTED_VALUE"""),"7.5 % على المحلى ,5% على المستلزمات الطبية و التجميل")</f>
        <v>7.5 % على المحلى ,5% على المستلزمات الطبية و التجميل</v>
      </c>
    </row>
    <row r="425" spans="1:11" x14ac:dyDescent="0.25">
      <c r="A425" s="4" t="str">
        <f ca="1">IFERROR(__xludf.DUMMYFUNCTION("""COMPUTED_VALUE"""),"1683-B")</f>
        <v>1683-B</v>
      </c>
      <c r="B425" s="5" t="str">
        <f ca="1">IFERROR(__xludf.DUMMYFUNCTION("""COMPUTED_VALUE"""),"القاهرة")</f>
        <v>القاهرة</v>
      </c>
      <c r="C425" s="5" t="str">
        <f ca="1">IFERROR(__xludf.DUMMYFUNCTION("""COMPUTED_VALUE"""),"مدينة نصر")</f>
        <v>مدينة نصر</v>
      </c>
      <c r="D425" s="5" t="str">
        <f ca="1">IFERROR(__xludf.DUMMYFUNCTION("""COMPUTED_VALUE"""),"صيدلية")</f>
        <v>صيدلية</v>
      </c>
      <c r="E425" s="5" t="str">
        <f ca="1">IFERROR(__xludf.DUMMYFUNCTION("""COMPUTED_VALUE"""),"صيدلية")</f>
        <v>صيدلية</v>
      </c>
      <c r="F425" s="5" t="str">
        <f ca="1">IFERROR(__xludf.DUMMYFUNCTION("""COMPUTED_VALUE"""),"صيدلية (أدوية ومستلزمات طبية)")</f>
        <v>صيدلية (أدوية ومستلزمات طبية)</v>
      </c>
      <c r="G42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25" s="5" t="str">
        <f ca="1">IFERROR(__xludf.DUMMYFUNCTION("""COMPUTED_VALUE"""),"قطعة 05 بلوك 21  - شارع احمد الزمر- المنطقة العاشرة -مدينة نصر-القاهرة")</f>
        <v>قطعة 05 بلوك 21  - شارع احمد الزمر- المنطقة العاشرة -مدينة نصر-القاهرة</v>
      </c>
      <c r="I425" s="6" t="str">
        <f ca="1">IFERROR(__xludf.DUMMYFUNCTION("""COMPUTED_VALUE"""),"1110788554")</f>
        <v>1110788554</v>
      </c>
      <c r="J425" s="6" t="str">
        <f ca="1">IFERROR(__xludf.DUMMYFUNCTION("""COMPUTED_VALUE"""),"19600")</f>
        <v>19600</v>
      </c>
      <c r="K425" s="6" t="str">
        <f ca="1">IFERROR(__xludf.DUMMYFUNCTION("""COMPUTED_VALUE"""),"7.5 % على المحلى ,5% على المستلزمات الطبية و التجميل")</f>
        <v>7.5 % على المحلى ,5% على المستلزمات الطبية و التجميل</v>
      </c>
    </row>
    <row r="426" spans="1:11" x14ac:dyDescent="0.25">
      <c r="A426" s="4" t="str">
        <f ca="1">IFERROR(__xludf.DUMMYFUNCTION("""COMPUTED_VALUE"""),"1683-B")</f>
        <v>1683-B</v>
      </c>
      <c r="B426" s="5" t="str">
        <f ca="1">IFERROR(__xludf.DUMMYFUNCTION("""COMPUTED_VALUE"""),"القاهرة")</f>
        <v>القاهرة</v>
      </c>
      <c r="C426" s="5" t="str">
        <f ca="1">IFERROR(__xludf.DUMMYFUNCTION("""COMPUTED_VALUE"""),"مدينة نصر")</f>
        <v>مدينة نصر</v>
      </c>
      <c r="D426" s="5" t="str">
        <f ca="1">IFERROR(__xludf.DUMMYFUNCTION("""COMPUTED_VALUE"""),"صيدلية")</f>
        <v>صيدلية</v>
      </c>
      <c r="E426" s="5" t="str">
        <f ca="1">IFERROR(__xludf.DUMMYFUNCTION("""COMPUTED_VALUE"""),"صيدلية")</f>
        <v>صيدلية</v>
      </c>
      <c r="F426" s="5" t="str">
        <f ca="1">IFERROR(__xludf.DUMMYFUNCTION("""COMPUTED_VALUE"""),"صيدلية (أدوية ومستلزمات طبية)")</f>
        <v>صيدلية (أدوية ومستلزمات طبية)</v>
      </c>
      <c r="G42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26" s="5" t="str">
        <f ca="1">IFERROR(__xludf.DUMMYFUNCTION("""COMPUTED_VALUE"""),"ميدان الطبا - الحى العاشر - تقاطع شارع مصطفى النحاس ومحمد متولى الشعراى - المنطقة العاشرة-مدينة نصر-القاهرة")</f>
        <v>ميدان الطبا - الحى العاشر - تقاطع شارع مصطفى النحاس ومحمد متولى الشعراى - المنطقة العاشرة-مدينة نصر-القاهرة</v>
      </c>
      <c r="I426" s="6" t="str">
        <f ca="1">IFERROR(__xludf.DUMMYFUNCTION("""COMPUTED_VALUE"""),"1110079641
")</f>
        <v xml:space="preserve">1110079641
</v>
      </c>
      <c r="J426" s="6" t="str">
        <f ca="1">IFERROR(__xludf.DUMMYFUNCTION("""COMPUTED_VALUE"""),"19600")</f>
        <v>19600</v>
      </c>
      <c r="K426" s="6" t="str">
        <f ca="1">IFERROR(__xludf.DUMMYFUNCTION("""COMPUTED_VALUE"""),"7.5 % على المحلى ,5% على المستلزمات الطبية و التجميل")</f>
        <v>7.5 % على المحلى ,5% على المستلزمات الطبية و التجميل</v>
      </c>
    </row>
    <row r="427" spans="1:11" x14ac:dyDescent="0.25">
      <c r="A427" s="4" t="str">
        <f ca="1">IFERROR(__xludf.DUMMYFUNCTION("""COMPUTED_VALUE"""),"104484-B")</f>
        <v>104484-B</v>
      </c>
      <c r="B427" s="5" t="str">
        <f ca="1">IFERROR(__xludf.DUMMYFUNCTION("""COMPUTED_VALUE"""),"القاهرة")</f>
        <v>القاهرة</v>
      </c>
      <c r="C427" s="5" t="str">
        <f ca="1">IFERROR(__xludf.DUMMYFUNCTION("""COMPUTED_VALUE"""),"مصر الجديدة")</f>
        <v>مصر الجديدة</v>
      </c>
      <c r="D427" s="5" t="str">
        <f ca="1">IFERROR(__xludf.DUMMYFUNCTION("""COMPUTED_VALUE"""),"صيدلية")</f>
        <v>صيدلية</v>
      </c>
      <c r="E427" s="5" t="str">
        <f ca="1">IFERROR(__xludf.DUMMYFUNCTION("""COMPUTED_VALUE"""),"صيدلية")</f>
        <v>صيدلية</v>
      </c>
      <c r="F427" s="5" t="str">
        <f ca="1">IFERROR(__xludf.DUMMYFUNCTION("""COMPUTED_VALUE"""),"صيدلية (أدوية ومستلزمات طبية)")</f>
        <v>صيدلية (أدوية ومستلزمات طبية)</v>
      </c>
      <c r="G427" s="5" t="str">
        <f ca="1">IFERROR(__xludf.DUMMYFUNCTION("""COMPUTED_VALUE"""),"صيدليات زكري")</f>
        <v>صيدليات زكري</v>
      </c>
      <c r="H427" s="5" t="str">
        <f ca="1">IFERROR(__xludf.DUMMYFUNCTION("""COMPUTED_VALUE"""),"116 ش الثورة امام سفارة الامارات – مصر الجديدة - القاهرة .")</f>
        <v>116 ش الثورة امام سفارة الامارات – مصر الجديدة - القاهرة .</v>
      </c>
      <c r="I427" s="6"/>
      <c r="J427" s="6" t="str">
        <f ca="1">IFERROR(__xludf.DUMMYFUNCTION("""COMPUTED_VALUE"""),"19029")</f>
        <v>19029</v>
      </c>
      <c r="K427" s="6" t="str">
        <f ca="1">IFERROR(__xludf.DUMMYFUNCTION("""COMPUTED_VALUE"""),"خصم 13% علي المحلي, 6% علي المستورد")</f>
        <v>خصم 13% علي المحلي, 6% علي المستورد</v>
      </c>
    </row>
    <row r="428" spans="1:11" x14ac:dyDescent="0.25">
      <c r="A428" s="4" t="str">
        <f ca="1">IFERROR(__xludf.DUMMYFUNCTION("""COMPUTED_VALUE"""),"104484")</f>
        <v>104484</v>
      </c>
      <c r="B428" s="5" t="str">
        <f ca="1">IFERROR(__xludf.DUMMYFUNCTION("""COMPUTED_VALUE"""),"القاهرة")</f>
        <v>القاهرة</v>
      </c>
      <c r="C428" s="5" t="str">
        <f ca="1">IFERROR(__xludf.DUMMYFUNCTION("""COMPUTED_VALUE"""),"مصر الجديدة")</f>
        <v>مصر الجديدة</v>
      </c>
      <c r="D428" s="5" t="str">
        <f ca="1">IFERROR(__xludf.DUMMYFUNCTION("""COMPUTED_VALUE"""),"صيدلية")</f>
        <v>صيدلية</v>
      </c>
      <c r="E428" s="5" t="str">
        <f ca="1">IFERROR(__xludf.DUMMYFUNCTION("""COMPUTED_VALUE"""),"صيدلية")</f>
        <v>صيدلية</v>
      </c>
      <c r="F428" s="5" t="str">
        <f ca="1">IFERROR(__xludf.DUMMYFUNCTION("""COMPUTED_VALUE"""),"صيدلية (أدوية ومستلزمات طبية)")</f>
        <v>صيدلية (أدوية ومستلزمات طبية)</v>
      </c>
      <c r="G428" s="5" t="str">
        <f ca="1">IFERROR(__xludf.DUMMYFUNCTION("""COMPUTED_VALUE"""),"صيدليات زكري")</f>
        <v>صيدليات زكري</v>
      </c>
      <c r="H428" s="5" t="str">
        <f ca="1">IFERROR(__xludf.DUMMYFUNCTION("""COMPUTED_VALUE"""),"1ش رشدى ميدان سفير-مصر الجديدة - القاهرة .")</f>
        <v>1ش رشدى ميدان سفير-مصر الجديدة - القاهرة .</v>
      </c>
      <c r="I428" s="6" t="str">
        <f ca="1">IFERROR(__xludf.DUMMYFUNCTION("""COMPUTED_VALUE"""),"20222915706")</f>
        <v>20222915706</v>
      </c>
      <c r="J428" s="6" t="str">
        <f ca="1">IFERROR(__xludf.DUMMYFUNCTION("""COMPUTED_VALUE"""),"19029")</f>
        <v>19029</v>
      </c>
      <c r="K428" s="6" t="str">
        <f ca="1">IFERROR(__xludf.DUMMYFUNCTION("""COMPUTED_VALUE"""),"خصم 13% علي المحلي, 6% علي المستورد")</f>
        <v>خصم 13% علي المحلي, 6% علي المستورد</v>
      </c>
    </row>
    <row r="429" spans="1:11" x14ac:dyDescent="0.25">
      <c r="A429" s="4" t="str">
        <f ca="1">IFERROR(__xludf.DUMMYFUNCTION("""COMPUTED_VALUE"""),"104484-B")</f>
        <v>104484-B</v>
      </c>
      <c r="B429" s="5" t="str">
        <f ca="1">IFERROR(__xludf.DUMMYFUNCTION("""COMPUTED_VALUE"""),"القاهرة")</f>
        <v>القاهرة</v>
      </c>
      <c r="C429" s="5" t="str">
        <f ca="1">IFERROR(__xludf.DUMMYFUNCTION("""COMPUTED_VALUE"""),"مصر الجديدة")</f>
        <v>مصر الجديدة</v>
      </c>
      <c r="D429" s="5" t="str">
        <f ca="1">IFERROR(__xludf.DUMMYFUNCTION("""COMPUTED_VALUE"""),"صيدلية")</f>
        <v>صيدلية</v>
      </c>
      <c r="E429" s="5" t="str">
        <f ca="1">IFERROR(__xludf.DUMMYFUNCTION("""COMPUTED_VALUE"""),"صيدلية")</f>
        <v>صيدلية</v>
      </c>
      <c r="F429" s="5" t="str">
        <f ca="1">IFERROR(__xludf.DUMMYFUNCTION("""COMPUTED_VALUE"""),"صيدلية (أدوية ومستلزمات طبية)")</f>
        <v>صيدلية (أدوية ومستلزمات طبية)</v>
      </c>
      <c r="G429" s="5" t="str">
        <f ca="1">IFERROR(__xludf.DUMMYFUNCTION("""COMPUTED_VALUE"""),"صيدليات زكري")</f>
        <v>صيدليات زكري</v>
      </c>
      <c r="H429" s="5" t="str">
        <f ca="1">IFERROR(__xludf.DUMMYFUNCTION("""COMPUTED_VALUE"""),"4ش سيد عبد الواحد متفرع من ابراهيم اللقانى-روكسى - مصر الجديدة - القاهرة .")</f>
        <v>4ش سيد عبد الواحد متفرع من ابراهيم اللقانى-روكسى - مصر الجديدة - القاهرة .</v>
      </c>
      <c r="I429" s="6" t="str">
        <f ca="1">IFERROR(__xludf.DUMMYFUNCTION("""COMPUTED_VALUE"""),"20224534563")</f>
        <v>20224534563</v>
      </c>
      <c r="J429" s="6" t="str">
        <f ca="1">IFERROR(__xludf.DUMMYFUNCTION("""COMPUTED_VALUE"""),"19029")</f>
        <v>19029</v>
      </c>
      <c r="K429" s="6" t="str">
        <f ca="1">IFERROR(__xludf.DUMMYFUNCTION("""COMPUTED_VALUE"""),"خصم 13% علي المحلي, 6% علي المستورد")</f>
        <v>خصم 13% علي المحلي, 6% علي المستورد</v>
      </c>
    </row>
    <row r="430" spans="1:11" x14ac:dyDescent="0.25">
      <c r="A430" s="4" t="str">
        <f ca="1">IFERROR(__xludf.DUMMYFUNCTION("""COMPUTED_VALUE"""),"104484-B")</f>
        <v>104484-B</v>
      </c>
      <c r="B430" s="5" t="str">
        <f ca="1">IFERROR(__xludf.DUMMYFUNCTION("""COMPUTED_VALUE"""),"القاهرة")</f>
        <v>القاهرة</v>
      </c>
      <c r="C430" s="5" t="str">
        <f ca="1">IFERROR(__xludf.DUMMYFUNCTION("""COMPUTED_VALUE"""),"مصر الجديدة")</f>
        <v>مصر الجديدة</v>
      </c>
      <c r="D430" s="5" t="str">
        <f ca="1">IFERROR(__xludf.DUMMYFUNCTION("""COMPUTED_VALUE"""),"صيدلية")</f>
        <v>صيدلية</v>
      </c>
      <c r="E430" s="5" t="str">
        <f ca="1">IFERROR(__xludf.DUMMYFUNCTION("""COMPUTED_VALUE"""),"صيدلية")</f>
        <v>صيدلية</v>
      </c>
      <c r="F430" s="5" t="str">
        <f ca="1">IFERROR(__xludf.DUMMYFUNCTION("""COMPUTED_VALUE"""),"صيدلية (أدوية ومستلزمات طبية)")</f>
        <v>صيدلية (أدوية ومستلزمات طبية)</v>
      </c>
      <c r="G430" s="5" t="str">
        <f ca="1">IFERROR(__xludf.DUMMYFUNCTION("""COMPUTED_VALUE"""),"صيدليات زكري")</f>
        <v>صيدليات زكري</v>
      </c>
      <c r="H430" s="5" t="str">
        <f ca="1">IFERROR(__xludf.DUMMYFUNCTION("""COMPUTED_VALUE"""),"53 عمارات رابعة الاستثمارى - النزهة  - مصر الجديدة - القاهرة .")</f>
        <v>53 عمارات رابعة الاستثمارى - النزهة  - مصر الجديدة - القاهرة .</v>
      </c>
      <c r="I430" s="6"/>
      <c r="J430" s="6" t="str">
        <f ca="1">IFERROR(__xludf.DUMMYFUNCTION("""COMPUTED_VALUE"""),"19029")</f>
        <v>19029</v>
      </c>
      <c r="K430" s="6" t="str">
        <f ca="1">IFERROR(__xludf.DUMMYFUNCTION("""COMPUTED_VALUE"""),"خصم 13% علي المحلي, 6% علي المستورد")</f>
        <v>خصم 13% علي المحلي, 6% علي المستورد</v>
      </c>
    </row>
    <row r="431" spans="1:11" x14ac:dyDescent="0.25">
      <c r="A431" s="4" t="str">
        <f ca="1">IFERROR(__xludf.DUMMYFUNCTION("""COMPUTED_VALUE"""),"104484-B")</f>
        <v>104484-B</v>
      </c>
      <c r="B431" s="5" t="str">
        <f ca="1">IFERROR(__xludf.DUMMYFUNCTION("""COMPUTED_VALUE"""),"القاهرة")</f>
        <v>القاهرة</v>
      </c>
      <c r="C431" s="5" t="str">
        <f ca="1">IFERROR(__xludf.DUMMYFUNCTION("""COMPUTED_VALUE"""),"مصر الجديدة")</f>
        <v>مصر الجديدة</v>
      </c>
      <c r="D431" s="5" t="str">
        <f ca="1">IFERROR(__xludf.DUMMYFUNCTION("""COMPUTED_VALUE"""),"صيدلية")</f>
        <v>صيدلية</v>
      </c>
      <c r="E431" s="5" t="str">
        <f ca="1">IFERROR(__xludf.DUMMYFUNCTION("""COMPUTED_VALUE"""),"صيدلية")</f>
        <v>صيدلية</v>
      </c>
      <c r="F431" s="5" t="str">
        <f ca="1">IFERROR(__xludf.DUMMYFUNCTION("""COMPUTED_VALUE"""),"صيدلية (أدوية ومستلزمات طبية)")</f>
        <v>صيدلية (أدوية ومستلزمات طبية)</v>
      </c>
      <c r="G431" s="5" t="str">
        <f ca="1">IFERROR(__xludf.DUMMYFUNCTION("""COMPUTED_VALUE"""),"صيدليات زكري")</f>
        <v>صيدليات زكري</v>
      </c>
      <c r="H431" s="5" t="str">
        <f ca="1">IFERROR(__xludf.DUMMYFUNCTION("""COMPUTED_VALUE"""),"70 ش الميرغنى – مصر الجديدة - القاهرة .")</f>
        <v>70 ش الميرغنى – مصر الجديدة - القاهرة .</v>
      </c>
      <c r="I431" s="6" t="str">
        <f ca="1">IFERROR(__xludf.DUMMYFUNCTION("""COMPUTED_VALUE"""),"20224190283")</f>
        <v>20224190283</v>
      </c>
      <c r="J431" s="6" t="str">
        <f ca="1">IFERROR(__xludf.DUMMYFUNCTION("""COMPUTED_VALUE"""),"19029")</f>
        <v>19029</v>
      </c>
      <c r="K431" s="6" t="str">
        <f ca="1">IFERROR(__xludf.DUMMYFUNCTION("""COMPUTED_VALUE"""),"خصم 13% علي المحلي, 6% علي المستورد")</f>
        <v>خصم 13% علي المحلي, 6% علي المستورد</v>
      </c>
    </row>
    <row r="432" spans="1:11" x14ac:dyDescent="0.25">
      <c r="A432" s="4" t="str">
        <f ca="1">IFERROR(__xludf.DUMMYFUNCTION("""COMPUTED_VALUE"""),"2822-B")</f>
        <v>2822-B</v>
      </c>
      <c r="B432" s="5" t="str">
        <f ca="1">IFERROR(__xludf.DUMMYFUNCTION("""COMPUTED_VALUE"""),"القاهرة")</f>
        <v>القاهرة</v>
      </c>
      <c r="C432" s="5" t="str">
        <f ca="1">IFERROR(__xludf.DUMMYFUNCTION("""COMPUTED_VALUE"""),"مصر الجديدة")</f>
        <v>مصر الجديدة</v>
      </c>
      <c r="D432" s="5" t="str">
        <f ca="1">IFERROR(__xludf.DUMMYFUNCTION("""COMPUTED_VALUE"""),"صيدلية")</f>
        <v>صيدلية</v>
      </c>
      <c r="E432" s="5" t="str">
        <f ca="1">IFERROR(__xludf.DUMMYFUNCTION("""COMPUTED_VALUE"""),"صيدلية")</f>
        <v>صيدلية</v>
      </c>
      <c r="F432" s="5" t="str">
        <f ca="1">IFERROR(__xludf.DUMMYFUNCTION("""COMPUTED_VALUE"""),"صيدلية (أدوية ومستلزمات طبية)")</f>
        <v>صيدلية (أدوية ومستلزمات طبية)</v>
      </c>
      <c r="G432" s="5" t="str">
        <f ca="1">IFERROR(__xludf.DUMMYFUNCTION("""COMPUTED_VALUE"""),"صيدليات سيف")</f>
        <v>صيدليات سيف</v>
      </c>
      <c r="H432" s="5" t="str">
        <f ca="1">IFERROR(__xludf.DUMMYFUNCTION("""COMPUTED_VALUE"""),"120ش عثمان بن عفان-مصر الجديدة-القاهرة")</f>
        <v>120ش عثمان بن عفان-مصر الجديدة-القاهرة</v>
      </c>
      <c r="I432" s="6" t="str">
        <f ca="1">IFERROR(__xludf.DUMMYFUNCTION("""COMPUTED_VALUE"""),"20226439851")</f>
        <v>20226439851</v>
      </c>
      <c r="J432" s="6" t="str">
        <f ca="1">IFERROR(__xludf.DUMMYFUNCTION("""COMPUTED_VALUE"""),"19199")</f>
        <v>19199</v>
      </c>
      <c r="K432"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33" spans="1:11" x14ac:dyDescent="0.25">
      <c r="A433" s="4" t="str">
        <f ca="1">IFERROR(__xludf.DUMMYFUNCTION("""COMPUTED_VALUE"""),"2822-B")</f>
        <v>2822-B</v>
      </c>
      <c r="B433" s="5" t="str">
        <f ca="1">IFERROR(__xludf.DUMMYFUNCTION("""COMPUTED_VALUE"""),"القاهرة")</f>
        <v>القاهرة</v>
      </c>
      <c r="C433" s="5" t="str">
        <f ca="1">IFERROR(__xludf.DUMMYFUNCTION("""COMPUTED_VALUE"""),"مصر الجديدة")</f>
        <v>مصر الجديدة</v>
      </c>
      <c r="D433" s="5" t="str">
        <f ca="1">IFERROR(__xludf.DUMMYFUNCTION("""COMPUTED_VALUE"""),"صيدلية")</f>
        <v>صيدلية</v>
      </c>
      <c r="E433" s="5" t="str">
        <f ca="1">IFERROR(__xludf.DUMMYFUNCTION("""COMPUTED_VALUE"""),"صيدلية")</f>
        <v>صيدلية</v>
      </c>
      <c r="F433" s="5" t="str">
        <f ca="1">IFERROR(__xludf.DUMMYFUNCTION("""COMPUTED_VALUE"""),"صيدلية (أدوية ومستلزمات طبية)")</f>
        <v>صيدلية (أدوية ومستلزمات طبية)</v>
      </c>
      <c r="G433" s="5" t="str">
        <f ca="1">IFERROR(__xludf.DUMMYFUNCTION("""COMPUTED_VALUE"""),"صيدليات سيف")</f>
        <v>صيدليات سيف</v>
      </c>
      <c r="H433" s="5" t="str">
        <f ca="1">IFERROR(__xludf.DUMMYFUNCTION("""COMPUTED_VALUE"""),"5شارع عبدالحميد بدوي- امام نادي الشمس بوابة2-مصر الجديدة-القاهرة")</f>
        <v>5شارع عبدالحميد بدوي- امام نادي الشمس بوابة2-مصر الجديدة-القاهرة</v>
      </c>
      <c r="I433" s="6" t="str">
        <f ca="1">IFERROR(__xludf.DUMMYFUNCTION("""COMPUTED_VALUE"""),"20221805035")</f>
        <v>20221805035</v>
      </c>
      <c r="J433" s="6" t="str">
        <f ca="1">IFERROR(__xludf.DUMMYFUNCTION("""COMPUTED_VALUE"""),"19199")</f>
        <v>19199</v>
      </c>
      <c r="K433"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34" spans="1:11" x14ac:dyDescent="0.25">
      <c r="A434" s="4" t="str">
        <f ca="1">IFERROR(__xludf.DUMMYFUNCTION("""COMPUTED_VALUE"""),"2822-B")</f>
        <v>2822-B</v>
      </c>
      <c r="B434" s="5" t="str">
        <f ca="1">IFERROR(__xludf.DUMMYFUNCTION("""COMPUTED_VALUE"""),"القاهرة")</f>
        <v>القاهرة</v>
      </c>
      <c r="C434" s="5" t="str">
        <f ca="1">IFERROR(__xludf.DUMMYFUNCTION("""COMPUTED_VALUE"""),"مصر الجديدة")</f>
        <v>مصر الجديدة</v>
      </c>
      <c r="D434" s="5" t="str">
        <f ca="1">IFERROR(__xludf.DUMMYFUNCTION("""COMPUTED_VALUE"""),"صيدلية")</f>
        <v>صيدلية</v>
      </c>
      <c r="E434" s="5" t="str">
        <f ca="1">IFERROR(__xludf.DUMMYFUNCTION("""COMPUTED_VALUE"""),"صيدلية")</f>
        <v>صيدلية</v>
      </c>
      <c r="F434" s="5" t="str">
        <f ca="1">IFERROR(__xludf.DUMMYFUNCTION("""COMPUTED_VALUE"""),"صيدلية (أدوية ومستلزمات طبية)")</f>
        <v>صيدلية (أدوية ومستلزمات طبية)</v>
      </c>
      <c r="G434" s="5" t="str">
        <f ca="1">IFERROR(__xludf.DUMMYFUNCTION("""COMPUTED_VALUE"""),"صيدليات سيف")</f>
        <v>صيدليات سيف</v>
      </c>
      <c r="H434" s="5" t="str">
        <f ca="1">IFERROR(__xludf.DUMMYFUNCTION("""COMPUTED_VALUE"""),"73شارع المرغني-مصر الجديدة-القاهرة")</f>
        <v>73شارع المرغني-مصر الجديدة-القاهرة</v>
      </c>
      <c r="I434" s="6" t="str">
        <f ca="1">IFERROR(__xludf.DUMMYFUNCTION("""COMPUTED_VALUE"""),"20224143010")</f>
        <v>20224143010</v>
      </c>
      <c r="J434" s="6" t="str">
        <f ca="1">IFERROR(__xludf.DUMMYFUNCTION("""COMPUTED_VALUE"""),"19199")</f>
        <v>19199</v>
      </c>
      <c r="K434"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35" spans="1:11" x14ac:dyDescent="0.25">
      <c r="A435" s="4" t="str">
        <f ca="1">IFERROR(__xludf.DUMMYFUNCTION("""COMPUTED_VALUE"""),"1683-B")</f>
        <v>1683-B</v>
      </c>
      <c r="B435" s="5" t="str">
        <f ca="1">IFERROR(__xludf.DUMMYFUNCTION("""COMPUTED_VALUE"""),"القاهرة")</f>
        <v>القاهرة</v>
      </c>
      <c r="C435" s="5" t="str">
        <f ca="1">IFERROR(__xludf.DUMMYFUNCTION("""COMPUTED_VALUE"""),"مصر الجديدة")</f>
        <v>مصر الجديدة</v>
      </c>
      <c r="D435" s="5" t="str">
        <f ca="1">IFERROR(__xludf.DUMMYFUNCTION("""COMPUTED_VALUE"""),"صيدلية")</f>
        <v>صيدلية</v>
      </c>
      <c r="E435" s="5" t="str">
        <f ca="1">IFERROR(__xludf.DUMMYFUNCTION("""COMPUTED_VALUE"""),"صيدلية")</f>
        <v>صيدلية</v>
      </c>
      <c r="F435" s="5" t="str">
        <f ca="1">IFERROR(__xludf.DUMMYFUNCTION("""COMPUTED_VALUE"""),"صيدلية (أدوية ومستلزمات طبية)")</f>
        <v>صيدلية (أدوية ومستلزمات طبية)</v>
      </c>
      <c r="G43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35" s="5" t="str">
        <f ca="1">IFERROR(__xludf.DUMMYFUNCTION("""COMPUTED_VALUE"""),"132 شارع النزهة - ميدان تريومف-مصر الجديدة-القاهرة")</f>
        <v>132 شارع النزهة - ميدان تريومف-مصر الجديدة-القاهرة</v>
      </c>
      <c r="I435" s="6" t="str">
        <f ca="1">IFERROR(__xludf.DUMMYFUNCTION("""COMPUTED_VALUE"""),"1100779050")</f>
        <v>1100779050</v>
      </c>
      <c r="J435" s="6" t="str">
        <f ca="1">IFERROR(__xludf.DUMMYFUNCTION("""COMPUTED_VALUE"""),"19600")</f>
        <v>19600</v>
      </c>
      <c r="K435" s="6" t="str">
        <f ca="1">IFERROR(__xludf.DUMMYFUNCTION("""COMPUTED_VALUE"""),"7.5 % على المحلى ,5% على المستلزمات الطبية و التجميل")</f>
        <v>7.5 % على المحلى ,5% على المستلزمات الطبية و التجميل</v>
      </c>
    </row>
    <row r="436" spans="1:11" x14ac:dyDescent="0.25">
      <c r="A436" s="4" t="str">
        <f ca="1">IFERROR(__xludf.DUMMYFUNCTION("""COMPUTED_VALUE"""),"1683-B")</f>
        <v>1683-B</v>
      </c>
      <c r="B436" s="5" t="str">
        <f ca="1">IFERROR(__xludf.DUMMYFUNCTION("""COMPUTED_VALUE"""),"القاهرة")</f>
        <v>القاهرة</v>
      </c>
      <c r="C436" s="5" t="str">
        <f ca="1">IFERROR(__xludf.DUMMYFUNCTION("""COMPUTED_VALUE"""),"مصر الجديدة")</f>
        <v>مصر الجديدة</v>
      </c>
      <c r="D436" s="5" t="str">
        <f ca="1">IFERROR(__xludf.DUMMYFUNCTION("""COMPUTED_VALUE"""),"صيدلية")</f>
        <v>صيدلية</v>
      </c>
      <c r="E436" s="5" t="str">
        <f ca="1">IFERROR(__xludf.DUMMYFUNCTION("""COMPUTED_VALUE"""),"صيدلية")</f>
        <v>صيدلية</v>
      </c>
      <c r="F436" s="5" t="str">
        <f ca="1">IFERROR(__xludf.DUMMYFUNCTION("""COMPUTED_VALUE"""),"صيدلية (أدوية ومستلزمات طبية)")</f>
        <v>صيدلية (أدوية ومستلزمات طبية)</v>
      </c>
      <c r="G43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36" s="5" t="str">
        <f ca="1">IFERROR(__xludf.DUMMYFUNCTION("""COMPUTED_VALUE"""),"169شارع الحجاز-مصر الجديدة-القاهرة")</f>
        <v>169شارع الحجاز-مصر الجديدة-القاهرة</v>
      </c>
      <c r="I436" s="6" t="str">
        <f ca="1">IFERROR(__xludf.DUMMYFUNCTION("""COMPUTED_VALUE"""),"1110079630
")</f>
        <v xml:space="preserve">1110079630
</v>
      </c>
      <c r="J436" s="6" t="str">
        <f ca="1">IFERROR(__xludf.DUMMYFUNCTION("""COMPUTED_VALUE"""),"19600")</f>
        <v>19600</v>
      </c>
      <c r="K436" s="6" t="str">
        <f ca="1">IFERROR(__xludf.DUMMYFUNCTION("""COMPUTED_VALUE"""),"7.5 % على المحلى ,5% على المستلزمات الطبية و التجميل")</f>
        <v>7.5 % على المحلى ,5% على المستلزمات الطبية و التجميل</v>
      </c>
    </row>
    <row r="437" spans="1:11" x14ac:dyDescent="0.25">
      <c r="A437" s="4" t="str">
        <f ca="1">IFERROR(__xludf.DUMMYFUNCTION("""COMPUTED_VALUE"""),"1683-B")</f>
        <v>1683-B</v>
      </c>
      <c r="B437" s="5" t="str">
        <f ca="1">IFERROR(__xludf.DUMMYFUNCTION("""COMPUTED_VALUE"""),"القاهرة")</f>
        <v>القاهرة</v>
      </c>
      <c r="C437" s="5" t="str">
        <f ca="1">IFERROR(__xludf.DUMMYFUNCTION("""COMPUTED_VALUE"""),"مصر الجديدة")</f>
        <v>مصر الجديدة</v>
      </c>
      <c r="D437" s="5" t="str">
        <f ca="1">IFERROR(__xludf.DUMMYFUNCTION("""COMPUTED_VALUE"""),"صيدلية")</f>
        <v>صيدلية</v>
      </c>
      <c r="E437" s="5" t="str">
        <f ca="1">IFERROR(__xludf.DUMMYFUNCTION("""COMPUTED_VALUE"""),"صيدلية")</f>
        <v>صيدلية</v>
      </c>
      <c r="F437" s="5" t="str">
        <f ca="1">IFERROR(__xludf.DUMMYFUNCTION("""COMPUTED_VALUE"""),"صيدلية (أدوية ومستلزمات طبية)")</f>
        <v>صيدلية (أدوية ومستلزمات طبية)</v>
      </c>
      <c r="G43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37" s="5" t="str">
        <f ca="1">IFERROR(__xludf.DUMMYFUNCTION("""COMPUTED_VALUE"""),"19شارع ابراهيم - الكوربة -مصر الجديدة-القاهرة")</f>
        <v>19شارع ابراهيم - الكوربة -مصر الجديدة-القاهرة</v>
      </c>
      <c r="I437" s="6" t="str">
        <f ca="1">IFERROR(__xludf.DUMMYFUNCTION("""COMPUTED_VALUE"""),"01110079613
")</f>
        <v xml:space="preserve">01110079613
</v>
      </c>
      <c r="J437" s="6" t="str">
        <f ca="1">IFERROR(__xludf.DUMMYFUNCTION("""COMPUTED_VALUE"""),"19600")</f>
        <v>19600</v>
      </c>
      <c r="K437" s="6" t="str">
        <f ca="1">IFERROR(__xludf.DUMMYFUNCTION("""COMPUTED_VALUE"""),"7.5 % على المحلى ,5% على المستلزمات الطبية و التجميل")</f>
        <v>7.5 % على المحلى ,5% على المستلزمات الطبية و التجميل</v>
      </c>
    </row>
    <row r="438" spans="1:11" x14ac:dyDescent="0.25">
      <c r="A438" s="4" t="str">
        <f ca="1">IFERROR(__xludf.DUMMYFUNCTION("""COMPUTED_VALUE"""),"1683")</f>
        <v>1683</v>
      </c>
      <c r="B438" s="5" t="str">
        <f ca="1">IFERROR(__xludf.DUMMYFUNCTION("""COMPUTED_VALUE"""),"القاهرة")</f>
        <v>القاهرة</v>
      </c>
      <c r="C438" s="5" t="str">
        <f ca="1">IFERROR(__xludf.DUMMYFUNCTION("""COMPUTED_VALUE"""),"مصر الجديدة")</f>
        <v>مصر الجديدة</v>
      </c>
      <c r="D438" s="5" t="str">
        <f ca="1">IFERROR(__xludf.DUMMYFUNCTION("""COMPUTED_VALUE"""),"صيدلية")</f>
        <v>صيدلية</v>
      </c>
      <c r="E438" s="5" t="str">
        <f ca="1">IFERROR(__xludf.DUMMYFUNCTION("""COMPUTED_VALUE"""),"صيدلية")</f>
        <v>صيدلية</v>
      </c>
      <c r="F438" s="5" t="str">
        <f ca="1">IFERROR(__xludf.DUMMYFUNCTION("""COMPUTED_VALUE"""),"صيدلية (أدوية ومستلزمات طبية)")</f>
        <v>صيدلية (أدوية ومستلزمات طبية)</v>
      </c>
      <c r="G43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38" s="5" t="str">
        <f ca="1">IFERROR(__xludf.DUMMYFUNCTION("""COMPUTED_VALUE"""),"1شارع أحمد تيسير - كلية البنات -مصر الجديدة-القاهرة")</f>
        <v>1شارع أحمد تيسير - كلية البنات -مصر الجديدة-القاهرة</v>
      </c>
      <c r="I438" s="6" t="str">
        <f ca="1">IFERROR(__xludf.DUMMYFUNCTION("""COMPUTED_VALUE"""),"20222909135")</f>
        <v>20222909135</v>
      </c>
      <c r="J438" s="6" t="str">
        <f ca="1">IFERROR(__xludf.DUMMYFUNCTION("""COMPUTED_VALUE"""),"19600")</f>
        <v>19600</v>
      </c>
      <c r="K438" s="6" t="str">
        <f ca="1">IFERROR(__xludf.DUMMYFUNCTION("""COMPUTED_VALUE"""),"7.5 % على المحلى ,5% على المستلزمات الطبية و التجميل")</f>
        <v>7.5 % على المحلى ,5% على المستلزمات الطبية و التجميل</v>
      </c>
    </row>
    <row r="439" spans="1:11" x14ac:dyDescent="0.25">
      <c r="A439" s="4" t="str">
        <f ca="1">IFERROR(__xludf.DUMMYFUNCTION("""COMPUTED_VALUE"""),"1683-B")</f>
        <v>1683-B</v>
      </c>
      <c r="B439" s="5" t="str">
        <f ca="1">IFERROR(__xludf.DUMMYFUNCTION("""COMPUTED_VALUE"""),"القاهرة")</f>
        <v>القاهرة</v>
      </c>
      <c r="C439" s="5" t="str">
        <f ca="1">IFERROR(__xludf.DUMMYFUNCTION("""COMPUTED_VALUE"""),"مصر الجديدة")</f>
        <v>مصر الجديدة</v>
      </c>
      <c r="D439" s="5" t="str">
        <f ca="1">IFERROR(__xludf.DUMMYFUNCTION("""COMPUTED_VALUE"""),"صيدلية")</f>
        <v>صيدلية</v>
      </c>
      <c r="E439" s="5" t="str">
        <f ca="1">IFERROR(__xludf.DUMMYFUNCTION("""COMPUTED_VALUE"""),"صيدلية")</f>
        <v>صيدلية</v>
      </c>
      <c r="F439" s="5" t="str">
        <f ca="1">IFERROR(__xludf.DUMMYFUNCTION("""COMPUTED_VALUE"""),"صيدلية (أدوية ومستلزمات طبية)")</f>
        <v>صيدلية (أدوية ومستلزمات طبية)</v>
      </c>
      <c r="G43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39" s="5" t="str">
        <f ca="1">IFERROR(__xludf.DUMMYFUNCTION("""COMPUTED_VALUE"""),"36شارع محمد كانل حسين - النزهة الجديدة-مصر الجديدة-القاهرة")</f>
        <v>36شارع محمد كانل حسين - النزهة الجديدة-مصر الجديدة-القاهرة</v>
      </c>
      <c r="I439" s="6" t="str">
        <f ca="1">IFERROR(__xludf.DUMMYFUNCTION("""COMPUTED_VALUE"""),"1067772540
")</f>
        <v xml:space="preserve">1067772540
</v>
      </c>
      <c r="J439" s="6" t="str">
        <f ca="1">IFERROR(__xludf.DUMMYFUNCTION("""COMPUTED_VALUE"""),"19600")</f>
        <v>19600</v>
      </c>
      <c r="K439" s="6" t="str">
        <f ca="1">IFERROR(__xludf.DUMMYFUNCTION("""COMPUTED_VALUE"""),"7.5 % على المحلى ,5% على المستلزمات الطبية و التجميل")</f>
        <v>7.5 % على المحلى ,5% على المستلزمات الطبية و التجميل</v>
      </c>
    </row>
    <row r="440" spans="1:11" x14ac:dyDescent="0.25">
      <c r="A440" s="4" t="str">
        <f ca="1">IFERROR(__xludf.DUMMYFUNCTION("""COMPUTED_VALUE"""),"1683-B")</f>
        <v>1683-B</v>
      </c>
      <c r="B440" s="5" t="str">
        <f ca="1">IFERROR(__xludf.DUMMYFUNCTION("""COMPUTED_VALUE"""),"القاهرة")</f>
        <v>القاهرة</v>
      </c>
      <c r="C440" s="5" t="str">
        <f ca="1">IFERROR(__xludf.DUMMYFUNCTION("""COMPUTED_VALUE"""),"مصر الجديدة")</f>
        <v>مصر الجديدة</v>
      </c>
      <c r="D440" s="5" t="str">
        <f ca="1">IFERROR(__xludf.DUMMYFUNCTION("""COMPUTED_VALUE"""),"صيدلية")</f>
        <v>صيدلية</v>
      </c>
      <c r="E440" s="5" t="str">
        <f ca="1">IFERROR(__xludf.DUMMYFUNCTION("""COMPUTED_VALUE"""),"صيدلية")</f>
        <v>صيدلية</v>
      </c>
      <c r="F440" s="5" t="str">
        <f ca="1">IFERROR(__xludf.DUMMYFUNCTION("""COMPUTED_VALUE"""),"صيدلية (أدوية ومستلزمات طبية)")</f>
        <v>صيدلية (أدوية ومستلزمات طبية)</v>
      </c>
      <c r="G44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40" s="5" t="str">
        <f ca="1">IFERROR(__xludf.DUMMYFUNCTION("""COMPUTED_VALUE"""),"69 شارع النصر - مساكن شيراتون-مصر الجديدة-القاهرة")</f>
        <v>69 شارع النصر - مساكن شيراتون-مصر الجديدة-القاهرة</v>
      </c>
      <c r="I440" s="6" t="str">
        <f ca="1">IFERROR(__xludf.DUMMYFUNCTION("""COMPUTED_VALUE"""),"1110079628
")</f>
        <v xml:space="preserve">1110079628
</v>
      </c>
      <c r="J440" s="6" t="str">
        <f ca="1">IFERROR(__xludf.DUMMYFUNCTION("""COMPUTED_VALUE"""),"19600")</f>
        <v>19600</v>
      </c>
      <c r="K440" s="6" t="str">
        <f ca="1">IFERROR(__xludf.DUMMYFUNCTION("""COMPUTED_VALUE"""),"7.5 % على المحلى ,5% على المستلزمات الطبية و التجميل")</f>
        <v>7.5 % على المحلى ,5% على المستلزمات الطبية و التجميل</v>
      </c>
    </row>
    <row r="441" spans="1:11" x14ac:dyDescent="0.25">
      <c r="A441" s="4" t="str">
        <f ca="1">IFERROR(__xludf.DUMMYFUNCTION("""COMPUTED_VALUE"""),"1683-B")</f>
        <v>1683-B</v>
      </c>
      <c r="B441" s="5" t="str">
        <f ca="1">IFERROR(__xludf.DUMMYFUNCTION("""COMPUTED_VALUE"""),"القاهرة")</f>
        <v>القاهرة</v>
      </c>
      <c r="C441" s="5" t="str">
        <f ca="1">IFERROR(__xludf.DUMMYFUNCTION("""COMPUTED_VALUE"""),"مصر الجديدة")</f>
        <v>مصر الجديدة</v>
      </c>
      <c r="D441" s="5" t="str">
        <f ca="1">IFERROR(__xludf.DUMMYFUNCTION("""COMPUTED_VALUE"""),"صيدلية")</f>
        <v>صيدلية</v>
      </c>
      <c r="E441" s="5" t="str">
        <f ca="1">IFERROR(__xludf.DUMMYFUNCTION("""COMPUTED_VALUE"""),"صيدلية")</f>
        <v>صيدلية</v>
      </c>
      <c r="F441" s="5" t="str">
        <f ca="1">IFERROR(__xludf.DUMMYFUNCTION("""COMPUTED_VALUE"""),"صيدلية (أدوية ومستلزمات طبية)")</f>
        <v>صيدلية (أدوية ومستلزمات طبية)</v>
      </c>
      <c r="G44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41" s="5" t="str">
        <f ca="1">IFERROR(__xludf.DUMMYFUNCTION("""COMPUTED_VALUE"""),"9شارع القبة - روكسي-مصر الجديدة-القاهرة")</f>
        <v>9شارع القبة - روكسي-مصر الجديدة-القاهرة</v>
      </c>
      <c r="I441" s="6" t="str">
        <f ca="1">IFERROR(__xludf.DUMMYFUNCTION("""COMPUTED_VALUE"""),"1110079626
")</f>
        <v xml:space="preserve">1110079626
</v>
      </c>
      <c r="J441" s="6" t="str">
        <f ca="1">IFERROR(__xludf.DUMMYFUNCTION("""COMPUTED_VALUE"""),"19600")</f>
        <v>19600</v>
      </c>
      <c r="K441" s="6" t="str">
        <f ca="1">IFERROR(__xludf.DUMMYFUNCTION("""COMPUTED_VALUE"""),"7.5 % على المحلى ,5% على المستلزمات الطبية و التجميل")</f>
        <v>7.5 % على المحلى ,5% على المستلزمات الطبية و التجميل</v>
      </c>
    </row>
    <row r="442" spans="1:11" x14ac:dyDescent="0.25">
      <c r="A442" s="4" t="str">
        <f ca="1">IFERROR(__xludf.DUMMYFUNCTION("""COMPUTED_VALUE"""),"1683-B")</f>
        <v>1683-B</v>
      </c>
      <c r="B442" s="5" t="str">
        <f ca="1">IFERROR(__xludf.DUMMYFUNCTION("""COMPUTED_VALUE"""),"القاهرة")</f>
        <v>القاهرة</v>
      </c>
      <c r="C442" s="5" t="str">
        <f ca="1">IFERROR(__xludf.DUMMYFUNCTION("""COMPUTED_VALUE"""),"مصر الجديدة")</f>
        <v>مصر الجديدة</v>
      </c>
      <c r="D442" s="5" t="str">
        <f ca="1">IFERROR(__xludf.DUMMYFUNCTION("""COMPUTED_VALUE"""),"صيدلية")</f>
        <v>صيدلية</v>
      </c>
      <c r="E442" s="5" t="str">
        <f ca="1">IFERROR(__xludf.DUMMYFUNCTION("""COMPUTED_VALUE"""),"صيدلية")</f>
        <v>صيدلية</v>
      </c>
      <c r="F442" s="5" t="str">
        <f ca="1">IFERROR(__xludf.DUMMYFUNCTION("""COMPUTED_VALUE"""),"صيدلية (أدوية ومستلزمات طبية)")</f>
        <v>صيدلية (أدوية ومستلزمات طبية)</v>
      </c>
      <c r="G44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42" s="5" t="str">
        <f ca="1">IFERROR(__xludf.DUMMYFUNCTION("""COMPUTED_VALUE"""),"صالة السفر رقم 1 - مبنى الركاب رقم 1 - مطار القاهرة الدولي-مصر الجديدة-القاهرة")</f>
        <v>صالة السفر رقم 1 - مبنى الركاب رقم 1 - مطار القاهرة الدولي-مصر الجديدة-القاهرة</v>
      </c>
      <c r="I442" s="6" t="str">
        <f ca="1">IFERROR(__xludf.DUMMYFUNCTION("""COMPUTED_VALUE"""),"1110078300
")</f>
        <v xml:space="preserve">1110078300
</v>
      </c>
      <c r="J442" s="6" t="str">
        <f ca="1">IFERROR(__xludf.DUMMYFUNCTION("""COMPUTED_VALUE"""),"19600")</f>
        <v>19600</v>
      </c>
      <c r="K442" s="6" t="str">
        <f ca="1">IFERROR(__xludf.DUMMYFUNCTION("""COMPUTED_VALUE"""),"7.5 % على المحلى ,5% على المستلزمات الطبية و التجميل")</f>
        <v>7.5 % على المحلى ,5% على المستلزمات الطبية و التجميل</v>
      </c>
    </row>
    <row r="443" spans="1:11" x14ac:dyDescent="0.25">
      <c r="A443" s="4" t="str">
        <f ca="1">IFERROR(__xludf.DUMMYFUNCTION("""COMPUTED_VALUE"""),"104513")</f>
        <v>104513</v>
      </c>
      <c r="B443" s="5" t="str">
        <f ca="1">IFERROR(__xludf.DUMMYFUNCTION("""COMPUTED_VALUE"""),"القاهرة")</f>
        <v>القاهرة</v>
      </c>
      <c r="C443" s="5" t="str">
        <f ca="1">IFERROR(__xludf.DUMMYFUNCTION("""COMPUTED_VALUE"""),"مصر الجديدة")</f>
        <v>مصر الجديدة</v>
      </c>
      <c r="D443" s="5" t="str">
        <f ca="1">IFERROR(__xludf.DUMMYFUNCTION("""COMPUTED_VALUE"""),"صيدلية")</f>
        <v>صيدلية</v>
      </c>
      <c r="E443" s="5" t="str">
        <f ca="1">IFERROR(__xludf.DUMMYFUNCTION("""COMPUTED_VALUE"""),"صيدلية")</f>
        <v>صيدلية</v>
      </c>
      <c r="F443" s="5" t="str">
        <f ca="1">IFERROR(__xludf.DUMMYFUNCTION("""COMPUTED_VALUE"""),"صيدلية (أدوية ومستلزمات طبية)")</f>
        <v>صيدلية (أدوية ومستلزمات طبية)</v>
      </c>
      <c r="G443" s="5" t="str">
        <f ca="1">IFERROR(__xludf.DUMMYFUNCTION("""COMPUTED_VALUE"""),"صيدلية مستشفى كليوباترا")</f>
        <v>صيدلية مستشفى كليوباترا</v>
      </c>
      <c r="H443" s="5" t="str">
        <f ca="1">IFERROR(__xludf.DUMMYFUNCTION("""COMPUTED_VALUE"""),"39 شارع كليوباترا - ميدان صلاح الدين -  مصر الجديدة -مصر الجديدة-القاهرة")</f>
        <v>39 شارع كليوباترا - ميدان صلاح الدين -  مصر الجديدة -مصر الجديدة-القاهرة</v>
      </c>
      <c r="I443" s="6" t="str">
        <f ca="1">IFERROR(__xludf.DUMMYFUNCTION("""COMPUTED_VALUE"""),"20224143931")</f>
        <v>20224143931</v>
      </c>
      <c r="J443" s="6"/>
      <c r="K443" s="6" t="str">
        <f ca="1">IFERROR(__xludf.DUMMYFUNCTION("""COMPUTED_VALUE"""),"7% على الادوية المحلية , 3% على الادوية المستوردة         ")</f>
        <v xml:space="preserve">7% على الادوية المحلية , 3% على الادوية المستوردة         </v>
      </c>
    </row>
    <row r="444" spans="1:11" x14ac:dyDescent="0.25">
      <c r="A444" s="4" t="str">
        <f ca="1">IFERROR(__xludf.DUMMYFUNCTION("""COMPUTED_VALUE"""),"1683-B")</f>
        <v>1683-B</v>
      </c>
      <c r="B444" s="5" t="str">
        <f ca="1">IFERROR(__xludf.DUMMYFUNCTION("""COMPUTED_VALUE"""),"الجيزة")</f>
        <v>الجيزة</v>
      </c>
      <c r="C444" s="5" t="str">
        <f ca="1">IFERROR(__xludf.DUMMYFUNCTION("""COMPUTED_VALUE"""),"ميدان الجيزة")</f>
        <v>ميدان الجيزة</v>
      </c>
      <c r="D444" s="5" t="str">
        <f ca="1">IFERROR(__xludf.DUMMYFUNCTION("""COMPUTED_VALUE"""),"صيدلية")</f>
        <v>صيدلية</v>
      </c>
      <c r="E444" s="5" t="str">
        <f ca="1">IFERROR(__xludf.DUMMYFUNCTION("""COMPUTED_VALUE"""),"صيدلية")</f>
        <v>صيدلية</v>
      </c>
      <c r="F444" s="5" t="str">
        <f ca="1">IFERROR(__xludf.DUMMYFUNCTION("""COMPUTED_VALUE"""),"صيدلية (أدوية ومستلزمات طبية)")</f>
        <v>صيدلية (أدوية ومستلزمات طبية)</v>
      </c>
      <c r="G44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44" s="5" t="str">
        <f ca="1">IFERROR(__xludf.DUMMYFUNCTION("""COMPUTED_VALUE"""),"509شارع الأهرام بجوار بنك مصر - ميدان الجيزة- الجيزة")</f>
        <v>509شارع الأهرام بجوار بنك مصر - ميدان الجيزة- الجيزة</v>
      </c>
      <c r="I444" s="6" t="str">
        <f ca="1">IFERROR(__xludf.DUMMYFUNCTION("""COMPUTED_VALUE"""),"1103916520
")</f>
        <v xml:space="preserve">1103916520
</v>
      </c>
      <c r="J444" s="6" t="str">
        <f ca="1">IFERROR(__xludf.DUMMYFUNCTION("""COMPUTED_VALUE"""),"19600")</f>
        <v>19600</v>
      </c>
      <c r="K444" s="6" t="str">
        <f ca="1">IFERROR(__xludf.DUMMYFUNCTION("""COMPUTED_VALUE"""),"7.5 % على المحلى ,5% على المستلزمات الطبية و التجميل")</f>
        <v>7.5 % على المحلى ,5% على المستلزمات الطبية و التجميل</v>
      </c>
    </row>
    <row r="445" spans="1:11" x14ac:dyDescent="0.25">
      <c r="A445" s="4" t="str">
        <f ca="1">IFERROR(__xludf.DUMMYFUNCTION("""COMPUTED_VALUE"""),"2822-B")</f>
        <v>2822-B</v>
      </c>
      <c r="B445" s="5" t="str">
        <f ca="1">IFERROR(__xludf.DUMMYFUNCTION("""COMPUTED_VALUE"""),"القاهرة")</f>
        <v>القاهرة</v>
      </c>
      <c r="C445" s="5" t="str">
        <f ca="1">IFERROR(__xludf.DUMMYFUNCTION("""COMPUTED_VALUE"""),"وسط البلد")</f>
        <v>وسط البلد</v>
      </c>
      <c r="D445" s="5" t="str">
        <f ca="1">IFERROR(__xludf.DUMMYFUNCTION("""COMPUTED_VALUE"""),"صيدلية")</f>
        <v>صيدلية</v>
      </c>
      <c r="E445" s="5" t="str">
        <f ca="1">IFERROR(__xludf.DUMMYFUNCTION("""COMPUTED_VALUE"""),"صيدلية")</f>
        <v>صيدلية</v>
      </c>
      <c r="F445" s="5" t="str">
        <f ca="1">IFERROR(__xludf.DUMMYFUNCTION("""COMPUTED_VALUE"""),"صيدلية (أدوية ومستلزمات طبية)")</f>
        <v>صيدلية (أدوية ومستلزمات طبية)</v>
      </c>
      <c r="G445" s="5" t="str">
        <f ca="1">IFERROR(__xludf.DUMMYFUNCTION("""COMPUTED_VALUE"""),"صيدليات سيف")</f>
        <v>صيدليات سيف</v>
      </c>
      <c r="H445" s="5" t="str">
        <f ca="1">IFERROR(__xludf.DUMMYFUNCTION("""COMPUTED_VALUE"""),"183ميدان التحرير - عمارة ستراند - باب اللوق-وسط البلد-القاهرة")</f>
        <v>183ميدان التحرير - عمارة ستراند - باب اللوق-وسط البلد-القاهرة</v>
      </c>
      <c r="I445" s="6" t="str">
        <f ca="1">IFERROR(__xludf.DUMMYFUNCTION("""COMPUTED_VALUE"""),"20227929251")</f>
        <v>20227929251</v>
      </c>
      <c r="J445" s="6" t="str">
        <f ca="1">IFERROR(__xludf.DUMMYFUNCTION("""COMPUTED_VALUE"""),"19199")</f>
        <v>19199</v>
      </c>
      <c r="K445"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46" spans="1:11" x14ac:dyDescent="0.25">
      <c r="A446" s="4" t="str">
        <f ca="1">IFERROR(__xludf.DUMMYFUNCTION("""COMPUTED_VALUE"""),"2822-B")</f>
        <v>2822-B</v>
      </c>
      <c r="B446" s="5" t="str">
        <f ca="1">IFERROR(__xludf.DUMMYFUNCTION("""COMPUTED_VALUE"""),"القاهرة")</f>
        <v>القاهرة</v>
      </c>
      <c r="C446" s="5" t="str">
        <f ca="1">IFERROR(__xludf.DUMMYFUNCTION("""COMPUTED_VALUE"""),"وسط البلد")</f>
        <v>وسط البلد</v>
      </c>
      <c r="D446" s="5" t="str">
        <f ca="1">IFERROR(__xludf.DUMMYFUNCTION("""COMPUTED_VALUE"""),"صيدلية")</f>
        <v>صيدلية</v>
      </c>
      <c r="E446" s="5" t="str">
        <f ca="1">IFERROR(__xludf.DUMMYFUNCTION("""COMPUTED_VALUE"""),"صيدلية")</f>
        <v>صيدلية</v>
      </c>
      <c r="F446" s="5" t="str">
        <f ca="1">IFERROR(__xludf.DUMMYFUNCTION("""COMPUTED_VALUE"""),"صيدلية (أدوية ومستلزمات طبية)")</f>
        <v>صيدلية (أدوية ومستلزمات طبية)</v>
      </c>
      <c r="G446" s="5" t="str">
        <f ca="1">IFERROR(__xludf.DUMMYFUNCTION("""COMPUTED_VALUE"""),"صيدليات سيف")</f>
        <v>صيدليات سيف</v>
      </c>
      <c r="H446" s="5" t="str">
        <f ca="1">IFERROR(__xludf.DUMMYFUNCTION("""COMPUTED_VALUE"""),"44 شارع القلعة - الحلمية الجديدة - القاهرة .")</f>
        <v>44 شارع القلعة - الحلمية الجديدة - القاهرة .</v>
      </c>
      <c r="I446" s="6" t="str">
        <f ca="1">IFERROR(__xludf.DUMMYFUNCTION("""COMPUTED_VALUE"""),"20239262298")</f>
        <v>20239262298</v>
      </c>
      <c r="J446" s="6" t="str">
        <f ca="1">IFERROR(__xludf.DUMMYFUNCTION("""COMPUTED_VALUE"""),"19199")</f>
        <v>19199</v>
      </c>
      <c r="K446"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47" spans="1:11" x14ac:dyDescent="0.25">
      <c r="A447" s="4" t="str">
        <f ca="1">IFERROR(__xludf.DUMMYFUNCTION("""COMPUTED_VALUE"""),"2822")</f>
        <v>2822</v>
      </c>
      <c r="B447" s="5" t="str">
        <f ca="1">IFERROR(__xludf.DUMMYFUNCTION("""COMPUTED_VALUE"""),"القاهرة")</f>
        <v>القاهرة</v>
      </c>
      <c r="C447" s="5" t="str">
        <f ca="1">IFERROR(__xludf.DUMMYFUNCTION("""COMPUTED_VALUE"""),"وسط البلد")</f>
        <v>وسط البلد</v>
      </c>
      <c r="D447" s="5" t="str">
        <f ca="1">IFERROR(__xludf.DUMMYFUNCTION("""COMPUTED_VALUE"""),"صيدلية")</f>
        <v>صيدلية</v>
      </c>
      <c r="E447" s="5" t="str">
        <f ca="1">IFERROR(__xludf.DUMMYFUNCTION("""COMPUTED_VALUE"""),"صيدلية")</f>
        <v>صيدلية</v>
      </c>
      <c r="F447" s="5" t="str">
        <f ca="1">IFERROR(__xludf.DUMMYFUNCTION("""COMPUTED_VALUE"""),"صيدلية (أدوية ومستلزمات طبية)")</f>
        <v>صيدلية (أدوية ومستلزمات طبية)</v>
      </c>
      <c r="G447" s="5" t="str">
        <f ca="1">IFERROR(__xludf.DUMMYFUNCTION("""COMPUTED_VALUE"""),"صيدليات سيف")</f>
        <v>صيدليات سيف</v>
      </c>
      <c r="H447" s="5" t="str">
        <f ca="1">IFERROR(__xludf.DUMMYFUNCTION("""COMPUTED_VALUE"""),"76شارع القصر العيني-وسط البلد-القاهرة")</f>
        <v>76شارع القصر العيني-وسط البلد-القاهرة</v>
      </c>
      <c r="I447" s="6" t="str">
        <f ca="1">IFERROR(__xludf.DUMMYFUNCTION("""COMPUTED_VALUE"""),"20227942678")</f>
        <v>20227942678</v>
      </c>
      <c r="J447" s="6" t="str">
        <f ca="1">IFERROR(__xludf.DUMMYFUNCTION("""COMPUTED_VALUE"""),"19199")</f>
        <v>19199</v>
      </c>
      <c r="K447"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48" spans="1:11" x14ac:dyDescent="0.25">
      <c r="A448" s="4" t="str">
        <f ca="1">IFERROR(__xludf.DUMMYFUNCTION("""COMPUTED_VALUE"""),"1683-B")</f>
        <v>1683-B</v>
      </c>
      <c r="B448" s="5" t="str">
        <f ca="1">IFERROR(__xludf.DUMMYFUNCTION("""COMPUTED_VALUE"""),"القاهرة")</f>
        <v>القاهرة</v>
      </c>
      <c r="C448" s="5" t="str">
        <f ca="1">IFERROR(__xludf.DUMMYFUNCTION("""COMPUTED_VALUE"""),"وسط البلد")</f>
        <v>وسط البلد</v>
      </c>
      <c r="D448" s="5" t="str">
        <f ca="1">IFERROR(__xludf.DUMMYFUNCTION("""COMPUTED_VALUE"""),"صيدلية")</f>
        <v>صيدلية</v>
      </c>
      <c r="E448" s="5" t="str">
        <f ca="1">IFERROR(__xludf.DUMMYFUNCTION("""COMPUTED_VALUE"""),"صيدلية")</f>
        <v>صيدلية</v>
      </c>
      <c r="F448" s="5" t="str">
        <f ca="1">IFERROR(__xludf.DUMMYFUNCTION("""COMPUTED_VALUE"""),"صيدلية (أدوية ومستلزمات طبية)")</f>
        <v>صيدلية (أدوية ومستلزمات طبية)</v>
      </c>
      <c r="G44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48" s="5" t="str">
        <f ca="1">IFERROR(__xludf.DUMMYFUNCTION("""COMPUTED_VALUE"""),"1ميدان طلعت حرب - محل رقم 2-وسط البلد-القاهرة")</f>
        <v>1ميدان طلعت حرب - محل رقم 2-وسط البلد-القاهرة</v>
      </c>
      <c r="I448" s="6" t="str">
        <f ca="1">IFERROR(__xludf.DUMMYFUNCTION("""COMPUTED_VALUE"""),"1117778245
")</f>
        <v xml:space="preserve">1117778245
</v>
      </c>
      <c r="J448" s="6" t="str">
        <f ca="1">IFERROR(__xludf.DUMMYFUNCTION("""COMPUTED_VALUE"""),"19600")</f>
        <v>19600</v>
      </c>
      <c r="K448" s="6" t="str">
        <f ca="1">IFERROR(__xludf.DUMMYFUNCTION("""COMPUTED_VALUE"""),"7.5 % على المحلى ,5% على المستلزمات الطبية و التجميل")</f>
        <v>7.5 % على المحلى ,5% على المستلزمات الطبية و التجميل</v>
      </c>
    </row>
    <row r="449" spans="1:11" x14ac:dyDescent="0.25">
      <c r="A449" s="4" t="str">
        <f ca="1">IFERROR(__xludf.DUMMYFUNCTION("""COMPUTED_VALUE"""),"1683-B")</f>
        <v>1683-B</v>
      </c>
      <c r="B449" s="5" t="str">
        <f ca="1">IFERROR(__xludf.DUMMYFUNCTION("""COMPUTED_VALUE"""),"القاهرة")</f>
        <v>القاهرة</v>
      </c>
      <c r="C449" s="5" t="str">
        <f ca="1">IFERROR(__xludf.DUMMYFUNCTION("""COMPUTED_VALUE"""),"وسط البلد")</f>
        <v>وسط البلد</v>
      </c>
      <c r="D449" s="5" t="str">
        <f ca="1">IFERROR(__xludf.DUMMYFUNCTION("""COMPUTED_VALUE"""),"صيدلية")</f>
        <v>صيدلية</v>
      </c>
      <c r="E449" s="5" t="str">
        <f ca="1">IFERROR(__xludf.DUMMYFUNCTION("""COMPUTED_VALUE"""),"صيدلية")</f>
        <v>صيدلية</v>
      </c>
      <c r="F449" s="5" t="str">
        <f ca="1">IFERROR(__xludf.DUMMYFUNCTION("""COMPUTED_VALUE"""),"صيدلية (أدوية ومستلزمات طبية)")</f>
        <v>صيدلية (أدوية ومستلزمات طبية)</v>
      </c>
      <c r="G44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49" s="5" t="str">
        <f ca="1">IFERROR(__xludf.DUMMYFUNCTION("""COMPUTED_VALUE"""),"23 شارع القصر العينى -وسط البلد-القاهرة")</f>
        <v>23 شارع القصر العينى -وسط البلد-القاهرة</v>
      </c>
      <c r="I449" s="6" t="str">
        <f ca="1">IFERROR(__xludf.DUMMYFUNCTION("""COMPUTED_VALUE"""),"1110079607
")</f>
        <v xml:space="preserve">1110079607
</v>
      </c>
      <c r="J449" s="6" t="str">
        <f ca="1">IFERROR(__xludf.DUMMYFUNCTION("""COMPUTED_VALUE"""),"19600")</f>
        <v>19600</v>
      </c>
      <c r="K449" s="6" t="str">
        <f ca="1">IFERROR(__xludf.DUMMYFUNCTION("""COMPUTED_VALUE"""),"7.5 % على المحلى ,5% على المستلزمات الطبية و التجميل")</f>
        <v>7.5 % على المحلى ,5% على المستلزمات الطبية و التجميل</v>
      </c>
    </row>
    <row r="450" spans="1:11" x14ac:dyDescent="0.25">
      <c r="A450" s="4" t="str">
        <f ca="1">IFERROR(__xludf.DUMMYFUNCTION("""COMPUTED_VALUE"""),"1683-B")</f>
        <v>1683-B</v>
      </c>
      <c r="B450" s="5" t="str">
        <f ca="1">IFERROR(__xludf.DUMMYFUNCTION("""COMPUTED_VALUE"""),"القاهرة")</f>
        <v>القاهرة</v>
      </c>
      <c r="C450" s="5" t="str">
        <f ca="1">IFERROR(__xludf.DUMMYFUNCTION("""COMPUTED_VALUE"""),"وسط البلد")</f>
        <v>وسط البلد</v>
      </c>
      <c r="D450" s="5" t="str">
        <f ca="1">IFERROR(__xludf.DUMMYFUNCTION("""COMPUTED_VALUE"""),"صيدلية")</f>
        <v>صيدلية</v>
      </c>
      <c r="E450" s="5" t="str">
        <f ca="1">IFERROR(__xludf.DUMMYFUNCTION("""COMPUTED_VALUE"""),"صيدلية")</f>
        <v>صيدلية</v>
      </c>
      <c r="F450" s="5" t="str">
        <f ca="1">IFERROR(__xludf.DUMMYFUNCTION("""COMPUTED_VALUE"""),"صيدلية (أدوية ومستلزمات طبية)")</f>
        <v>صيدلية (أدوية ومستلزمات طبية)</v>
      </c>
      <c r="G45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50" s="5" t="str">
        <f ca="1">IFERROR(__xludf.DUMMYFUNCTION("""COMPUTED_VALUE"""),"24شارع هدى شعراوى - أمام الغرفة التجارية - البستان مول - ميدان الفلكي-وسط البلد-القاهرة")</f>
        <v>24شارع هدى شعراوى - أمام الغرفة التجارية - البستان مول - ميدان الفلكي-وسط البلد-القاهرة</v>
      </c>
      <c r="I450" s="6" t="str">
        <f ca="1">IFERROR(__xludf.DUMMYFUNCTION("""COMPUTED_VALUE"""),"1110079637
")</f>
        <v xml:space="preserve">1110079637
</v>
      </c>
      <c r="J450" s="6" t="str">
        <f ca="1">IFERROR(__xludf.DUMMYFUNCTION("""COMPUTED_VALUE"""),"19600")</f>
        <v>19600</v>
      </c>
      <c r="K450" s="6" t="str">
        <f ca="1">IFERROR(__xludf.DUMMYFUNCTION("""COMPUTED_VALUE"""),"7.5 % على المحلى ,5% على المستلزمات الطبية و التجميل")</f>
        <v>7.5 % على المحلى ,5% على المستلزمات الطبية و التجميل</v>
      </c>
    </row>
    <row r="451" spans="1:11" x14ac:dyDescent="0.25">
      <c r="A451" s="4" t="str">
        <f ca="1">IFERROR(__xludf.DUMMYFUNCTION("""COMPUTED_VALUE"""),"1683-B")</f>
        <v>1683-B</v>
      </c>
      <c r="B451" s="5" t="str">
        <f ca="1">IFERROR(__xludf.DUMMYFUNCTION("""COMPUTED_VALUE"""),"القاهرة")</f>
        <v>القاهرة</v>
      </c>
      <c r="C451" s="5" t="str">
        <f ca="1">IFERROR(__xludf.DUMMYFUNCTION("""COMPUTED_VALUE"""),"وسط البلد")</f>
        <v>وسط البلد</v>
      </c>
      <c r="D451" s="5" t="str">
        <f ca="1">IFERROR(__xludf.DUMMYFUNCTION("""COMPUTED_VALUE"""),"صيدلية")</f>
        <v>صيدلية</v>
      </c>
      <c r="E451" s="5" t="str">
        <f ca="1">IFERROR(__xludf.DUMMYFUNCTION("""COMPUTED_VALUE"""),"صيدلية")</f>
        <v>صيدلية</v>
      </c>
      <c r="F451" s="5" t="str">
        <f ca="1">IFERROR(__xludf.DUMMYFUNCTION("""COMPUTED_VALUE"""),"صيدلية (أدوية ومستلزمات طبية)")</f>
        <v>صيدلية (أدوية ومستلزمات طبية)</v>
      </c>
      <c r="G45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51" s="5" t="str">
        <f ca="1">IFERROR(__xludf.DUMMYFUNCTION("""COMPUTED_VALUE"""),"2شارع خيرت -وسط البلد-القاهرة")</f>
        <v>2شارع خيرت -وسط البلد-القاهرة</v>
      </c>
      <c r="I451" s="6" t="str">
        <f ca="1">IFERROR(__xludf.DUMMYFUNCTION("""COMPUTED_VALUE"""),"1118875599
")</f>
        <v xml:space="preserve">1118875599
</v>
      </c>
      <c r="J451" s="6" t="str">
        <f ca="1">IFERROR(__xludf.DUMMYFUNCTION("""COMPUTED_VALUE"""),"19600")</f>
        <v>19600</v>
      </c>
      <c r="K451" s="6" t="str">
        <f ca="1">IFERROR(__xludf.DUMMYFUNCTION("""COMPUTED_VALUE"""),"7.5 % على المحلى ,5% على المستلزمات الطبية و التجميل")</f>
        <v>7.5 % على المحلى ,5% على المستلزمات الطبية و التجميل</v>
      </c>
    </row>
    <row r="452" spans="1:11" x14ac:dyDescent="0.25">
      <c r="A452" s="4" t="str">
        <f ca="1">IFERROR(__xludf.DUMMYFUNCTION("""COMPUTED_VALUE"""),"1683-B")</f>
        <v>1683-B</v>
      </c>
      <c r="B452" s="5" t="str">
        <f ca="1">IFERROR(__xludf.DUMMYFUNCTION("""COMPUTED_VALUE"""),"القاهرة")</f>
        <v>القاهرة</v>
      </c>
      <c r="C452" s="5" t="str">
        <f ca="1">IFERROR(__xludf.DUMMYFUNCTION("""COMPUTED_VALUE"""),"وسط البلد")</f>
        <v>وسط البلد</v>
      </c>
      <c r="D452" s="5" t="str">
        <f ca="1">IFERROR(__xludf.DUMMYFUNCTION("""COMPUTED_VALUE"""),"صيدلية")</f>
        <v>صيدلية</v>
      </c>
      <c r="E452" s="5" t="str">
        <f ca="1">IFERROR(__xludf.DUMMYFUNCTION("""COMPUTED_VALUE"""),"صيدلية")</f>
        <v>صيدلية</v>
      </c>
      <c r="F452" s="5" t="str">
        <f ca="1">IFERROR(__xludf.DUMMYFUNCTION("""COMPUTED_VALUE"""),"صيدلية (أدوية ومستلزمات طبية)")</f>
        <v>صيدلية (أدوية ومستلزمات طبية)</v>
      </c>
      <c r="G45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52" s="5" t="str">
        <f ca="1">IFERROR(__xludf.DUMMYFUNCTION("""COMPUTED_VALUE"""),"الحسين - أمام مسجد الحسين - السوق التجارى-وسط البلد-القاهرة")</f>
        <v>الحسين - أمام مسجد الحسين - السوق التجارى-وسط البلد-القاهرة</v>
      </c>
      <c r="I452" s="6" t="str">
        <f ca="1">IFERROR(__xludf.DUMMYFUNCTION("""COMPUTED_VALUE"""),"1110079615
")</f>
        <v xml:space="preserve">1110079615
</v>
      </c>
      <c r="J452" s="6" t="str">
        <f ca="1">IFERROR(__xludf.DUMMYFUNCTION("""COMPUTED_VALUE"""),"19600")</f>
        <v>19600</v>
      </c>
      <c r="K452" s="6" t="str">
        <f ca="1">IFERROR(__xludf.DUMMYFUNCTION("""COMPUTED_VALUE"""),"7.5 % على المحلى ,5% على المستلزمات الطبية و التجميل")</f>
        <v>7.5 % على المحلى ,5% على المستلزمات الطبية و التجميل</v>
      </c>
    </row>
    <row r="453" spans="1:11" x14ac:dyDescent="0.25">
      <c r="A453" s="4" t="str">
        <f ca="1">IFERROR(__xludf.DUMMYFUNCTION("""COMPUTED_VALUE"""),"4813")</f>
        <v>4813</v>
      </c>
      <c r="B453" s="5" t="str">
        <f ca="1">IFERROR(__xludf.DUMMYFUNCTION("""COMPUTED_VALUE"""),"القليوبية")</f>
        <v>القليوبية</v>
      </c>
      <c r="C453" s="5" t="str">
        <f ca="1">IFERROR(__xludf.DUMMYFUNCTION("""COMPUTED_VALUE"""),"الخانكة")</f>
        <v>الخانكة</v>
      </c>
      <c r="D453" s="5" t="str">
        <f ca="1">IFERROR(__xludf.DUMMYFUNCTION("""COMPUTED_VALUE"""),"صيدلية")</f>
        <v>صيدلية</v>
      </c>
      <c r="E453" s="5" t="str">
        <f ca="1">IFERROR(__xludf.DUMMYFUNCTION("""COMPUTED_VALUE"""),"صيدلية")</f>
        <v>صيدلية</v>
      </c>
      <c r="F453" s="5" t="str">
        <f ca="1">IFERROR(__xludf.DUMMYFUNCTION("""COMPUTED_VALUE"""),"صيدلية (أدوية ومستلزمات طبية)")</f>
        <v>صيدلية (أدوية ومستلزمات طبية)</v>
      </c>
      <c r="G453" s="5" t="str">
        <f ca="1">IFERROR(__xludf.DUMMYFUNCTION("""COMPUTED_VALUE"""),"د/ زكريا شرف شعلان السيد ( صيدليه د/ زكريا شرف شعلان )")</f>
        <v>د/ زكريا شرف شعلان السيد ( صيدليه د/ زكريا شرف شعلان )</v>
      </c>
      <c r="H453" s="5" t="str">
        <f ca="1">IFERROR(__xludf.DUMMYFUNCTION("""COMPUTED_VALUE"""),"10 شارع جامع صلاح الدين - شرق السكه الحديد -الخانكه - القليوبيه")</f>
        <v>10 شارع جامع صلاح الدين - شرق السكه الحديد -الخانكه - القليوبيه</v>
      </c>
      <c r="I453" s="6" t="str">
        <f ca="1">IFERROR(__xludf.DUMMYFUNCTION("""COMPUTED_VALUE"""),"20244590199")</f>
        <v>20244590199</v>
      </c>
      <c r="J453" s="6"/>
      <c r="K453" s="6" t="str">
        <f ca="1">IFERROR(__xludf.DUMMYFUNCTION("""COMPUTED_VALUE"""),"خصم 15% علي المحلي, 6% علي المستورد")</f>
        <v>خصم 15% علي المحلي, 6% علي المستورد</v>
      </c>
    </row>
    <row r="454" spans="1:11" x14ac:dyDescent="0.25">
      <c r="A454" s="4" t="str">
        <f ca="1">IFERROR(__xludf.DUMMYFUNCTION("""COMPUTED_VALUE"""),"3343")</f>
        <v>3343</v>
      </c>
      <c r="B454" s="5" t="str">
        <f ca="1">IFERROR(__xludf.DUMMYFUNCTION("""COMPUTED_VALUE"""),"القليوبية")</f>
        <v>القليوبية</v>
      </c>
      <c r="C454" s="5" t="str">
        <f ca="1">IFERROR(__xludf.DUMMYFUNCTION("""COMPUTED_VALUE"""),"القناطر الخيرية")</f>
        <v>القناطر الخيرية</v>
      </c>
      <c r="D454" s="5" t="str">
        <f ca="1">IFERROR(__xludf.DUMMYFUNCTION("""COMPUTED_VALUE"""),"صيدلية")</f>
        <v>صيدلية</v>
      </c>
      <c r="E454" s="5" t="str">
        <f ca="1">IFERROR(__xludf.DUMMYFUNCTION("""COMPUTED_VALUE"""),"صيدلية")</f>
        <v>صيدلية</v>
      </c>
      <c r="F454" s="5" t="str">
        <f ca="1">IFERROR(__xludf.DUMMYFUNCTION("""COMPUTED_VALUE"""),"صيدلية (أدوية ومستلزمات طبية)")</f>
        <v>صيدلية (أدوية ومستلزمات طبية)</v>
      </c>
      <c r="G454" s="5" t="str">
        <f ca="1">IFERROR(__xludf.DUMMYFUNCTION("""COMPUTED_VALUE"""),"صيدلية د صلاح حافظ (صيدلية الزهراء)")</f>
        <v>صيدلية د صلاح حافظ (صيدلية الزهراء)</v>
      </c>
      <c r="H454" s="5" t="str">
        <f ca="1">IFERROR(__xludf.DUMMYFUNCTION("""COMPUTED_VALUE"""),"شارع أمير الشعراء-القناطر الخيرية-القليوبية")</f>
        <v>شارع أمير الشعراء-القناطر الخيرية-القليوبية</v>
      </c>
      <c r="I454" s="6" t="str">
        <f ca="1">IFERROR(__xludf.DUMMYFUNCTION("""COMPUTED_VALUE"""),"20242183207")</f>
        <v>20242183207</v>
      </c>
      <c r="J454" s="6"/>
      <c r="K454" s="6" t="str">
        <f ca="1">IFERROR(__xludf.DUMMYFUNCTION("""COMPUTED_VALUE"""),"خصم 10% علي المحلي و 5% علي المستورد")</f>
        <v>خصم 10% علي المحلي و 5% علي المستورد</v>
      </c>
    </row>
    <row r="455" spans="1:11" x14ac:dyDescent="0.25">
      <c r="A455" s="4" t="str">
        <f ca="1">IFERROR(__xludf.DUMMYFUNCTION("""COMPUTED_VALUE"""),"3343-B")</f>
        <v>3343-B</v>
      </c>
      <c r="B455" s="5" t="str">
        <f ca="1">IFERROR(__xludf.DUMMYFUNCTION("""COMPUTED_VALUE"""),"القليوبية")</f>
        <v>القليوبية</v>
      </c>
      <c r="C455" s="5" t="str">
        <f ca="1">IFERROR(__xludf.DUMMYFUNCTION("""COMPUTED_VALUE"""),"القناطر الخيرية")</f>
        <v>القناطر الخيرية</v>
      </c>
      <c r="D455" s="5" t="str">
        <f ca="1">IFERROR(__xludf.DUMMYFUNCTION("""COMPUTED_VALUE"""),"صيدلية")</f>
        <v>صيدلية</v>
      </c>
      <c r="E455" s="5" t="str">
        <f ca="1">IFERROR(__xludf.DUMMYFUNCTION("""COMPUTED_VALUE"""),"صيدلية")</f>
        <v>صيدلية</v>
      </c>
      <c r="F455" s="5" t="str">
        <f ca="1">IFERROR(__xludf.DUMMYFUNCTION("""COMPUTED_VALUE"""),"صيدلية (أدوية ومستلزمات طبية)")</f>
        <v>صيدلية (أدوية ومستلزمات طبية)</v>
      </c>
      <c r="G455" s="5" t="str">
        <f ca="1">IFERROR(__xludf.DUMMYFUNCTION("""COMPUTED_VALUE"""),"صيدلية د صلاح حافظ (صيدلية الزهراء)")</f>
        <v>صيدلية د صلاح حافظ (صيدلية الزهراء)</v>
      </c>
      <c r="H455" s="5" t="str">
        <f ca="1">IFERROR(__xludf.DUMMYFUNCTION("""COMPUTED_VALUE"""),"ش السبكى - خلف الشهر العقارى")</f>
        <v>ش السبكى - خلف الشهر العقارى</v>
      </c>
      <c r="I455" s="6" t="str">
        <f ca="1">IFERROR(__xludf.DUMMYFUNCTION("""COMPUTED_VALUE"""),"20242195955")</f>
        <v>20242195955</v>
      </c>
      <c r="J455" s="6"/>
      <c r="K455" s="6" t="str">
        <f ca="1">IFERROR(__xludf.DUMMYFUNCTION("""COMPUTED_VALUE"""),"خصم 10% علي المحلي و 5% علي المستورد")</f>
        <v>خصم 10% علي المحلي و 5% علي المستورد</v>
      </c>
    </row>
    <row r="456" spans="1:11" x14ac:dyDescent="0.25">
      <c r="A456" s="4" t="str">
        <f ca="1">IFERROR(__xludf.DUMMYFUNCTION("""COMPUTED_VALUE"""),"103842")</f>
        <v>103842</v>
      </c>
      <c r="B456" s="5" t="str">
        <f ca="1">IFERROR(__xludf.DUMMYFUNCTION("""COMPUTED_VALUE"""),"القليوبية")</f>
        <v>القليوبية</v>
      </c>
      <c r="C456" s="5" t="str">
        <f ca="1">IFERROR(__xludf.DUMMYFUNCTION("""COMPUTED_VALUE"""),"شبين القناطر")</f>
        <v>شبين القناطر</v>
      </c>
      <c r="D456" s="5" t="str">
        <f ca="1">IFERROR(__xludf.DUMMYFUNCTION("""COMPUTED_VALUE"""),"صيدلية")</f>
        <v>صيدلية</v>
      </c>
      <c r="E456" s="5" t="str">
        <f ca="1">IFERROR(__xludf.DUMMYFUNCTION("""COMPUTED_VALUE"""),"صيدلية")</f>
        <v>صيدلية</v>
      </c>
      <c r="F456" s="5" t="str">
        <f ca="1">IFERROR(__xludf.DUMMYFUNCTION("""COMPUTED_VALUE"""),"صيدلية (أدوية ومستلزمات طبية)")</f>
        <v>صيدلية (أدوية ومستلزمات طبية)</v>
      </c>
      <c r="G456" s="5" t="str">
        <f ca="1">IFERROR(__xludf.DUMMYFUNCTION("""COMPUTED_VALUE"""),"صيدلية د/ طارق التهامي")</f>
        <v>صيدلية د/ طارق التهامي</v>
      </c>
      <c r="H456" s="5" t="str">
        <f ca="1">IFERROR(__xludf.DUMMYFUNCTION("""COMPUTED_VALUE"""),"شارع حسين رشدي خلف بنك مصر-شبين القناطر-القليوبية")</f>
        <v>شارع حسين رشدي خلف بنك مصر-شبين القناطر-القليوبية</v>
      </c>
      <c r="I456" s="6" t="str">
        <f ca="1">IFERROR(__xludf.DUMMYFUNCTION("""COMPUTED_VALUE"""),"20132720053")</f>
        <v>20132720053</v>
      </c>
      <c r="J456" s="6"/>
      <c r="K456" s="6" t="str">
        <f ca="1">IFERROR(__xludf.DUMMYFUNCTION("""COMPUTED_VALUE"""),"خصم 10% علي المحلي و 5% علي المستورد")</f>
        <v>خصم 10% علي المحلي و 5% علي المستورد</v>
      </c>
    </row>
    <row r="457" spans="1:11" x14ac:dyDescent="0.25">
      <c r="A457" s="4" t="str">
        <f ca="1">IFERROR(__xludf.DUMMYFUNCTION("""COMPUTED_VALUE"""),"104297")</f>
        <v>104297</v>
      </c>
      <c r="B457" s="5" t="str">
        <f ca="1">IFERROR(__xludf.DUMMYFUNCTION("""COMPUTED_VALUE"""),"المنوفية")</f>
        <v>المنوفية</v>
      </c>
      <c r="C457" s="5" t="str">
        <f ca="1">IFERROR(__xludf.DUMMYFUNCTION("""COMPUTED_VALUE"""),"اشمون")</f>
        <v>اشمون</v>
      </c>
      <c r="D457" s="5" t="str">
        <f ca="1">IFERROR(__xludf.DUMMYFUNCTION("""COMPUTED_VALUE"""),"صيدلية")</f>
        <v>صيدلية</v>
      </c>
      <c r="E457" s="5" t="str">
        <f ca="1">IFERROR(__xludf.DUMMYFUNCTION("""COMPUTED_VALUE"""),"صيدلية")</f>
        <v>صيدلية</v>
      </c>
      <c r="F457" s="5" t="str">
        <f ca="1">IFERROR(__xludf.DUMMYFUNCTION("""COMPUTED_VALUE"""),"صيدلية (أدوية ومستلزمات طبية)")</f>
        <v>صيدلية (أدوية ومستلزمات طبية)</v>
      </c>
      <c r="G457" s="5" t="str">
        <f ca="1">IFERROR(__xludf.DUMMYFUNCTION("""COMPUTED_VALUE"""),"صيدلية د/ مينا منير نصرالله")</f>
        <v>صيدلية د/ مينا منير نصرالله</v>
      </c>
      <c r="H457" s="5" t="str">
        <f ca="1">IFERROR(__xludf.DUMMYFUNCTION("""COMPUTED_VALUE"""),"شارع صلاح الدين - اشمون - المنوفية")</f>
        <v>شارع صلاح الدين - اشمون - المنوفية</v>
      </c>
      <c r="I457" s="6" t="str">
        <f ca="1">IFERROR(__xludf.DUMMYFUNCTION("""COMPUTED_VALUE"""),"0483440004")</f>
        <v>0483440004</v>
      </c>
      <c r="J457" s="6"/>
      <c r="K457" s="6" t="str">
        <f ca="1">IFERROR(__xludf.DUMMYFUNCTION("""COMPUTED_VALUE"""),"خصم 12% علي المحلي و 6% علي المستورد")</f>
        <v>خصم 12% علي المحلي و 6% علي المستورد</v>
      </c>
    </row>
    <row r="458" spans="1:11" x14ac:dyDescent="0.25">
      <c r="A458" s="4" t="str">
        <f ca="1">IFERROR(__xludf.DUMMYFUNCTION("""COMPUTED_VALUE"""),"3078")</f>
        <v>3078</v>
      </c>
      <c r="B458" s="5" t="str">
        <f ca="1">IFERROR(__xludf.DUMMYFUNCTION("""COMPUTED_VALUE"""),"المنوفية")</f>
        <v>المنوفية</v>
      </c>
      <c r="C458" s="5" t="str">
        <f ca="1">IFERROR(__xludf.DUMMYFUNCTION("""COMPUTED_VALUE"""),"الشهداء")</f>
        <v>الشهداء</v>
      </c>
      <c r="D458" s="5" t="str">
        <f ca="1">IFERROR(__xludf.DUMMYFUNCTION("""COMPUTED_VALUE"""),"صيدلية")</f>
        <v>صيدلية</v>
      </c>
      <c r="E458" s="5" t="str">
        <f ca="1">IFERROR(__xludf.DUMMYFUNCTION("""COMPUTED_VALUE"""),"صيدلية")</f>
        <v>صيدلية</v>
      </c>
      <c r="F458" s="5" t="str">
        <f ca="1">IFERROR(__xludf.DUMMYFUNCTION("""COMPUTED_VALUE"""),"صيدلية (أدوية ومستلزمات طبية)")</f>
        <v>صيدلية (أدوية ومستلزمات طبية)</v>
      </c>
      <c r="G458" s="5" t="str">
        <f ca="1">IFERROR(__xludf.DUMMYFUNCTION("""COMPUTED_VALUE"""),"صيدلية د/ احمد ابو الحسن")</f>
        <v>صيدلية د/ احمد ابو الحسن</v>
      </c>
      <c r="H458" s="5" t="str">
        <f ca="1">IFERROR(__xludf.DUMMYFUNCTION("""COMPUTED_VALUE"""),"ش بورسعيد - أمام المطافي-الشهداء-المنوفية")</f>
        <v>ش بورسعيد - أمام المطافي-الشهداء-المنوفية</v>
      </c>
      <c r="I458" s="6" t="str">
        <f ca="1">IFERROR(__xludf.DUMMYFUNCTION("""COMPUTED_VALUE"""),"20482759286")</f>
        <v>20482759286</v>
      </c>
      <c r="J458" s="6"/>
      <c r="K458" s="6" t="str">
        <f ca="1">IFERROR(__xludf.DUMMYFUNCTION("""COMPUTED_VALUE"""),"خصم 10% علي المحلي و 5% علي المستورد")</f>
        <v>خصم 10% علي المحلي و 5% علي المستورد</v>
      </c>
    </row>
    <row r="459" spans="1:11" x14ac:dyDescent="0.25">
      <c r="A459" s="4" t="str">
        <f ca="1">IFERROR(__xludf.DUMMYFUNCTION("""COMPUTED_VALUE"""),"103741")</f>
        <v>103741</v>
      </c>
      <c r="B459" s="5" t="str">
        <f ca="1">IFERROR(__xludf.DUMMYFUNCTION("""COMPUTED_VALUE"""),"المنوفية")</f>
        <v>المنوفية</v>
      </c>
      <c r="C459" s="5" t="str">
        <f ca="1">IFERROR(__xludf.DUMMYFUNCTION("""COMPUTED_VALUE"""),"شبين الكوم")</f>
        <v>شبين الكوم</v>
      </c>
      <c r="D459" s="5" t="str">
        <f ca="1">IFERROR(__xludf.DUMMYFUNCTION("""COMPUTED_VALUE"""),"صيدلية")</f>
        <v>صيدلية</v>
      </c>
      <c r="E459" s="5" t="str">
        <f ca="1">IFERROR(__xludf.DUMMYFUNCTION("""COMPUTED_VALUE"""),"صيدلية")</f>
        <v>صيدلية</v>
      </c>
      <c r="F459" s="5" t="str">
        <f ca="1">IFERROR(__xludf.DUMMYFUNCTION("""COMPUTED_VALUE"""),"صيدلية (أدوية ومستلزمات طبية)")</f>
        <v>صيدلية (أدوية ومستلزمات طبية)</v>
      </c>
      <c r="G459" s="5" t="str">
        <f ca="1">IFERROR(__xludf.DUMMYFUNCTION("""COMPUTED_VALUE"""),"صيدلية د/ محمد عبد الفتاح الظريف")</f>
        <v>صيدلية د/ محمد عبد الفتاح الظريف</v>
      </c>
      <c r="H459" s="5" t="str">
        <f ca="1">IFERROR(__xludf.DUMMYFUNCTION("""COMPUTED_VALUE"""),"شارع احمد ماهر برج المهندسين خلف المحافظة مجمع المواقف اول طريق ميت حادقان-شبين الكوم-المنوفية")</f>
        <v>شارع احمد ماهر برج المهندسين خلف المحافظة مجمع المواقف اول طريق ميت حادقان-شبين الكوم-المنوفية</v>
      </c>
      <c r="I459" s="6" t="str">
        <f ca="1">IFERROR(__xludf.DUMMYFUNCTION("""COMPUTED_VALUE"""),"201004614674")</f>
        <v>201004614674</v>
      </c>
      <c r="J459" s="6"/>
      <c r="K459" s="6" t="str">
        <f ca="1">IFERROR(__xludf.DUMMYFUNCTION("""COMPUTED_VALUE"""),"خصم 10% علي المحلي و 5% علي المستورد")</f>
        <v>خصم 10% علي المحلي و 5% علي المستورد</v>
      </c>
    </row>
    <row r="460" spans="1:11" x14ac:dyDescent="0.25">
      <c r="A460" s="4" t="str">
        <f ca="1">IFERROR(__xludf.DUMMYFUNCTION("""COMPUTED_VALUE"""),"3363")</f>
        <v>3363</v>
      </c>
      <c r="B460" s="5" t="str">
        <f ca="1">IFERROR(__xludf.DUMMYFUNCTION("""COMPUTED_VALUE"""),"المنيا")</f>
        <v>المنيا</v>
      </c>
      <c r="C460" s="5" t="str">
        <f ca="1">IFERROR(__xludf.DUMMYFUNCTION("""COMPUTED_VALUE"""),"المنيا")</f>
        <v>المنيا</v>
      </c>
      <c r="D460" s="5" t="str">
        <f ca="1">IFERROR(__xludf.DUMMYFUNCTION("""COMPUTED_VALUE"""),"صيدلية")</f>
        <v>صيدلية</v>
      </c>
      <c r="E460" s="5" t="str">
        <f ca="1">IFERROR(__xludf.DUMMYFUNCTION("""COMPUTED_VALUE"""),"صيدلية")</f>
        <v>صيدلية</v>
      </c>
      <c r="F460" s="5" t="str">
        <f ca="1">IFERROR(__xludf.DUMMYFUNCTION("""COMPUTED_VALUE"""),"صيدلية (أدوية ومستلزمات طبية)")</f>
        <v>صيدلية (أدوية ومستلزمات طبية)</v>
      </c>
      <c r="G460" s="5" t="str">
        <f ca="1">IFERROR(__xludf.DUMMYFUNCTION("""COMPUTED_VALUE"""),"أجزخانة سامي بالمنيا")</f>
        <v>أجزخانة سامي بالمنيا</v>
      </c>
      <c r="H460" s="5" t="str">
        <f ca="1">IFERROR(__xludf.DUMMYFUNCTION("""COMPUTED_VALUE"""),"5شارع عدلى يكن -خلف بنك مصر - ميدان الساعة- المنيا")</f>
        <v>5شارع عدلى يكن -خلف بنك مصر - ميدان الساعة- المنيا</v>
      </c>
      <c r="I460" s="6" t="str">
        <f ca="1">IFERROR(__xludf.DUMMYFUNCTION("""COMPUTED_VALUE"""),"20862364570")</f>
        <v>20862364570</v>
      </c>
      <c r="J460" s="6"/>
      <c r="K460" s="6" t="str">
        <f ca="1">IFERROR(__xludf.DUMMYFUNCTION("""COMPUTED_VALUE"""),"خصم 10% علي المحلي و 10% علي المستورد")</f>
        <v>خصم 10% علي المحلي و 10% علي المستورد</v>
      </c>
    </row>
    <row r="461" spans="1:11" x14ac:dyDescent="0.25">
      <c r="A461" s="4" t="str">
        <f ca="1">IFERROR(__xludf.DUMMYFUNCTION("""COMPUTED_VALUE"""),"4827")</f>
        <v>4827</v>
      </c>
      <c r="B461" s="5" t="str">
        <f ca="1">IFERROR(__xludf.DUMMYFUNCTION("""COMPUTED_VALUE"""),"المنيا")</f>
        <v>المنيا</v>
      </c>
      <c r="C461" s="5" t="str">
        <f ca="1">IFERROR(__xludf.DUMMYFUNCTION("""COMPUTED_VALUE"""),"المنيا")</f>
        <v>المنيا</v>
      </c>
      <c r="D461" s="5" t="str">
        <f ca="1">IFERROR(__xludf.DUMMYFUNCTION("""COMPUTED_VALUE"""),"صيدلية")</f>
        <v>صيدلية</v>
      </c>
      <c r="E461" s="5" t="str">
        <f ca="1">IFERROR(__xludf.DUMMYFUNCTION("""COMPUTED_VALUE"""),"صيدلية")</f>
        <v>صيدلية</v>
      </c>
      <c r="F461" s="5" t="str">
        <f ca="1">IFERROR(__xludf.DUMMYFUNCTION("""COMPUTED_VALUE"""),"صيدلية (أدوية ومستلزمات طبية)")</f>
        <v>صيدلية (أدوية ومستلزمات طبية)</v>
      </c>
      <c r="G461" s="5" t="str">
        <f ca="1">IFERROR(__xludf.DUMMYFUNCTION("""COMPUTED_VALUE"""),"صيدلية د/ جان زكريا")</f>
        <v>صيدلية د/ جان زكريا</v>
      </c>
      <c r="H461" s="5" t="str">
        <f ca="1">IFERROR(__xludf.DUMMYFUNCTION("""COMPUTED_VALUE"""),"3شارع مديرية التربية والتعليم - بارض سلطان - المنيا")</f>
        <v>3شارع مديرية التربية والتعليم - بارض سلطان - المنيا</v>
      </c>
      <c r="I461" s="6" t="str">
        <f ca="1">IFERROR(__xludf.DUMMYFUNCTION("""COMPUTED_VALUE"""),"01061331232")</f>
        <v>01061331232</v>
      </c>
      <c r="J461" s="6"/>
      <c r="K461" s="6" t="str">
        <f ca="1">IFERROR(__xludf.DUMMYFUNCTION("""COMPUTED_VALUE"""),"خصم 12% علي المحلي و 6% علي المستورد")</f>
        <v>خصم 12% علي المحلي و 6% علي المستورد</v>
      </c>
    </row>
    <row r="462" spans="1:11" x14ac:dyDescent="0.25">
      <c r="A462" s="4" t="str">
        <f ca="1">IFERROR(__xludf.DUMMYFUNCTION("""COMPUTED_VALUE"""),"104578")</f>
        <v>104578</v>
      </c>
      <c r="B462" s="5" t="str">
        <f ca="1">IFERROR(__xludf.DUMMYFUNCTION("""COMPUTED_VALUE"""),"المنيا")</f>
        <v>المنيا</v>
      </c>
      <c r="C462" s="5" t="str">
        <f ca="1">IFERROR(__xludf.DUMMYFUNCTION("""COMPUTED_VALUE"""),"المنيا")</f>
        <v>المنيا</v>
      </c>
      <c r="D462" s="5" t="str">
        <f ca="1">IFERROR(__xludf.DUMMYFUNCTION("""COMPUTED_VALUE"""),"صيدلية")</f>
        <v>صيدلية</v>
      </c>
      <c r="E462" s="5" t="str">
        <f ca="1">IFERROR(__xludf.DUMMYFUNCTION("""COMPUTED_VALUE"""),"صيدلية")</f>
        <v>صيدلية</v>
      </c>
      <c r="F462" s="5" t="str">
        <f ca="1">IFERROR(__xludf.DUMMYFUNCTION("""COMPUTED_VALUE"""),"صيدلية (أدوية ومستلزمات طبية)")</f>
        <v>صيدلية (أدوية ومستلزمات طبية)</v>
      </c>
      <c r="G462" s="5" t="str">
        <f ca="1">IFERROR(__xludf.DUMMYFUNCTION("""COMPUTED_VALUE"""),"صيدلية د/ مروة فؤاد (د.مروة أحمد فؤاد كامل )")</f>
        <v>صيدلية د/ مروة فؤاد (د.مروة أحمد فؤاد كامل )</v>
      </c>
      <c r="H462" s="5" t="str">
        <f ca="1">IFERROR(__xludf.DUMMYFUNCTION("""COMPUTED_VALUE"""),"7شارع كورنيش النيل - برج الأقصى - أمام حورس - المنيا")</f>
        <v>7شارع كورنيش النيل - برج الأقصى - أمام حورس - المنيا</v>
      </c>
      <c r="I462" s="6" t="str">
        <f ca="1">IFERROR(__xludf.DUMMYFUNCTION("""COMPUTED_VALUE"""),"01018161845")</f>
        <v>01018161845</v>
      </c>
      <c r="J462" s="6"/>
      <c r="K462" s="6" t="str">
        <f ca="1">IFERROR(__xludf.DUMMYFUNCTION("""COMPUTED_VALUE"""),"خصم 14% علي المحلي و 7% علي المستورد")</f>
        <v>خصم 14% علي المحلي و 7% علي المستورد</v>
      </c>
    </row>
    <row r="463" spans="1:11" x14ac:dyDescent="0.25">
      <c r="A463" s="4" t="str">
        <f ca="1">IFERROR(__xludf.DUMMYFUNCTION("""COMPUTED_VALUE"""),"104582")</f>
        <v>104582</v>
      </c>
      <c r="B463" s="5" t="str">
        <f ca="1">IFERROR(__xludf.DUMMYFUNCTION("""COMPUTED_VALUE"""),"المنيا")</f>
        <v>المنيا</v>
      </c>
      <c r="C463" s="5" t="str">
        <f ca="1">IFERROR(__xludf.DUMMYFUNCTION("""COMPUTED_VALUE"""),"المنيا")</f>
        <v>المنيا</v>
      </c>
      <c r="D463" s="5" t="str">
        <f ca="1">IFERROR(__xludf.DUMMYFUNCTION("""COMPUTED_VALUE"""),"صيدلية")</f>
        <v>صيدلية</v>
      </c>
      <c r="E463" s="5" t="str">
        <f ca="1">IFERROR(__xludf.DUMMYFUNCTION("""COMPUTED_VALUE"""),"صيدلية")</f>
        <v>صيدلية</v>
      </c>
      <c r="F463" s="5" t="str">
        <f ca="1">IFERROR(__xludf.DUMMYFUNCTION("""COMPUTED_VALUE"""),"صيدلية (أدوية ومستلزمات طبية)")</f>
        <v>صيدلية (أدوية ومستلزمات طبية)</v>
      </c>
      <c r="G463" s="5" t="str">
        <f ca="1">IFERROR(__xludf.DUMMYFUNCTION("""COMPUTED_VALUE"""),"صيدلية د/رانيا رمسيس ( د.رانيا رمسيس صادق وهبه )")</f>
        <v>صيدلية د/رانيا رمسيس ( د.رانيا رمسيس صادق وهبه )</v>
      </c>
      <c r="H463" s="5" t="str">
        <f ca="1">IFERROR(__xludf.DUMMYFUNCTION("""COMPUTED_VALUE"""),"97شارع عدنان المالكي أمام مدرسة 6أكتوبر - المنيا .")</f>
        <v>97شارع عدنان المالكي أمام مدرسة 6أكتوبر - المنيا .</v>
      </c>
      <c r="I463" s="6" t="str">
        <f ca="1">IFERROR(__xludf.DUMMYFUNCTION("""COMPUTED_VALUE"""),"20862334490")</f>
        <v>20862334490</v>
      </c>
      <c r="J463" s="6"/>
      <c r="K463" s="6" t="str">
        <f ca="1">IFERROR(__xludf.DUMMYFUNCTION("""COMPUTED_VALUE"""),"خصم 14% علي المحلي و 7% علي المستورد")</f>
        <v>خصم 14% علي المحلي و 7% علي المستورد</v>
      </c>
    </row>
    <row r="464" spans="1:11" x14ac:dyDescent="0.25">
      <c r="A464" s="4" t="str">
        <f ca="1">IFERROR(__xludf.DUMMYFUNCTION("""COMPUTED_VALUE"""),"103913")</f>
        <v>103913</v>
      </c>
      <c r="B464" s="5" t="str">
        <f ca="1">IFERROR(__xludf.DUMMYFUNCTION("""COMPUTED_VALUE"""),"المنيا")</f>
        <v>المنيا</v>
      </c>
      <c r="C464" s="5" t="str">
        <f ca="1">IFERROR(__xludf.DUMMYFUNCTION("""COMPUTED_VALUE"""),"أبو قرقاص")</f>
        <v>أبو قرقاص</v>
      </c>
      <c r="D464" s="5" t="str">
        <f ca="1">IFERROR(__xludf.DUMMYFUNCTION("""COMPUTED_VALUE"""),"صيدلية")</f>
        <v>صيدلية</v>
      </c>
      <c r="E464" s="5" t="str">
        <f ca="1">IFERROR(__xludf.DUMMYFUNCTION("""COMPUTED_VALUE"""),"صيدلية")</f>
        <v>صيدلية</v>
      </c>
      <c r="F464" s="5" t="str">
        <f ca="1">IFERROR(__xludf.DUMMYFUNCTION("""COMPUTED_VALUE"""),"صيدلية (أدوية ومستلزمات طبية)")</f>
        <v>صيدلية (أدوية ومستلزمات طبية)</v>
      </c>
      <c r="G464" s="5" t="str">
        <f ca="1">IFERROR(__xludf.DUMMYFUNCTION("""COMPUTED_VALUE"""),"صيدلية الراعى الصالح")</f>
        <v>صيدلية الراعى الصالح</v>
      </c>
      <c r="H464" s="5" t="str">
        <f ca="1">IFERROR(__xludf.DUMMYFUNCTION("""COMPUTED_VALUE"""),"شارع طلعت حرب - ابو قرقاص - المنيا")</f>
        <v>شارع طلعت حرب - ابو قرقاص - المنيا</v>
      </c>
      <c r="I464" s="6" t="str">
        <f ca="1">IFERROR(__xludf.DUMMYFUNCTION("""COMPUTED_VALUE"""),"20862422805")</f>
        <v>20862422805</v>
      </c>
      <c r="J464" s="6"/>
      <c r="K464" s="6" t="str">
        <f ca="1">IFERROR(__xludf.DUMMYFUNCTION("""COMPUTED_VALUE"""),"خصم 12% علي المحلي و 5% علي المستورد")</f>
        <v>خصم 12% علي المحلي و 5% علي المستورد</v>
      </c>
    </row>
    <row r="465" spans="1:11" x14ac:dyDescent="0.25">
      <c r="A465" s="4" t="str">
        <f ca="1">IFERROR(__xludf.DUMMYFUNCTION("""COMPUTED_VALUE"""),"104576")</f>
        <v>104576</v>
      </c>
      <c r="B465" s="5" t="str">
        <f ca="1">IFERROR(__xludf.DUMMYFUNCTION("""COMPUTED_VALUE"""),"المنيا")</f>
        <v>المنيا</v>
      </c>
      <c r="C465" s="5" t="str">
        <f ca="1">IFERROR(__xludf.DUMMYFUNCTION("""COMPUTED_VALUE"""),"مغاغة")</f>
        <v>مغاغة</v>
      </c>
      <c r="D465" s="5" t="str">
        <f ca="1">IFERROR(__xludf.DUMMYFUNCTION("""COMPUTED_VALUE"""),"صيدلية")</f>
        <v>صيدلية</v>
      </c>
      <c r="E465" s="5" t="str">
        <f ca="1">IFERROR(__xludf.DUMMYFUNCTION("""COMPUTED_VALUE"""),"صيدلية")</f>
        <v>صيدلية</v>
      </c>
      <c r="F465" s="5" t="str">
        <f ca="1">IFERROR(__xludf.DUMMYFUNCTION("""COMPUTED_VALUE"""),"صيدلية (أدوية ومستلزمات طبية)")</f>
        <v>صيدلية (أدوية ومستلزمات طبية)</v>
      </c>
      <c r="G465" s="5" t="str">
        <f ca="1">IFERROR(__xludf.DUMMYFUNCTION("""COMPUTED_VALUE"""),"صيدلية د/مايكل -مغاغة-المنيا")</f>
        <v>صيدلية د/مايكل -مغاغة-المنيا</v>
      </c>
      <c r="H465" s="5" t="str">
        <f ca="1">IFERROR(__xludf.DUMMYFUNCTION("""COMPUTED_VALUE"""),"8ش العدل - تقسيم السلام - العبور - مغاغة - المنيا")</f>
        <v>8ش العدل - تقسيم السلام - العبور - مغاغة - المنيا</v>
      </c>
      <c r="I465" s="6" t="str">
        <f ca="1">IFERROR(__xludf.DUMMYFUNCTION("""COMPUTED_VALUE"""),"01203828818")</f>
        <v>01203828818</v>
      </c>
      <c r="J465" s="6"/>
      <c r="K465" s="6" t="str">
        <f ca="1">IFERROR(__xludf.DUMMYFUNCTION("""COMPUTED_VALUE"""),"خصم 14% علي المحلي و 7% علي المستورد")</f>
        <v>خصم 14% علي المحلي و 7% علي المستورد</v>
      </c>
    </row>
    <row r="466" spans="1:11" x14ac:dyDescent="0.25">
      <c r="A466" s="4" t="str">
        <f ca="1">IFERROR(__xludf.DUMMYFUNCTION("""COMPUTED_VALUE"""),"3068")</f>
        <v>3068</v>
      </c>
      <c r="B466" s="5" t="str">
        <f ca="1">IFERROR(__xludf.DUMMYFUNCTION("""COMPUTED_VALUE"""),"أسوان")</f>
        <v>أسوان</v>
      </c>
      <c r="C466" s="5" t="str">
        <f ca="1">IFERROR(__xludf.DUMMYFUNCTION("""COMPUTED_VALUE"""),"ادفو")</f>
        <v>ادفو</v>
      </c>
      <c r="D466" s="5" t="str">
        <f ca="1">IFERROR(__xludf.DUMMYFUNCTION("""COMPUTED_VALUE"""),"صيدلية")</f>
        <v>صيدلية</v>
      </c>
      <c r="E466" s="5" t="str">
        <f ca="1">IFERROR(__xludf.DUMMYFUNCTION("""COMPUTED_VALUE"""),"صيدلية")</f>
        <v>صيدلية</v>
      </c>
      <c r="F466" s="5" t="str">
        <f ca="1">IFERROR(__xludf.DUMMYFUNCTION("""COMPUTED_VALUE"""),"صيدلية (أدوية ومستلزمات طبية)")</f>
        <v>صيدلية (أدوية ومستلزمات طبية)</v>
      </c>
      <c r="G466" s="5" t="str">
        <f ca="1">IFERROR(__xludf.DUMMYFUNCTION("""COMPUTED_VALUE"""),"صيدلية سوسن محمد الدسوقي")</f>
        <v>صيدلية سوسن محمد الدسوقي</v>
      </c>
      <c r="H466" s="5" t="str">
        <f ca="1">IFERROR(__xludf.DUMMYFUNCTION("""COMPUTED_VALUE"""),"ادفو شرق - العطواني - طريق أسوان القاهرة السريع بجوار كصنع الفبروسيليكون-ادفو-أسوان")</f>
        <v>ادفو شرق - العطواني - طريق أسوان القاهرة السريع بجوار كصنع الفبروسيليكون-ادفو-أسوان</v>
      </c>
      <c r="I466" s="6" t="str">
        <f ca="1">IFERROR(__xludf.DUMMYFUNCTION("""COMPUTED_VALUE"""),"20979120663")</f>
        <v>20979120663</v>
      </c>
      <c r="J466" s="6"/>
      <c r="K466" s="6" t="str">
        <f ca="1">IFERROR(__xludf.DUMMYFUNCTION("""COMPUTED_VALUE"""),"خصم 10% علي المحلي و 5% علي المستورد")</f>
        <v>خصم 10% علي المحلي و 5% علي المستورد</v>
      </c>
    </row>
    <row r="467" spans="1:11" x14ac:dyDescent="0.25">
      <c r="A467" s="4" t="str">
        <f ca="1">IFERROR(__xludf.DUMMYFUNCTION("""COMPUTED_VALUE"""),"3422")</f>
        <v>3422</v>
      </c>
      <c r="B467" s="5" t="str">
        <f ca="1">IFERROR(__xludf.DUMMYFUNCTION("""COMPUTED_VALUE"""),"أسوان")</f>
        <v>أسوان</v>
      </c>
      <c r="C467" s="5" t="str">
        <f ca="1">IFERROR(__xludf.DUMMYFUNCTION("""COMPUTED_VALUE"""),"أسوان")</f>
        <v>أسوان</v>
      </c>
      <c r="D467" s="5" t="str">
        <f ca="1">IFERROR(__xludf.DUMMYFUNCTION("""COMPUTED_VALUE"""),"صيدلية")</f>
        <v>صيدلية</v>
      </c>
      <c r="E467" s="5" t="str">
        <f ca="1">IFERROR(__xludf.DUMMYFUNCTION("""COMPUTED_VALUE"""),"صيدلية")</f>
        <v>صيدلية</v>
      </c>
      <c r="F467" s="5" t="str">
        <f ca="1">IFERROR(__xludf.DUMMYFUNCTION("""COMPUTED_VALUE"""),"صيدلية (أدوية ومستلزمات طبية)")</f>
        <v>صيدلية (أدوية ومستلزمات طبية)</v>
      </c>
      <c r="G467" s="5" t="str">
        <f ca="1">IFERROR(__xludf.DUMMYFUNCTION("""COMPUTED_VALUE"""),"صيدلية الدكتور محمد عبدالفتاح أحمد _التحرير")</f>
        <v>صيدلية الدكتور محمد عبدالفتاح أحمد _التحرير</v>
      </c>
      <c r="H467" s="5" t="str">
        <f ca="1">IFERROR(__xludf.DUMMYFUNCTION("""COMPUTED_VALUE"""),"شارع ابطال التحرير (عمارة علي جمعة) - خلف سيجال-أسوان")</f>
        <v>شارع ابطال التحرير (عمارة علي جمعة) - خلف سيجال-أسوان</v>
      </c>
      <c r="I467" s="6" t="str">
        <f ca="1">IFERROR(__xludf.DUMMYFUNCTION("""COMPUTED_VALUE"""),"20972313019")</f>
        <v>20972313019</v>
      </c>
      <c r="J467" s="6"/>
      <c r="K467" s="6" t="str">
        <f ca="1">IFERROR(__xludf.DUMMYFUNCTION("""COMPUTED_VALUE"""),"خصم 15% علي كل الادويه")</f>
        <v>خصم 15% علي كل الادويه</v>
      </c>
    </row>
    <row r="468" spans="1:11" x14ac:dyDescent="0.25">
      <c r="A468" s="4" t="str">
        <f ca="1">IFERROR(__xludf.DUMMYFUNCTION("""COMPUTED_VALUE"""),"4666")</f>
        <v>4666</v>
      </c>
      <c r="B468" s="5" t="str">
        <f ca="1">IFERROR(__xludf.DUMMYFUNCTION("""COMPUTED_VALUE"""),"أسوان")</f>
        <v>أسوان</v>
      </c>
      <c r="C468" s="5" t="str">
        <f ca="1">IFERROR(__xludf.DUMMYFUNCTION("""COMPUTED_VALUE"""),"أسوان")</f>
        <v>أسوان</v>
      </c>
      <c r="D468" s="5" t="str">
        <f ca="1">IFERROR(__xludf.DUMMYFUNCTION("""COMPUTED_VALUE"""),"صيدلية")</f>
        <v>صيدلية</v>
      </c>
      <c r="E468" s="5" t="str">
        <f ca="1">IFERROR(__xludf.DUMMYFUNCTION("""COMPUTED_VALUE"""),"صيدلية")</f>
        <v>صيدلية</v>
      </c>
      <c r="F468" s="5" t="str">
        <f ca="1">IFERROR(__xludf.DUMMYFUNCTION("""COMPUTED_VALUE"""),"صيدلية (أدوية ومستلزمات طبية)")</f>
        <v>صيدلية (أدوية ومستلزمات طبية)</v>
      </c>
      <c r="G468" s="5" t="str">
        <f ca="1">IFERROR(__xludf.DUMMYFUNCTION("""COMPUTED_VALUE"""),"صيدلية د/ مجدى فكتور حليم")</f>
        <v>صيدلية د/ مجدى فكتور حليم</v>
      </c>
      <c r="H468" s="5" t="str">
        <f ca="1">IFERROR(__xludf.DUMMYFUNCTION("""COMPUTED_VALUE"""),"31شارع هميمى الجبلاوى (السودانية)-أسوان")</f>
        <v>31شارع هميمى الجبلاوى (السودانية)-أسوان</v>
      </c>
      <c r="I468" s="6" t="str">
        <f ca="1">IFERROR(__xludf.DUMMYFUNCTION("""COMPUTED_VALUE"""),"01286660574")</f>
        <v>01286660574</v>
      </c>
      <c r="J468" s="6"/>
      <c r="K468" s="6" t="str">
        <f ca="1">IFERROR(__xludf.DUMMYFUNCTION("""COMPUTED_VALUE"""),"خصم 10% علي المحلي و 5% علي المستورد")</f>
        <v>خصم 10% علي المحلي و 5% علي المستورد</v>
      </c>
    </row>
    <row r="469" spans="1:11" x14ac:dyDescent="0.25">
      <c r="A469" s="4" t="str">
        <f ca="1">IFERROR(__xludf.DUMMYFUNCTION("""COMPUTED_VALUE"""),"3475")</f>
        <v>3475</v>
      </c>
      <c r="B469" s="5" t="str">
        <f ca="1">IFERROR(__xludf.DUMMYFUNCTION("""COMPUTED_VALUE"""),"أسوان")</f>
        <v>أسوان</v>
      </c>
      <c r="C469" s="5" t="str">
        <f ca="1">IFERROR(__xludf.DUMMYFUNCTION("""COMPUTED_VALUE"""),"أسوان")</f>
        <v>أسوان</v>
      </c>
      <c r="D469" s="5" t="str">
        <f ca="1">IFERROR(__xludf.DUMMYFUNCTION("""COMPUTED_VALUE"""),"صيدلية")</f>
        <v>صيدلية</v>
      </c>
      <c r="E469" s="5" t="str">
        <f ca="1">IFERROR(__xludf.DUMMYFUNCTION("""COMPUTED_VALUE"""),"صيدلية")</f>
        <v>صيدلية</v>
      </c>
      <c r="F469" s="5" t="str">
        <f ca="1">IFERROR(__xludf.DUMMYFUNCTION("""COMPUTED_VALUE"""),"صيدلية (أدوية ومستلزمات طبية)")</f>
        <v>صيدلية (أدوية ومستلزمات طبية)</v>
      </c>
      <c r="G469" s="5" t="str">
        <f ca="1">IFERROR(__xludf.DUMMYFUNCTION("""COMPUTED_VALUE"""),"صيدلية كوين (د/ جرجس اسعد)")</f>
        <v>صيدلية كوين (د/ جرجس اسعد)</v>
      </c>
      <c r="H469" s="5" t="str">
        <f ca="1">IFERROR(__xludf.DUMMYFUNCTION("""COMPUTED_VALUE"""),"أول شارع  المدينة الصناعية القديمة امام برج االسيوطى -أسوان")</f>
        <v>أول شارع  المدينة الصناعية القديمة امام برج االسيوطى -أسوان</v>
      </c>
      <c r="I469" s="6" t="str">
        <f ca="1">IFERROR(__xludf.DUMMYFUNCTION("""COMPUTED_VALUE"""),"0972472188")</f>
        <v>0972472188</v>
      </c>
      <c r="J469" s="6" t="str">
        <f ca="1">IFERROR(__xludf.DUMMYFUNCTION("""COMPUTED_VALUE"""),"0972472188")</f>
        <v>0972472188</v>
      </c>
      <c r="K469" s="6" t="str">
        <f ca="1">IFERROR(__xludf.DUMMYFUNCTION("""COMPUTED_VALUE"""),"خصم 10% علي كل الادويه")</f>
        <v>خصم 10% علي كل الادويه</v>
      </c>
    </row>
    <row r="470" spans="1:11" x14ac:dyDescent="0.25">
      <c r="A470" s="4" t="str">
        <f ca="1">IFERROR(__xludf.DUMMYFUNCTION("""COMPUTED_VALUE"""),"104341-B")</f>
        <v>104341-B</v>
      </c>
      <c r="B470" s="5" t="str">
        <f ca="1">IFERROR(__xludf.DUMMYFUNCTION("""COMPUTED_VALUE"""),"أسيوط")</f>
        <v>أسيوط</v>
      </c>
      <c r="C470" s="5" t="str">
        <f ca="1">IFERROR(__xludf.DUMMYFUNCTION("""COMPUTED_VALUE"""),"ابنوب")</f>
        <v>ابنوب</v>
      </c>
      <c r="D470" s="5" t="str">
        <f ca="1">IFERROR(__xludf.DUMMYFUNCTION("""COMPUTED_VALUE"""),"صيدلية")</f>
        <v>صيدلية</v>
      </c>
      <c r="E470" s="5" t="str">
        <f ca="1">IFERROR(__xludf.DUMMYFUNCTION("""COMPUTED_VALUE"""),"صيدلية")</f>
        <v>صيدلية</v>
      </c>
      <c r="F470" s="5" t="str">
        <f ca="1">IFERROR(__xludf.DUMMYFUNCTION("""COMPUTED_VALUE"""),"صيدلية (أدوية ومستلزمات طبية)")</f>
        <v>صيدلية (أدوية ومستلزمات طبية)</v>
      </c>
      <c r="G470" s="5" t="str">
        <f ca="1">IFERROR(__xludf.DUMMYFUNCTION("""COMPUTED_VALUE"""),"صيدلية د. مجدي")</f>
        <v>صيدلية د. مجدي</v>
      </c>
      <c r="H470" s="5" t="str">
        <f ca="1">IFERROR(__xludf.DUMMYFUNCTION("""COMPUTED_VALUE"""),"عزبة أبو اسحاق - الحمام - أبنوب - أسيوط")</f>
        <v>عزبة أبو اسحاق - الحمام - أبنوب - أسيوط</v>
      </c>
      <c r="I470" s="6" t="str">
        <f ca="1">IFERROR(__xludf.DUMMYFUNCTION("""COMPUTED_VALUE"""),"201228747391")</f>
        <v>201228747391</v>
      </c>
      <c r="J470" s="6"/>
      <c r="K470" s="6" t="str">
        <f ca="1">IFERROR(__xludf.DUMMYFUNCTION("""COMPUTED_VALUE"""),"خصم 10% علي المحلي و 6 % علي المستورد")</f>
        <v>خصم 10% علي المحلي و 6 % علي المستورد</v>
      </c>
    </row>
    <row r="471" spans="1:11" x14ac:dyDescent="0.25">
      <c r="A471" s="4" t="str">
        <f ca="1">IFERROR(__xludf.DUMMYFUNCTION("""COMPUTED_VALUE"""),"3101")</f>
        <v>3101</v>
      </c>
      <c r="B471" s="5" t="str">
        <f ca="1">IFERROR(__xludf.DUMMYFUNCTION("""COMPUTED_VALUE"""),"أسيوط")</f>
        <v>أسيوط</v>
      </c>
      <c r="C471" s="5" t="str">
        <f ca="1">IFERROR(__xludf.DUMMYFUNCTION("""COMPUTED_VALUE"""),"ابو تيج")</f>
        <v>ابو تيج</v>
      </c>
      <c r="D471" s="5" t="str">
        <f ca="1">IFERROR(__xludf.DUMMYFUNCTION("""COMPUTED_VALUE"""),"صيدلية")</f>
        <v>صيدلية</v>
      </c>
      <c r="E471" s="5" t="str">
        <f ca="1">IFERROR(__xludf.DUMMYFUNCTION("""COMPUTED_VALUE"""),"صيدلية")</f>
        <v>صيدلية</v>
      </c>
      <c r="F471" s="5" t="str">
        <f ca="1">IFERROR(__xludf.DUMMYFUNCTION("""COMPUTED_VALUE"""),"صيدلية (أدوية ومستلزمات طبية)")</f>
        <v>صيدلية (أدوية ومستلزمات طبية)</v>
      </c>
      <c r="G471" s="5" t="str">
        <f ca="1">IFERROR(__xludf.DUMMYFUNCTION("""COMPUTED_VALUE"""),"صيدلية محمد حلمى سيد ضاهر")</f>
        <v>صيدلية محمد حلمى سيد ضاهر</v>
      </c>
      <c r="H471" s="5" t="str">
        <f ca="1">IFERROR(__xludf.DUMMYFUNCTION("""COMPUTED_VALUE"""),"شارع الشيخ عبد السلام-ابوتيج -أسيوط")</f>
        <v>شارع الشيخ عبد السلام-ابوتيج -أسيوط</v>
      </c>
      <c r="I471" s="6" t="str">
        <f ca="1">IFERROR(__xludf.DUMMYFUNCTION("""COMPUTED_VALUE"""),"20882490899")</f>
        <v>20882490899</v>
      </c>
      <c r="J471" s="6"/>
      <c r="K471" s="6" t="str">
        <f ca="1">IFERROR(__xludf.DUMMYFUNCTION("""COMPUTED_VALUE"""),"خصم 8% علي كل الادويه")</f>
        <v>خصم 8% علي كل الادويه</v>
      </c>
    </row>
    <row r="472" spans="1:11" x14ac:dyDescent="0.25">
      <c r="A472" s="4" t="str">
        <f ca="1">IFERROR(__xludf.DUMMYFUNCTION("""COMPUTED_VALUE"""),"104341")</f>
        <v>104341</v>
      </c>
      <c r="B472" s="5" t="str">
        <f ca="1">IFERROR(__xludf.DUMMYFUNCTION("""COMPUTED_VALUE"""),"أسيوط")</f>
        <v>أسيوط</v>
      </c>
      <c r="C472" s="5" t="str">
        <f ca="1">IFERROR(__xludf.DUMMYFUNCTION("""COMPUTED_VALUE"""),"الفتح")</f>
        <v>الفتح</v>
      </c>
      <c r="D472" s="5" t="str">
        <f ca="1">IFERROR(__xludf.DUMMYFUNCTION("""COMPUTED_VALUE"""),"صيدلية")</f>
        <v>صيدلية</v>
      </c>
      <c r="E472" s="5" t="str">
        <f ca="1">IFERROR(__xludf.DUMMYFUNCTION("""COMPUTED_VALUE"""),"صيدلية")</f>
        <v>صيدلية</v>
      </c>
      <c r="F472" s="5" t="str">
        <f ca="1">IFERROR(__xludf.DUMMYFUNCTION("""COMPUTED_VALUE"""),"صيدلية (أدوية ومستلزمات طبية)")</f>
        <v>صيدلية (أدوية ومستلزمات طبية)</v>
      </c>
      <c r="G472" s="5" t="str">
        <f ca="1">IFERROR(__xludf.DUMMYFUNCTION("""COMPUTED_VALUE"""),"صيدلية د. مجدي (صيدلية د. مجدي)")</f>
        <v>صيدلية د. مجدي (صيدلية د. مجدي)</v>
      </c>
      <c r="H472" s="5" t="str">
        <f ca="1">IFERROR(__xludf.DUMMYFUNCTION("""COMPUTED_VALUE"""),"المدخل المواجه للقرية ")</f>
        <v xml:space="preserve">المدخل المواجه للقرية </v>
      </c>
      <c r="I472" s="6" t="str">
        <f ca="1">IFERROR(__xludf.DUMMYFUNCTION("""COMPUTED_VALUE"""),"01111364696")</f>
        <v>01111364696</v>
      </c>
      <c r="J472" s="6"/>
      <c r="K472" s="6" t="str">
        <f ca="1">IFERROR(__xludf.DUMMYFUNCTION("""COMPUTED_VALUE"""),"خصم 10% علي المحلي و 6 % علي المستورد")</f>
        <v>خصم 10% علي المحلي و 6 % علي المستورد</v>
      </c>
    </row>
    <row r="473" spans="1:11" x14ac:dyDescent="0.25">
      <c r="A473" s="4" t="str">
        <f ca="1">IFERROR(__xludf.DUMMYFUNCTION("""COMPUTED_VALUE"""),"2069")</f>
        <v>2069</v>
      </c>
      <c r="B473" s="5" t="str">
        <f ca="1">IFERROR(__xludf.DUMMYFUNCTION("""COMPUTED_VALUE"""),"أسيوط")</f>
        <v>أسيوط</v>
      </c>
      <c r="C473" s="5" t="str">
        <f ca="1">IFERROR(__xludf.DUMMYFUNCTION("""COMPUTED_VALUE"""),"أسيوط")</f>
        <v>أسيوط</v>
      </c>
      <c r="D473" s="5" t="str">
        <f ca="1">IFERROR(__xludf.DUMMYFUNCTION("""COMPUTED_VALUE"""),"صيدلية")</f>
        <v>صيدلية</v>
      </c>
      <c r="E473" s="5" t="str">
        <f ca="1">IFERROR(__xludf.DUMMYFUNCTION("""COMPUTED_VALUE"""),"صيدلية")</f>
        <v>صيدلية</v>
      </c>
      <c r="F473" s="5" t="str">
        <f ca="1">IFERROR(__xludf.DUMMYFUNCTION("""COMPUTED_VALUE"""),"صيدلية (أدوية ومستلزمات طبية)")</f>
        <v>صيدلية (أدوية ومستلزمات طبية)</v>
      </c>
      <c r="G473" s="5" t="str">
        <f ca="1">IFERROR(__xludf.DUMMYFUNCTION("""COMPUTED_VALUE"""),"صيدلية د/ عصام -اسيوط")</f>
        <v>صيدلية د/ عصام -اسيوط</v>
      </c>
      <c r="H473" s="5" t="str">
        <f ca="1">IFERROR(__xludf.DUMMYFUNCTION("""COMPUTED_VALUE"""),"30شارع الجمهورية - أسيوط")</f>
        <v>30شارع الجمهورية - أسيوط</v>
      </c>
      <c r="I473" s="6" t="str">
        <f ca="1">IFERROR(__xludf.DUMMYFUNCTION("""COMPUTED_VALUE"""),"0882068333")</f>
        <v>0882068333</v>
      </c>
      <c r="J473" s="6"/>
      <c r="K473" s="6" t="str">
        <f ca="1">IFERROR(__xludf.DUMMYFUNCTION("""COMPUTED_VALUE"""),"خصم 10% علي المحلي و 8% علي المستورد")</f>
        <v>خصم 10% علي المحلي و 8% علي المستورد</v>
      </c>
    </row>
    <row r="474" spans="1:11" x14ac:dyDescent="0.25">
      <c r="A474" s="4" t="str">
        <f ca="1">IFERROR(__xludf.DUMMYFUNCTION("""COMPUTED_VALUE"""),"103899")</f>
        <v>103899</v>
      </c>
      <c r="B474" s="5" t="str">
        <f ca="1">IFERROR(__xludf.DUMMYFUNCTION("""COMPUTED_VALUE"""),"أسيوط")</f>
        <v>أسيوط</v>
      </c>
      <c r="C474" s="5" t="str">
        <f ca="1">IFERROR(__xludf.DUMMYFUNCTION("""COMPUTED_VALUE"""),"أسيوط")</f>
        <v>أسيوط</v>
      </c>
      <c r="D474" s="5" t="str">
        <f ca="1">IFERROR(__xludf.DUMMYFUNCTION("""COMPUTED_VALUE"""),"صيدلية")</f>
        <v>صيدلية</v>
      </c>
      <c r="E474" s="5" t="str">
        <f ca="1">IFERROR(__xludf.DUMMYFUNCTION("""COMPUTED_VALUE"""),"صيدلية")</f>
        <v>صيدلية</v>
      </c>
      <c r="F474" s="5" t="str">
        <f ca="1">IFERROR(__xludf.DUMMYFUNCTION("""COMPUTED_VALUE"""),"صيدلية (أدوية ومستلزمات طبية)")</f>
        <v>صيدلية (أدوية ومستلزمات طبية)</v>
      </c>
      <c r="G474" s="5" t="str">
        <f ca="1">IFERROR(__xludf.DUMMYFUNCTION("""COMPUTED_VALUE"""),"صيدلية د/ وسيم")</f>
        <v>صيدلية د/ وسيم</v>
      </c>
      <c r="H474" s="5" t="str">
        <f ca="1">IFERROR(__xludf.DUMMYFUNCTION("""COMPUTED_VALUE"""),"22 شارع احمد على علوبه خلف ابراج الوطنية امام ارض الملاعب")</f>
        <v>22 شارع احمد على علوبه خلف ابراج الوطنية امام ارض الملاعب</v>
      </c>
      <c r="I474" s="6" t="str">
        <f ca="1">IFERROR(__xludf.DUMMYFUNCTION("""COMPUTED_VALUE"""),"20882299506")</f>
        <v>20882299506</v>
      </c>
      <c r="J474" s="6"/>
      <c r="K474" s="6" t="str">
        <f ca="1">IFERROR(__xludf.DUMMYFUNCTION("""COMPUTED_VALUE"""),"خصم 12% علي المحلي و 5 % علي المستورد")</f>
        <v>خصم 12% علي المحلي و 5 % علي المستورد</v>
      </c>
    </row>
    <row r="475" spans="1:11" x14ac:dyDescent="0.25">
      <c r="A475" s="4" t="str">
        <f ca="1">IFERROR(__xludf.DUMMYFUNCTION("""COMPUTED_VALUE"""),"3371")</f>
        <v>3371</v>
      </c>
      <c r="B475" s="5" t="str">
        <f ca="1">IFERROR(__xludf.DUMMYFUNCTION("""COMPUTED_VALUE"""),"أسيوط")</f>
        <v>أسيوط</v>
      </c>
      <c r="C475" s="5" t="str">
        <f ca="1">IFERROR(__xludf.DUMMYFUNCTION("""COMPUTED_VALUE"""),"منفلوط")</f>
        <v>منفلوط</v>
      </c>
      <c r="D475" s="5" t="str">
        <f ca="1">IFERROR(__xludf.DUMMYFUNCTION("""COMPUTED_VALUE"""),"صيدلية")</f>
        <v>صيدلية</v>
      </c>
      <c r="E475" s="5" t="str">
        <f ca="1">IFERROR(__xludf.DUMMYFUNCTION("""COMPUTED_VALUE"""),"صيدلية")</f>
        <v>صيدلية</v>
      </c>
      <c r="F475" s="5" t="str">
        <f ca="1">IFERROR(__xludf.DUMMYFUNCTION("""COMPUTED_VALUE"""),"صيدلية (أدوية ومستلزمات طبية)")</f>
        <v>صيدلية (أدوية ومستلزمات طبية)</v>
      </c>
      <c r="G475" s="5" t="str">
        <f ca="1">IFERROR(__xludf.DUMMYFUNCTION("""COMPUTED_VALUE"""),"صيدلية السلام -اسيوط")</f>
        <v>صيدلية السلام -اسيوط</v>
      </c>
      <c r="H475" s="5" t="str">
        <f ca="1">IFERROR(__xludf.DUMMYFUNCTION("""COMPUTED_VALUE"""),"شارع الجيش-منفلوط-أسيوط")</f>
        <v>شارع الجيش-منفلوط-أسيوط</v>
      </c>
      <c r="I475" s="6" t="str">
        <f ca="1">IFERROR(__xludf.DUMMYFUNCTION("""COMPUTED_VALUE"""),"01113515750")</f>
        <v>01113515750</v>
      </c>
      <c r="J475" s="6"/>
      <c r="K475" s="6" t="str">
        <f ca="1">IFERROR(__xludf.DUMMYFUNCTION("""COMPUTED_VALUE"""),"خصم 13.5% علي كل الادويه")</f>
        <v>خصم 13.5% علي كل الادويه</v>
      </c>
    </row>
    <row r="476" spans="1:11" x14ac:dyDescent="0.25">
      <c r="A476" s="4" t="str">
        <f ca="1">IFERROR(__xludf.DUMMYFUNCTION("""COMPUTED_VALUE"""),"1683-B")</f>
        <v>1683-B</v>
      </c>
      <c r="B476" s="5" t="str">
        <f ca="1">IFERROR(__xludf.DUMMYFUNCTION("""COMPUTED_VALUE"""),"بورسعيد")</f>
        <v>بورسعيد</v>
      </c>
      <c r="C476" s="5" t="str">
        <f ca="1">IFERROR(__xludf.DUMMYFUNCTION("""COMPUTED_VALUE"""),"بورسعيد")</f>
        <v>بورسعيد</v>
      </c>
      <c r="D476" s="5" t="str">
        <f ca="1">IFERROR(__xludf.DUMMYFUNCTION("""COMPUTED_VALUE"""),"صيدلية")</f>
        <v>صيدلية</v>
      </c>
      <c r="E476" s="5" t="str">
        <f ca="1">IFERROR(__xludf.DUMMYFUNCTION("""COMPUTED_VALUE"""),"صيدلية")</f>
        <v>صيدلية</v>
      </c>
      <c r="F476" s="5" t="str">
        <f ca="1">IFERROR(__xludf.DUMMYFUNCTION("""COMPUTED_VALUE"""),"صيدلية (أدوية ومستلزمات طبية)")</f>
        <v>صيدلية (أدوية ومستلزمات طبية)</v>
      </c>
      <c r="G47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76" s="5" t="str">
        <f ca="1">IFERROR(__xludf.DUMMYFUNCTION("""COMPUTED_VALUE"""),"53 شارع احمد عرابي برج الفورسيزونز - بورسعيد")</f>
        <v>53 شارع احمد عرابي برج الفورسيزونز - بورسعيد</v>
      </c>
      <c r="I476" s="6" t="str">
        <f ca="1">IFERROR(__xludf.DUMMYFUNCTION("""COMPUTED_VALUE"""),"1142800244
")</f>
        <v xml:space="preserve">1142800244
</v>
      </c>
      <c r="J476" s="6" t="str">
        <f ca="1">IFERROR(__xludf.DUMMYFUNCTION("""COMPUTED_VALUE"""),"19600")</f>
        <v>19600</v>
      </c>
      <c r="K476" s="6" t="str">
        <f ca="1">IFERROR(__xludf.DUMMYFUNCTION("""COMPUTED_VALUE"""),"7.5 % على المحلى ,5% على المستلزمات الطبية و التجميل")</f>
        <v>7.5 % على المحلى ,5% على المستلزمات الطبية و التجميل</v>
      </c>
    </row>
    <row r="477" spans="1:11" x14ac:dyDescent="0.25">
      <c r="A477" s="4" t="str">
        <f ca="1">IFERROR(__xludf.DUMMYFUNCTION("""COMPUTED_VALUE"""),"3877")</f>
        <v>3877</v>
      </c>
      <c r="B477" s="5" t="str">
        <f ca="1">IFERROR(__xludf.DUMMYFUNCTION("""COMPUTED_VALUE"""),"بورسعيد")</f>
        <v>بورسعيد</v>
      </c>
      <c r="C477" s="5" t="str">
        <f ca="1">IFERROR(__xludf.DUMMYFUNCTION("""COMPUTED_VALUE"""),"بورفؤاد")</f>
        <v>بورفؤاد</v>
      </c>
      <c r="D477" s="5" t="str">
        <f ca="1">IFERROR(__xludf.DUMMYFUNCTION("""COMPUTED_VALUE"""),"صيدلية")</f>
        <v>صيدلية</v>
      </c>
      <c r="E477" s="5" t="str">
        <f ca="1">IFERROR(__xludf.DUMMYFUNCTION("""COMPUTED_VALUE"""),"صيدلية")</f>
        <v>صيدلية</v>
      </c>
      <c r="F477" s="5" t="str">
        <f ca="1">IFERROR(__xludf.DUMMYFUNCTION("""COMPUTED_VALUE"""),"صيدلية (أدوية ومستلزمات طبية)")</f>
        <v>صيدلية (أدوية ومستلزمات طبية)</v>
      </c>
      <c r="G477" s="5" t="str">
        <f ca="1">IFERROR(__xludf.DUMMYFUNCTION("""COMPUTED_VALUE"""),"صيدلية الأمير -بورسعيد")</f>
        <v>صيدلية الأمير -بورسعيد</v>
      </c>
      <c r="H477" s="5" t="str">
        <f ca="1">IFERROR(__xludf.DUMMYFUNCTION("""COMPUTED_VALUE"""),"شارع الجيش و15سبتمبر-بورفؤاد-بورسعيد")</f>
        <v>شارع الجيش و15سبتمبر-بورفؤاد-بورسعيد</v>
      </c>
      <c r="I477" s="6" t="str">
        <f ca="1">IFERROR(__xludf.DUMMYFUNCTION("""COMPUTED_VALUE"""),"0663455111")</f>
        <v>0663455111</v>
      </c>
      <c r="J477" s="6"/>
      <c r="K477" s="6" t="str">
        <f ca="1">IFERROR(__xludf.DUMMYFUNCTION("""COMPUTED_VALUE"""),"خصم 12% علي المحلي و 5% علي المستورد")</f>
        <v>خصم 12% علي المحلي و 5% علي المستورد</v>
      </c>
    </row>
    <row r="478" spans="1:11" x14ac:dyDescent="0.25">
      <c r="A478" s="4" t="str">
        <f ca="1">IFERROR(__xludf.DUMMYFUNCTION("""COMPUTED_VALUE"""),"1894")</f>
        <v>1894</v>
      </c>
      <c r="B478" s="5" t="str">
        <f ca="1">IFERROR(__xludf.DUMMYFUNCTION("""COMPUTED_VALUE"""),"دمياط")</f>
        <v>دمياط</v>
      </c>
      <c r="C478" s="5" t="str">
        <f ca="1">IFERROR(__xludf.DUMMYFUNCTION("""COMPUTED_VALUE"""),"الزرقا")</f>
        <v>الزرقا</v>
      </c>
      <c r="D478" s="5" t="str">
        <f ca="1">IFERROR(__xludf.DUMMYFUNCTION("""COMPUTED_VALUE"""),"صيدلية")</f>
        <v>صيدلية</v>
      </c>
      <c r="E478" s="5" t="str">
        <f ca="1">IFERROR(__xludf.DUMMYFUNCTION("""COMPUTED_VALUE"""),"صيدلية")</f>
        <v>صيدلية</v>
      </c>
      <c r="F478" s="5" t="str">
        <f ca="1">IFERROR(__xludf.DUMMYFUNCTION("""COMPUTED_VALUE"""),"صيدلية (أدوية ومستلزمات طبية)")</f>
        <v>صيدلية (أدوية ومستلزمات طبية)</v>
      </c>
      <c r="G478" s="5" t="str">
        <f ca="1">IFERROR(__xludf.DUMMYFUNCTION("""COMPUTED_VALUE"""),"صيدلية د/ أميرة رزق")</f>
        <v>صيدلية د/ أميرة رزق</v>
      </c>
      <c r="H478" s="5" t="str">
        <f ca="1">IFERROR(__xludf.DUMMYFUNCTION("""COMPUTED_VALUE"""),"شارع البحر بجوار البنك الاهلي المصري-الزرقا-دمياط")</f>
        <v>شارع البحر بجوار البنك الاهلي المصري-الزرقا-دمياط</v>
      </c>
      <c r="I478" s="6" t="str">
        <f ca="1">IFERROR(__xludf.DUMMYFUNCTION("""COMPUTED_VALUE"""),"01004250651")</f>
        <v>01004250651</v>
      </c>
      <c r="J478" s="6"/>
      <c r="K478" s="6" t="str">
        <f ca="1">IFERROR(__xludf.DUMMYFUNCTION("""COMPUTED_VALUE"""),"12% على المحلى ,7% على المستورد")</f>
        <v>12% على المحلى ,7% على المستورد</v>
      </c>
    </row>
    <row r="479" spans="1:11" x14ac:dyDescent="0.25">
      <c r="A479" s="4" t="str">
        <f ca="1">IFERROR(__xludf.DUMMYFUNCTION("""COMPUTED_VALUE"""),"2822-B")</f>
        <v>2822-B</v>
      </c>
      <c r="B479" s="5" t="str">
        <f ca="1">IFERROR(__xludf.DUMMYFUNCTION("""COMPUTED_VALUE"""),"دمياط")</f>
        <v>دمياط</v>
      </c>
      <c r="C479" s="5" t="str">
        <f ca="1">IFERROR(__xludf.DUMMYFUNCTION("""COMPUTED_VALUE"""),"دمياط")</f>
        <v>دمياط</v>
      </c>
      <c r="D479" s="5" t="str">
        <f ca="1">IFERROR(__xludf.DUMMYFUNCTION("""COMPUTED_VALUE"""),"صيدلية")</f>
        <v>صيدلية</v>
      </c>
      <c r="E479" s="5" t="str">
        <f ca="1">IFERROR(__xludf.DUMMYFUNCTION("""COMPUTED_VALUE"""),"صيدلية")</f>
        <v>صيدلية</v>
      </c>
      <c r="F479" s="5" t="str">
        <f ca="1">IFERROR(__xludf.DUMMYFUNCTION("""COMPUTED_VALUE"""),"صيدلية (أدوية ومستلزمات طبية)")</f>
        <v>صيدلية (أدوية ومستلزمات طبية)</v>
      </c>
      <c r="G479" s="5" t="str">
        <f ca="1">IFERROR(__xludf.DUMMYFUNCTION("""COMPUTED_VALUE"""),"صيدليات سيف")</f>
        <v>صيدليات سيف</v>
      </c>
      <c r="H479" s="5" t="str">
        <f ca="1">IFERROR(__xludf.DUMMYFUNCTION("""COMPUTED_VALUE"""),"مول الصياد بلازا - كورنيش النيل -دمياط")</f>
        <v>مول الصياد بلازا - كورنيش النيل -دمياط</v>
      </c>
      <c r="I479" s="6" t="str">
        <f ca="1">IFERROR(__xludf.DUMMYFUNCTION("""COMPUTED_VALUE"""),"20572322488")</f>
        <v>20572322488</v>
      </c>
      <c r="J479" s="6" t="str">
        <f ca="1">IFERROR(__xludf.DUMMYFUNCTION("""COMPUTED_VALUE"""),"19199")</f>
        <v>19199</v>
      </c>
      <c r="K479"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80" spans="1:11" x14ac:dyDescent="0.25">
      <c r="A480" s="4" t="str">
        <f ca="1">IFERROR(__xludf.DUMMYFUNCTION("""COMPUTED_VALUE"""),"2822-B")</f>
        <v>2822-B</v>
      </c>
      <c r="B480" s="5" t="str">
        <f ca="1">IFERROR(__xludf.DUMMYFUNCTION("""COMPUTED_VALUE"""),"دمياط")</f>
        <v>دمياط</v>
      </c>
      <c r="C480" s="5" t="str">
        <f ca="1">IFERROR(__xludf.DUMMYFUNCTION("""COMPUTED_VALUE"""),"دمياط")</f>
        <v>دمياط</v>
      </c>
      <c r="D480" s="5" t="str">
        <f ca="1">IFERROR(__xludf.DUMMYFUNCTION("""COMPUTED_VALUE"""),"صيدلية")</f>
        <v>صيدلية</v>
      </c>
      <c r="E480" s="5" t="str">
        <f ca="1">IFERROR(__xludf.DUMMYFUNCTION("""COMPUTED_VALUE"""),"صيدلية")</f>
        <v>صيدلية</v>
      </c>
      <c r="F480" s="5" t="str">
        <f ca="1">IFERROR(__xludf.DUMMYFUNCTION("""COMPUTED_VALUE"""),"صيدلية (أدوية ومستلزمات طبية)")</f>
        <v>صيدلية (أدوية ومستلزمات طبية)</v>
      </c>
      <c r="G480" s="5" t="str">
        <f ca="1">IFERROR(__xludf.DUMMYFUNCTION("""COMPUTED_VALUE"""),"صيدليات سيف")</f>
        <v>صيدليات سيف</v>
      </c>
      <c r="H480" s="5" t="str">
        <f ca="1">IFERROR(__xludf.DUMMYFUNCTION("""COMPUTED_VALUE"""),"2ش التحرير - ميدان سرور-دمياط")</f>
        <v>2ش التحرير - ميدان سرور-دمياط</v>
      </c>
      <c r="I480" s="6" t="str">
        <f ca="1">IFERROR(__xludf.DUMMYFUNCTION("""COMPUTED_VALUE"""),"20572226640")</f>
        <v>20572226640</v>
      </c>
      <c r="J480" s="6" t="str">
        <f ca="1">IFERROR(__xludf.DUMMYFUNCTION("""COMPUTED_VALUE"""),"19199")</f>
        <v>19199</v>
      </c>
      <c r="K480"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481" spans="1:11" x14ac:dyDescent="0.25">
      <c r="A481" s="4" t="str">
        <f ca="1">IFERROR(__xludf.DUMMYFUNCTION("""COMPUTED_VALUE"""),"104349")</f>
        <v>104349</v>
      </c>
      <c r="B481" s="5" t="str">
        <f ca="1">IFERROR(__xludf.DUMMYFUNCTION("""COMPUTED_VALUE"""),"دمياط")</f>
        <v>دمياط</v>
      </c>
      <c r="C481" s="5" t="str">
        <f ca="1">IFERROR(__xludf.DUMMYFUNCTION("""COMPUTED_VALUE"""),"دمياط الجديدة")</f>
        <v>دمياط الجديدة</v>
      </c>
      <c r="D481" s="5" t="str">
        <f ca="1">IFERROR(__xludf.DUMMYFUNCTION("""COMPUTED_VALUE"""),"صيدلية")</f>
        <v>صيدلية</v>
      </c>
      <c r="E481" s="5" t="str">
        <f ca="1">IFERROR(__xludf.DUMMYFUNCTION("""COMPUTED_VALUE"""),"صيدلية")</f>
        <v>صيدلية</v>
      </c>
      <c r="F481" s="5" t="str">
        <f ca="1">IFERROR(__xludf.DUMMYFUNCTION("""COMPUTED_VALUE"""),"صيدلية (أدوية ومستلزمات طبية)")</f>
        <v>صيدلية (أدوية ومستلزمات طبية)</v>
      </c>
      <c r="G481" s="5" t="str">
        <f ca="1">IFERROR(__xludf.DUMMYFUNCTION("""COMPUTED_VALUE"""),"د.خالد السعيد  ( صيدلية حجازي )")</f>
        <v>د.خالد السعيد  ( صيدلية حجازي )</v>
      </c>
      <c r="H481" s="5" t="str">
        <f ca="1">IFERROR(__xludf.DUMMYFUNCTION("""COMPUTED_VALUE"""),"الحي الثاني - مجاورة 3(ش عمر بن عبد العزيز امام مدرسة عمر بن عبد العزيز")</f>
        <v>الحي الثاني - مجاورة 3(ش عمر بن عبد العزيز امام مدرسة عمر بن عبد العزيز</v>
      </c>
      <c r="I481" s="6" t="str">
        <f ca="1">IFERROR(__xludf.DUMMYFUNCTION("""COMPUTED_VALUE"""),"0572077244")</f>
        <v>0572077244</v>
      </c>
      <c r="J481" s="6"/>
      <c r="K481" s="6" t="str">
        <f ca="1">IFERROR(__xludf.DUMMYFUNCTION("""COMPUTED_VALUE"""),"خصم 10% علي المحلي و 5% علي المستورد")</f>
        <v>خصم 10% علي المحلي و 5% علي المستورد</v>
      </c>
    </row>
    <row r="482" spans="1:11" x14ac:dyDescent="0.25">
      <c r="A482" s="4" t="str">
        <f ca="1">IFERROR(__xludf.DUMMYFUNCTION("""COMPUTED_VALUE"""),"3201")</f>
        <v>3201</v>
      </c>
      <c r="B482" s="5" t="str">
        <f ca="1">IFERROR(__xludf.DUMMYFUNCTION("""COMPUTED_VALUE"""),"سوهاج")</f>
        <v>سوهاج</v>
      </c>
      <c r="C482" s="5" t="str">
        <f ca="1">IFERROR(__xludf.DUMMYFUNCTION("""COMPUTED_VALUE"""),"سوهاج")</f>
        <v>سوهاج</v>
      </c>
      <c r="D482" s="5" t="str">
        <f ca="1">IFERROR(__xludf.DUMMYFUNCTION("""COMPUTED_VALUE"""),"صيدلية")</f>
        <v>صيدلية</v>
      </c>
      <c r="E482" s="5" t="str">
        <f ca="1">IFERROR(__xludf.DUMMYFUNCTION("""COMPUTED_VALUE"""),"صيدلية")</f>
        <v>صيدلية</v>
      </c>
      <c r="F482" s="5" t="str">
        <f ca="1">IFERROR(__xludf.DUMMYFUNCTION("""COMPUTED_VALUE"""),"صيدلية (أدوية ومستلزمات طبية)")</f>
        <v>صيدلية (أدوية ومستلزمات طبية)</v>
      </c>
      <c r="G482" s="5" t="str">
        <f ca="1">IFERROR(__xludf.DUMMYFUNCTION("""COMPUTED_VALUE"""),"صيدلية عزت")</f>
        <v>صيدلية عزت</v>
      </c>
      <c r="H482" s="5" t="str">
        <f ca="1">IFERROR(__xludf.DUMMYFUNCTION("""COMPUTED_VALUE"""),"4شارع قبلى الحميات -بجوار مستشفى الحميات-سوهاج")</f>
        <v>4شارع قبلى الحميات -بجوار مستشفى الحميات-سوهاج</v>
      </c>
      <c r="I482" s="6" t="str">
        <f ca="1">IFERROR(__xludf.DUMMYFUNCTION("""COMPUTED_VALUE"""),"0932585344")</f>
        <v>0932585344</v>
      </c>
      <c r="J482" s="6"/>
      <c r="K482" s="6" t="str">
        <f ca="1">IFERROR(__xludf.DUMMYFUNCTION("""COMPUTED_VALUE"""),"خصم 10% علي كل الادويه")</f>
        <v>خصم 10% علي كل الادويه</v>
      </c>
    </row>
    <row r="483" spans="1:11" x14ac:dyDescent="0.25">
      <c r="A483" s="4" t="str">
        <f ca="1">IFERROR(__xludf.DUMMYFUNCTION("""COMPUTED_VALUE"""),"104580")</f>
        <v>104580</v>
      </c>
      <c r="B483" s="5" t="str">
        <f ca="1">IFERROR(__xludf.DUMMYFUNCTION("""COMPUTED_VALUE"""),"سوهاج")</f>
        <v>سوهاج</v>
      </c>
      <c r="C483" s="5" t="str">
        <f ca="1">IFERROR(__xludf.DUMMYFUNCTION("""COMPUTED_VALUE"""),"طهطا")</f>
        <v>طهطا</v>
      </c>
      <c r="D483" s="5" t="str">
        <f ca="1">IFERROR(__xludf.DUMMYFUNCTION("""COMPUTED_VALUE"""),"صيدلية")</f>
        <v>صيدلية</v>
      </c>
      <c r="E483" s="5" t="str">
        <f ca="1">IFERROR(__xludf.DUMMYFUNCTION("""COMPUTED_VALUE"""),"صيدلية")</f>
        <v>صيدلية</v>
      </c>
      <c r="F483" s="5" t="str">
        <f ca="1">IFERROR(__xludf.DUMMYFUNCTION("""COMPUTED_VALUE"""),"صيدلية (أدوية ومستلزمات طبية)")</f>
        <v>صيدلية (أدوية ومستلزمات طبية)</v>
      </c>
      <c r="G483" s="5" t="str">
        <f ca="1">IFERROR(__xludf.DUMMYFUNCTION("""COMPUTED_VALUE"""),"صيدلية د.فوزي هرمينا (د.فوزي هرمينا إبراهيم)")</f>
        <v>صيدلية د.فوزي هرمينا (د.فوزي هرمينا إبراهيم)</v>
      </c>
      <c r="H483" s="5" t="str">
        <f ca="1">IFERROR(__xludf.DUMMYFUNCTION("""COMPUTED_VALUE"""),"شارع الثورة - بجوار البنك الأهلي - طهطا - سوهاج")</f>
        <v>شارع الثورة - بجوار البنك الأهلي - طهطا - سوهاج</v>
      </c>
      <c r="I483" s="6" t="str">
        <f ca="1">IFERROR(__xludf.DUMMYFUNCTION("""COMPUTED_VALUE"""),"01223354293")</f>
        <v>01223354293</v>
      </c>
      <c r="J483" s="6"/>
      <c r="K483" s="6" t="str">
        <f ca="1">IFERROR(__xludf.DUMMYFUNCTION("""COMPUTED_VALUE"""),"خصم 14% علي المحلي و 7% علي المستورد")</f>
        <v>خصم 14% علي المحلي و 7% علي المستورد</v>
      </c>
    </row>
    <row r="484" spans="1:11" x14ac:dyDescent="0.25">
      <c r="A484" s="4" t="str">
        <f ca="1">IFERROR(__xludf.DUMMYFUNCTION("""COMPUTED_VALUE"""),"1683-B")</f>
        <v>1683-B</v>
      </c>
      <c r="B484" s="5" t="str">
        <f ca="1">IFERROR(__xludf.DUMMYFUNCTION("""COMPUTED_VALUE"""),"جنوب سيناء")</f>
        <v>جنوب سيناء</v>
      </c>
      <c r="C484" s="5" t="str">
        <f ca="1">IFERROR(__xludf.DUMMYFUNCTION("""COMPUTED_VALUE"""),"شرم الشيخ")</f>
        <v>شرم الشيخ</v>
      </c>
      <c r="D484" s="5" t="str">
        <f ca="1">IFERROR(__xludf.DUMMYFUNCTION("""COMPUTED_VALUE"""),"صيدلية")</f>
        <v>صيدلية</v>
      </c>
      <c r="E484" s="5" t="str">
        <f ca="1">IFERROR(__xludf.DUMMYFUNCTION("""COMPUTED_VALUE"""),"صيدلية")</f>
        <v>صيدلية</v>
      </c>
      <c r="F484" s="5" t="str">
        <f ca="1">IFERROR(__xludf.DUMMYFUNCTION("""COMPUTED_VALUE"""),"صيدلية (أدوية ومستلزمات طبية)")</f>
        <v>صيدلية (أدوية ومستلزمات طبية)</v>
      </c>
      <c r="G48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84" s="5" t="str">
        <f ca="1">IFERROR(__xludf.DUMMYFUNCTION("""COMPUTED_VALUE"""),"فندق الماريوت - خليج نعمة-شرم الشيخ-سيناء")</f>
        <v>فندق الماريوت - خليج نعمة-شرم الشيخ-سيناء</v>
      </c>
      <c r="I484" s="6" t="str">
        <f ca="1">IFERROR(__xludf.DUMMYFUNCTION("""COMPUTED_VALUE"""),"1155666210
")</f>
        <v xml:space="preserve">1155666210
</v>
      </c>
      <c r="J484" s="6" t="str">
        <f ca="1">IFERROR(__xludf.DUMMYFUNCTION("""COMPUTED_VALUE"""),"19600")</f>
        <v>19600</v>
      </c>
      <c r="K484" s="6" t="str">
        <f ca="1">IFERROR(__xludf.DUMMYFUNCTION("""COMPUTED_VALUE"""),"7.5 % على المحلى ,5% على المستلزمات الطبية و التجميل")</f>
        <v>7.5 % على المحلى ,5% على المستلزمات الطبية و التجميل</v>
      </c>
    </row>
    <row r="485" spans="1:11" x14ac:dyDescent="0.25">
      <c r="A485" s="4" t="str">
        <f ca="1">IFERROR(__xludf.DUMMYFUNCTION("""COMPUTED_VALUE"""),"1683-B")</f>
        <v>1683-B</v>
      </c>
      <c r="B485" s="5" t="str">
        <f ca="1">IFERROR(__xludf.DUMMYFUNCTION("""COMPUTED_VALUE"""),"جنوب سيناء")</f>
        <v>جنوب سيناء</v>
      </c>
      <c r="C485" s="5" t="str">
        <f ca="1">IFERROR(__xludf.DUMMYFUNCTION("""COMPUTED_VALUE"""),"شرم الشيخ")</f>
        <v>شرم الشيخ</v>
      </c>
      <c r="D485" s="5" t="str">
        <f ca="1">IFERROR(__xludf.DUMMYFUNCTION("""COMPUTED_VALUE"""),"صيدلية")</f>
        <v>صيدلية</v>
      </c>
      <c r="E485" s="5" t="str">
        <f ca="1">IFERROR(__xludf.DUMMYFUNCTION("""COMPUTED_VALUE"""),"صيدلية")</f>
        <v>صيدلية</v>
      </c>
      <c r="F485" s="5" t="str">
        <f ca="1">IFERROR(__xludf.DUMMYFUNCTION("""COMPUTED_VALUE"""),"صيدلية (أدوية ومستلزمات طبية)")</f>
        <v>صيدلية (أدوية ومستلزمات طبية)</v>
      </c>
      <c r="G48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85" s="5" t="str">
        <f ca="1">IFERROR(__xludf.DUMMYFUNCTION("""COMPUTED_VALUE"""),"مول الخان - خليج نبق - لاجونا جاردن -شرم الشيخ-سيناء")</f>
        <v>مول الخان - خليج نبق - لاجونا جاردن -شرم الشيخ-سيناء</v>
      </c>
      <c r="I485" s="6" t="str">
        <f ca="1">IFERROR(__xludf.DUMMYFUNCTION("""COMPUTED_VALUE"""),"1110079638
")</f>
        <v xml:space="preserve">1110079638
</v>
      </c>
      <c r="J485" s="6" t="str">
        <f ca="1">IFERROR(__xludf.DUMMYFUNCTION("""COMPUTED_VALUE"""),"19600")</f>
        <v>19600</v>
      </c>
      <c r="K485" s="6" t="str">
        <f ca="1">IFERROR(__xludf.DUMMYFUNCTION("""COMPUTED_VALUE"""),"7.5 % على المحلى ,5% على المستلزمات الطبية و التجميل")</f>
        <v>7.5 % على المحلى ,5% على المستلزمات الطبية و التجميل</v>
      </c>
    </row>
    <row r="486" spans="1:11" x14ac:dyDescent="0.25">
      <c r="A486" s="4" t="str">
        <f ca="1">IFERROR(__xludf.DUMMYFUNCTION("""COMPUTED_VALUE"""),"1683-B")</f>
        <v>1683-B</v>
      </c>
      <c r="B486" s="5" t="str">
        <f ca="1">IFERROR(__xludf.DUMMYFUNCTION("""COMPUTED_VALUE"""),"جنوب سيناء")</f>
        <v>جنوب سيناء</v>
      </c>
      <c r="C486" s="5" t="str">
        <f ca="1">IFERROR(__xludf.DUMMYFUNCTION("""COMPUTED_VALUE"""),"شرم الشيخ")</f>
        <v>شرم الشيخ</v>
      </c>
      <c r="D486" s="5" t="str">
        <f ca="1">IFERROR(__xludf.DUMMYFUNCTION("""COMPUTED_VALUE"""),"صيدلية")</f>
        <v>صيدلية</v>
      </c>
      <c r="E486" s="5" t="str">
        <f ca="1">IFERROR(__xludf.DUMMYFUNCTION("""COMPUTED_VALUE"""),"صيدلية")</f>
        <v>صيدلية</v>
      </c>
      <c r="F486" s="5" t="str">
        <f ca="1">IFERROR(__xludf.DUMMYFUNCTION("""COMPUTED_VALUE"""),"صيدلية (أدوية ومستلزمات طبية)")</f>
        <v>صيدلية (أدوية ومستلزمات طبية)</v>
      </c>
      <c r="G48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486" s="5" t="str">
        <f ca="1">IFERROR(__xludf.DUMMYFUNCTION("""COMPUTED_VALUE"""),"ميركاتو مول - الهضبة (هضبة ام السيد - امام شرم ريف) - محل رقم 12و13و14أ - منطقة أ -شرم الشيخ-سيناء")</f>
        <v>ميركاتو مول - الهضبة (هضبة ام السيد - امام شرم ريف) - محل رقم 12و13و14أ - منطقة أ -شرم الشيخ-سيناء</v>
      </c>
      <c r="I486" s="6" t="str">
        <f ca="1">IFERROR(__xludf.DUMMYFUNCTION("""COMPUTED_VALUE"""),"1155666236
")</f>
        <v xml:space="preserve">1155666236
</v>
      </c>
      <c r="J486" s="6" t="str">
        <f ca="1">IFERROR(__xludf.DUMMYFUNCTION("""COMPUTED_VALUE"""),"19600")</f>
        <v>19600</v>
      </c>
      <c r="K486" s="6" t="str">
        <f ca="1">IFERROR(__xludf.DUMMYFUNCTION("""COMPUTED_VALUE"""),"7.5 % على المحلى ,5% على المستلزمات الطبية و التجميل")</f>
        <v>7.5 % على المحلى ,5% على المستلزمات الطبية و التجميل</v>
      </c>
    </row>
    <row r="487" spans="1:11" x14ac:dyDescent="0.25">
      <c r="A487" s="4" t="str">
        <f ca="1">IFERROR(__xludf.DUMMYFUNCTION("""COMPUTED_VALUE"""),"3843")</f>
        <v>3843</v>
      </c>
      <c r="B487" s="5" t="str">
        <f ca="1">IFERROR(__xludf.DUMMYFUNCTION("""COMPUTED_VALUE"""),"قنا")</f>
        <v>قنا</v>
      </c>
      <c r="C487" s="5" t="str">
        <f ca="1">IFERROR(__xludf.DUMMYFUNCTION("""COMPUTED_VALUE"""),"فرشوط")</f>
        <v>فرشوط</v>
      </c>
      <c r="D487" s="5" t="str">
        <f ca="1">IFERROR(__xludf.DUMMYFUNCTION("""COMPUTED_VALUE"""),"صيدلية")</f>
        <v>صيدلية</v>
      </c>
      <c r="E487" s="5" t="str">
        <f ca="1">IFERROR(__xludf.DUMMYFUNCTION("""COMPUTED_VALUE"""),"صيدلية")</f>
        <v>صيدلية</v>
      </c>
      <c r="F487" s="5" t="str">
        <f ca="1">IFERROR(__xludf.DUMMYFUNCTION("""COMPUTED_VALUE"""),"صيدلية (أدوية ومستلزمات طبية)")</f>
        <v>صيدلية (أدوية ومستلزمات طبية)</v>
      </c>
      <c r="G487" s="5" t="str">
        <f ca="1">IFERROR(__xludf.DUMMYFUNCTION("""COMPUTED_VALUE"""),"صيدلية عليوة")</f>
        <v>صيدلية عليوة</v>
      </c>
      <c r="H487" s="5" t="str">
        <f ca="1">IFERROR(__xludf.DUMMYFUNCTION("""COMPUTED_VALUE"""),"شارع بور سعيد -فرشوط-قنا")</f>
        <v>شارع بور سعيد -فرشوط-قنا</v>
      </c>
      <c r="I487" s="6" t="str">
        <f ca="1">IFERROR(__xludf.DUMMYFUNCTION("""COMPUTED_VALUE"""),"01091988311")</f>
        <v>01091988311</v>
      </c>
      <c r="J487" s="6"/>
      <c r="K487" s="6" t="str">
        <f ca="1">IFERROR(__xludf.DUMMYFUNCTION("""COMPUTED_VALUE"""),"خصم 10% علي المحلي و 5% علي المستورد")</f>
        <v>خصم 10% علي المحلي و 5% علي المستورد</v>
      </c>
    </row>
    <row r="488" spans="1:11" x14ac:dyDescent="0.25">
      <c r="A488" s="4" t="str">
        <f ca="1">IFERROR(__xludf.DUMMYFUNCTION("""COMPUTED_VALUE"""),"104066")</f>
        <v>104066</v>
      </c>
      <c r="B488" s="5" t="str">
        <f ca="1">IFERROR(__xludf.DUMMYFUNCTION("""COMPUTED_VALUE"""),"قنا")</f>
        <v>قنا</v>
      </c>
      <c r="C488" s="5" t="str">
        <f ca="1">IFERROR(__xludf.DUMMYFUNCTION("""COMPUTED_VALUE"""),"قفط")</f>
        <v>قفط</v>
      </c>
      <c r="D488" s="5" t="str">
        <f ca="1">IFERROR(__xludf.DUMMYFUNCTION("""COMPUTED_VALUE"""),"صيدلية")</f>
        <v>صيدلية</v>
      </c>
      <c r="E488" s="5" t="str">
        <f ca="1">IFERROR(__xludf.DUMMYFUNCTION("""COMPUTED_VALUE"""),"صيدلية")</f>
        <v>صيدلية</v>
      </c>
      <c r="F488" s="5" t="str">
        <f ca="1">IFERROR(__xludf.DUMMYFUNCTION("""COMPUTED_VALUE"""),"صيدلية (أدوية ومستلزمات طبية)")</f>
        <v>صيدلية (أدوية ومستلزمات طبية)</v>
      </c>
      <c r="G488" s="5" t="str">
        <f ca="1">IFERROR(__xludf.DUMMYFUNCTION("""COMPUTED_VALUE"""),"صيدلية السمان لصاحبها د/حمدى احمد السمان")</f>
        <v>صيدلية السمان لصاحبها د/حمدى احمد السمان</v>
      </c>
      <c r="H488" s="5" t="str">
        <f ca="1">IFERROR(__xludf.DUMMYFUNCTION("""COMPUTED_VALUE"""),"شارع مصطفى كامل بجوار النجع العوامرى-قفط-قنا")</f>
        <v>شارع مصطفى كامل بجوار النجع العوامرى-قفط-قنا</v>
      </c>
      <c r="I488" s="6" t="str">
        <f ca="1">IFERROR(__xludf.DUMMYFUNCTION("""COMPUTED_VALUE"""),"01223060070")</f>
        <v>01223060070</v>
      </c>
      <c r="J488" s="6"/>
      <c r="K488" s="6" t="str">
        <f ca="1">IFERROR(__xludf.DUMMYFUNCTION("""COMPUTED_VALUE"""),"12% على المحلى ,7% على المستور")</f>
        <v>12% على المحلى ,7% على المستور</v>
      </c>
    </row>
    <row r="489" spans="1:11" x14ac:dyDescent="0.25">
      <c r="A489" s="4" t="str">
        <f ca="1">IFERROR(__xludf.DUMMYFUNCTION("""COMPUTED_VALUE"""),"3194")</f>
        <v>3194</v>
      </c>
      <c r="B489" s="5" t="str">
        <f ca="1">IFERROR(__xludf.DUMMYFUNCTION("""COMPUTED_VALUE"""),"قنا")</f>
        <v>قنا</v>
      </c>
      <c r="C489" s="5" t="str">
        <f ca="1">IFERROR(__xludf.DUMMYFUNCTION("""COMPUTED_VALUE"""),"قوص")</f>
        <v>قوص</v>
      </c>
      <c r="D489" s="5" t="str">
        <f ca="1">IFERROR(__xludf.DUMMYFUNCTION("""COMPUTED_VALUE"""),"صيدلية")</f>
        <v>صيدلية</v>
      </c>
      <c r="E489" s="5" t="str">
        <f ca="1">IFERROR(__xludf.DUMMYFUNCTION("""COMPUTED_VALUE"""),"صيدلية")</f>
        <v>صيدلية</v>
      </c>
      <c r="F489" s="5" t="str">
        <f ca="1">IFERROR(__xludf.DUMMYFUNCTION("""COMPUTED_VALUE"""),"صيدلية (أدوية ومستلزمات طبية)")</f>
        <v>صيدلية (أدوية ومستلزمات طبية)</v>
      </c>
      <c r="G489" s="5" t="str">
        <f ca="1">IFERROR(__xludf.DUMMYFUNCTION("""COMPUTED_VALUE"""),"صيدلية د/محمد عبد الشافى الجديدة")</f>
        <v>صيدلية د/محمد عبد الشافى الجديدة</v>
      </c>
      <c r="H489" s="5" t="str">
        <f ca="1">IFERROR(__xludf.DUMMYFUNCTION("""COMPUTED_VALUE"""),"شارع جسرالفراش-قوص-قنا")</f>
        <v>شارع جسرالفراش-قوص-قنا</v>
      </c>
      <c r="I489" s="6" t="str">
        <f ca="1">IFERROR(__xludf.DUMMYFUNCTION("""COMPUTED_VALUE"""),"01000880410")</f>
        <v>01000880410</v>
      </c>
      <c r="J489" s="6"/>
      <c r="K489" s="6" t="str">
        <f ca="1">IFERROR(__xludf.DUMMYFUNCTION("""COMPUTED_VALUE"""),"خصم 10% علي المحلي و 5% علي المستورد")</f>
        <v>خصم 10% علي المحلي و 5% علي المستورد</v>
      </c>
    </row>
    <row r="490" spans="1:11" x14ac:dyDescent="0.25">
      <c r="A490" s="4" t="str">
        <f ca="1">IFERROR(__xludf.DUMMYFUNCTION("""COMPUTED_VALUE"""),"3143")</f>
        <v>3143</v>
      </c>
      <c r="B490" s="5" t="str">
        <f ca="1">IFERROR(__xludf.DUMMYFUNCTION("""COMPUTED_VALUE"""),"قنا")</f>
        <v>قنا</v>
      </c>
      <c r="C490" s="5" t="str">
        <f ca="1">IFERROR(__xludf.DUMMYFUNCTION("""COMPUTED_VALUE"""),"نجع حمادى")</f>
        <v>نجع حمادى</v>
      </c>
      <c r="D490" s="5" t="str">
        <f ca="1">IFERROR(__xludf.DUMMYFUNCTION("""COMPUTED_VALUE"""),"صيدلية")</f>
        <v>صيدلية</v>
      </c>
      <c r="E490" s="5" t="str">
        <f ca="1">IFERROR(__xludf.DUMMYFUNCTION("""COMPUTED_VALUE"""),"صيدلية")</f>
        <v>صيدلية</v>
      </c>
      <c r="F490" s="5" t="str">
        <f ca="1">IFERROR(__xludf.DUMMYFUNCTION("""COMPUTED_VALUE"""),"صيدلية (أدوية ومستلزمات طبية)")</f>
        <v>صيدلية (أدوية ومستلزمات طبية)</v>
      </c>
      <c r="G490" s="5" t="str">
        <f ca="1">IFERROR(__xludf.DUMMYFUNCTION("""COMPUTED_VALUE"""),"صيدلية أماني")</f>
        <v>صيدلية أماني</v>
      </c>
      <c r="H490" s="5" t="str">
        <f ca="1">IFERROR(__xludf.DUMMYFUNCTION("""COMPUTED_VALUE"""),"شارع مصر اسوان-مركز نجع حمادى--قنا")</f>
        <v>شارع مصر اسوان-مركز نجع حمادى--قنا</v>
      </c>
      <c r="I490" s="6" t="str">
        <f ca="1">IFERROR(__xludf.DUMMYFUNCTION("""COMPUTED_VALUE"""),"01008197060")</f>
        <v>01008197060</v>
      </c>
      <c r="J490" s="6"/>
      <c r="K490" s="6" t="str">
        <f ca="1">IFERROR(__xludf.DUMMYFUNCTION("""COMPUTED_VALUE"""),"خصم 10% علي علي كل الادويه")</f>
        <v>خصم 10% علي علي كل الادويه</v>
      </c>
    </row>
    <row r="491" spans="1:11" x14ac:dyDescent="0.25">
      <c r="A491" s="4" t="str">
        <f ca="1">IFERROR(__xludf.DUMMYFUNCTION("""COMPUTED_VALUE"""),"3137")</f>
        <v>3137</v>
      </c>
      <c r="B491" s="5" t="str">
        <f ca="1">IFERROR(__xludf.DUMMYFUNCTION("""COMPUTED_VALUE"""),"كفر الشيخ")</f>
        <v>كفر الشيخ</v>
      </c>
      <c r="C491" s="5" t="str">
        <f ca="1">IFERROR(__xludf.DUMMYFUNCTION("""COMPUTED_VALUE"""),"بلطيم")</f>
        <v>بلطيم</v>
      </c>
      <c r="D491" s="5" t="str">
        <f ca="1">IFERROR(__xludf.DUMMYFUNCTION("""COMPUTED_VALUE"""),"صيدلية")</f>
        <v>صيدلية</v>
      </c>
      <c r="E491" s="5" t="str">
        <f ca="1">IFERROR(__xludf.DUMMYFUNCTION("""COMPUTED_VALUE"""),"صيدلية")</f>
        <v>صيدلية</v>
      </c>
      <c r="F491" s="5" t="str">
        <f ca="1">IFERROR(__xludf.DUMMYFUNCTION("""COMPUTED_VALUE"""),"صيدلية (أدوية ومستلزمات طبية)")</f>
        <v>صيدلية (أدوية ومستلزمات طبية)</v>
      </c>
      <c r="G491" s="5" t="str">
        <f ca="1">IFERROR(__xludf.DUMMYFUNCTION("""COMPUTED_VALUE"""),"صيدلية اسلام")</f>
        <v>صيدلية اسلام</v>
      </c>
      <c r="H491" s="5" t="str">
        <f ca="1">IFERROR(__xludf.DUMMYFUNCTION("""COMPUTED_VALUE"""),"امام المستشفى  بلطيم العام-بلطيم -كفر الشيخ")</f>
        <v>امام المستشفى  بلطيم العام-بلطيم -كفر الشيخ</v>
      </c>
      <c r="I491" s="6" t="str">
        <f ca="1">IFERROR(__xludf.DUMMYFUNCTION("""COMPUTED_VALUE"""),"01095995590")</f>
        <v>01095995590</v>
      </c>
      <c r="J491" s="6"/>
      <c r="K491" s="6" t="str">
        <f ca="1">IFERROR(__xludf.DUMMYFUNCTION("""COMPUTED_VALUE"""),"خصم 8% علي كل الادويه")</f>
        <v>خصم 8% علي كل الادويه</v>
      </c>
    </row>
    <row r="492" spans="1:11" x14ac:dyDescent="0.25">
      <c r="A492" s="4" t="str">
        <f ca="1">IFERROR(__xludf.DUMMYFUNCTION("""COMPUTED_VALUE"""),"104205")</f>
        <v>104205</v>
      </c>
      <c r="B492" s="5" t="str">
        <f ca="1">IFERROR(__xludf.DUMMYFUNCTION("""COMPUTED_VALUE"""),"كفر الشيخ")</f>
        <v>كفر الشيخ</v>
      </c>
      <c r="C492" s="5" t="str">
        <f ca="1">IFERROR(__xludf.DUMMYFUNCTION("""COMPUTED_VALUE"""),"سيدي سالم")</f>
        <v>سيدي سالم</v>
      </c>
      <c r="D492" s="5" t="str">
        <f ca="1">IFERROR(__xludf.DUMMYFUNCTION("""COMPUTED_VALUE"""),"صيدلية")</f>
        <v>صيدلية</v>
      </c>
      <c r="E492" s="5" t="str">
        <f ca="1">IFERROR(__xludf.DUMMYFUNCTION("""COMPUTED_VALUE"""),"صيدلية")</f>
        <v>صيدلية</v>
      </c>
      <c r="F492" s="5" t="str">
        <f ca="1">IFERROR(__xludf.DUMMYFUNCTION("""COMPUTED_VALUE"""),"صيدلية (أدوية ومستلزمات طبية)")</f>
        <v>صيدلية (أدوية ومستلزمات طبية)</v>
      </c>
      <c r="G492" s="5" t="str">
        <f ca="1">IFERROR(__xludf.DUMMYFUNCTION("""COMPUTED_VALUE"""),"صيدلية د . محمد محمد فرحات")</f>
        <v>صيدلية د . محمد محمد فرحات</v>
      </c>
      <c r="H492" s="5" t="str">
        <f ca="1">IFERROR(__xludf.DUMMYFUNCTION("""COMPUTED_VALUE"""),"سيدي سالم - بجوار حديقة العائلات - سيدي سالم-كفر الشيخ")</f>
        <v>سيدي سالم - بجوار حديقة العائلات - سيدي سالم-كفر الشيخ</v>
      </c>
      <c r="I492" s="6" t="str">
        <f ca="1">IFERROR(__xludf.DUMMYFUNCTION("""COMPUTED_VALUE"""),"0472703057")</f>
        <v>0472703057</v>
      </c>
      <c r="J492" s="6"/>
      <c r="K492" s="6" t="str">
        <f ca="1">IFERROR(__xludf.DUMMYFUNCTION("""COMPUTED_VALUE"""),"خصم 12% علي المحلي و 6% علي المستورد")</f>
        <v>خصم 12% علي المحلي و 6% علي المستورد</v>
      </c>
    </row>
    <row r="493" spans="1:11" x14ac:dyDescent="0.25">
      <c r="A493" s="4" t="str">
        <f ca="1">IFERROR(__xludf.DUMMYFUNCTION("""COMPUTED_VALUE"""),"3612")</f>
        <v>3612</v>
      </c>
      <c r="B493" s="5" t="str">
        <f ca="1">IFERROR(__xludf.DUMMYFUNCTION("""COMPUTED_VALUE"""),"كفر الشيخ")</f>
        <v>كفر الشيخ</v>
      </c>
      <c r="C493" s="5" t="str">
        <f ca="1">IFERROR(__xludf.DUMMYFUNCTION("""COMPUTED_VALUE"""),"قلين")</f>
        <v>قلين</v>
      </c>
      <c r="D493" s="5" t="str">
        <f ca="1">IFERROR(__xludf.DUMMYFUNCTION("""COMPUTED_VALUE"""),"صيدلية")</f>
        <v>صيدلية</v>
      </c>
      <c r="E493" s="5" t="str">
        <f ca="1">IFERROR(__xludf.DUMMYFUNCTION("""COMPUTED_VALUE"""),"صيدلية")</f>
        <v>صيدلية</v>
      </c>
      <c r="F493" s="5" t="str">
        <f ca="1">IFERROR(__xludf.DUMMYFUNCTION("""COMPUTED_VALUE"""),"صيدلية (أدوية ومستلزمات طبية)")</f>
        <v>صيدلية (أدوية ومستلزمات طبية)</v>
      </c>
      <c r="G493" s="5" t="str">
        <f ca="1">IFERROR(__xludf.DUMMYFUNCTION("""COMPUTED_VALUE"""),"صيدلية قلين الجديدة")</f>
        <v>صيدلية قلين الجديدة</v>
      </c>
      <c r="H493" s="5" t="str">
        <f ca="1">IFERROR(__xludf.DUMMYFUNCTION("""COMPUTED_VALUE"""),"قلين المحطة - امام موقف الأتوبيس-قلين-كفر الشيخ")</f>
        <v>قلين المحطة - امام موقف الأتوبيس-قلين-كفر الشيخ</v>
      </c>
      <c r="I493" s="6" t="str">
        <f ca="1">IFERROR(__xludf.DUMMYFUNCTION("""COMPUTED_VALUE"""),"20473400390")</f>
        <v>20473400390</v>
      </c>
      <c r="J493" s="6"/>
      <c r="K493" s="6" t="str">
        <f ca="1">IFERROR(__xludf.DUMMYFUNCTION("""COMPUTED_VALUE"""),"خصم 10% علي المحلي و 5% علي المستورد")</f>
        <v>خصم 10% علي المحلي و 5% علي المستورد</v>
      </c>
    </row>
    <row r="494" spans="1:11" x14ac:dyDescent="0.25">
      <c r="A494" s="4" t="str">
        <f ca="1">IFERROR(__xludf.DUMMYFUNCTION("""COMPUTED_VALUE"""),"3524")</f>
        <v>3524</v>
      </c>
      <c r="B494" s="5" t="str">
        <f ca="1">IFERROR(__xludf.DUMMYFUNCTION("""COMPUTED_VALUE"""),"كفر الشيخ")</f>
        <v>كفر الشيخ</v>
      </c>
      <c r="C494" s="5" t="str">
        <f ca="1">IFERROR(__xludf.DUMMYFUNCTION("""COMPUTED_VALUE"""),"كفر الشيخ")</f>
        <v>كفر الشيخ</v>
      </c>
      <c r="D494" s="5" t="str">
        <f ca="1">IFERROR(__xludf.DUMMYFUNCTION("""COMPUTED_VALUE"""),"صيدلية")</f>
        <v>صيدلية</v>
      </c>
      <c r="E494" s="5" t="str">
        <f ca="1">IFERROR(__xludf.DUMMYFUNCTION("""COMPUTED_VALUE"""),"صيدلية")</f>
        <v>صيدلية</v>
      </c>
      <c r="F494" s="5" t="str">
        <f ca="1">IFERROR(__xludf.DUMMYFUNCTION("""COMPUTED_VALUE"""),"صيدلية (أدوية ومستلزمات طبية)")</f>
        <v>صيدلية (أدوية ومستلزمات طبية)</v>
      </c>
      <c r="G494" s="5" t="str">
        <f ca="1">IFERROR(__xludf.DUMMYFUNCTION("""COMPUTED_VALUE"""),"صيدلية الزهور -كفر الشيخ")</f>
        <v>صيدلية الزهور -كفر الشيخ</v>
      </c>
      <c r="H494" s="5" t="str">
        <f ca="1">IFERROR(__xludf.DUMMYFUNCTION("""COMPUTED_VALUE"""),"سور النادي الرياضي شارع 6أكتوبر بجوار جامع الاستاد-كفر الشيخ")</f>
        <v>سور النادي الرياضي شارع 6أكتوبر بجوار جامع الاستاد-كفر الشيخ</v>
      </c>
      <c r="I494" s="6" t="str">
        <f ca="1">IFERROR(__xludf.DUMMYFUNCTION("""COMPUTED_VALUE"""),"20473232222")</f>
        <v>20473232222</v>
      </c>
      <c r="J494" s="6"/>
      <c r="K494" s="6" t="str">
        <f ca="1">IFERROR(__xludf.DUMMYFUNCTION("""COMPUTED_VALUE"""),"7% على كل الادوية")</f>
        <v>7% على كل الادوية</v>
      </c>
    </row>
    <row r="495" spans="1:11" x14ac:dyDescent="0.25">
      <c r="A495" s="4" t="str">
        <f ca="1">IFERROR(__xludf.DUMMYFUNCTION("""COMPUTED_VALUE"""),"3622")</f>
        <v>3622</v>
      </c>
      <c r="B495" s="5" t="str">
        <f ca="1">IFERROR(__xludf.DUMMYFUNCTION("""COMPUTED_VALUE"""),"مرسى مطروح")</f>
        <v>مرسى مطروح</v>
      </c>
      <c r="C495" s="5" t="str">
        <f ca="1">IFERROR(__xludf.DUMMYFUNCTION("""COMPUTED_VALUE"""),"الحمام")</f>
        <v>الحمام</v>
      </c>
      <c r="D495" s="5" t="str">
        <f ca="1">IFERROR(__xludf.DUMMYFUNCTION("""COMPUTED_VALUE"""),"صيدلية")</f>
        <v>صيدلية</v>
      </c>
      <c r="E495" s="5" t="str">
        <f ca="1">IFERROR(__xludf.DUMMYFUNCTION("""COMPUTED_VALUE"""),"صيدلية")</f>
        <v>صيدلية</v>
      </c>
      <c r="F495" s="5" t="str">
        <f ca="1">IFERROR(__xludf.DUMMYFUNCTION("""COMPUTED_VALUE"""),"صيدلية (أدوية ومستلزمات طبية)")</f>
        <v>صيدلية (أدوية ومستلزمات طبية)</v>
      </c>
      <c r="G495" s="5" t="str">
        <f ca="1">IFERROR(__xludf.DUMMYFUNCTION("""COMPUTED_VALUE"""),"صيدلية سعاد الجابرى")</f>
        <v>صيدلية سعاد الجابرى</v>
      </c>
      <c r="H495" s="5" t="str">
        <f ca="1">IFERROR(__xludf.DUMMYFUNCTION("""COMPUTED_VALUE"""),"شارع امن الدولة متفرع من شارع الأسكندرية -الحمام-  مرسى مطروح")</f>
        <v>شارع امن الدولة متفرع من شارع الأسكندرية -الحمام-  مرسى مطروح</v>
      </c>
      <c r="I495" s="6" t="str">
        <f ca="1">IFERROR(__xludf.DUMMYFUNCTION("""COMPUTED_VALUE"""),"01118758635")</f>
        <v>01118758635</v>
      </c>
      <c r="J495" s="6"/>
      <c r="K495" s="6" t="str">
        <f ca="1">IFERROR(__xludf.DUMMYFUNCTION("""COMPUTED_VALUE"""),"خصم 13% علي كل الادويه")</f>
        <v>خصم 13% علي كل الادويه</v>
      </c>
    </row>
    <row r="496" spans="1:11" x14ac:dyDescent="0.25">
      <c r="A496" s="4" t="str">
        <f ca="1">IFERROR(__xludf.DUMMYFUNCTION("""COMPUTED_VALUE"""),"103542")</f>
        <v>103542</v>
      </c>
      <c r="B496" s="5" t="str">
        <f ca="1">IFERROR(__xludf.DUMMYFUNCTION("""COMPUTED_VALUE"""),"مرسى مطروح")</f>
        <v>مرسى مطروح</v>
      </c>
      <c r="C496" s="5" t="str">
        <f ca="1">IFERROR(__xludf.DUMMYFUNCTION("""COMPUTED_VALUE"""),"مرسى مطروح")</f>
        <v>مرسى مطروح</v>
      </c>
      <c r="D496" s="5" t="str">
        <f ca="1">IFERROR(__xludf.DUMMYFUNCTION("""COMPUTED_VALUE"""),"صيدلية")</f>
        <v>صيدلية</v>
      </c>
      <c r="E496" s="5" t="str">
        <f ca="1">IFERROR(__xludf.DUMMYFUNCTION("""COMPUTED_VALUE"""),"صيدلية")</f>
        <v>صيدلية</v>
      </c>
      <c r="F496" s="5" t="str">
        <f ca="1">IFERROR(__xludf.DUMMYFUNCTION("""COMPUTED_VALUE"""),"صيدلية (أدوية ومستلزمات طبية)")</f>
        <v>صيدلية (أدوية ومستلزمات طبية)</v>
      </c>
      <c r="G496" s="5" t="str">
        <f ca="1">IFERROR(__xludf.DUMMYFUNCTION("""COMPUTED_VALUE"""),"صيدلية الحلواني")</f>
        <v>صيدلية الحلواني</v>
      </c>
      <c r="H496" s="5" t="str">
        <f ca="1">IFERROR(__xludf.DUMMYFUNCTION("""COMPUTED_VALUE"""),"شارع جول جمال أمام مرور مطروح-  مرسى مطروح")</f>
        <v>شارع جول جمال أمام مرور مطروح-  مرسى مطروح</v>
      </c>
      <c r="I496" s="6" t="str">
        <f ca="1">IFERROR(__xludf.DUMMYFUNCTION("""COMPUTED_VALUE"""),"01223830635")</f>
        <v>01223830635</v>
      </c>
      <c r="J496" s="6"/>
      <c r="K496" s="6" t="str">
        <f ca="1">IFERROR(__xludf.DUMMYFUNCTION("""COMPUTED_VALUE"""),"خصم 10% علي المحلي و 5% علي المستورد")</f>
        <v>خصم 10% علي المحلي و 5% علي المستورد</v>
      </c>
    </row>
    <row r="497" spans="1:11" x14ac:dyDescent="0.25">
      <c r="A497" s="4" t="str">
        <f ca="1">IFERROR(__xludf.DUMMYFUNCTION("""COMPUTED_VALUE"""),"4834-B")</f>
        <v>4834-B</v>
      </c>
      <c r="B497" s="5" t="str">
        <f ca="1">IFERROR(__xludf.DUMMYFUNCTION("""COMPUTED_VALUE"""),"الشرقية")</f>
        <v>الشرقية</v>
      </c>
      <c r="C497" s="5" t="str">
        <f ca="1">IFERROR(__xludf.DUMMYFUNCTION("""COMPUTED_VALUE"""),"الزقازيق")</f>
        <v>الزقازيق</v>
      </c>
      <c r="D497" s="5" t="str">
        <f ca="1">IFERROR(__xludf.DUMMYFUNCTION("""COMPUTED_VALUE"""),"صيدلية")</f>
        <v>صيدلية</v>
      </c>
      <c r="E497" s="5" t="str">
        <f ca="1">IFERROR(__xludf.DUMMYFUNCTION("""COMPUTED_VALUE"""),"صيدلية")</f>
        <v>صيدلية</v>
      </c>
      <c r="F497" s="5" t="str">
        <f ca="1">IFERROR(__xludf.DUMMYFUNCTION("""COMPUTED_VALUE"""),"صيدلية (أدوية ومستلزمات طبية)")</f>
        <v>صيدلية (أدوية ومستلزمات طبية)</v>
      </c>
      <c r="G497" s="5" t="str">
        <f ca="1">IFERROR(__xludf.DUMMYFUNCTION("""COMPUTED_VALUE"""),"صيدلية د/ أكرم عبدالله")</f>
        <v>صيدلية د/ أكرم عبدالله</v>
      </c>
      <c r="H497" s="5" t="str">
        <f ca="1">IFERROR(__xludf.DUMMYFUNCTION("""COMPUTED_VALUE"""),"14شارع أولاد عسكر أمام موقف المنصورة القديم - الزقازيق - الشرقية")</f>
        <v>14شارع أولاد عسكر أمام موقف المنصورة القديم - الزقازيق - الشرقية</v>
      </c>
      <c r="I497" s="6" t="str">
        <f ca="1">IFERROR(__xludf.DUMMYFUNCTION("""COMPUTED_VALUE"""),"201006211974")</f>
        <v>201006211974</v>
      </c>
      <c r="J497" s="6"/>
      <c r="K497" s="6" t="str">
        <f ca="1">IFERROR(__xludf.DUMMYFUNCTION("""COMPUTED_VALUE"""),"خصم 12% علي كل الادويه")</f>
        <v>خصم 12% علي كل الادويه</v>
      </c>
    </row>
    <row r="498" spans="1:11" x14ac:dyDescent="0.25">
      <c r="A498" s="4" t="str">
        <f ca="1">IFERROR(__xludf.DUMMYFUNCTION("""COMPUTED_VALUE"""),"104612")</f>
        <v>104612</v>
      </c>
      <c r="B498" s="5" t="str">
        <f ca="1">IFERROR(__xludf.DUMMYFUNCTION("""COMPUTED_VALUE"""),"المنوفية")</f>
        <v>المنوفية</v>
      </c>
      <c r="C498" s="5" t="str">
        <f ca="1">IFERROR(__xludf.DUMMYFUNCTION("""COMPUTED_VALUE"""),"قويسنا")</f>
        <v>قويسنا</v>
      </c>
      <c r="D498" s="5" t="str">
        <f ca="1">IFERROR(__xludf.DUMMYFUNCTION("""COMPUTED_VALUE"""),"صيدلية")</f>
        <v>صيدلية</v>
      </c>
      <c r="E498" s="5" t="str">
        <f ca="1">IFERROR(__xludf.DUMMYFUNCTION("""COMPUTED_VALUE"""),"صيدلية")</f>
        <v>صيدلية</v>
      </c>
      <c r="F498" s="5" t="str">
        <f ca="1">IFERROR(__xludf.DUMMYFUNCTION("""COMPUTED_VALUE"""),"صيدلية (أدوية ومستلزمات طبية)")</f>
        <v>صيدلية (أدوية ومستلزمات طبية)</v>
      </c>
      <c r="G498" s="5" t="str">
        <f ca="1">IFERROR(__xludf.DUMMYFUNCTION("""COMPUTED_VALUE"""),"صيدلية عبدالحميد الجندي  - صيدلية الملاح الجديدة (د.عبدالحميد محروس عبدالحميد الجندي)")</f>
        <v>صيدلية عبدالحميد الجندي  - صيدلية الملاح الجديدة (د.عبدالحميد محروس عبدالحميد الجندي)</v>
      </c>
      <c r="H498" s="5" t="str">
        <f ca="1">IFERROR(__xludf.DUMMYFUNCTION("""COMPUTED_VALUE"""),"شارع تيمور أمام مستشفى قويسنا المركزي - قويسنا - المنوفية")</f>
        <v>شارع تيمور أمام مستشفى قويسنا المركزي - قويسنا - المنوفية</v>
      </c>
      <c r="I498" s="6" t="str">
        <f ca="1">IFERROR(__xludf.DUMMYFUNCTION("""COMPUTED_VALUE"""),"20482574952")</f>
        <v>20482574952</v>
      </c>
      <c r="J498" s="6"/>
      <c r="K498" s="6" t="str">
        <f ca="1">IFERROR(__xludf.DUMMYFUNCTION("""COMPUTED_VALUE"""),"خصم 12% علي المحلي و 5% علي المستورد")</f>
        <v>خصم 12% علي المحلي و 5% علي المستورد</v>
      </c>
    </row>
    <row r="499" spans="1:11" x14ac:dyDescent="0.25">
      <c r="A499" s="4" t="str">
        <f ca="1">IFERROR(__xludf.DUMMYFUNCTION("""COMPUTED_VALUE"""),"104612-B")</f>
        <v>104612-B</v>
      </c>
      <c r="B499" s="5" t="str">
        <f ca="1">IFERROR(__xludf.DUMMYFUNCTION("""COMPUTED_VALUE"""),"المنوفية")</f>
        <v>المنوفية</v>
      </c>
      <c r="C499" s="5" t="str">
        <f ca="1">IFERROR(__xludf.DUMMYFUNCTION("""COMPUTED_VALUE"""),"بركه السبع")</f>
        <v>بركه السبع</v>
      </c>
      <c r="D499" s="5" t="str">
        <f ca="1">IFERROR(__xludf.DUMMYFUNCTION("""COMPUTED_VALUE"""),"صيدلية")</f>
        <v>صيدلية</v>
      </c>
      <c r="E499" s="5" t="str">
        <f ca="1">IFERROR(__xludf.DUMMYFUNCTION("""COMPUTED_VALUE"""),"صيدلية")</f>
        <v>صيدلية</v>
      </c>
      <c r="F499" s="5" t="str">
        <f ca="1">IFERROR(__xludf.DUMMYFUNCTION("""COMPUTED_VALUE"""),"صيدلية (أدوية ومستلزمات طبية)")</f>
        <v>صيدلية (أدوية ومستلزمات طبية)</v>
      </c>
      <c r="G499" s="5" t="str">
        <f ca="1">IFERROR(__xludf.DUMMYFUNCTION("""COMPUTED_VALUE"""),"صيدلية عبدالحميد الجندي  - صيدلية الملاح الجديدة (د.عبدالحميد محروس عبدالحميد الجندي)")</f>
        <v>صيدلية عبدالحميد الجندي  - صيدلية الملاح الجديدة (د.عبدالحميد محروس عبدالحميد الجندي)</v>
      </c>
      <c r="H499" s="5" t="str">
        <f ca="1">IFERROR(__xludf.DUMMYFUNCTION("""COMPUTED_VALUE"""),"شارع بدوي متفرع من شارع عبدالمنعم رياض - بركة السبع - المنوفية")</f>
        <v>شارع بدوي متفرع من شارع عبدالمنعم رياض - بركة السبع - المنوفية</v>
      </c>
      <c r="I499" s="6" t="str">
        <f ca="1">IFERROR(__xludf.DUMMYFUNCTION("""COMPUTED_VALUE"""),"20482991433")</f>
        <v>20482991433</v>
      </c>
      <c r="J499" s="6"/>
      <c r="K499" s="6" t="str">
        <f ca="1">IFERROR(__xludf.DUMMYFUNCTION("""COMPUTED_VALUE"""),"خصم 12% علي المحلي و 5% علي المستورد")</f>
        <v>خصم 12% علي المحلي و 5% علي المستورد</v>
      </c>
    </row>
    <row r="500" spans="1:11" x14ac:dyDescent="0.25">
      <c r="A500" s="4" t="str">
        <f ca="1">IFERROR(__xludf.DUMMYFUNCTION("""COMPUTED_VALUE"""),"104667")</f>
        <v>104667</v>
      </c>
      <c r="B500" s="5" t="str">
        <f ca="1">IFERROR(__xludf.DUMMYFUNCTION("""COMPUTED_VALUE"""),"القاهرة")</f>
        <v>القاهرة</v>
      </c>
      <c r="C500" s="5" t="str">
        <f ca="1">IFERROR(__xludf.DUMMYFUNCTION("""COMPUTED_VALUE"""),"مصر الجديدة")</f>
        <v>مصر الجديدة</v>
      </c>
      <c r="D500" s="5" t="str">
        <f ca="1">IFERROR(__xludf.DUMMYFUNCTION("""COMPUTED_VALUE"""),"صيدلية")</f>
        <v>صيدلية</v>
      </c>
      <c r="E500" s="5" t="str">
        <f ca="1">IFERROR(__xludf.DUMMYFUNCTION("""COMPUTED_VALUE"""),"صيدلية")</f>
        <v>صيدلية</v>
      </c>
      <c r="F500" s="5" t="str">
        <f ca="1">IFERROR(__xludf.DUMMYFUNCTION("""COMPUTED_VALUE"""),"صيدلية (أدوية ومستلزمات طبية)")</f>
        <v>صيدلية (أدوية ومستلزمات طبية)</v>
      </c>
      <c r="G500" s="5" t="str">
        <f ca="1">IFERROR(__xludf.DUMMYFUNCTION("""COMPUTED_VALUE"""),"صيدلية مستشفى القاهرة التخصصي")</f>
        <v>صيدلية مستشفى القاهرة التخصصي</v>
      </c>
      <c r="H500" s="5" t="str">
        <f ca="1">IFERROR(__xludf.DUMMYFUNCTION("""COMPUTED_VALUE"""),"4 شارع أبو عبيده البكري -  روكسى -  مصر الجديدة  -مصر الجديدة-القاهرة")</f>
        <v>4 شارع أبو عبيده البكري -  روكسى -  مصر الجديدة  -مصر الجديدة-القاهرة</v>
      </c>
      <c r="I500" s="6" t="str">
        <f ca="1">IFERROR(__xludf.DUMMYFUNCTION("""COMPUTED_VALUE"""),"19668")</f>
        <v>19668</v>
      </c>
      <c r="J500" s="6"/>
      <c r="K500" s="6" t="str">
        <f ca="1">IFERROR(__xludf.DUMMYFUNCTION("""COMPUTED_VALUE"""),"7% على الادوية المحلية , 2% على الادوية المستوردة         ")</f>
        <v xml:space="preserve">7% على الادوية المحلية , 2% على الادوية المستوردة         </v>
      </c>
    </row>
    <row r="501" spans="1:11" x14ac:dyDescent="0.25">
      <c r="A501" s="4" t="str">
        <f ca="1">IFERROR(__xludf.DUMMYFUNCTION("""COMPUTED_VALUE"""),"104676")</f>
        <v>104676</v>
      </c>
      <c r="B501" s="5" t="str">
        <f ca="1">IFERROR(__xludf.DUMMYFUNCTION("""COMPUTED_VALUE"""),"الاسكندرية")</f>
        <v>الاسكندرية</v>
      </c>
      <c r="C501" s="5" t="str">
        <f ca="1">IFERROR(__xludf.DUMMYFUNCTION("""COMPUTED_VALUE"""),"العصافرة")</f>
        <v>العصافرة</v>
      </c>
      <c r="D501" s="5" t="str">
        <f ca="1">IFERROR(__xludf.DUMMYFUNCTION("""COMPUTED_VALUE"""),"صيدلية")</f>
        <v>صيدلية</v>
      </c>
      <c r="E501" s="5" t="str">
        <f ca="1">IFERROR(__xludf.DUMMYFUNCTION("""COMPUTED_VALUE"""),"صيدلية")</f>
        <v>صيدلية</v>
      </c>
      <c r="F501" s="5" t="str">
        <f ca="1">IFERROR(__xludf.DUMMYFUNCTION("""COMPUTED_VALUE"""),"صيدلية (أدوية ومستلزمات طبية)")</f>
        <v>صيدلية (أدوية ومستلزمات طبية)</v>
      </c>
      <c r="G501" s="5" t="str">
        <f ca="1">IFERROR(__xludf.DUMMYFUNCTION("""COMPUTED_VALUE"""),"صيدليات الدواء")</f>
        <v>صيدليات الدواء</v>
      </c>
      <c r="H501" s="5" t="str">
        <f ca="1">IFERROR(__xludf.DUMMYFUNCTION("""COMPUTED_VALUE"""),"شارع 30 -ميدان مكة المكرمة- العصافرة")</f>
        <v>شارع 30 -ميدان مكة المكرمة- العصافرة</v>
      </c>
      <c r="I501" s="6" t="str">
        <f ca="1">IFERROR(__xludf.DUMMYFUNCTION("""COMPUTED_VALUE"""),"2033249943")</f>
        <v>2033249943</v>
      </c>
      <c r="J501" s="6" t="str">
        <f ca="1">IFERROR(__xludf.DUMMYFUNCTION("""COMPUTED_VALUE"""),"201211113131")</f>
        <v>201211113131</v>
      </c>
      <c r="K501" s="6" t="str">
        <f ca="1">IFERROR(__xludf.DUMMYFUNCTION("""COMPUTED_VALUE"""),"خصم 10% علي كل الادويه")</f>
        <v>خصم 10% علي كل الادويه</v>
      </c>
    </row>
    <row r="502" spans="1:11" x14ac:dyDescent="0.25">
      <c r="A502" s="4" t="str">
        <f ca="1">IFERROR(__xludf.DUMMYFUNCTION("""COMPUTED_VALUE"""),"104684")</f>
        <v>104684</v>
      </c>
      <c r="B502" s="5" t="str">
        <f ca="1">IFERROR(__xludf.DUMMYFUNCTION("""COMPUTED_VALUE"""),"الشرقية")</f>
        <v>الشرقية</v>
      </c>
      <c r="C502" s="5" t="str">
        <f ca="1">IFERROR(__xludf.DUMMYFUNCTION("""COMPUTED_VALUE"""),"كفر صقر")</f>
        <v>كفر صقر</v>
      </c>
      <c r="D502" s="5" t="str">
        <f ca="1">IFERROR(__xludf.DUMMYFUNCTION("""COMPUTED_VALUE"""),"صيدلية")</f>
        <v>صيدلية</v>
      </c>
      <c r="E502" s="5" t="str">
        <f ca="1">IFERROR(__xludf.DUMMYFUNCTION("""COMPUTED_VALUE"""),"صيدلية")</f>
        <v>صيدلية</v>
      </c>
      <c r="F502" s="5" t="str">
        <f ca="1">IFERROR(__xludf.DUMMYFUNCTION("""COMPUTED_VALUE"""),"صيدلية (أدوية ومستلزمات طبية)")</f>
        <v>صيدلية (أدوية ومستلزمات طبية)</v>
      </c>
      <c r="G502" s="5" t="str">
        <f ca="1">IFERROR(__xludf.DUMMYFUNCTION("""COMPUTED_VALUE"""),"د/ الشربينى على الشربينى ( صيدلية الشربيني )")</f>
        <v>د/ الشربينى على الشربينى ( صيدلية الشربيني )</v>
      </c>
      <c r="H502" s="5" t="str">
        <f ca="1">IFERROR(__xludf.DUMMYFUNCTION("""COMPUTED_VALUE"""),"شارع البحر -بجوار مركز الشرطة- اولاد صقر- الشرقية")</f>
        <v>شارع البحر -بجوار مركز الشرطة- اولاد صقر- الشرقية</v>
      </c>
      <c r="I502" s="6" t="str">
        <f ca="1">IFERROR(__xludf.DUMMYFUNCTION("""COMPUTED_VALUE"""),"01027641015")</f>
        <v>01027641015</v>
      </c>
      <c r="J502" s="6"/>
      <c r="K502" s="6" t="str">
        <f ca="1">IFERROR(__xludf.DUMMYFUNCTION("""COMPUTED_VALUE"""),"خصم13% علي المحلي &amp; 6% علي المستورد")</f>
        <v>خصم13% علي المحلي &amp; 6% علي المستورد</v>
      </c>
    </row>
    <row r="503" spans="1:11" x14ac:dyDescent="0.25">
      <c r="A503" s="4" t="str">
        <f ca="1">IFERROR(__xludf.DUMMYFUNCTION("""COMPUTED_VALUE"""),"104676-B")</f>
        <v>104676-B</v>
      </c>
      <c r="B503" s="5" t="str">
        <f ca="1">IFERROR(__xludf.DUMMYFUNCTION("""COMPUTED_VALUE"""),"الاسكندرية")</f>
        <v>الاسكندرية</v>
      </c>
      <c r="C503" s="5" t="str">
        <f ca="1">IFERROR(__xludf.DUMMYFUNCTION("""COMPUTED_VALUE"""),"سموحة")</f>
        <v>سموحة</v>
      </c>
      <c r="D503" s="5" t="str">
        <f ca="1">IFERROR(__xludf.DUMMYFUNCTION("""COMPUTED_VALUE"""),"صيدلية")</f>
        <v>صيدلية</v>
      </c>
      <c r="E503" s="5" t="str">
        <f ca="1">IFERROR(__xludf.DUMMYFUNCTION("""COMPUTED_VALUE"""),"صيدلية")</f>
        <v>صيدلية</v>
      </c>
      <c r="F503" s="5" t="str">
        <f ca="1">IFERROR(__xludf.DUMMYFUNCTION("""COMPUTED_VALUE"""),"صيدلية (أدوية ومستلزمات طبية)")</f>
        <v>صيدلية (أدوية ومستلزمات طبية)</v>
      </c>
      <c r="G503" s="5" t="str">
        <f ca="1">IFERROR(__xludf.DUMMYFUNCTION("""COMPUTED_VALUE"""),"صيدليات الدواء")</f>
        <v>صيدليات الدواء</v>
      </c>
      <c r="H503" s="5" t="str">
        <f ca="1">IFERROR(__xludf.DUMMYFUNCTION("""COMPUTED_VALUE"""),"شارع تقسيم 103 رقم (أ) - أمام مستشفى الاندلسية - سموحة - الاسكندرية")</f>
        <v>شارع تقسيم 103 رقم (أ) - أمام مستشفى الاندلسية - سموحة - الاسكندرية</v>
      </c>
      <c r="I503" s="6" t="str">
        <f ca="1">IFERROR(__xludf.DUMMYFUNCTION("""COMPUTED_VALUE"""),"2034200002")</f>
        <v>2034200002</v>
      </c>
      <c r="J503" s="6" t="str">
        <f ca="1">IFERROR(__xludf.DUMMYFUNCTION("""COMPUTED_VALUE"""),"201211113131")</f>
        <v>201211113131</v>
      </c>
      <c r="K503" s="6" t="str">
        <f ca="1">IFERROR(__xludf.DUMMYFUNCTION("""COMPUTED_VALUE"""),"خصم 10% علي كل الادويه")</f>
        <v>خصم 10% علي كل الادويه</v>
      </c>
    </row>
    <row r="504" spans="1:11" x14ac:dyDescent="0.25">
      <c r="A504" s="4" t="str">
        <f ca="1">IFERROR(__xludf.DUMMYFUNCTION("""COMPUTED_VALUE"""),"104676-B")</f>
        <v>104676-B</v>
      </c>
      <c r="B504" s="5" t="str">
        <f ca="1">IFERROR(__xludf.DUMMYFUNCTION("""COMPUTED_VALUE"""),"الاسكندرية")</f>
        <v>الاسكندرية</v>
      </c>
      <c r="C504" s="5" t="str">
        <f ca="1">IFERROR(__xludf.DUMMYFUNCTION("""COMPUTED_VALUE"""),"جليم")</f>
        <v>جليم</v>
      </c>
      <c r="D504" s="5" t="str">
        <f ca="1">IFERROR(__xludf.DUMMYFUNCTION("""COMPUTED_VALUE"""),"صيدلية")</f>
        <v>صيدلية</v>
      </c>
      <c r="E504" s="5" t="str">
        <f ca="1">IFERROR(__xludf.DUMMYFUNCTION("""COMPUTED_VALUE"""),"صيدلية")</f>
        <v>صيدلية</v>
      </c>
      <c r="F504" s="5" t="str">
        <f ca="1">IFERROR(__xludf.DUMMYFUNCTION("""COMPUTED_VALUE"""),"صيدلية (أدوية ومستلزمات طبية)")</f>
        <v>صيدلية (أدوية ومستلزمات طبية)</v>
      </c>
      <c r="G504" s="5" t="str">
        <f ca="1">IFERROR(__xludf.DUMMYFUNCTION("""COMPUTED_VALUE"""),"صيدليات الدواء")</f>
        <v>صيدليات الدواء</v>
      </c>
      <c r="H504" s="5" t="str">
        <f ca="1">IFERROR(__xludf.DUMMYFUNCTION("""COMPUTED_VALUE"""),"شارع الاذاعة أمام مبني الإذاعة - جليم - الاسكندرية")</f>
        <v>شارع الاذاعة أمام مبني الإذاعة - جليم - الاسكندرية</v>
      </c>
      <c r="I504" s="6" t="str">
        <f ca="1">IFERROR(__xludf.DUMMYFUNCTION("""COMPUTED_VALUE"""),"2035856264")</f>
        <v>2035856264</v>
      </c>
      <c r="J504" s="6" t="str">
        <f ca="1">IFERROR(__xludf.DUMMYFUNCTION("""COMPUTED_VALUE"""),"201211113131")</f>
        <v>201211113131</v>
      </c>
      <c r="K504" s="6" t="str">
        <f ca="1">IFERROR(__xludf.DUMMYFUNCTION("""COMPUTED_VALUE"""),"خصم 10% علي كل الادويه")</f>
        <v>خصم 10% علي كل الادويه</v>
      </c>
    </row>
    <row r="505" spans="1:11" x14ac:dyDescent="0.25">
      <c r="A505" s="4" t="str">
        <f ca="1">IFERROR(__xludf.DUMMYFUNCTION("""COMPUTED_VALUE"""),"104691")</f>
        <v>104691</v>
      </c>
      <c r="B505" s="5" t="str">
        <f ca="1">IFERROR(__xludf.DUMMYFUNCTION("""COMPUTED_VALUE"""),"المنيا")</f>
        <v>المنيا</v>
      </c>
      <c r="C505" s="5" t="str">
        <f ca="1">IFERROR(__xludf.DUMMYFUNCTION("""COMPUTED_VALUE"""),"ملوي")</f>
        <v>ملوي</v>
      </c>
      <c r="D505" s="5" t="str">
        <f ca="1">IFERROR(__xludf.DUMMYFUNCTION("""COMPUTED_VALUE"""),"صيدلية")</f>
        <v>صيدلية</v>
      </c>
      <c r="E505" s="5" t="str">
        <f ca="1">IFERROR(__xludf.DUMMYFUNCTION("""COMPUTED_VALUE"""),"صيدلية")</f>
        <v>صيدلية</v>
      </c>
      <c r="F505" s="5" t="str">
        <f ca="1">IFERROR(__xludf.DUMMYFUNCTION("""COMPUTED_VALUE"""),"صيدلية (أدوية ومستلزمات طبية)")</f>
        <v>صيدلية (أدوية ومستلزمات طبية)</v>
      </c>
      <c r="G505" s="5" t="str">
        <f ca="1">IFERROR(__xludf.DUMMYFUNCTION("""COMPUTED_VALUE"""),"د/إنجي خلف الله رشدي شكري ( صيدلية إنجي )")</f>
        <v>د/إنجي خلف الله رشدي شكري ( صيدلية إنجي )</v>
      </c>
      <c r="H505" s="5" t="str">
        <f ca="1">IFERROR(__xludf.DUMMYFUNCTION("""COMPUTED_VALUE"""),"شارع المجيدي - خلف مستشفى الصفوة - ملوي - المنيا")</f>
        <v>شارع المجيدي - خلف مستشفى الصفوة - ملوي - المنيا</v>
      </c>
      <c r="I505" s="6" t="str">
        <f ca="1">IFERROR(__xludf.DUMMYFUNCTION("""COMPUTED_VALUE"""),"201020044906")</f>
        <v>201020044906</v>
      </c>
      <c r="J505" s="6"/>
      <c r="K505" s="6" t="str">
        <f ca="1">IFERROR(__xludf.DUMMYFUNCTION("""COMPUTED_VALUE"""),"خصم 11% علي المحلي , 5% علي المستورد")</f>
        <v>خصم 11% علي المحلي , 5% علي المستورد</v>
      </c>
    </row>
    <row r="506" spans="1:11" x14ac:dyDescent="0.25">
      <c r="A506" s="4" t="str">
        <f ca="1">IFERROR(__xludf.DUMMYFUNCTION("""COMPUTED_VALUE"""),"104749")</f>
        <v>104749</v>
      </c>
      <c r="B506" s="5" t="str">
        <f ca="1">IFERROR(__xludf.DUMMYFUNCTION("""COMPUTED_VALUE"""),"بني سويف")</f>
        <v>بني سويف</v>
      </c>
      <c r="C506" s="5" t="str">
        <f ca="1">IFERROR(__xludf.DUMMYFUNCTION("""COMPUTED_VALUE"""),"الفشن")</f>
        <v>الفشن</v>
      </c>
      <c r="D506" s="5" t="str">
        <f ca="1">IFERROR(__xludf.DUMMYFUNCTION("""COMPUTED_VALUE"""),"صيدلية")</f>
        <v>صيدلية</v>
      </c>
      <c r="E506" s="5" t="str">
        <f ca="1">IFERROR(__xludf.DUMMYFUNCTION("""COMPUTED_VALUE"""),"صيدلية")</f>
        <v>صيدلية</v>
      </c>
      <c r="F506" s="5" t="str">
        <f ca="1">IFERROR(__xludf.DUMMYFUNCTION("""COMPUTED_VALUE"""),"صيدلية (أدوية ومستلزمات طبية)")</f>
        <v>صيدلية (أدوية ومستلزمات طبية)</v>
      </c>
      <c r="G506" s="5" t="str">
        <f ca="1">IFERROR(__xludf.DUMMYFUNCTION("""COMPUTED_VALUE"""),"صيدلية-جابر محمد محمد يونس (صيدلية الشفاء)")</f>
        <v>صيدلية-جابر محمد محمد يونس (صيدلية الشفاء)</v>
      </c>
      <c r="H506" s="5" t="str">
        <f ca="1">IFERROR(__xludf.DUMMYFUNCTION("""COMPUTED_VALUE"""),"ميدان الشرطة - الفش - بني سويف")</f>
        <v>ميدان الشرطة - الفش - بني سويف</v>
      </c>
      <c r="I506" s="6" t="str">
        <f ca="1">IFERROR(__xludf.DUMMYFUNCTION("""COMPUTED_VALUE"""),"201005522519")</f>
        <v>201005522519</v>
      </c>
      <c r="J506" s="6"/>
      <c r="K506" s="6" t="str">
        <f ca="1">IFERROR(__xludf.DUMMYFUNCTION("""COMPUTED_VALUE"""),"خصم 11% علي كل الادويه")</f>
        <v>خصم 11% علي كل الادويه</v>
      </c>
    </row>
    <row r="507" spans="1:11" x14ac:dyDescent="0.25">
      <c r="A507" s="4" t="str">
        <f ca="1">IFERROR(__xludf.DUMMYFUNCTION("""COMPUTED_VALUE"""),"104754")</f>
        <v>104754</v>
      </c>
      <c r="B507" s="5" t="str">
        <f ca="1">IFERROR(__xludf.DUMMYFUNCTION("""COMPUTED_VALUE"""),"القليوبية")</f>
        <v>القليوبية</v>
      </c>
      <c r="C507" s="5" t="str">
        <f ca="1">IFERROR(__xludf.DUMMYFUNCTION("""COMPUTED_VALUE"""),"الخانكة")</f>
        <v>الخانكة</v>
      </c>
      <c r="D507" s="5" t="str">
        <f ca="1">IFERROR(__xludf.DUMMYFUNCTION("""COMPUTED_VALUE"""),"صيدلية")</f>
        <v>صيدلية</v>
      </c>
      <c r="E507" s="5" t="str">
        <f ca="1">IFERROR(__xludf.DUMMYFUNCTION("""COMPUTED_VALUE"""),"صيدلية")</f>
        <v>صيدلية</v>
      </c>
      <c r="F507" s="5" t="str">
        <f ca="1">IFERROR(__xludf.DUMMYFUNCTION("""COMPUTED_VALUE"""),"صيدلية (أدوية ومستلزمات طبية)")</f>
        <v>صيدلية (أدوية ومستلزمات طبية)</v>
      </c>
      <c r="G507" s="5" t="str">
        <f ca="1">IFERROR(__xludf.DUMMYFUNCTION("""COMPUTED_VALUE"""),"صيدلية د/ محمد السباعي - القرعلي")</f>
        <v>صيدلية د/ محمد السباعي - القرعلي</v>
      </c>
      <c r="H507" s="5" t="str">
        <f ca="1">IFERROR(__xludf.DUMMYFUNCTION("""COMPUTED_VALUE"""),"شارع السرجاني - الخانكة - القليوبية")</f>
        <v>شارع السرجاني - الخانكة - القليوبية</v>
      </c>
      <c r="I507" s="6" t="str">
        <f ca="1">IFERROR(__xludf.DUMMYFUNCTION("""COMPUTED_VALUE"""),"201006782437")</f>
        <v>201006782437</v>
      </c>
      <c r="J507" s="6"/>
      <c r="K507" s="6" t="str">
        <f ca="1">IFERROR(__xludf.DUMMYFUNCTION("""COMPUTED_VALUE"""),"خصم 12% علي المحلي&amp; 5% علي المستورد")</f>
        <v>خصم 12% علي المحلي&amp; 5% علي المستورد</v>
      </c>
    </row>
    <row r="508" spans="1:11" x14ac:dyDescent="0.25">
      <c r="A508" s="4" t="str">
        <f ca="1">IFERROR(__xludf.DUMMYFUNCTION("""COMPUTED_VALUE"""),"104768")</f>
        <v>104768</v>
      </c>
      <c r="B508" s="5" t="str">
        <f ca="1">IFERROR(__xludf.DUMMYFUNCTION("""COMPUTED_VALUE"""),"المنيا")</f>
        <v>المنيا</v>
      </c>
      <c r="C508" s="5" t="str">
        <f ca="1">IFERROR(__xludf.DUMMYFUNCTION("""COMPUTED_VALUE"""),"أبو قرقاص")</f>
        <v>أبو قرقاص</v>
      </c>
      <c r="D508" s="5" t="str">
        <f ca="1">IFERROR(__xludf.DUMMYFUNCTION("""COMPUTED_VALUE"""),"صيدلية")</f>
        <v>صيدلية</v>
      </c>
      <c r="E508" s="5" t="str">
        <f ca="1">IFERROR(__xludf.DUMMYFUNCTION("""COMPUTED_VALUE"""),"صيدلية")</f>
        <v>صيدلية</v>
      </c>
      <c r="F508" s="5" t="str">
        <f ca="1">IFERROR(__xludf.DUMMYFUNCTION("""COMPUTED_VALUE"""),"صيدلية (أدوية ومستلزمات طبية)")</f>
        <v>صيدلية (أدوية ومستلزمات طبية)</v>
      </c>
      <c r="G508" s="5" t="str">
        <f ca="1">IFERROR(__xludf.DUMMYFUNCTION("""COMPUTED_VALUE"""),"صيدلية د/ مريم عماد فايق")</f>
        <v>صيدلية د/ مريم عماد فايق</v>
      </c>
      <c r="H508" s="5" t="str">
        <f ca="1">IFERROR(__xludf.DUMMYFUNCTION("""COMPUTED_VALUE"""),"9شارع سعد ابن ابى وقاص - الفكرية - ابوقرقاص - المنيا")</f>
        <v>9شارع سعد ابن ابى وقاص - الفكرية - ابوقرقاص - المنيا</v>
      </c>
      <c r="I508" s="6" t="str">
        <f ca="1">IFERROR(__xludf.DUMMYFUNCTION("""COMPUTED_VALUE"""),"201288643013")</f>
        <v>201288643013</v>
      </c>
      <c r="J508" s="6"/>
      <c r="K508" s="6" t="str">
        <f ca="1">IFERROR(__xludf.DUMMYFUNCTION("""COMPUTED_VALUE"""),"خصم 14% علي المحلي, 8% علي المستورد")</f>
        <v>خصم 14% علي المحلي, 8% علي المستورد</v>
      </c>
    </row>
    <row r="509" spans="1:11" x14ac:dyDescent="0.25">
      <c r="A509" s="4" t="str">
        <f ca="1">IFERROR(__xludf.DUMMYFUNCTION("""COMPUTED_VALUE"""),"104766")</f>
        <v>104766</v>
      </c>
      <c r="B509" s="5" t="str">
        <f ca="1">IFERROR(__xludf.DUMMYFUNCTION("""COMPUTED_VALUE"""),"السويس")</f>
        <v>السويس</v>
      </c>
      <c r="C509" s="5" t="str">
        <f ca="1">IFERROR(__xludf.DUMMYFUNCTION("""COMPUTED_VALUE"""),"السويس")</f>
        <v>السويس</v>
      </c>
      <c r="D509" s="5" t="str">
        <f ca="1">IFERROR(__xludf.DUMMYFUNCTION("""COMPUTED_VALUE"""),"صيدلية")</f>
        <v>صيدلية</v>
      </c>
      <c r="E509" s="5" t="str">
        <f ca="1">IFERROR(__xludf.DUMMYFUNCTION("""COMPUTED_VALUE"""),"صيدلية")</f>
        <v>صيدلية</v>
      </c>
      <c r="F509" s="5" t="str">
        <f ca="1">IFERROR(__xludf.DUMMYFUNCTION("""COMPUTED_VALUE"""),"صيدلية (أدوية ومستلزمات طبية)")</f>
        <v>صيدلية (أدوية ومستلزمات طبية)</v>
      </c>
      <c r="G509" s="5" t="str">
        <f ca="1">IFERROR(__xludf.DUMMYFUNCTION("""COMPUTED_VALUE"""),"صيدلية الفؤاد ( د.فؤاد شهيد فؤاد بخيت)")</f>
        <v>صيدلية الفؤاد ( د.فؤاد شهيد فؤاد بخيت)</v>
      </c>
      <c r="H509" s="5" t="str">
        <f ca="1">IFERROR(__xludf.DUMMYFUNCTION("""COMPUTED_VALUE"""),"19ش مدرسة هلال - الاربعين - السويس")</f>
        <v>19ش مدرسة هلال - الاربعين - السويس</v>
      </c>
      <c r="I509" s="6" t="str">
        <f ca="1">IFERROR(__xludf.DUMMYFUNCTION("""COMPUTED_VALUE"""),"01222291564")</f>
        <v>01222291564</v>
      </c>
      <c r="J509" s="6"/>
      <c r="K509" s="6" t="str">
        <f ca="1">IFERROR(__xludf.DUMMYFUNCTION("""COMPUTED_VALUE"""),"خصم 12% علي المحلي, 7% علي المستورد")</f>
        <v>خصم 12% علي المحلي, 7% علي المستورد</v>
      </c>
    </row>
    <row r="510" spans="1:11" x14ac:dyDescent="0.25">
      <c r="A510" s="4" t="str">
        <f ca="1">IFERROR(__xludf.DUMMYFUNCTION("""COMPUTED_VALUE"""),"104763")</f>
        <v>104763</v>
      </c>
      <c r="B510" s="5" t="str">
        <f ca="1">IFERROR(__xludf.DUMMYFUNCTION("""COMPUTED_VALUE"""),"السويس")</f>
        <v>السويس</v>
      </c>
      <c r="C510" s="5" t="str">
        <f ca="1">IFERROR(__xludf.DUMMYFUNCTION("""COMPUTED_VALUE"""),"السويس")</f>
        <v>السويس</v>
      </c>
      <c r="D510" s="5" t="str">
        <f ca="1">IFERROR(__xludf.DUMMYFUNCTION("""COMPUTED_VALUE"""),"صيدلية")</f>
        <v>صيدلية</v>
      </c>
      <c r="E510" s="5" t="str">
        <f ca="1">IFERROR(__xludf.DUMMYFUNCTION("""COMPUTED_VALUE"""),"صيدلية")</f>
        <v>صيدلية</v>
      </c>
      <c r="F510" s="5" t="str">
        <f ca="1">IFERROR(__xludf.DUMMYFUNCTION("""COMPUTED_VALUE"""),"صيدلية (أدوية ومستلزمات طبية)")</f>
        <v>صيدلية (أدوية ومستلزمات طبية)</v>
      </c>
      <c r="G510" s="5" t="str">
        <f ca="1">IFERROR(__xludf.DUMMYFUNCTION("""COMPUTED_VALUE"""),"صيدلية د/رامي وفادي (رامي ألبرت الفريد )")</f>
        <v>صيدلية د/رامي وفادي (رامي ألبرت الفريد )</v>
      </c>
      <c r="H510" s="5" t="str">
        <f ca="1">IFERROR(__xludf.DUMMYFUNCTION("""COMPUTED_VALUE"""),"21ش المحروسة الجديدة - الملاحة - السويس")</f>
        <v>21ش المحروسة الجديدة - الملاحة - السويس</v>
      </c>
      <c r="I510" s="6" t="str">
        <f ca="1">IFERROR(__xludf.DUMMYFUNCTION("""COMPUTED_VALUE"""),"20623433105")</f>
        <v>20623433105</v>
      </c>
      <c r="J510" s="6"/>
      <c r="K510" s="6" t="str">
        <f ca="1">IFERROR(__xludf.DUMMYFUNCTION("""COMPUTED_VALUE"""),"خصم 12% علي المحلي, 6% علي المستورد")</f>
        <v>خصم 12% علي المحلي, 6% علي المستورد</v>
      </c>
    </row>
    <row r="511" spans="1:11" x14ac:dyDescent="0.25">
      <c r="A511" s="4" t="str">
        <f ca="1">IFERROR(__xludf.DUMMYFUNCTION("""COMPUTED_VALUE"""),"1683-B")</f>
        <v>1683-B</v>
      </c>
      <c r="B511" s="5" t="str">
        <f ca="1">IFERROR(__xludf.DUMMYFUNCTION("""COMPUTED_VALUE"""),"القاهرة")</f>
        <v>القاهرة</v>
      </c>
      <c r="C511" s="5" t="str">
        <f ca="1">IFERROR(__xludf.DUMMYFUNCTION("""COMPUTED_VALUE"""),"مدينة نصر")</f>
        <v>مدينة نصر</v>
      </c>
      <c r="D511" s="5" t="str">
        <f ca="1">IFERROR(__xludf.DUMMYFUNCTION("""COMPUTED_VALUE"""),"صيدلية")</f>
        <v>صيدلية</v>
      </c>
      <c r="E511" s="5" t="str">
        <f ca="1">IFERROR(__xludf.DUMMYFUNCTION("""COMPUTED_VALUE"""),"صيدلية")</f>
        <v>صيدلية</v>
      </c>
      <c r="F511" s="5" t="str">
        <f ca="1">IFERROR(__xludf.DUMMYFUNCTION("""COMPUTED_VALUE"""),"صيدلية (أدوية ومستلزمات طبية)")</f>
        <v>صيدلية (أدوية ومستلزمات طبية)</v>
      </c>
      <c r="G51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511" s="5" t="str">
        <f ca="1">IFERROR(__xludf.DUMMYFUNCTION("""COMPUTED_VALUE"""),"32 ش احمد فخري مدينة نصر")</f>
        <v>32 ش احمد فخري مدينة نصر</v>
      </c>
      <c r="I511" s="6" t="str">
        <f ca="1">IFERROR(__xludf.DUMMYFUNCTION("""COMPUTED_VALUE"""),"1116406043
")</f>
        <v xml:space="preserve">1116406043
</v>
      </c>
      <c r="J511" s="6" t="str">
        <f ca="1">IFERROR(__xludf.DUMMYFUNCTION("""COMPUTED_VALUE"""),"19600")</f>
        <v>19600</v>
      </c>
      <c r="K511" s="6" t="str">
        <f ca="1">IFERROR(__xludf.DUMMYFUNCTION("""COMPUTED_VALUE"""),"7.5 % على المحلى ,5% على المستلزمات الطبية و التجميل")</f>
        <v>7.5 % على المحلى ,5% على المستلزمات الطبية و التجميل</v>
      </c>
    </row>
    <row r="512" spans="1:11" x14ac:dyDescent="0.25">
      <c r="A512" s="4" t="str">
        <f ca="1">IFERROR(__xludf.DUMMYFUNCTION("""COMPUTED_VALUE"""),"1683-B")</f>
        <v>1683-B</v>
      </c>
      <c r="B512" s="5" t="str">
        <f ca="1">IFERROR(__xludf.DUMMYFUNCTION("""COMPUTED_VALUE"""),"القاهرة")</f>
        <v>القاهرة</v>
      </c>
      <c r="C512" s="5" t="str">
        <f ca="1">IFERROR(__xludf.DUMMYFUNCTION("""COMPUTED_VALUE"""),"القاهرة الجديدة")</f>
        <v>القاهرة الجديدة</v>
      </c>
      <c r="D512" s="5" t="str">
        <f ca="1">IFERROR(__xludf.DUMMYFUNCTION("""COMPUTED_VALUE"""),"صيدلية")</f>
        <v>صيدلية</v>
      </c>
      <c r="E512" s="5" t="str">
        <f ca="1">IFERROR(__xludf.DUMMYFUNCTION("""COMPUTED_VALUE"""),"صيدلية")</f>
        <v>صيدلية</v>
      </c>
      <c r="F512" s="5" t="str">
        <f ca="1">IFERROR(__xludf.DUMMYFUNCTION("""COMPUTED_VALUE"""),"صيدلية (أدوية ومستلزمات طبية)")</f>
        <v>صيدلية (أدوية ومستلزمات طبية)</v>
      </c>
      <c r="G51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512" s="5" t="str">
        <f ca="1">IFERROR(__xludf.DUMMYFUNCTION("""COMPUTED_VALUE"""),"محل رقم 2 - منطقة العمارات B1 - مدينتى")</f>
        <v>محل رقم 2 - منطقة العمارات B1 - مدينتى</v>
      </c>
      <c r="I512" s="6" t="str">
        <f ca="1">IFERROR(__xludf.DUMMYFUNCTION("""COMPUTED_VALUE"""),"1120911313
")</f>
        <v xml:space="preserve">1120911313
</v>
      </c>
      <c r="J512" s="6" t="str">
        <f ca="1">IFERROR(__xludf.DUMMYFUNCTION("""COMPUTED_VALUE"""),"19600")</f>
        <v>19600</v>
      </c>
      <c r="K512" s="6" t="str">
        <f ca="1">IFERROR(__xludf.DUMMYFUNCTION("""COMPUTED_VALUE"""),"7.5 % على المحلى ,5% على المستلزمات الطبية و التجميل")</f>
        <v>7.5 % على المحلى ,5% على المستلزمات الطبية و التجميل</v>
      </c>
    </row>
    <row r="513" spans="1:11" x14ac:dyDescent="0.25">
      <c r="A513" s="4" t="str">
        <f ca="1">IFERROR(__xludf.DUMMYFUNCTION("""COMPUTED_VALUE"""),"1683-B")</f>
        <v>1683-B</v>
      </c>
      <c r="B513" s="5" t="str">
        <f ca="1">IFERROR(__xludf.DUMMYFUNCTION("""COMPUTED_VALUE"""),"القاهرة")</f>
        <v>القاهرة</v>
      </c>
      <c r="C513" s="5" t="str">
        <f ca="1">IFERROR(__xludf.DUMMYFUNCTION("""COMPUTED_VALUE"""),"عين شمس")</f>
        <v>عين شمس</v>
      </c>
      <c r="D513" s="5" t="str">
        <f ca="1">IFERROR(__xludf.DUMMYFUNCTION("""COMPUTED_VALUE"""),"صيدلية")</f>
        <v>صيدلية</v>
      </c>
      <c r="E513" s="5" t="str">
        <f ca="1">IFERROR(__xludf.DUMMYFUNCTION("""COMPUTED_VALUE"""),"صيدلية")</f>
        <v>صيدلية</v>
      </c>
      <c r="F513" s="5" t="str">
        <f ca="1">IFERROR(__xludf.DUMMYFUNCTION("""COMPUTED_VALUE"""),"صيدلية (أدوية ومستلزمات طبية)")</f>
        <v>صيدلية (أدوية ومستلزمات طبية)</v>
      </c>
      <c r="G51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513" s="5" t="str">
        <f ca="1">IFERROR(__xludf.DUMMYFUNCTION("""COMPUTED_VALUE"""),"136 ش سليم الأول - بجوار سوبر ماركت خير زمان - عين شمس")</f>
        <v>136 ش سليم الأول - بجوار سوبر ماركت خير زمان - عين شمس</v>
      </c>
      <c r="I513" s="6" t="str">
        <f ca="1">IFERROR(__xludf.DUMMYFUNCTION("""COMPUTED_VALUE"""),"1121000336
")</f>
        <v xml:space="preserve">1121000336
</v>
      </c>
      <c r="J513" s="6" t="str">
        <f ca="1">IFERROR(__xludf.DUMMYFUNCTION("""COMPUTED_VALUE"""),"19600")</f>
        <v>19600</v>
      </c>
      <c r="K513" s="6" t="str">
        <f ca="1">IFERROR(__xludf.DUMMYFUNCTION("""COMPUTED_VALUE"""),"7.5 % على المحلى ,5% على المستلزمات الطبية و التجميل")</f>
        <v>7.5 % على المحلى ,5% على المستلزمات الطبية و التجميل</v>
      </c>
    </row>
    <row r="514" spans="1:11" x14ac:dyDescent="0.25">
      <c r="A514" s="4" t="str">
        <f ca="1">IFERROR(__xludf.DUMMYFUNCTION("""COMPUTED_VALUE"""),"1683-B")</f>
        <v>1683-B</v>
      </c>
      <c r="B514" s="5" t="str">
        <f ca="1">IFERROR(__xludf.DUMMYFUNCTION("""COMPUTED_VALUE"""),"القاهرة")</f>
        <v>القاهرة</v>
      </c>
      <c r="C514" s="5" t="str">
        <f ca="1">IFERROR(__xludf.DUMMYFUNCTION("""COMPUTED_VALUE"""),"رمسيس")</f>
        <v>رمسيس</v>
      </c>
      <c r="D514" s="5" t="str">
        <f ca="1">IFERROR(__xludf.DUMMYFUNCTION("""COMPUTED_VALUE"""),"صيدلية")</f>
        <v>صيدلية</v>
      </c>
      <c r="E514" s="5" t="str">
        <f ca="1">IFERROR(__xludf.DUMMYFUNCTION("""COMPUTED_VALUE"""),"صيدلية")</f>
        <v>صيدلية</v>
      </c>
      <c r="F514" s="5" t="str">
        <f ca="1">IFERROR(__xludf.DUMMYFUNCTION("""COMPUTED_VALUE"""),"صيدلية (أدوية ومستلزمات طبية)")</f>
        <v>صيدلية (أدوية ومستلزمات طبية)</v>
      </c>
      <c r="G51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514" s="5" t="str">
        <f ca="1">IFERROR(__xludf.DUMMYFUNCTION("""COMPUTED_VALUE"""),"317 ش رمسيس -اخر نزلة كوبرى احمد سعيد - رمسيس")</f>
        <v>317 ش رمسيس -اخر نزلة كوبرى احمد سعيد - رمسيس</v>
      </c>
      <c r="I514" s="6" t="str">
        <f ca="1">IFERROR(__xludf.DUMMYFUNCTION("""COMPUTED_VALUE"""),"1110079623
")</f>
        <v xml:space="preserve">1110079623
</v>
      </c>
      <c r="J514" s="6" t="str">
        <f ca="1">IFERROR(__xludf.DUMMYFUNCTION("""COMPUTED_VALUE"""),"19600")</f>
        <v>19600</v>
      </c>
      <c r="K514" s="6" t="str">
        <f ca="1">IFERROR(__xludf.DUMMYFUNCTION("""COMPUTED_VALUE"""),"7.5 % على المحلى ,5% على المستلزمات الطبية و التجميل")</f>
        <v>7.5 % على المحلى ,5% على المستلزمات الطبية و التجميل</v>
      </c>
    </row>
    <row r="515" spans="1:11" x14ac:dyDescent="0.25">
      <c r="A515" s="4" t="str">
        <f ca="1">IFERROR(__xludf.DUMMYFUNCTION("""COMPUTED_VALUE"""),"1683-B")</f>
        <v>1683-B</v>
      </c>
      <c r="B515" s="5" t="str">
        <f ca="1">IFERROR(__xludf.DUMMYFUNCTION("""COMPUTED_VALUE"""),"القاهرة")</f>
        <v>القاهرة</v>
      </c>
      <c r="C515" s="5" t="str">
        <f ca="1">IFERROR(__xludf.DUMMYFUNCTION("""COMPUTED_VALUE"""),"شبرا")</f>
        <v>شبرا</v>
      </c>
      <c r="D515" s="5" t="str">
        <f ca="1">IFERROR(__xludf.DUMMYFUNCTION("""COMPUTED_VALUE"""),"صيدلية")</f>
        <v>صيدلية</v>
      </c>
      <c r="E515" s="5" t="str">
        <f ca="1">IFERROR(__xludf.DUMMYFUNCTION("""COMPUTED_VALUE"""),"صيدلية")</f>
        <v>صيدلية</v>
      </c>
      <c r="F515" s="5" t="str">
        <f ca="1">IFERROR(__xludf.DUMMYFUNCTION("""COMPUTED_VALUE"""),"صيدلية (أدوية ومستلزمات طبية)")</f>
        <v>صيدلية (أدوية ومستلزمات طبية)</v>
      </c>
      <c r="G51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515" s="5" t="str">
        <f ca="1">IFERROR(__xludf.DUMMYFUNCTION("""COMPUTED_VALUE"""),"113شارع شبرا - القاهرة")</f>
        <v>113شارع شبرا - القاهرة</v>
      </c>
      <c r="I515" s="6"/>
      <c r="J515" s="6" t="str">
        <f ca="1">IFERROR(__xludf.DUMMYFUNCTION("""COMPUTED_VALUE"""),"19600")</f>
        <v>19600</v>
      </c>
      <c r="K515" s="6" t="str">
        <f ca="1">IFERROR(__xludf.DUMMYFUNCTION("""COMPUTED_VALUE"""),"7.5 % على المحلى ,5% على المستلزمات الطبية و التجميل")</f>
        <v>7.5 % على المحلى ,5% على المستلزمات الطبية و التجميل</v>
      </c>
    </row>
    <row r="516" spans="1:11" x14ac:dyDescent="0.25">
      <c r="A516" s="4" t="str">
        <f ca="1">IFERROR(__xludf.DUMMYFUNCTION("""COMPUTED_VALUE"""),"1683-B")</f>
        <v>1683-B</v>
      </c>
      <c r="B516" s="5" t="str">
        <f ca="1">IFERROR(__xludf.DUMMYFUNCTION("""COMPUTED_VALUE"""),"القاهرة")</f>
        <v>القاهرة</v>
      </c>
      <c r="C516" s="5" t="str">
        <f ca="1">IFERROR(__xludf.DUMMYFUNCTION("""COMPUTED_VALUE"""),"الزمالك")</f>
        <v>الزمالك</v>
      </c>
      <c r="D516" s="5" t="str">
        <f ca="1">IFERROR(__xludf.DUMMYFUNCTION("""COMPUTED_VALUE"""),"صيدلية")</f>
        <v>صيدلية</v>
      </c>
      <c r="E516" s="5" t="str">
        <f ca="1">IFERROR(__xludf.DUMMYFUNCTION("""COMPUTED_VALUE"""),"صيدلية")</f>
        <v>صيدلية</v>
      </c>
      <c r="F516" s="5" t="str">
        <f ca="1">IFERROR(__xludf.DUMMYFUNCTION("""COMPUTED_VALUE"""),"صيدلية (أدوية ومستلزمات طبية)")</f>
        <v>صيدلية (أدوية ومستلزمات طبية)</v>
      </c>
      <c r="G51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516" s="5" t="str">
        <f ca="1">IFERROR(__xludf.DUMMYFUNCTION("""COMPUTED_VALUE"""),"6أ شارع الملك الافضل-الزمالك -قصر النيل")</f>
        <v>6أ شارع الملك الافضل-الزمالك -قصر النيل</v>
      </c>
      <c r="I516" s="6" t="str">
        <f ca="1">IFERROR(__xludf.DUMMYFUNCTION("""COMPUTED_VALUE"""),"1112219486
")</f>
        <v xml:space="preserve">1112219486
</v>
      </c>
      <c r="J516" s="6" t="str">
        <f ca="1">IFERROR(__xludf.DUMMYFUNCTION("""COMPUTED_VALUE"""),"19600")</f>
        <v>19600</v>
      </c>
      <c r="K516" s="6" t="str">
        <f ca="1">IFERROR(__xludf.DUMMYFUNCTION("""COMPUTED_VALUE"""),"7.5 % على المحلى ,5% على المستلزمات الطبية و التجميل")</f>
        <v>7.5 % على المحلى ,5% على المستلزمات الطبية و التجميل</v>
      </c>
    </row>
    <row r="517" spans="1:11" x14ac:dyDescent="0.25">
      <c r="A517" s="4" t="str">
        <f ca="1">IFERROR(__xludf.DUMMYFUNCTION("""COMPUTED_VALUE"""),"1683-B")</f>
        <v>1683-B</v>
      </c>
      <c r="B517" s="5" t="str">
        <f ca="1">IFERROR(__xludf.DUMMYFUNCTION("""COMPUTED_VALUE"""),"الجيزة")</f>
        <v>الجيزة</v>
      </c>
      <c r="C517" s="5" t="str">
        <f ca="1">IFERROR(__xludf.DUMMYFUNCTION("""COMPUTED_VALUE"""),"الهرم")</f>
        <v>الهرم</v>
      </c>
      <c r="D517" s="5" t="str">
        <f ca="1">IFERROR(__xludf.DUMMYFUNCTION("""COMPUTED_VALUE"""),"صيدلية")</f>
        <v>صيدلية</v>
      </c>
      <c r="E517" s="5" t="str">
        <f ca="1">IFERROR(__xludf.DUMMYFUNCTION("""COMPUTED_VALUE"""),"صيدلية")</f>
        <v>صيدلية</v>
      </c>
      <c r="F517" s="5" t="str">
        <f ca="1">IFERROR(__xludf.DUMMYFUNCTION("""COMPUTED_VALUE"""),"صيدلية (أدوية ومستلزمات طبية)")</f>
        <v>صيدلية (أدوية ومستلزمات طبية)</v>
      </c>
      <c r="G51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517" s="5" t="str">
        <f ca="1">IFERROR(__xludf.DUMMYFUNCTION("""COMPUTED_VALUE"""),"44 شارع الهرم أمام فندق قصر الأهرام - محل رقم 3 - الهرم")</f>
        <v>44 شارع الهرم أمام فندق قصر الأهرام - محل رقم 3 - الهرم</v>
      </c>
      <c r="I517" s="6" t="str">
        <f ca="1">IFERROR(__xludf.DUMMYFUNCTION("""COMPUTED_VALUE"""),"1100779060
")</f>
        <v xml:space="preserve">1100779060
</v>
      </c>
      <c r="J517" s="6" t="str">
        <f ca="1">IFERROR(__xludf.DUMMYFUNCTION("""COMPUTED_VALUE"""),"19600")</f>
        <v>19600</v>
      </c>
      <c r="K517" s="6" t="str">
        <f ca="1">IFERROR(__xludf.DUMMYFUNCTION("""COMPUTED_VALUE"""),"7.5 % على المحلى ,5% على المستلزمات الطبية و التجميل")</f>
        <v>7.5 % على المحلى ,5% على المستلزمات الطبية و التجميل</v>
      </c>
    </row>
    <row r="518" spans="1:11" x14ac:dyDescent="0.25">
      <c r="A518" s="4" t="str">
        <f ca="1">IFERROR(__xludf.DUMMYFUNCTION("""COMPUTED_VALUE"""),"1683-B")</f>
        <v>1683-B</v>
      </c>
      <c r="B518" s="5" t="str">
        <f ca="1">IFERROR(__xludf.DUMMYFUNCTION("""COMPUTED_VALUE"""),"الجيزة")</f>
        <v>الجيزة</v>
      </c>
      <c r="C518" s="5" t="str">
        <f ca="1">IFERROR(__xludf.DUMMYFUNCTION("""COMPUTED_VALUE"""),"المهندسين")</f>
        <v>المهندسين</v>
      </c>
      <c r="D518" s="5" t="str">
        <f ca="1">IFERROR(__xludf.DUMMYFUNCTION("""COMPUTED_VALUE"""),"صيدلية")</f>
        <v>صيدلية</v>
      </c>
      <c r="E518" s="5" t="str">
        <f ca="1">IFERROR(__xludf.DUMMYFUNCTION("""COMPUTED_VALUE"""),"صيدلية")</f>
        <v>صيدلية</v>
      </c>
      <c r="F518" s="5" t="str">
        <f ca="1">IFERROR(__xludf.DUMMYFUNCTION("""COMPUTED_VALUE"""),"صيدلية (أدوية ومستلزمات طبية)")</f>
        <v>صيدلية (أدوية ومستلزمات طبية)</v>
      </c>
      <c r="G51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518" s="5" t="str">
        <f ca="1">IFERROR(__xludf.DUMMYFUNCTION("""COMPUTED_VALUE"""),"85 ش شهاب من وادي النيل - المهندسين")</f>
        <v>85 ش شهاب من وادي النيل - المهندسين</v>
      </c>
      <c r="I518" s="6" t="str">
        <f ca="1">IFERROR(__xludf.DUMMYFUNCTION("""COMPUTED_VALUE"""),"1129985708
")</f>
        <v xml:space="preserve">1129985708
</v>
      </c>
      <c r="J518" s="6" t="str">
        <f ca="1">IFERROR(__xludf.DUMMYFUNCTION("""COMPUTED_VALUE"""),"19600")</f>
        <v>19600</v>
      </c>
      <c r="K518" s="6" t="str">
        <f ca="1">IFERROR(__xludf.DUMMYFUNCTION("""COMPUTED_VALUE"""),"7.5 % على المحلى ,5% على المستلزمات الطبية و التجميل")</f>
        <v>7.5 % على المحلى ,5% على المستلزمات الطبية و التجميل</v>
      </c>
    </row>
    <row r="519" spans="1:11" x14ac:dyDescent="0.25">
      <c r="A519" s="4" t="str">
        <f ca="1">IFERROR(__xludf.DUMMYFUNCTION("""COMPUTED_VALUE"""),"1683-B")</f>
        <v>1683-B</v>
      </c>
      <c r="B519" s="5" t="str">
        <f ca="1">IFERROR(__xludf.DUMMYFUNCTION("""COMPUTED_VALUE"""),"أسيوط")</f>
        <v>أسيوط</v>
      </c>
      <c r="C519" s="5" t="str">
        <f ca="1">IFERROR(__xludf.DUMMYFUNCTION("""COMPUTED_VALUE"""),"أسيوط")</f>
        <v>أسيوط</v>
      </c>
      <c r="D519" s="5" t="str">
        <f ca="1">IFERROR(__xludf.DUMMYFUNCTION("""COMPUTED_VALUE"""),"صيدلية")</f>
        <v>صيدلية</v>
      </c>
      <c r="E519" s="5" t="str">
        <f ca="1">IFERROR(__xludf.DUMMYFUNCTION("""COMPUTED_VALUE"""),"صيدلية")</f>
        <v>صيدلية</v>
      </c>
      <c r="F519" s="5" t="str">
        <f ca="1">IFERROR(__xludf.DUMMYFUNCTION("""COMPUTED_VALUE"""),"صيدلية (أدوية ومستلزمات طبية)")</f>
        <v>صيدلية (أدوية ومستلزمات طبية)</v>
      </c>
      <c r="G51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519" s="5" t="str">
        <f ca="1">IFERROR(__xludf.DUMMYFUNCTION("""COMPUTED_VALUE"""),"ش معهد الفتيات الازهرى بجوار مسجد مكة  - أسيوط")</f>
        <v>ش معهد الفتيات الازهرى بجوار مسجد مكة  - أسيوط</v>
      </c>
      <c r="I519" s="6" t="str">
        <f ca="1">IFERROR(__xludf.DUMMYFUNCTION("""COMPUTED_VALUE"""),"1129985893
")</f>
        <v xml:space="preserve">1129985893
</v>
      </c>
      <c r="J519" s="6" t="str">
        <f ca="1">IFERROR(__xludf.DUMMYFUNCTION("""COMPUTED_VALUE"""),"19600")</f>
        <v>19600</v>
      </c>
      <c r="K519" s="6" t="str">
        <f ca="1">IFERROR(__xludf.DUMMYFUNCTION("""COMPUTED_VALUE"""),"7.5 % على المحلى ,5% على المستلزمات الطبية و التجميل")</f>
        <v>7.5 % على المحلى ,5% على المستلزمات الطبية و التجميل</v>
      </c>
    </row>
    <row r="520" spans="1:11" x14ac:dyDescent="0.25">
      <c r="A520" s="4" t="str">
        <f ca="1">IFERROR(__xludf.DUMMYFUNCTION("""COMPUTED_VALUE"""),"1683-B")</f>
        <v>1683-B</v>
      </c>
      <c r="B520" s="5" t="str">
        <f ca="1">IFERROR(__xludf.DUMMYFUNCTION("""COMPUTED_VALUE"""),"البحيرة")</f>
        <v>البحيرة</v>
      </c>
      <c r="C520" s="5" t="str">
        <f ca="1">IFERROR(__xludf.DUMMYFUNCTION("""COMPUTED_VALUE"""),"دمنهور")</f>
        <v>دمنهور</v>
      </c>
      <c r="D520" s="5" t="str">
        <f ca="1">IFERROR(__xludf.DUMMYFUNCTION("""COMPUTED_VALUE"""),"صيدلية")</f>
        <v>صيدلية</v>
      </c>
      <c r="E520" s="5" t="str">
        <f ca="1">IFERROR(__xludf.DUMMYFUNCTION("""COMPUTED_VALUE"""),"صيدلية")</f>
        <v>صيدلية</v>
      </c>
      <c r="F520" s="5" t="str">
        <f ca="1">IFERROR(__xludf.DUMMYFUNCTION("""COMPUTED_VALUE"""),"صيدلية (أدوية ومستلزمات طبية)")</f>
        <v>صيدلية (أدوية ومستلزمات طبية)</v>
      </c>
      <c r="G52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520" s="5" t="str">
        <f ca="1">IFERROR(__xludf.DUMMYFUNCTION("""COMPUTED_VALUE"""),"ش عبد السلام الشاذلى - بندر دمنهور - البحيرة")</f>
        <v>ش عبد السلام الشاذلى - بندر دمنهور - البحيرة</v>
      </c>
      <c r="I520" s="6"/>
      <c r="J520" s="6" t="str">
        <f ca="1">IFERROR(__xludf.DUMMYFUNCTION("""COMPUTED_VALUE"""),"19600")</f>
        <v>19600</v>
      </c>
      <c r="K520" s="6" t="str">
        <f ca="1">IFERROR(__xludf.DUMMYFUNCTION("""COMPUTED_VALUE"""),"7.5 % على المحلى ,5% على المستلزمات الطبية و التجميل")</f>
        <v>7.5 % على المحلى ,5% على المستلزمات الطبية و التجميل</v>
      </c>
    </row>
    <row r="521" spans="1:11" x14ac:dyDescent="0.25">
      <c r="A521" s="4" t="str">
        <f ca="1">IFERROR(__xludf.DUMMYFUNCTION("""COMPUTED_VALUE"""),"1683-B")</f>
        <v>1683-B</v>
      </c>
      <c r="B521" s="5" t="str">
        <f ca="1">IFERROR(__xludf.DUMMYFUNCTION("""COMPUTED_VALUE"""),"مرسى مطروح")</f>
        <v>مرسى مطروح</v>
      </c>
      <c r="C521" s="5" t="str">
        <f ca="1">IFERROR(__xludf.DUMMYFUNCTION("""COMPUTED_VALUE"""),"الساحل الشمالي")</f>
        <v>الساحل الشمالي</v>
      </c>
      <c r="D521" s="5" t="str">
        <f ca="1">IFERROR(__xludf.DUMMYFUNCTION("""COMPUTED_VALUE"""),"صيدلية")</f>
        <v>صيدلية</v>
      </c>
      <c r="E521" s="5" t="str">
        <f ca="1">IFERROR(__xludf.DUMMYFUNCTION("""COMPUTED_VALUE"""),"صيدلية")</f>
        <v>صيدلية</v>
      </c>
      <c r="F521" s="5" t="str">
        <f ca="1">IFERROR(__xludf.DUMMYFUNCTION("""COMPUTED_VALUE"""),"صيدلية (أدوية ومستلزمات طبية)")</f>
        <v>صيدلية (أدوية ومستلزمات طبية)</v>
      </c>
      <c r="G52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521" s="5" t="str">
        <f ca="1">IFERROR(__xludf.DUMMYFUNCTION("""COMPUTED_VALUE"""),"محل رقم CV 12 مراسي - الساحل الشمالي")</f>
        <v>محل رقم CV 12 مراسي - الساحل الشمالي</v>
      </c>
      <c r="I521" s="6" t="str">
        <f ca="1">IFERROR(__xludf.DUMMYFUNCTION("""COMPUTED_VALUE"""),"1153333935
")</f>
        <v xml:space="preserve">1153333935
</v>
      </c>
      <c r="J521" s="6" t="str">
        <f ca="1">IFERROR(__xludf.DUMMYFUNCTION("""COMPUTED_VALUE"""),"19600")</f>
        <v>19600</v>
      </c>
      <c r="K521" s="6" t="str">
        <f ca="1">IFERROR(__xludf.DUMMYFUNCTION("""COMPUTED_VALUE"""),"7.5 % على المحلى ,5% على المستلزمات الطبية و التجميل")</f>
        <v>7.5 % على المحلى ,5% على المستلزمات الطبية و التجميل</v>
      </c>
    </row>
    <row r="522" spans="1:11" x14ac:dyDescent="0.25">
      <c r="A522" s="4" t="str">
        <f ca="1">IFERROR(__xludf.DUMMYFUNCTION("""COMPUTED_VALUE"""),"1683-B")</f>
        <v>1683-B</v>
      </c>
      <c r="B522" s="5" t="str">
        <f ca="1">IFERROR(__xludf.DUMMYFUNCTION("""COMPUTED_VALUE"""),"السويس")</f>
        <v>السويس</v>
      </c>
      <c r="C522" s="5" t="str">
        <f ca="1">IFERROR(__xludf.DUMMYFUNCTION("""COMPUTED_VALUE"""),"السويس")</f>
        <v>السويس</v>
      </c>
      <c r="D522" s="5" t="str">
        <f ca="1">IFERROR(__xludf.DUMMYFUNCTION("""COMPUTED_VALUE"""),"صيدلية")</f>
        <v>صيدلية</v>
      </c>
      <c r="E522" s="5" t="str">
        <f ca="1">IFERROR(__xludf.DUMMYFUNCTION("""COMPUTED_VALUE"""),"صيدلية")</f>
        <v>صيدلية</v>
      </c>
      <c r="F522" s="5" t="str">
        <f ca="1">IFERROR(__xludf.DUMMYFUNCTION("""COMPUTED_VALUE"""),"صيدلية (أدوية ومستلزمات طبية)")</f>
        <v>صيدلية (أدوية ومستلزمات طبية)</v>
      </c>
      <c r="G52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522" s="5" t="str">
        <f ca="1">IFERROR(__xludf.DUMMYFUNCTION("""COMPUTED_VALUE"""),"ش الجلاء - جمعية اسوان - السويس")</f>
        <v>ش الجلاء - جمعية اسوان - السويس</v>
      </c>
      <c r="I522" s="6" t="str">
        <f ca="1">IFERROR(__xludf.DUMMYFUNCTION("""COMPUTED_VALUE"""),"1120788100
")</f>
        <v xml:space="preserve">1120788100
</v>
      </c>
      <c r="J522" s="6" t="str">
        <f ca="1">IFERROR(__xludf.DUMMYFUNCTION("""COMPUTED_VALUE"""),"19600")</f>
        <v>19600</v>
      </c>
      <c r="K522" s="6" t="str">
        <f ca="1">IFERROR(__xludf.DUMMYFUNCTION("""COMPUTED_VALUE"""),"7.5 % على المحلى ,5% على المستلزمات الطبية و التجميل")</f>
        <v>7.5 % على المحلى ,5% على المستلزمات الطبية و التجميل</v>
      </c>
    </row>
    <row r="523" spans="1:11" x14ac:dyDescent="0.25">
      <c r="A523" s="4" t="str">
        <f ca="1">IFERROR(__xludf.DUMMYFUNCTION("""COMPUTED_VALUE"""),"104808")</f>
        <v>104808</v>
      </c>
      <c r="B523" s="5" t="str">
        <f ca="1">IFERROR(__xludf.DUMMYFUNCTION("""COMPUTED_VALUE"""),"أسوان")</f>
        <v>أسوان</v>
      </c>
      <c r="C523" s="5" t="str">
        <f ca="1">IFERROR(__xludf.DUMMYFUNCTION("""COMPUTED_VALUE"""),"ادفو")</f>
        <v>ادفو</v>
      </c>
      <c r="D523" s="5" t="str">
        <f ca="1">IFERROR(__xludf.DUMMYFUNCTION("""COMPUTED_VALUE"""),"صيدلية")</f>
        <v>صيدلية</v>
      </c>
      <c r="E523" s="5" t="str">
        <f ca="1">IFERROR(__xludf.DUMMYFUNCTION("""COMPUTED_VALUE"""),"صيدلية")</f>
        <v>صيدلية</v>
      </c>
      <c r="F523" s="5" t="str">
        <f ca="1">IFERROR(__xludf.DUMMYFUNCTION("""COMPUTED_VALUE"""),"صيدلية (أدوية ومستلزمات طبية)")</f>
        <v>صيدلية (أدوية ومستلزمات طبية)</v>
      </c>
      <c r="G523" s="5" t="str">
        <f ca="1">IFERROR(__xludf.DUMMYFUNCTION("""COMPUTED_VALUE"""),"صيدلية العدوة ( د/مجدي محمود محمد السايح )")</f>
        <v>صيدلية العدوة ( د/مجدي محمود محمد السايح )</v>
      </c>
      <c r="H523" s="5" t="str">
        <f ca="1">IFERROR(__xludf.DUMMYFUNCTION("""COMPUTED_VALUE"""),"الرديسية بحري -طريق اسوان -  العدوة - ادفو - اسوان")</f>
        <v>الرديسية بحري -طريق اسوان -  العدوة - ادفو - اسوان</v>
      </c>
      <c r="I523" s="6" t="str">
        <f ca="1">IFERROR(__xludf.DUMMYFUNCTION("""COMPUTED_VALUE"""),"201063077466")</f>
        <v>201063077466</v>
      </c>
      <c r="J523" s="6"/>
      <c r="K523" s="6" t="str">
        <f ca="1">IFERROR(__xludf.DUMMYFUNCTION("""COMPUTED_VALUE"""),"خصم 11% علي المحلي&amp; 7% علي المستورد")</f>
        <v>خصم 11% علي المحلي&amp; 7% علي المستورد</v>
      </c>
    </row>
    <row r="524" spans="1:11" x14ac:dyDescent="0.25">
      <c r="A524" s="4" t="str">
        <f ca="1">IFERROR(__xludf.DUMMYFUNCTION("""COMPUTED_VALUE"""),"104808-B")</f>
        <v>104808-B</v>
      </c>
      <c r="B524" s="5" t="str">
        <f ca="1">IFERROR(__xludf.DUMMYFUNCTION("""COMPUTED_VALUE"""),"البحر الاحمر")</f>
        <v>البحر الاحمر</v>
      </c>
      <c r="C524" s="5" t="str">
        <f ca="1">IFERROR(__xludf.DUMMYFUNCTION("""COMPUTED_VALUE"""),"مرسى علم")</f>
        <v>مرسى علم</v>
      </c>
      <c r="D524" s="5" t="str">
        <f ca="1">IFERROR(__xludf.DUMMYFUNCTION("""COMPUTED_VALUE"""),"صيدلية")</f>
        <v>صيدلية</v>
      </c>
      <c r="E524" s="5" t="str">
        <f ca="1">IFERROR(__xludf.DUMMYFUNCTION("""COMPUTED_VALUE"""),"صيدلية")</f>
        <v>صيدلية</v>
      </c>
      <c r="F524" s="5" t="str">
        <f ca="1">IFERROR(__xludf.DUMMYFUNCTION("""COMPUTED_VALUE"""),"صيدلية (أدوية ومستلزمات طبية)")</f>
        <v>صيدلية (أدوية ومستلزمات طبية)</v>
      </c>
      <c r="G524" s="5" t="str">
        <f ca="1">IFERROR(__xludf.DUMMYFUNCTION("""COMPUTED_VALUE"""),"صيدلية العدوة ( د/مجدي محمود محمد السايح )")</f>
        <v>صيدلية العدوة ( د/مجدي محمود محمد السايح )</v>
      </c>
      <c r="H524" s="5" t="str">
        <f ca="1">IFERROR(__xludf.DUMMYFUNCTION("""COMPUTED_VALUE"""),"مرسى علم - السوق التجاري - البحر الأحمر")</f>
        <v>مرسى علم - السوق التجاري - البحر الأحمر</v>
      </c>
      <c r="I524" s="6" t="str">
        <f ca="1">IFERROR(__xludf.DUMMYFUNCTION("""COMPUTED_VALUE"""),"201203876549")</f>
        <v>201203876549</v>
      </c>
      <c r="J524" s="6"/>
      <c r="K524" s="6" t="str">
        <f ca="1">IFERROR(__xludf.DUMMYFUNCTION("""COMPUTED_VALUE"""),"خصم 11% علي المحلي&amp; 7% علي المستورد")</f>
        <v>خصم 11% علي المحلي&amp; 7% علي المستورد</v>
      </c>
    </row>
    <row r="525" spans="1:11" x14ac:dyDescent="0.25">
      <c r="A525" s="4" t="str">
        <f ca="1">IFERROR(__xludf.DUMMYFUNCTION("""COMPUTED_VALUE"""),"104808-B")</f>
        <v>104808-B</v>
      </c>
      <c r="B525" s="5" t="str">
        <f ca="1">IFERROR(__xludf.DUMMYFUNCTION("""COMPUTED_VALUE"""),"أسوان")</f>
        <v>أسوان</v>
      </c>
      <c r="C525" s="5" t="str">
        <f ca="1">IFERROR(__xludf.DUMMYFUNCTION("""COMPUTED_VALUE"""),"ادفو")</f>
        <v>ادفو</v>
      </c>
      <c r="D525" s="5" t="str">
        <f ca="1">IFERROR(__xludf.DUMMYFUNCTION("""COMPUTED_VALUE"""),"صيدلية")</f>
        <v>صيدلية</v>
      </c>
      <c r="E525" s="5" t="str">
        <f ca="1">IFERROR(__xludf.DUMMYFUNCTION("""COMPUTED_VALUE"""),"صيدلية")</f>
        <v>صيدلية</v>
      </c>
      <c r="F525" s="5" t="str">
        <f ca="1">IFERROR(__xludf.DUMMYFUNCTION("""COMPUTED_VALUE"""),"صيدلية (أدوية ومستلزمات طبية)")</f>
        <v>صيدلية (أدوية ومستلزمات طبية)</v>
      </c>
      <c r="G525" s="5" t="str">
        <f ca="1">IFERROR(__xludf.DUMMYFUNCTION("""COMPUTED_VALUE"""),"صيدلية العدوة ( د/مجدي محمود محمد السايح )")</f>
        <v>صيدلية العدوة ( د/مجدي محمود محمد السايح )</v>
      </c>
      <c r="H525" s="5" t="str">
        <f ca="1">IFERROR(__xludf.DUMMYFUNCTION("""COMPUTED_VALUE"""),"كورنيش النيل - برج مناركو بجوار البنك الأهلى- ادفو - اسوان")</f>
        <v>كورنيش النيل - برج مناركو بجوار البنك الأهلى- ادفو - اسوان</v>
      </c>
      <c r="I525" s="6" t="str">
        <f ca="1">IFERROR(__xludf.DUMMYFUNCTION("""COMPUTED_VALUE"""),"201156992690")</f>
        <v>201156992690</v>
      </c>
      <c r="J525" s="6"/>
      <c r="K525" s="6" t="str">
        <f ca="1">IFERROR(__xludf.DUMMYFUNCTION("""COMPUTED_VALUE"""),"خصم 11% علي المحلي&amp; 7% علي المستورد")</f>
        <v>خصم 11% علي المحلي&amp; 7% علي المستورد</v>
      </c>
    </row>
    <row r="526" spans="1:11" x14ac:dyDescent="0.25">
      <c r="A526" s="4" t="str">
        <f ca="1">IFERROR(__xludf.DUMMYFUNCTION("""COMPUTED_VALUE"""),"104874")</f>
        <v>104874</v>
      </c>
      <c r="B526" s="5" t="str">
        <f ca="1">IFERROR(__xludf.DUMMYFUNCTION("""COMPUTED_VALUE"""),"البحيرة")</f>
        <v>البحيرة</v>
      </c>
      <c r="C526" s="5" t="str">
        <f ca="1">IFERROR(__xludf.DUMMYFUNCTION("""COMPUTED_VALUE"""),"ايتاي البارود")</f>
        <v>ايتاي البارود</v>
      </c>
      <c r="D526" s="5" t="str">
        <f ca="1">IFERROR(__xludf.DUMMYFUNCTION("""COMPUTED_VALUE"""),"صيدلية")</f>
        <v>صيدلية</v>
      </c>
      <c r="E526" s="5" t="str">
        <f ca="1">IFERROR(__xludf.DUMMYFUNCTION("""COMPUTED_VALUE"""),"صيدلية")</f>
        <v>صيدلية</v>
      </c>
      <c r="F526" s="5" t="str">
        <f ca="1">IFERROR(__xludf.DUMMYFUNCTION("""COMPUTED_VALUE"""),"صيدلية (أدوية ومستلزمات طبية)")</f>
        <v>صيدلية (أدوية ومستلزمات طبية)</v>
      </c>
      <c r="G526" s="5" t="str">
        <f ca="1">IFERROR(__xludf.DUMMYFUNCTION("""COMPUTED_VALUE"""),"صيدلية الوفاء( د/ وفاء عبد المنعم محمد ايوب)")</f>
        <v>صيدلية الوفاء( د/ وفاء عبد المنعم محمد ايوب)</v>
      </c>
      <c r="H526" s="5" t="str">
        <f ca="1">IFERROR(__xludf.DUMMYFUNCTION("""COMPUTED_VALUE"""),"شارع  المركز الاسلامى -بجوار التمين الصحى - ابتاى البارود- البحيرة")</f>
        <v>شارع  المركز الاسلامى -بجوار التمين الصحى - ابتاى البارود- البحيرة</v>
      </c>
      <c r="I526" s="6" t="str">
        <f ca="1">IFERROR(__xludf.DUMMYFUNCTION("""COMPUTED_VALUE"""),"20453433112")</f>
        <v>20453433112</v>
      </c>
      <c r="J526" s="6"/>
      <c r="K526" s="6" t="str">
        <f ca="1">IFERROR(__xludf.DUMMYFUNCTION("""COMPUTED_VALUE"""),"خصم 12% علي المحلي و 6% علي المستورد")</f>
        <v>خصم 12% علي المحلي و 6% علي المستورد</v>
      </c>
    </row>
    <row r="527" spans="1:11" x14ac:dyDescent="0.25">
      <c r="A527" s="4" t="str">
        <f ca="1">IFERROR(__xludf.DUMMYFUNCTION("""COMPUTED_VALUE"""),"104908")</f>
        <v>104908</v>
      </c>
      <c r="B527" s="5" t="str">
        <f ca="1">IFERROR(__xludf.DUMMYFUNCTION("""COMPUTED_VALUE"""),"الجيزة")</f>
        <v>الجيزة</v>
      </c>
      <c r="C527" s="5" t="str">
        <f ca="1">IFERROR(__xludf.DUMMYFUNCTION("""COMPUTED_VALUE"""),"أوسيم")</f>
        <v>أوسيم</v>
      </c>
      <c r="D527" s="5" t="str">
        <f ca="1">IFERROR(__xludf.DUMMYFUNCTION("""COMPUTED_VALUE"""),"صيدلية")</f>
        <v>صيدلية</v>
      </c>
      <c r="E527" s="5" t="str">
        <f ca="1">IFERROR(__xludf.DUMMYFUNCTION("""COMPUTED_VALUE"""),"صيدلية")</f>
        <v>صيدلية</v>
      </c>
      <c r="F527" s="5" t="str">
        <f ca="1">IFERROR(__xludf.DUMMYFUNCTION("""COMPUTED_VALUE"""),"صيدلية (أدوية ومستلزمات طبية)")</f>
        <v>صيدلية (أدوية ومستلزمات طبية)</v>
      </c>
      <c r="G527" s="5" t="str">
        <f ca="1">IFERROR(__xludf.DUMMYFUNCTION("""COMPUTED_VALUE"""),"د/ فاطمة محمد احمد عبد الرحمن منيسى (فاطمة منيسى)")</f>
        <v>د/ فاطمة محمد احمد عبد الرحمن منيسى (فاطمة منيسى)</v>
      </c>
      <c r="H527" s="5" t="str">
        <f ca="1">IFERROR(__xludf.DUMMYFUNCTION("""COMPUTED_VALUE"""),"شارع ابو بكر الصديق  - الجيزة - اوسيم")</f>
        <v>شارع ابو بكر الصديق  - الجيزة - اوسيم</v>
      </c>
      <c r="I527" s="6" t="str">
        <f ca="1">IFERROR(__xludf.DUMMYFUNCTION("""COMPUTED_VALUE"""),"0236758312")</f>
        <v>0236758312</v>
      </c>
      <c r="J527" s="6"/>
      <c r="K527" s="6" t="str">
        <f ca="1">IFERROR(__xludf.DUMMYFUNCTION("""COMPUTED_VALUE"""),"خصم 12% علي المحلي و 6% علي المستورد")</f>
        <v>خصم 12% علي المحلي و 6% علي المستورد</v>
      </c>
    </row>
    <row r="528" spans="1:11" x14ac:dyDescent="0.25">
      <c r="A528" s="4" t="str">
        <f ca="1">IFERROR(__xludf.DUMMYFUNCTION("""COMPUTED_VALUE"""),"104915")</f>
        <v>104915</v>
      </c>
      <c r="B528" s="5" t="str">
        <f ca="1">IFERROR(__xludf.DUMMYFUNCTION("""COMPUTED_VALUE"""),"الفيوم")</f>
        <v>الفيوم</v>
      </c>
      <c r="C528" s="5" t="str">
        <f ca="1">IFERROR(__xludf.DUMMYFUNCTION("""COMPUTED_VALUE"""),"ابشواى")</f>
        <v>ابشواى</v>
      </c>
      <c r="D528" s="5" t="str">
        <f ca="1">IFERROR(__xludf.DUMMYFUNCTION("""COMPUTED_VALUE"""),"صيدلية")</f>
        <v>صيدلية</v>
      </c>
      <c r="E528" s="5" t="str">
        <f ca="1">IFERROR(__xludf.DUMMYFUNCTION("""COMPUTED_VALUE"""),"صيدلية")</f>
        <v>صيدلية</v>
      </c>
      <c r="F528" s="5" t="str">
        <f ca="1">IFERROR(__xludf.DUMMYFUNCTION("""COMPUTED_VALUE"""),"صيدلية (أدوية ومستلزمات طبية)")</f>
        <v>صيدلية (أدوية ومستلزمات طبية)</v>
      </c>
      <c r="G528" s="5" t="str">
        <f ca="1">IFERROR(__xludf.DUMMYFUNCTION("""COMPUTED_VALUE"""),"ورثه ممدوح كامل ابراهيم ابراهيم ( صيدليه النيل )")</f>
        <v>ورثه ممدوح كامل ابراهيم ابراهيم ( صيدليه النيل )</v>
      </c>
      <c r="H528" s="5" t="str">
        <f ca="1">IFERROR(__xludf.DUMMYFUNCTION("""COMPUTED_VALUE"""),"ش الجمهورية - بجوار بنزايون - ابشواى - الفيوم")</f>
        <v>ش الجمهورية - بجوار بنزايون - ابشواى - الفيوم</v>
      </c>
      <c r="I528" s="6" t="str">
        <f ca="1">IFERROR(__xludf.DUMMYFUNCTION("""COMPUTED_VALUE"""),"01000404511")</f>
        <v>01000404511</v>
      </c>
      <c r="J528" s="6"/>
      <c r="K528" s="6" t="str">
        <f ca="1">IFERROR(__xludf.DUMMYFUNCTION("""COMPUTED_VALUE"""),"خصم 12% علي المحلي و 6% علي المستورد")</f>
        <v>خصم 12% علي المحلي و 6% علي المستورد</v>
      </c>
    </row>
    <row r="529" spans="1:11" x14ac:dyDescent="0.25">
      <c r="A529" s="4" t="str">
        <f ca="1">IFERROR(__xludf.DUMMYFUNCTION("""COMPUTED_VALUE"""),"104918")</f>
        <v>104918</v>
      </c>
      <c r="B529" s="5" t="str">
        <f ca="1">IFERROR(__xludf.DUMMYFUNCTION("""COMPUTED_VALUE"""),"المنوفية")</f>
        <v>المنوفية</v>
      </c>
      <c r="C529" s="5" t="str">
        <f ca="1">IFERROR(__xludf.DUMMYFUNCTION("""COMPUTED_VALUE"""),"اشمون")</f>
        <v>اشمون</v>
      </c>
      <c r="D529" s="5" t="str">
        <f ca="1">IFERROR(__xludf.DUMMYFUNCTION("""COMPUTED_VALUE"""),"صيدلية")</f>
        <v>صيدلية</v>
      </c>
      <c r="E529" s="5" t="str">
        <f ca="1">IFERROR(__xludf.DUMMYFUNCTION("""COMPUTED_VALUE"""),"صيدلية")</f>
        <v>صيدلية</v>
      </c>
      <c r="F529" s="5" t="str">
        <f ca="1">IFERROR(__xludf.DUMMYFUNCTION("""COMPUTED_VALUE"""),"صيدلية (أدوية ومستلزمات طبية)")</f>
        <v>صيدلية (أدوية ومستلزمات طبية)</v>
      </c>
      <c r="G529" s="5" t="str">
        <f ca="1">IFERROR(__xludf.DUMMYFUNCTION("""COMPUTED_VALUE"""),"صيدلية د/ عارف محمد فرحات محمد")</f>
        <v>صيدلية د/ عارف محمد فرحات محمد</v>
      </c>
      <c r="H529" s="5" t="str">
        <f ca="1">IFERROR(__xludf.DUMMYFUNCTION("""COMPUTED_VALUE"""),"قرية شعشاع- الشارع الرئيسى - اشمون - المنوفية")</f>
        <v>قرية شعشاع- الشارع الرئيسى - اشمون - المنوفية</v>
      </c>
      <c r="I529" s="6" t="str">
        <f ca="1">IFERROR(__xludf.DUMMYFUNCTION("""COMPUTED_VALUE"""),"20483414183")</f>
        <v>20483414183</v>
      </c>
      <c r="J529" s="6"/>
      <c r="K529" s="6" t="str">
        <f ca="1">IFERROR(__xludf.DUMMYFUNCTION("""COMPUTED_VALUE"""),"خصم 12% علي المحلي و 6% علي المستورد")</f>
        <v>خصم 12% علي المحلي و 6% علي المستورد</v>
      </c>
    </row>
    <row r="530" spans="1:11" x14ac:dyDescent="0.25">
      <c r="A530" s="4" t="str">
        <f ca="1">IFERROR(__xludf.DUMMYFUNCTION("""COMPUTED_VALUE"""),"104826")</f>
        <v>104826</v>
      </c>
      <c r="B530" s="5" t="str">
        <f ca="1">IFERROR(__xludf.DUMMYFUNCTION("""COMPUTED_VALUE"""),"أسوان")</f>
        <v>أسوان</v>
      </c>
      <c r="C530" s="5" t="str">
        <f ca="1">IFERROR(__xludf.DUMMYFUNCTION("""COMPUTED_VALUE"""),"أسوان")</f>
        <v>أسوان</v>
      </c>
      <c r="D530" s="5" t="str">
        <f ca="1">IFERROR(__xludf.DUMMYFUNCTION("""COMPUTED_VALUE"""),"هيئة الأطباء")</f>
        <v>هيئة الأطباء</v>
      </c>
      <c r="E530" s="5" t="str">
        <f ca="1">IFERROR(__xludf.DUMMYFUNCTION("""COMPUTED_VALUE"""),"باطنة")</f>
        <v>باطنة</v>
      </c>
      <c r="F530" s="5" t="str">
        <f ca="1">IFERROR(__xludf.DUMMYFUNCTION("""COMPUTED_VALUE"""),"باطنة وأطفال")</f>
        <v>باطنة وأطفال</v>
      </c>
      <c r="G530" s="5" t="str">
        <f ca="1">IFERROR(__xludf.DUMMYFUNCTION("""COMPUTED_VALUE"""),"د/ محروس مجلى مسعد")</f>
        <v>د/ محروس مجلى مسعد</v>
      </c>
      <c r="H530" s="5" t="str">
        <f ca="1">IFERROR(__xludf.DUMMYFUNCTION("""COMPUTED_VALUE"""),"شارع عبد المنعم رياض (السيل الرئيسى ) -اسوان")</f>
        <v>شارع عبد المنعم رياض (السيل الرئيسى ) -اسوان</v>
      </c>
      <c r="I530" s="6" t="str">
        <f ca="1">IFERROR(__xludf.DUMMYFUNCTION("""COMPUTED_VALUE"""),"201229190846")</f>
        <v>201229190846</v>
      </c>
      <c r="J530" s="6"/>
      <c r="K530" s="6" t="str">
        <f ca="1">IFERROR(__xludf.DUMMYFUNCTION("""COMPUTED_VALUE"""),"الكشف :40 جنية ,جلسه استنشاق : 10")</f>
        <v>الكشف :40 جنية ,جلسه استنشاق : 10</v>
      </c>
    </row>
    <row r="531" spans="1:11" x14ac:dyDescent="0.25">
      <c r="A531" s="4" t="str">
        <f ca="1">IFERROR(__xludf.DUMMYFUNCTION("""COMPUTED_VALUE"""),"104539")</f>
        <v>104539</v>
      </c>
      <c r="B531" s="5" t="str">
        <f ca="1">IFERROR(__xludf.DUMMYFUNCTION("""COMPUTED_VALUE"""),"الاسكندرية")</f>
        <v>الاسكندرية</v>
      </c>
      <c r="C531" s="5" t="str">
        <f ca="1">IFERROR(__xludf.DUMMYFUNCTION("""COMPUTED_VALUE"""),"سيدي جابر")</f>
        <v>سيدي جابر</v>
      </c>
      <c r="D531" s="5" t="str">
        <f ca="1">IFERROR(__xludf.DUMMYFUNCTION("""COMPUTED_VALUE"""),"مستشفى")</f>
        <v>مستشفى</v>
      </c>
      <c r="E531" s="5" t="str">
        <f ca="1">IFERROR(__xludf.DUMMYFUNCTION("""COMPUTED_VALUE"""),"مستشفي طبي متخصص")</f>
        <v>مستشفي طبي متخصص</v>
      </c>
      <c r="F531" s="5" t="str">
        <f ca="1">IFERROR(__xludf.DUMMYFUNCTION("""COMPUTED_VALUE"""),"طب أطفال")</f>
        <v>طب أطفال</v>
      </c>
      <c r="G531" s="5" t="str">
        <f ca="1">IFERROR(__xludf.DUMMYFUNCTION("""COMPUTED_VALUE"""),"مركز إسكندرية الدولي لجراحات الأطفال")</f>
        <v>مركز إسكندرية الدولي لجراحات الأطفال</v>
      </c>
      <c r="H531" s="5" t="str">
        <f ca="1">IFERROR(__xludf.DUMMYFUNCTION("""COMPUTED_VALUE"""),"طريق مطار النزهة - أمام نادي الشرطة - سيدي جابر - الاسكندرية")</f>
        <v>طريق مطار النزهة - أمام نادي الشرطة - سيدي جابر - الاسكندرية</v>
      </c>
      <c r="I531" s="6" t="str">
        <f ca="1">IFERROR(__xludf.DUMMYFUNCTION("""COMPUTED_VALUE"""),"2033832130")</f>
        <v>2033832130</v>
      </c>
      <c r="J531" s="6"/>
      <c r="K531" s="6" t="str">
        <f ca="1">IFERROR(__xludf.DUMMYFUNCTION("""COMPUTED_VALUE"""),"خصم يصل الي 15%")</f>
        <v>خصم يصل الي 15%</v>
      </c>
    </row>
    <row r="532" spans="1:11" x14ac:dyDescent="0.25">
      <c r="A532" s="4" t="str">
        <f ca="1">IFERROR(__xludf.DUMMYFUNCTION("""COMPUTED_VALUE"""),"104546")</f>
        <v>104546</v>
      </c>
      <c r="B532" s="5" t="str">
        <f ca="1">IFERROR(__xludf.DUMMYFUNCTION("""COMPUTED_VALUE"""),"الإسماعيلية")</f>
        <v>الإسماعيلية</v>
      </c>
      <c r="C532" s="5" t="str">
        <f ca="1">IFERROR(__xludf.DUMMYFUNCTION("""COMPUTED_VALUE"""),"الإسماعيلية")</f>
        <v>الإسماعيلية</v>
      </c>
      <c r="D532" s="5" t="str">
        <f ca="1">IFERROR(__xludf.DUMMYFUNCTION("""COMPUTED_VALUE"""),"هيئة الأطباء")</f>
        <v>هيئة الأطباء</v>
      </c>
      <c r="E532" s="5" t="str">
        <f ca="1">IFERROR(__xludf.DUMMYFUNCTION("""COMPUTED_VALUE"""),"أطفال")</f>
        <v>أطفال</v>
      </c>
      <c r="F532" s="5" t="str">
        <f ca="1">IFERROR(__xludf.DUMMYFUNCTION("""COMPUTED_VALUE"""),"طب أطفال")</f>
        <v>طب أطفال</v>
      </c>
      <c r="G532" s="5" t="str">
        <f ca="1">IFERROR(__xludf.DUMMYFUNCTION("""COMPUTED_VALUE"""),"د/ بدر مصباح (بدر الدين محمد مصباح عبدالهادي )")</f>
        <v>د/ بدر مصباح (بدر الدين محمد مصباح عبدالهادي )</v>
      </c>
      <c r="H532" s="5" t="str">
        <f ca="1">IFERROR(__xludf.DUMMYFUNCTION("""COMPUTED_VALUE"""),"56شارع شبين الكوم - إبراهيم سلامه - الاسماعيلية")</f>
        <v>56شارع شبين الكوم - إبراهيم سلامه - الاسماعيلية</v>
      </c>
      <c r="I532" s="6" t="str">
        <f ca="1">IFERROR(__xludf.DUMMYFUNCTION("""COMPUTED_VALUE"""),"20643311995")</f>
        <v>20643311995</v>
      </c>
      <c r="J532" s="6"/>
      <c r="K532" s="6" t="str">
        <f ca="1">IFERROR(__xludf.DUMMYFUNCTION("""COMPUTED_VALUE"""),"الكشف: 70جنية")</f>
        <v>الكشف: 70جنية</v>
      </c>
    </row>
    <row r="533" spans="1:11" x14ac:dyDescent="0.25">
      <c r="A533" s="4" t="str">
        <f ca="1">IFERROR(__xludf.DUMMYFUNCTION("""COMPUTED_VALUE"""),"2093")</f>
        <v>2093</v>
      </c>
      <c r="B533" s="5" t="str">
        <f ca="1">IFERROR(__xludf.DUMMYFUNCTION("""COMPUTED_VALUE"""),"الجيزة")</f>
        <v>الجيزة</v>
      </c>
      <c r="C533" s="5" t="str">
        <f ca="1">IFERROR(__xludf.DUMMYFUNCTION("""COMPUTED_VALUE"""),"الدقي")</f>
        <v>الدقي</v>
      </c>
      <c r="D533" s="5" t="str">
        <f ca="1">IFERROR(__xludf.DUMMYFUNCTION("""COMPUTED_VALUE"""),"هيئة الأطباء")</f>
        <v>هيئة الأطباء</v>
      </c>
      <c r="E533" s="5" t="str">
        <f ca="1">IFERROR(__xludf.DUMMYFUNCTION("""COMPUTED_VALUE"""),"أطفال")</f>
        <v>أطفال</v>
      </c>
      <c r="F533" s="5" t="str">
        <f ca="1">IFERROR(__xludf.DUMMYFUNCTION("""COMPUTED_VALUE"""),"طب أطفال")</f>
        <v>طب أطفال</v>
      </c>
      <c r="G533" s="5" t="str">
        <f ca="1">IFERROR(__xludf.DUMMYFUNCTION("""COMPUTED_VALUE"""),"د/ وجدي عبد القادر محمد هاشم (وجدي هاشم)")</f>
        <v>د/ وجدي عبد القادر محمد هاشم (وجدي هاشم)</v>
      </c>
      <c r="H533" s="5" t="str">
        <f ca="1">IFERROR(__xludf.DUMMYFUNCTION("""COMPUTED_VALUE"""),"10 شارع محي الدين ابو العز - امام محل ابو ذكري-الدقي- الجيزة")</f>
        <v>10 شارع محي الدين ابو العز - امام محل ابو ذكري-الدقي- الجيزة</v>
      </c>
      <c r="I533" s="6" t="str">
        <f ca="1">IFERROR(__xludf.DUMMYFUNCTION("""COMPUTED_VALUE"""),"20233377637")</f>
        <v>20233377637</v>
      </c>
      <c r="J533" s="6"/>
      <c r="K533" s="6" t="str">
        <f ca="1">IFERROR(__xludf.DUMMYFUNCTION("""COMPUTED_VALUE"""),"50% علي الأسعار النقدي")</f>
        <v>50% علي الأسعار النقدي</v>
      </c>
    </row>
    <row r="534" spans="1:11" x14ac:dyDescent="0.25">
      <c r="A534" s="4" t="str">
        <f ca="1">IFERROR(__xludf.DUMMYFUNCTION("""COMPUTED_VALUE"""),"2076")</f>
        <v>2076</v>
      </c>
      <c r="B534" s="5" t="str">
        <f ca="1">IFERROR(__xludf.DUMMYFUNCTION("""COMPUTED_VALUE"""),"القاهرة")</f>
        <v>القاهرة</v>
      </c>
      <c r="C534" s="5" t="str">
        <f ca="1">IFERROR(__xludf.DUMMYFUNCTION("""COMPUTED_VALUE"""),"المعادى")</f>
        <v>المعادى</v>
      </c>
      <c r="D534" s="5" t="str">
        <f ca="1">IFERROR(__xludf.DUMMYFUNCTION("""COMPUTED_VALUE"""),"هيئة الأطباء")</f>
        <v>هيئة الأطباء</v>
      </c>
      <c r="E534" s="5" t="str">
        <f ca="1">IFERROR(__xludf.DUMMYFUNCTION("""COMPUTED_VALUE"""),"أطفال")</f>
        <v>أطفال</v>
      </c>
      <c r="F534" s="5" t="str">
        <f ca="1">IFERROR(__xludf.DUMMYFUNCTION("""COMPUTED_VALUE"""),"طب أطفال")</f>
        <v>طب أطفال</v>
      </c>
      <c r="G534" s="5" t="str">
        <f ca="1">IFERROR(__xludf.DUMMYFUNCTION("""COMPUTED_VALUE"""),"د/ ايمن فؤاد احمد صبري")</f>
        <v>د/ ايمن فؤاد احمد صبري</v>
      </c>
      <c r="H534" s="5" t="str">
        <f ca="1">IFERROR(__xludf.DUMMYFUNCTION("""COMPUTED_VALUE"""),"4 شارع 100-المعادي-القاهرة")</f>
        <v>4 شارع 100-المعادي-القاهرة</v>
      </c>
      <c r="I534" s="6" t="str">
        <f ca="1">IFERROR(__xludf.DUMMYFUNCTION("""COMPUTED_VALUE"""),"20225280527")</f>
        <v>20225280527</v>
      </c>
      <c r="J534" s="6"/>
      <c r="K534" s="6" t="str">
        <f ca="1">IFERROR(__xludf.DUMMYFUNCTION("""COMPUTED_VALUE"""),"خصم 50% علي أسعار جميع الخدمات النقدي المعلنة")</f>
        <v>خصم 50% علي أسعار جميع الخدمات النقدي المعلنة</v>
      </c>
    </row>
    <row r="535" spans="1:11" x14ac:dyDescent="0.25">
      <c r="A535" s="4" t="str">
        <f ca="1">IFERROR(__xludf.DUMMYFUNCTION("""COMPUTED_VALUE"""),"103275")</f>
        <v>103275</v>
      </c>
      <c r="B535" s="5" t="str">
        <f ca="1">IFERROR(__xludf.DUMMYFUNCTION("""COMPUTED_VALUE"""),"الجيزة")</f>
        <v>الجيزة</v>
      </c>
      <c r="C535" s="5" t="str">
        <f ca="1">IFERROR(__xludf.DUMMYFUNCTION("""COMPUTED_VALUE"""),"المهندسين")</f>
        <v>المهندسين</v>
      </c>
      <c r="D535" s="5" t="str">
        <f ca="1">IFERROR(__xludf.DUMMYFUNCTION("""COMPUTED_VALUE"""),"هيئة الأطباء")</f>
        <v>هيئة الأطباء</v>
      </c>
      <c r="E535" s="5" t="str">
        <f ca="1">IFERROR(__xludf.DUMMYFUNCTION("""COMPUTED_VALUE"""),"أطفال")</f>
        <v>أطفال</v>
      </c>
      <c r="F535" s="5" t="str">
        <f ca="1">IFERROR(__xludf.DUMMYFUNCTION("""COMPUTED_VALUE"""),"طب أطفال")</f>
        <v>طب أطفال</v>
      </c>
      <c r="G535" s="5" t="str">
        <f ca="1">IFERROR(__xludf.DUMMYFUNCTION("""COMPUTED_VALUE"""),"د/ أحمد رفعت (احمد علي سليمان رفعت)")</f>
        <v>د/ أحمد رفعت (احمد علي سليمان رفعت)</v>
      </c>
      <c r="H535" s="5" t="str">
        <f ca="1">IFERROR(__xludf.DUMMYFUNCTION("""COMPUTED_VALUE"""),"20 شارع البطل احمد عبد العزيز-المهندسين- الجيزة")</f>
        <v>20 شارع البطل احمد عبد العزيز-المهندسين- الجيزة</v>
      </c>
      <c r="I535" s="6" t="str">
        <f ca="1">IFERROR(__xludf.DUMMYFUNCTION("""COMPUTED_VALUE"""),"20237618578")</f>
        <v>20237618578</v>
      </c>
      <c r="J535" s="6"/>
      <c r="K535" s="6" t="str">
        <f ca="1">IFERROR(__xludf.DUMMYFUNCTION("""COMPUTED_VALUE"""),"خصم 35% علي الاسعار النقدي")</f>
        <v>خصم 35% علي الاسعار النقدي</v>
      </c>
    </row>
    <row r="536" spans="1:11" x14ac:dyDescent="0.25">
      <c r="A536" s="4" t="str">
        <f ca="1">IFERROR(__xludf.DUMMYFUNCTION("""COMPUTED_VALUE"""),"103280-B")</f>
        <v>103280-B</v>
      </c>
      <c r="B536" s="5" t="str">
        <f ca="1">IFERROR(__xludf.DUMMYFUNCTION("""COMPUTED_VALUE"""),"القاهرة")</f>
        <v>القاهرة</v>
      </c>
      <c r="C536" s="5" t="str">
        <f ca="1">IFERROR(__xludf.DUMMYFUNCTION("""COMPUTED_VALUE"""),"عين شمس")</f>
        <v>عين شمس</v>
      </c>
      <c r="D536" s="5" t="str">
        <f ca="1">IFERROR(__xludf.DUMMYFUNCTION("""COMPUTED_VALUE"""),"هيئة الأطباء")</f>
        <v>هيئة الأطباء</v>
      </c>
      <c r="E536" s="5" t="str">
        <f ca="1">IFERROR(__xludf.DUMMYFUNCTION("""COMPUTED_VALUE"""),"أطفال")</f>
        <v>أطفال</v>
      </c>
      <c r="F536" s="5" t="str">
        <f ca="1">IFERROR(__xludf.DUMMYFUNCTION("""COMPUTED_VALUE"""),"طب أطفال")</f>
        <v>طب أطفال</v>
      </c>
      <c r="G536" s="5" t="str">
        <f ca="1">IFERROR(__xludf.DUMMYFUNCTION("""COMPUTED_VALUE"""),"د/ مهدي محمد عبد العزيز مهدي")</f>
        <v>د/ مهدي محمد عبد العزيز مهدي</v>
      </c>
      <c r="H536" s="5" t="str">
        <f ca="1">IFERROR(__xludf.DUMMYFUNCTION("""COMPUTED_VALUE"""),"139 شارع الشهيد احمد عصمت (تقاطع شارع العشرين)-عين شمس-القاهرة")</f>
        <v>139 شارع الشهيد احمد عصمت (تقاطع شارع العشرين)-عين شمس-القاهرة</v>
      </c>
      <c r="I536" s="6" t="str">
        <f ca="1">IFERROR(__xludf.DUMMYFUNCTION("""COMPUTED_VALUE"""),"20224931448")</f>
        <v>20224931448</v>
      </c>
      <c r="J536" s="6"/>
      <c r="K536" s="6" t="str">
        <f ca="1">IFERROR(__xludf.DUMMYFUNCTION("""COMPUTED_VALUE"""),"نسبة الخصم 40%")</f>
        <v>نسبة الخصم 40%</v>
      </c>
    </row>
    <row r="537" spans="1:11" x14ac:dyDescent="0.25">
      <c r="A537" s="4" t="str">
        <f ca="1">IFERROR(__xludf.DUMMYFUNCTION("""COMPUTED_VALUE"""),"103280")</f>
        <v>103280</v>
      </c>
      <c r="B537" s="5" t="str">
        <f ca="1">IFERROR(__xludf.DUMMYFUNCTION("""COMPUTED_VALUE"""),"القاهرة")</f>
        <v>القاهرة</v>
      </c>
      <c r="C537" s="5" t="str">
        <f ca="1">IFERROR(__xludf.DUMMYFUNCTION("""COMPUTED_VALUE"""),"مدينة نصر")</f>
        <v>مدينة نصر</v>
      </c>
      <c r="D537" s="5" t="str">
        <f ca="1">IFERROR(__xludf.DUMMYFUNCTION("""COMPUTED_VALUE"""),"هيئة الأطباء")</f>
        <v>هيئة الأطباء</v>
      </c>
      <c r="E537" s="5" t="str">
        <f ca="1">IFERROR(__xludf.DUMMYFUNCTION("""COMPUTED_VALUE"""),"أطفال")</f>
        <v>أطفال</v>
      </c>
      <c r="F537" s="5" t="str">
        <f ca="1">IFERROR(__xludf.DUMMYFUNCTION("""COMPUTED_VALUE"""),"طب أطفال")</f>
        <v>طب أطفال</v>
      </c>
      <c r="G537" s="5" t="str">
        <f ca="1">IFERROR(__xludf.DUMMYFUNCTION("""COMPUTED_VALUE"""),"د/ مهدي محمد عبد العزيز مهدي")</f>
        <v>د/ مهدي محمد عبد العزيز مهدي</v>
      </c>
      <c r="H537" s="5" t="str">
        <f ca="1">IFERROR(__xludf.DUMMYFUNCTION("""COMPUTED_VALUE"""),"63 شارع مصطفى النحاس (تقاطع مكرم عبيد) - امام ماكدونالدز-مدينة نصر-القاهرة")</f>
        <v>63 شارع مصطفى النحاس (تقاطع مكرم عبيد) - امام ماكدونالدز-مدينة نصر-القاهرة</v>
      </c>
      <c r="I537" s="6" t="str">
        <f ca="1">IFERROR(__xludf.DUMMYFUNCTION("""COMPUTED_VALUE"""),"20222746664")</f>
        <v>20222746664</v>
      </c>
      <c r="J537" s="6"/>
      <c r="K537" s="6" t="str">
        <f ca="1">IFERROR(__xludf.DUMMYFUNCTION("""COMPUTED_VALUE"""),"نسبة الخصم 40%")</f>
        <v>نسبة الخصم 40%</v>
      </c>
    </row>
    <row r="538" spans="1:11" x14ac:dyDescent="0.25">
      <c r="A538" s="4" t="str">
        <f ca="1">IFERROR(__xludf.DUMMYFUNCTION("""COMPUTED_VALUE"""),"103832")</f>
        <v>103832</v>
      </c>
      <c r="B538" s="5" t="str">
        <f ca="1">IFERROR(__xludf.DUMMYFUNCTION("""COMPUTED_VALUE"""),"القليوبية")</f>
        <v>القليوبية</v>
      </c>
      <c r="C538" s="5" t="str">
        <f ca="1">IFERROR(__xludf.DUMMYFUNCTION("""COMPUTED_VALUE"""),"شبين القناطر")</f>
        <v>شبين القناطر</v>
      </c>
      <c r="D538" s="5" t="str">
        <f ca="1">IFERROR(__xludf.DUMMYFUNCTION("""COMPUTED_VALUE"""),"هيئة الأطباء")</f>
        <v>هيئة الأطباء</v>
      </c>
      <c r="E538" s="5" t="str">
        <f ca="1">IFERROR(__xludf.DUMMYFUNCTION("""COMPUTED_VALUE"""),"أطفال")</f>
        <v>أطفال</v>
      </c>
      <c r="F538" s="5" t="str">
        <f ca="1">IFERROR(__xludf.DUMMYFUNCTION("""COMPUTED_VALUE"""),"طب أطفال")</f>
        <v>طب أطفال</v>
      </c>
      <c r="G538" s="5" t="str">
        <f ca="1">IFERROR(__xludf.DUMMYFUNCTION("""COMPUTED_VALUE"""),"د/ محسن مصطفي مصطفي عبد المنعم")</f>
        <v>د/ محسن مصطفي مصطفي عبد المنعم</v>
      </c>
      <c r="H538" s="5" t="str">
        <f ca="1">IFERROR(__xludf.DUMMYFUNCTION("""COMPUTED_VALUE"""),"شارع مكتب العمل -شبين القناطر-القليوبية")</f>
        <v>شارع مكتب العمل -شبين القناطر-القليوبية</v>
      </c>
      <c r="I538" s="6" t="str">
        <f ca="1">IFERROR(__xludf.DUMMYFUNCTION("""COMPUTED_VALUE"""),"201001384553")</f>
        <v>201001384553</v>
      </c>
      <c r="J538" s="6"/>
      <c r="K538" s="6" t="str">
        <f ca="1">IFERROR(__xludf.DUMMYFUNCTION("""COMPUTED_VALUE"""),"25% على جميع الخدمات")</f>
        <v>25% على جميع الخدمات</v>
      </c>
    </row>
    <row r="539" spans="1:11" x14ac:dyDescent="0.25">
      <c r="A539" s="4" t="str">
        <f ca="1">IFERROR(__xludf.DUMMYFUNCTION("""COMPUTED_VALUE"""),"104572")</f>
        <v>104572</v>
      </c>
      <c r="B539" s="5" t="str">
        <f ca="1">IFERROR(__xludf.DUMMYFUNCTION("""COMPUTED_VALUE"""),"المنيا")</f>
        <v>المنيا</v>
      </c>
      <c r="C539" s="5" t="str">
        <f ca="1">IFERROR(__xludf.DUMMYFUNCTION("""COMPUTED_VALUE"""),"المنيا")</f>
        <v>المنيا</v>
      </c>
      <c r="D539" s="5" t="str">
        <f ca="1">IFERROR(__xludf.DUMMYFUNCTION("""COMPUTED_VALUE"""),"هيئة الأطباء")</f>
        <v>هيئة الأطباء</v>
      </c>
      <c r="E539" s="5" t="str">
        <f ca="1">IFERROR(__xludf.DUMMYFUNCTION("""COMPUTED_VALUE"""),"أطفال")</f>
        <v>أطفال</v>
      </c>
      <c r="F539" s="5" t="str">
        <f ca="1">IFERROR(__xludf.DUMMYFUNCTION("""COMPUTED_VALUE"""),"طب أطفال")</f>
        <v>طب أطفال</v>
      </c>
      <c r="G539" s="5" t="str">
        <f ca="1">IFERROR(__xludf.DUMMYFUNCTION("""COMPUTED_VALUE"""),"د/ هويدا صبحي حلمي")</f>
        <v>د/ هويدا صبحي حلمي</v>
      </c>
      <c r="H539" s="5" t="str">
        <f ca="1">IFERROR(__xludf.DUMMYFUNCTION("""COMPUTED_VALUE"""),"24شارع مصطفى فهمي - بحري - المبرة - المنيا")</f>
        <v>24شارع مصطفى فهمي - بحري - المبرة - المنيا</v>
      </c>
      <c r="I539" s="6" t="str">
        <f ca="1">IFERROR(__xludf.DUMMYFUNCTION("""COMPUTED_VALUE"""),"20862319119")</f>
        <v>20862319119</v>
      </c>
      <c r="J539" s="6"/>
      <c r="K539" s="6" t="str">
        <f ca="1">IFERROR(__xludf.DUMMYFUNCTION("""COMPUTED_VALUE"""),"خصم 20%علي اسعار جميع خدمات النقدي المعلنة")</f>
        <v>خصم 20%علي اسعار جميع خدمات النقدي المعلنة</v>
      </c>
    </row>
    <row r="540" spans="1:11" x14ac:dyDescent="0.25">
      <c r="A540" s="4" t="str">
        <f ca="1">IFERROR(__xludf.DUMMYFUNCTION("""COMPUTED_VALUE"""),"104774-B")</f>
        <v>104774-B</v>
      </c>
      <c r="B540" s="5" t="str">
        <f ca="1">IFERROR(__xludf.DUMMYFUNCTION("""COMPUTED_VALUE"""),"الجيزة")</f>
        <v>الجيزة</v>
      </c>
      <c r="C540" s="5" t="str">
        <f ca="1">IFERROR(__xludf.DUMMYFUNCTION("""COMPUTED_VALUE"""),"الشيخ زايد")</f>
        <v>الشيخ زايد</v>
      </c>
      <c r="D540" s="5" t="str">
        <f ca="1">IFERROR(__xludf.DUMMYFUNCTION("""COMPUTED_VALUE"""),"هيئة الأطباء")</f>
        <v>هيئة الأطباء</v>
      </c>
      <c r="E540" s="5" t="str">
        <f ca="1">IFERROR(__xludf.DUMMYFUNCTION("""COMPUTED_VALUE"""),"أطفال")</f>
        <v>أطفال</v>
      </c>
      <c r="F540" s="5" t="str">
        <f ca="1">IFERROR(__xludf.DUMMYFUNCTION("""COMPUTED_VALUE"""),"طب أطفال")</f>
        <v>طب أطفال</v>
      </c>
      <c r="G540" s="5" t="str">
        <f ca="1">IFERROR(__xludf.DUMMYFUNCTION("""COMPUTED_VALUE"""),"د/أحمد شريف عبدالرؤوف وشركاه ( أطفالنا)")</f>
        <v>د/أحمد شريف عبدالرؤوف وشركاه ( أطفالنا)</v>
      </c>
      <c r="H540" s="5" t="str">
        <f ca="1">IFERROR(__xludf.DUMMYFUNCTION("""COMPUTED_VALUE"""),"الحياة مول أعلى بنك بلوم مصر - بجوار مستشفى الشيخ زايد التخصصي - الشيخ زايد - الجيزة")</f>
        <v>الحياة مول أعلى بنك بلوم مصر - بجوار مستشفى الشيخ زايد التخصصي - الشيخ زايد - الجيزة</v>
      </c>
      <c r="I540" s="6" t="str">
        <f ca="1">IFERROR(__xludf.DUMMYFUNCTION("""COMPUTED_VALUE"""),"20235709828")</f>
        <v>20235709828</v>
      </c>
      <c r="J540" s="6"/>
      <c r="K540" s="6" t="str">
        <f ca="1">IFERROR(__xludf.DUMMYFUNCTION("""COMPUTED_VALUE"""),"20% على الكشف , 30% على باقى الخدمات")</f>
        <v>20% على الكشف , 30% على باقى الخدمات</v>
      </c>
    </row>
    <row r="541" spans="1:11" x14ac:dyDescent="0.25">
      <c r="A541" s="4" t="str">
        <f ca="1">IFERROR(__xludf.DUMMYFUNCTION("""COMPUTED_VALUE"""),"104774")</f>
        <v>104774</v>
      </c>
      <c r="B541" s="5" t="str">
        <f ca="1">IFERROR(__xludf.DUMMYFUNCTION("""COMPUTED_VALUE"""),"الجيزة")</f>
        <v>الجيزة</v>
      </c>
      <c r="C541" s="5" t="str">
        <f ca="1">IFERROR(__xludf.DUMMYFUNCTION("""COMPUTED_VALUE"""),"الجيزة")</f>
        <v>الجيزة</v>
      </c>
      <c r="D541" s="5" t="str">
        <f ca="1">IFERROR(__xludf.DUMMYFUNCTION("""COMPUTED_VALUE"""),"هيئة الأطباء")</f>
        <v>هيئة الأطباء</v>
      </c>
      <c r="E541" s="5" t="str">
        <f ca="1">IFERROR(__xludf.DUMMYFUNCTION("""COMPUTED_VALUE"""),"أطفال")</f>
        <v>أطفال</v>
      </c>
      <c r="F541" s="5" t="str">
        <f ca="1">IFERROR(__xludf.DUMMYFUNCTION("""COMPUTED_VALUE"""),"طب أطفال")</f>
        <v>طب أطفال</v>
      </c>
      <c r="G541" s="5" t="str">
        <f ca="1">IFERROR(__xludf.DUMMYFUNCTION("""COMPUTED_VALUE"""),"د/أحمد شريف عبدالرؤوف وشركاه ( أطفالنا)")</f>
        <v>د/أحمد شريف عبدالرؤوف وشركاه ( أطفالنا)</v>
      </c>
      <c r="H541" s="5" t="str">
        <f ca="1">IFERROR(__xludf.DUMMYFUNCTION("""COMPUTED_VALUE"""),"69شارع ربيع الجيزى ( برج سوتير) - الجيزة")</f>
        <v>69شارع ربيع الجيزى ( برج سوتير) - الجيزة</v>
      </c>
      <c r="I541" s="6" t="str">
        <f ca="1">IFERROR(__xludf.DUMMYFUNCTION("""COMPUTED_VALUE"""),"20235709828")</f>
        <v>20235709828</v>
      </c>
      <c r="J541" s="6"/>
      <c r="K541" s="6" t="str">
        <f ca="1">IFERROR(__xludf.DUMMYFUNCTION("""COMPUTED_VALUE"""),"20% على الكشف , 30% على باقى الخدمات")</f>
        <v>20% على الكشف , 30% على باقى الخدمات</v>
      </c>
    </row>
    <row r="542" spans="1:11" x14ac:dyDescent="0.25">
      <c r="A542" s="4" t="str">
        <f ca="1">IFERROR(__xludf.DUMMYFUNCTION("""COMPUTED_VALUE"""),"103832-B")</f>
        <v>103832-B</v>
      </c>
      <c r="B542" s="5" t="str">
        <f ca="1">IFERROR(__xludf.DUMMYFUNCTION("""COMPUTED_VALUE"""),"القليوبية")</f>
        <v>القليوبية</v>
      </c>
      <c r="C542" s="5" t="str">
        <f ca="1">IFERROR(__xludf.DUMMYFUNCTION("""COMPUTED_VALUE"""),"شبين القناطر")</f>
        <v>شبين القناطر</v>
      </c>
      <c r="D542" s="5" t="str">
        <f ca="1">IFERROR(__xludf.DUMMYFUNCTION("""COMPUTED_VALUE"""),"هيئة الأطباء")</f>
        <v>هيئة الأطباء</v>
      </c>
      <c r="E542" s="5" t="str">
        <f ca="1">IFERROR(__xludf.DUMMYFUNCTION("""COMPUTED_VALUE"""),"أطفال")</f>
        <v>أطفال</v>
      </c>
      <c r="F542" s="5" t="str">
        <f ca="1">IFERROR(__xludf.DUMMYFUNCTION("""COMPUTED_VALUE"""),"طب أطفال")</f>
        <v>طب أطفال</v>
      </c>
      <c r="G542" s="5" t="str">
        <f ca="1">IFERROR(__xludf.DUMMYFUNCTION("""COMPUTED_VALUE"""),"د/ محسن مصطفي مصطفي عبد المنعم")</f>
        <v>د/ محسن مصطفي مصطفي عبد المنعم</v>
      </c>
      <c r="H542" s="5" t="str">
        <f ca="1">IFERROR(__xludf.DUMMYFUNCTION("""COMPUTED_VALUE"""),"كفر الشوبك - مركز شبين القناطر- شبين القناطر - القليوبية")</f>
        <v>كفر الشوبك - مركز شبين القناطر- شبين القناطر - القليوبية</v>
      </c>
      <c r="I542" s="6" t="str">
        <f ca="1">IFERROR(__xludf.DUMMYFUNCTION("""COMPUTED_VALUE"""),"201000295536")</f>
        <v>201000295536</v>
      </c>
      <c r="J542" s="6"/>
      <c r="K542" s="6" t="str">
        <f ca="1">IFERROR(__xludf.DUMMYFUNCTION("""COMPUTED_VALUE"""),"25% على جميع الخدمات")</f>
        <v>25% على جميع الخدمات</v>
      </c>
    </row>
    <row r="543" spans="1:11" x14ac:dyDescent="0.25">
      <c r="A543" s="4" t="str">
        <f ca="1">IFERROR(__xludf.DUMMYFUNCTION("""COMPUTED_VALUE"""),"103339-B")</f>
        <v>103339-B</v>
      </c>
      <c r="B543" s="5" t="str">
        <f ca="1">IFERROR(__xludf.DUMMYFUNCTION("""COMPUTED_VALUE"""),"الاسكندرية")</f>
        <v>الاسكندرية</v>
      </c>
      <c r="C543" s="5" t="str">
        <f ca="1">IFERROR(__xludf.DUMMYFUNCTION("""COMPUTED_VALUE"""),"الازاريطا")</f>
        <v>الازاريطا</v>
      </c>
      <c r="D543" s="5" t="str">
        <f ca="1">IFERROR(__xludf.DUMMYFUNCTION("""COMPUTED_VALUE"""),"هيئة الأطباء")</f>
        <v>هيئة الأطباء</v>
      </c>
      <c r="E543" s="5" t="str">
        <f ca="1">IFERROR(__xludf.DUMMYFUNCTION("""COMPUTED_VALUE"""),"جراحة")</f>
        <v>جراحة</v>
      </c>
      <c r="F543" s="5" t="str">
        <f ca="1">IFERROR(__xludf.DUMMYFUNCTION("""COMPUTED_VALUE"""),"جراحة عظام")</f>
        <v>جراحة عظام</v>
      </c>
      <c r="G543" s="5" t="str">
        <f ca="1">IFERROR(__xludf.DUMMYFUNCTION("""COMPUTED_VALUE"""),"د/ جورج مجدي مرشد")</f>
        <v>د/ جورج مجدي مرشد</v>
      </c>
      <c r="H543" s="5" t="str">
        <f ca="1">IFERROR(__xludf.DUMMYFUNCTION("""COMPUTED_VALUE"""),"41 شارع عبد الحميد بدوى-الازاريطا-الاسكندرية (مركز الواي الطبي )")</f>
        <v>41 شارع عبد الحميد بدوى-الازاريطا-الاسكندرية (مركز الواي الطبي )</v>
      </c>
      <c r="I543" s="6" t="str">
        <f ca="1">IFERROR(__xludf.DUMMYFUNCTION("""COMPUTED_VALUE"""),"201228566116")</f>
        <v>201228566116</v>
      </c>
      <c r="J543" s="6"/>
      <c r="K543" s="6" t="str">
        <f ca="1">IFERROR(__xludf.DUMMYFUNCTION("""COMPUTED_VALUE"""),"20% على الخارجي ,10% الداخلى")</f>
        <v>20% على الخارجي ,10% الداخلى</v>
      </c>
    </row>
    <row r="544" spans="1:11" x14ac:dyDescent="0.25">
      <c r="A544" s="4" t="str">
        <f ca="1">IFERROR(__xludf.DUMMYFUNCTION("""COMPUTED_VALUE"""),"104561")</f>
        <v>104561</v>
      </c>
      <c r="B544" s="5" t="str">
        <f ca="1">IFERROR(__xludf.DUMMYFUNCTION("""COMPUTED_VALUE"""),"البحيرة")</f>
        <v>البحيرة</v>
      </c>
      <c r="C544" s="5" t="str">
        <f ca="1">IFERROR(__xludf.DUMMYFUNCTION("""COMPUTED_VALUE"""),"كوم حمادة")</f>
        <v>كوم حمادة</v>
      </c>
      <c r="D544" s="5" t="str">
        <f ca="1">IFERROR(__xludf.DUMMYFUNCTION("""COMPUTED_VALUE"""),"هيئة الأطباء")</f>
        <v>هيئة الأطباء</v>
      </c>
      <c r="E544" s="5" t="str">
        <f ca="1">IFERROR(__xludf.DUMMYFUNCTION("""COMPUTED_VALUE"""),"جراحة")</f>
        <v>جراحة</v>
      </c>
      <c r="F544" s="5" t="str">
        <f ca="1">IFERROR(__xludf.DUMMYFUNCTION("""COMPUTED_VALUE"""),"جراحة عظام")</f>
        <v>جراحة عظام</v>
      </c>
      <c r="G544" s="5" t="str">
        <f ca="1">IFERROR(__xludf.DUMMYFUNCTION("""COMPUTED_VALUE"""),"د/أحمد موسى عبدالمطلب الأسود")</f>
        <v>د/أحمد موسى عبدالمطلب الأسود</v>
      </c>
      <c r="H544" s="5" t="str">
        <f ca="1">IFERROR(__xludf.DUMMYFUNCTION("""COMPUTED_VALUE"""),"7شارع الإصلاح من شارع التحرير - كوم حمادة - البحيرة")</f>
        <v>7شارع الإصلاح من شارع التحرير - كوم حمادة - البحيرة</v>
      </c>
      <c r="I544" s="6" t="str">
        <f ca="1">IFERROR(__xludf.DUMMYFUNCTION("""COMPUTED_VALUE"""),"201003152049")</f>
        <v>201003152049</v>
      </c>
      <c r="J544" s="6"/>
      <c r="K544" s="6" t="str">
        <f ca="1">IFERROR(__xludf.DUMMYFUNCTION("""COMPUTED_VALUE"""),"الكشف: 45 , نقابه 2012")</f>
        <v>الكشف: 45 , نقابه 2012</v>
      </c>
    </row>
    <row r="545" spans="1:11" x14ac:dyDescent="0.25">
      <c r="A545" s="4" t="str">
        <f ca="1">IFERROR(__xludf.DUMMYFUNCTION("""COMPUTED_VALUE"""),"1828")</f>
        <v>1828</v>
      </c>
      <c r="B545" s="5" t="str">
        <f ca="1">IFERROR(__xludf.DUMMYFUNCTION("""COMPUTED_VALUE"""),"الجيزة")</f>
        <v>الجيزة</v>
      </c>
      <c r="C545" s="5" t="str">
        <f ca="1">IFERROR(__xludf.DUMMYFUNCTION("""COMPUTED_VALUE"""),"الهرم")</f>
        <v>الهرم</v>
      </c>
      <c r="D545" s="5" t="str">
        <f ca="1">IFERROR(__xludf.DUMMYFUNCTION("""COMPUTED_VALUE"""),"هيئة الأطباء")</f>
        <v>هيئة الأطباء</v>
      </c>
      <c r="E545" s="5" t="str">
        <f ca="1">IFERROR(__xludf.DUMMYFUNCTION("""COMPUTED_VALUE"""),"جراحة")</f>
        <v>جراحة</v>
      </c>
      <c r="F545" s="5" t="str">
        <f ca="1">IFERROR(__xludf.DUMMYFUNCTION("""COMPUTED_VALUE"""),"جراحة عظام")</f>
        <v>جراحة عظام</v>
      </c>
      <c r="G545" s="5" t="str">
        <f ca="1">IFERROR(__xludf.DUMMYFUNCTION("""COMPUTED_VALUE"""),"د/ محمد عمارة")</f>
        <v>د/ محمد عمارة</v>
      </c>
      <c r="H545" s="5" t="str">
        <f ca="1">IFERROR(__xludf.DUMMYFUNCTION("""COMPUTED_VALUE"""),"300 ش الهرم - الطالبية - عمارات الاتحادية (منتصر)-الطالبية- الجيزة")</f>
        <v>300 ش الهرم - الطالبية - عمارات الاتحادية (منتصر)-الطالبية- الجيزة</v>
      </c>
      <c r="I545" s="6" t="str">
        <f ca="1">IFERROR(__xludf.DUMMYFUNCTION("""COMPUTED_VALUE"""),"201119569014")</f>
        <v>201119569014</v>
      </c>
      <c r="J545" s="6"/>
      <c r="K545" s="6" t="str">
        <f ca="1">IFERROR(__xludf.DUMMYFUNCTION("""COMPUTED_VALUE"""),"خصم 25% علي الاسعار النقدي")</f>
        <v>خصم 25% علي الاسعار النقدي</v>
      </c>
    </row>
    <row r="546" spans="1:11" x14ac:dyDescent="0.25">
      <c r="A546" s="4" t="str">
        <f ca="1">IFERROR(__xludf.DUMMYFUNCTION("""COMPUTED_VALUE"""),"103339")</f>
        <v>103339</v>
      </c>
      <c r="B546" s="5" t="str">
        <f ca="1">IFERROR(__xludf.DUMMYFUNCTION("""COMPUTED_VALUE"""),"القاهرة")</f>
        <v>القاهرة</v>
      </c>
      <c r="C546" s="5" t="str">
        <f ca="1">IFERROR(__xludf.DUMMYFUNCTION("""COMPUTED_VALUE"""),"شبرا")</f>
        <v>شبرا</v>
      </c>
      <c r="D546" s="5" t="str">
        <f ca="1">IFERROR(__xludf.DUMMYFUNCTION("""COMPUTED_VALUE"""),"هيئة الأطباء")</f>
        <v>هيئة الأطباء</v>
      </c>
      <c r="E546" s="5" t="str">
        <f ca="1">IFERROR(__xludf.DUMMYFUNCTION("""COMPUTED_VALUE"""),"جراحة")</f>
        <v>جراحة</v>
      </c>
      <c r="F546" s="5" t="str">
        <f ca="1">IFERROR(__xludf.DUMMYFUNCTION("""COMPUTED_VALUE"""),"جراحة عظام")</f>
        <v>جراحة عظام</v>
      </c>
      <c r="G546" s="5" t="str">
        <f ca="1">IFERROR(__xludf.DUMMYFUNCTION("""COMPUTED_VALUE"""),"د/ جورج مجدي مرشد")</f>
        <v>د/ جورج مجدي مرشد</v>
      </c>
      <c r="H546" s="5" t="str">
        <f ca="1">IFERROR(__xludf.DUMMYFUNCTION("""COMPUTED_VALUE"""),"37 شارع مسرة من شارع شبرا - بجوار محطة الاتوبيس-شبرا-القاهرة")</f>
        <v>37 شارع مسرة من شارع شبرا - بجوار محطة الاتوبيس-شبرا-القاهرة</v>
      </c>
      <c r="I546" s="6" t="str">
        <f ca="1">IFERROR(__xludf.DUMMYFUNCTION("""COMPUTED_VALUE"""),"20224570411")</f>
        <v>20224570411</v>
      </c>
      <c r="J546" s="6"/>
      <c r="K546" s="6" t="str">
        <f ca="1">IFERROR(__xludf.DUMMYFUNCTION("""COMPUTED_VALUE"""),"20% على الخارجي ,10% الداخلى")</f>
        <v>20% على الخارجي ,10% الداخلى</v>
      </c>
    </row>
    <row r="547" spans="1:11" x14ac:dyDescent="0.25">
      <c r="A547" s="4" t="str">
        <f ca="1">IFERROR(__xludf.DUMMYFUNCTION("""COMPUTED_VALUE"""),"103789")</f>
        <v>103789</v>
      </c>
      <c r="B547" s="5" t="str">
        <f ca="1">IFERROR(__xludf.DUMMYFUNCTION("""COMPUTED_VALUE"""),"القاهرة")</f>
        <v>القاهرة</v>
      </c>
      <c r="C547" s="5" t="str">
        <f ca="1">IFERROR(__xludf.DUMMYFUNCTION("""COMPUTED_VALUE"""),"مصر الجديدة")</f>
        <v>مصر الجديدة</v>
      </c>
      <c r="D547" s="5" t="str">
        <f ca="1">IFERROR(__xludf.DUMMYFUNCTION("""COMPUTED_VALUE"""),"هيئة الأطباء")</f>
        <v>هيئة الأطباء</v>
      </c>
      <c r="E547" s="5" t="str">
        <f ca="1">IFERROR(__xludf.DUMMYFUNCTION("""COMPUTED_VALUE"""),"جراحة")</f>
        <v>جراحة</v>
      </c>
      <c r="F547" s="5" t="str">
        <f ca="1">IFERROR(__xludf.DUMMYFUNCTION("""COMPUTED_VALUE"""),"جراحة عظام")</f>
        <v>جراحة عظام</v>
      </c>
      <c r="G547" s="5" t="str">
        <f ca="1">IFERROR(__xludf.DUMMYFUNCTION("""COMPUTED_VALUE"""),"د/ احمد هاني محمد عزت مصطفي(هاني عزت مصطفي)")</f>
        <v>د/ احمد هاني محمد عزت مصطفي(هاني عزت مصطفي)</v>
      </c>
      <c r="H547" s="5" t="str">
        <f ca="1">IFERROR(__xludf.DUMMYFUNCTION("""COMPUTED_VALUE"""),"6 ب شارع بطرس غالي – روكسي.-مصر الجديدة-القاهرة")</f>
        <v>6 ب شارع بطرس غالي – روكسي.-مصر الجديدة-القاهرة</v>
      </c>
      <c r="I547" s="6" t="str">
        <f ca="1">IFERROR(__xludf.DUMMYFUNCTION("""COMPUTED_VALUE"""),"20222592659")</f>
        <v>20222592659</v>
      </c>
      <c r="J547" s="6"/>
      <c r="K547" s="6" t="str">
        <f ca="1">IFERROR(__xludf.DUMMYFUNCTION("""COMPUTED_VALUE"""),"25% علي الأسعار النقدي المعلنة")</f>
        <v>25% علي الأسعار النقدي المعلنة</v>
      </c>
    </row>
    <row r="548" spans="1:11" x14ac:dyDescent="0.25">
      <c r="A548" s="4" t="str">
        <f ca="1">IFERROR(__xludf.DUMMYFUNCTION("""COMPUTED_VALUE"""),"104451-B")</f>
        <v>104451-B</v>
      </c>
      <c r="B548" s="5" t="str">
        <f ca="1">IFERROR(__xludf.DUMMYFUNCTION("""COMPUTED_VALUE"""),"القاهرة")</f>
        <v>القاهرة</v>
      </c>
      <c r="C548" s="5" t="str">
        <f ca="1">IFERROR(__xludf.DUMMYFUNCTION("""COMPUTED_VALUE"""),"مصر الجديدة")</f>
        <v>مصر الجديدة</v>
      </c>
      <c r="D548" s="5" t="str">
        <f ca="1">IFERROR(__xludf.DUMMYFUNCTION("""COMPUTED_VALUE"""),"هيئة الأطباء")</f>
        <v>هيئة الأطباء</v>
      </c>
      <c r="E548" s="5" t="str">
        <f ca="1">IFERROR(__xludf.DUMMYFUNCTION("""COMPUTED_VALUE"""),"جراحة")</f>
        <v>جراحة</v>
      </c>
      <c r="F548" s="5" t="str">
        <f ca="1">IFERROR(__xludf.DUMMYFUNCTION("""COMPUTED_VALUE"""),"جراحة عظام")</f>
        <v>جراحة عظام</v>
      </c>
      <c r="G548" s="5" t="str">
        <f ca="1">IFERROR(__xludf.DUMMYFUNCTION("""COMPUTED_VALUE"""),"د/ وليد عبدالحي حرحش")</f>
        <v>د/ وليد عبدالحي حرحش</v>
      </c>
      <c r="H548" s="5" t="str">
        <f ca="1">IFERROR(__xludf.DUMMYFUNCTION("""COMPUTED_VALUE"""),"54ش رمسيس - روكسي - مصر الجديدة")</f>
        <v>54ش رمسيس - روكسي - مصر الجديدة</v>
      </c>
      <c r="I548" s="6" t="str">
        <f ca="1">IFERROR(__xludf.DUMMYFUNCTION("""COMPUTED_VALUE"""),"20222572564")</f>
        <v>20222572564</v>
      </c>
      <c r="J548" s="6"/>
      <c r="K548" s="6" t="str">
        <f ca="1">IFERROR(__xludf.DUMMYFUNCTION("""COMPUTED_VALUE"""),"خصم 30% علي الاسعار النقدي")</f>
        <v>خصم 30% علي الاسعار النقدي</v>
      </c>
    </row>
    <row r="549" spans="1:11" x14ac:dyDescent="0.25">
      <c r="A549" s="4" t="str">
        <f ca="1">IFERROR(__xludf.DUMMYFUNCTION("""COMPUTED_VALUE"""),"104451")</f>
        <v>104451</v>
      </c>
      <c r="B549" s="5" t="str">
        <f ca="1">IFERROR(__xludf.DUMMYFUNCTION("""COMPUTED_VALUE"""),"القليوبية")</f>
        <v>القليوبية</v>
      </c>
      <c r="C549" s="5" t="str">
        <f ca="1">IFERROR(__xludf.DUMMYFUNCTION("""COMPUTED_VALUE"""),"قليوب")</f>
        <v>قليوب</v>
      </c>
      <c r="D549" s="5" t="str">
        <f ca="1">IFERROR(__xludf.DUMMYFUNCTION("""COMPUTED_VALUE"""),"هيئة الأطباء")</f>
        <v>هيئة الأطباء</v>
      </c>
      <c r="E549" s="5" t="str">
        <f ca="1">IFERROR(__xludf.DUMMYFUNCTION("""COMPUTED_VALUE"""),"جراحة")</f>
        <v>جراحة</v>
      </c>
      <c r="F549" s="5" t="str">
        <f ca="1">IFERROR(__xludf.DUMMYFUNCTION("""COMPUTED_VALUE"""),"جراحة عظام")</f>
        <v>جراحة عظام</v>
      </c>
      <c r="G549" s="5" t="str">
        <f ca="1">IFERROR(__xludf.DUMMYFUNCTION("""COMPUTED_VALUE"""),"د/ وليد عبدالحي حرحش")</f>
        <v>د/ وليد عبدالحي حرحش</v>
      </c>
      <c r="H549" s="5" t="str">
        <f ca="1">IFERROR(__xludf.DUMMYFUNCTION("""COMPUTED_VALUE"""),"قليوب البلد - شارع المدارس - مركز قليوب - القليوبية")</f>
        <v>قليوب البلد - شارع المدارس - مركز قليوب - القليوبية</v>
      </c>
      <c r="I549" s="6" t="str">
        <f ca="1">IFERROR(__xludf.DUMMYFUNCTION("""COMPUTED_VALUE"""),"201063631126")</f>
        <v>201063631126</v>
      </c>
      <c r="J549" s="6"/>
      <c r="K549" s="6" t="str">
        <f ca="1">IFERROR(__xludf.DUMMYFUNCTION("""COMPUTED_VALUE"""),"خصم 30% علي الاسعار النقدي")</f>
        <v>خصم 30% علي الاسعار النقدي</v>
      </c>
    </row>
    <row r="550" spans="1:11" x14ac:dyDescent="0.25">
      <c r="A550" s="4" t="str">
        <f ca="1">IFERROR(__xludf.DUMMYFUNCTION("""COMPUTED_VALUE"""),"104919")</f>
        <v>104919</v>
      </c>
      <c r="B550" s="5" t="str">
        <f ca="1">IFERROR(__xludf.DUMMYFUNCTION("""COMPUTED_VALUE"""),"الغربية")</f>
        <v>الغربية</v>
      </c>
      <c r="C550" s="5" t="str">
        <f ca="1">IFERROR(__xludf.DUMMYFUNCTION("""COMPUTED_VALUE"""),"طنطا")</f>
        <v>طنطا</v>
      </c>
      <c r="D550" s="5" t="str">
        <f ca="1">IFERROR(__xludf.DUMMYFUNCTION("""COMPUTED_VALUE"""),"هيئة الأطباء")</f>
        <v>هيئة الأطباء</v>
      </c>
      <c r="E550" s="5" t="str">
        <f ca="1">IFERROR(__xludf.DUMMYFUNCTION("""COMPUTED_VALUE"""),"جراحة")</f>
        <v>جراحة</v>
      </c>
      <c r="F550" s="5" t="str">
        <f ca="1">IFERROR(__xludf.DUMMYFUNCTION("""COMPUTED_VALUE"""),"جراحة عظام")</f>
        <v>جراحة عظام</v>
      </c>
      <c r="G550" s="5" t="str">
        <f ca="1">IFERROR(__xludf.DUMMYFUNCTION("""COMPUTED_VALUE"""),"د/ محمد خيرى عبد الحميد عمار")</f>
        <v>د/ محمد خيرى عبد الحميد عمار</v>
      </c>
      <c r="H550" s="5" t="str">
        <f ca="1">IFERROR(__xludf.DUMMYFUNCTION("""COMPUTED_VALUE"""),"امام  مستشفى المنشاوى العام - طنطا -الغربية")</f>
        <v>امام  مستشفى المنشاوى العام - طنطا -الغربية</v>
      </c>
      <c r="I550" s="6" t="str">
        <f ca="1">IFERROR(__xludf.DUMMYFUNCTION("""COMPUTED_VALUE"""),"201001424459")</f>
        <v>201001424459</v>
      </c>
      <c r="J550" s="6"/>
      <c r="K550" s="6" t="str">
        <f ca="1">IFERROR(__xludf.DUMMYFUNCTION("""COMPUTED_VALUE"""),"الكشف 50 جنية, المؤسسه العلاجيه 2016")</f>
        <v>الكشف 50 جنية, المؤسسه العلاجيه 2016</v>
      </c>
    </row>
    <row r="551" spans="1:11" x14ac:dyDescent="0.25">
      <c r="A551" s="4" t="str">
        <f ca="1">IFERROR(__xludf.DUMMYFUNCTION("""COMPUTED_VALUE"""),"103549-B")</f>
        <v>103549-B</v>
      </c>
      <c r="B551" s="5" t="str">
        <f ca="1">IFERROR(__xludf.DUMMYFUNCTION("""COMPUTED_VALUE"""),"مرسى مطروح")</f>
        <v>مرسى مطروح</v>
      </c>
      <c r="C551" s="5" t="str">
        <f ca="1">IFERROR(__xludf.DUMMYFUNCTION("""COMPUTED_VALUE"""),"الساحل الشمالي")</f>
        <v>الساحل الشمالي</v>
      </c>
      <c r="D551" s="5" t="str">
        <f ca="1">IFERROR(__xludf.DUMMYFUNCTION("""COMPUTED_VALUE"""),"شركة")</f>
        <v>شركة</v>
      </c>
      <c r="E551" s="5" t="str">
        <f ca="1">IFERROR(__xludf.DUMMYFUNCTION("""COMPUTED_VALUE"""),"شركة اجهزة طبية")</f>
        <v>شركة اجهزة طبية</v>
      </c>
      <c r="F551" s="5" t="str">
        <f ca="1">IFERROR(__xludf.DUMMYFUNCTION("""COMPUTED_VALUE"""),"مركز بصريات")</f>
        <v>مركز بصريات</v>
      </c>
      <c r="G551" s="5" t="str">
        <f ca="1">IFERROR(__xludf.DUMMYFUNCTION("""COMPUTED_VALUE"""),"نظارات كاريرا فيجن")</f>
        <v>نظارات كاريرا فيجن</v>
      </c>
      <c r="H551" s="5" t="str">
        <f ca="1">IFERROR(__xludf.DUMMYFUNCTION("""COMPUTED_VALUE"""),"سيدي كرير - سوق الزهور - محل رقم 5-الاسكندرية")</f>
        <v>سيدي كرير - سوق الزهور - محل رقم 5-الاسكندرية</v>
      </c>
      <c r="I551" s="6" t="str">
        <f ca="1">IFERROR(__xludf.DUMMYFUNCTION("""COMPUTED_VALUE"""),"201122222083")</f>
        <v>201122222083</v>
      </c>
      <c r="J551" s="6"/>
      <c r="K551" s="6" t="str">
        <f ca="1">IFERROR(__xludf.DUMMYFUNCTION("""COMPUTED_VALUE"""),"25% نسبة خصم")</f>
        <v>25% نسبة خصم</v>
      </c>
    </row>
    <row r="552" spans="1:11" x14ac:dyDescent="0.25">
      <c r="A552" s="4" t="str">
        <f ca="1">IFERROR(__xludf.DUMMYFUNCTION("""COMPUTED_VALUE"""),"103549-B")</f>
        <v>103549-B</v>
      </c>
      <c r="B552" s="5" t="str">
        <f ca="1">IFERROR(__xludf.DUMMYFUNCTION("""COMPUTED_VALUE"""),"الاسكندرية")</f>
        <v>الاسكندرية</v>
      </c>
      <c r="C552" s="5" t="str">
        <f ca="1">IFERROR(__xludf.DUMMYFUNCTION("""COMPUTED_VALUE"""),"سيدي بشر")</f>
        <v>سيدي بشر</v>
      </c>
      <c r="D552" s="5" t="str">
        <f ca="1">IFERROR(__xludf.DUMMYFUNCTION("""COMPUTED_VALUE"""),"شركة")</f>
        <v>شركة</v>
      </c>
      <c r="E552" s="5" t="str">
        <f ca="1">IFERROR(__xludf.DUMMYFUNCTION("""COMPUTED_VALUE"""),"شركة اجهزة طبية")</f>
        <v>شركة اجهزة طبية</v>
      </c>
      <c r="F552" s="5" t="str">
        <f ca="1">IFERROR(__xludf.DUMMYFUNCTION("""COMPUTED_VALUE"""),"مركز بصريات")</f>
        <v>مركز بصريات</v>
      </c>
      <c r="G552" s="5" t="str">
        <f ca="1">IFERROR(__xludf.DUMMYFUNCTION("""COMPUTED_VALUE"""),"نظارات كاريرا فيجن")</f>
        <v>نظارات كاريرا فيجن</v>
      </c>
      <c r="H552" s="5" t="str">
        <f ca="1">IFERROR(__xludf.DUMMYFUNCTION("""COMPUTED_VALUE"""),"29 شارع البكباشي العيسوي-سيدي بشر-الاسكندرية")</f>
        <v>29 شارع البكباشي العيسوي-سيدي بشر-الاسكندرية</v>
      </c>
      <c r="I552" s="6" t="str">
        <f ca="1">IFERROR(__xludf.DUMMYFUNCTION("""COMPUTED_VALUE"""),"2035400889")</f>
        <v>2035400889</v>
      </c>
      <c r="J552" s="6"/>
      <c r="K552" s="6" t="str">
        <f ca="1">IFERROR(__xludf.DUMMYFUNCTION("""COMPUTED_VALUE"""),"25% نسبة خصم")</f>
        <v>25% نسبة خصم</v>
      </c>
    </row>
    <row r="553" spans="1:11" x14ac:dyDescent="0.25">
      <c r="A553" s="4" t="str">
        <f ca="1">IFERROR(__xludf.DUMMYFUNCTION("""COMPUTED_VALUE"""),"103549")</f>
        <v>103549</v>
      </c>
      <c r="B553" s="5" t="str">
        <f ca="1">IFERROR(__xludf.DUMMYFUNCTION("""COMPUTED_VALUE"""),"الاسكندرية")</f>
        <v>الاسكندرية</v>
      </c>
      <c r="C553" s="5" t="str">
        <f ca="1">IFERROR(__xludf.DUMMYFUNCTION("""COMPUTED_VALUE"""),"مصطفى كامل")</f>
        <v>مصطفى كامل</v>
      </c>
      <c r="D553" s="5" t="str">
        <f ca="1">IFERROR(__xludf.DUMMYFUNCTION("""COMPUTED_VALUE"""),"شركة")</f>
        <v>شركة</v>
      </c>
      <c r="E553" s="5" t="str">
        <f ca="1">IFERROR(__xludf.DUMMYFUNCTION("""COMPUTED_VALUE"""),"شركة اجهزة طبية")</f>
        <v>شركة اجهزة طبية</v>
      </c>
      <c r="F553" s="5" t="str">
        <f ca="1">IFERROR(__xludf.DUMMYFUNCTION("""COMPUTED_VALUE"""),"مركز بصريات")</f>
        <v>مركز بصريات</v>
      </c>
      <c r="G553" s="5" t="str">
        <f ca="1">IFERROR(__xludf.DUMMYFUNCTION("""COMPUTED_VALUE"""),"نظارات كاريرا فيجن")</f>
        <v>نظارات كاريرا فيجن</v>
      </c>
      <c r="H553" s="5" t="str">
        <f ca="1">IFERROR(__xludf.DUMMYFUNCTION("""COMPUTED_VALUE"""),"68 شارع احمد شوقي - مصطفى كامل-الاسكندرية")</f>
        <v>68 شارع احمد شوقي - مصطفى كامل-الاسكندرية</v>
      </c>
      <c r="I553" s="6" t="str">
        <f ca="1">IFERROR(__xludf.DUMMYFUNCTION("""COMPUTED_VALUE"""),"035217177")</f>
        <v>035217177</v>
      </c>
      <c r="J553" s="6"/>
      <c r="K553" s="6" t="str">
        <f ca="1">IFERROR(__xludf.DUMMYFUNCTION("""COMPUTED_VALUE"""),"25% نسبة خصم")</f>
        <v>25% نسبة خصم</v>
      </c>
    </row>
    <row r="554" spans="1:11" x14ac:dyDescent="0.25">
      <c r="A554" s="4" t="str">
        <f ca="1">IFERROR(__xludf.DUMMYFUNCTION("""COMPUTED_VALUE"""),"103667")</f>
        <v>103667</v>
      </c>
      <c r="B554" s="5" t="str">
        <f ca="1">IFERROR(__xludf.DUMMYFUNCTION("""COMPUTED_VALUE"""),"الغربية")</f>
        <v>الغربية</v>
      </c>
      <c r="C554" s="5" t="str">
        <f ca="1">IFERROR(__xludf.DUMMYFUNCTION("""COMPUTED_VALUE"""),"المحلة الكبرى")</f>
        <v>المحلة الكبرى</v>
      </c>
      <c r="D554" s="5" t="str">
        <f ca="1">IFERROR(__xludf.DUMMYFUNCTION("""COMPUTED_VALUE"""),"شركة")</f>
        <v>شركة</v>
      </c>
      <c r="E554" s="5" t="str">
        <f ca="1">IFERROR(__xludf.DUMMYFUNCTION("""COMPUTED_VALUE"""),"شركة اجهزة طبية")</f>
        <v>شركة اجهزة طبية</v>
      </c>
      <c r="F554" s="5" t="str">
        <f ca="1">IFERROR(__xludf.DUMMYFUNCTION("""COMPUTED_VALUE"""),"مركز بصريات")</f>
        <v>مركز بصريات</v>
      </c>
      <c r="G554" s="5" t="str">
        <f ca="1">IFERROR(__xludf.DUMMYFUNCTION("""COMPUTED_VALUE"""),"غمزة للبصريات")</f>
        <v>غمزة للبصريات</v>
      </c>
      <c r="H554" s="5" t="str">
        <f ca="1">IFERROR(__xludf.DUMMYFUNCTION("""COMPUTED_VALUE"""),"1 شارع الجلاء مع مصر و السودان بجوار ستوديو الموناليزا-المحلة الكبرى-الغربية")</f>
        <v>1 شارع الجلاء مع مصر و السودان بجوار ستوديو الموناليزا-المحلة الكبرى-الغربية</v>
      </c>
      <c r="I554" s="6" t="str">
        <f ca="1">IFERROR(__xludf.DUMMYFUNCTION("""COMPUTED_VALUE"""),"201000072362")</f>
        <v>201000072362</v>
      </c>
      <c r="J554" s="6"/>
      <c r="K554" s="6" t="str">
        <f ca="1">IFERROR(__xludf.DUMMYFUNCTION("""COMPUTED_VALUE"""),"خصم يصل الي 25%")</f>
        <v>خصم يصل الي 25%</v>
      </c>
    </row>
    <row r="555" spans="1:11" x14ac:dyDescent="0.25">
      <c r="A555" s="4" t="str">
        <f ca="1">IFERROR(__xludf.DUMMYFUNCTION("""COMPUTED_VALUE"""),"103655-B")</f>
        <v>103655-B</v>
      </c>
      <c r="B555" s="5" t="str">
        <f ca="1">IFERROR(__xludf.DUMMYFUNCTION("""COMPUTED_VALUE"""),"الغربية")</f>
        <v>الغربية</v>
      </c>
      <c r="C555" s="5" t="str">
        <f ca="1">IFERROR(__xludf.DUMMYFUNCTION("""COMPUTED_VALUE"""),"طنطا")</f>
        <v>طنطا</v>
      </c>
      <c r="D555" s="5" t="str">
        <f ca="1">IFERROR(__xludf.DUMMYFUNCTION("""COMPUTED_VALUE"""),"شركة")</f>
        <v>شركة</v>
      </c>
      <c r="E555" s="5" t="str">
        <f ca="1">IFERROR(__xludf.DUMMYFUNCTION("""COMPUTED_VALUE"""),"شركة اجهزة طبية")</f>
        <v>شركة اجهزة طبية</v>
      </c>
      <c r="F555" s="5" t="str">
        <f ca="1">IFERROR(__xludf.DUMMYFUNCTION("""COMPUTED_VALUE"""),"مركز بصريات")</f>
        <v>مركز بصريات</v>
      </c>
      <c r="G555" s="5" t="str">
        <f ca="1">IFERROR(__xludf.DUMMYFUNCTION("""COMPUTED_VALUE"""),"غرائب للبصريات")</f>
        <v>غرائب للبصريات</v>
      </c>
      <c r="H555" s="5" t="str">
        <f ca="1">IFERROR(__xludf.DUMMYFUNCTION("""COMPUTED_VALUE"""),"4 شارع النادي-سور نادي طنطا -طنطا-الغربية")</f>
        <v>4 شارع النادي-سور نادي طنطا -طنطا-الغربية</v>
      </c>
      <c r="I555" s="6" t="str">
        <f ca="1">IFERROR(__xludf.DUMMYFUNCTION("""COMPUTED_VALUE"""),"201288809911")</f>
        <v>201288809911</v>
      </c>
      <c r="J555" s="6"/>
      <c r="K555" s="6" t="str">
        <f ca="1">IFERROR(__xludf.DUMMYFUNCTION("""COMPUTED_VALUE"""),"خصم يصل الي 25%")</f>
        <v>خصم يصل الي 25%</v>
      </c>
    </row>
    <row r="556" spans="1:11" x14ac:dyDescent="0.25">
      <c r="A556" s="4" t="str">
        <f ca="1">IFERROR(__xludf.DUMMYFUNCTION("""COMPUTED_VALUE"""),"103655")</f>
        <v>103655</v>
      </c>
      <c r="B556" s="5" t="str">
        <f ca="1">IFERROR(__xludf.DUMMYFUNCTION("""COMPUTED_VALUE"""),"الغربية")</f>
        <v>الغربية</v>
      </c>
      <c r="C556" s="5" t="str">
        <f ca="1">IFERROR(__xludf.DUMMYFUNCTION("""COMPUTED_VALUE"""),"طنطا")</f>
        <v>طنطا</v>
      </c>
      <c r="D556" s="5" t="str">
        <f ca="1">IFERROR(__xludf.DUMMYFUNCTION("""COMPUTED_VALUE"""),"شركة")</f>
        <v>شركة</v>
      </c>
      <c r="E556" s="5" t="str">
        <f ca="1">IFERROR(__xludf.DUMMYFUNCTION("""COMPUTED_VALUE"""),"شركة اجهزة طبية")</f>
        <v>شركة اجهزة طبية</v>
      </c>
      <c r="F556" s="5" t="str">
        <f ca="1">IFERROR(__xludf.DUMMYFUNCTION("""COMPUTED_VALUE"""),"مركز بصريات")</f>
        <v>مركز بصريات</v>
      </c>
      <c r="G556" s="5" t="str">
        <f ca="1">IFERROR(__xludf.DUMMYFUNCTION("""COMPUTED_VALUE"""),"غرائب للبصريات (كريزى للبصريات)")</f>
        <v>غرائب للبصريات (كريزى للبصريات)</v>
      </c>
      <c r="H556" s="5" t="str">
        <f ca="1">IFERROR(__xludf.DUMMYFUNCTION("""COMPUTED_VALUE"""),"شارع حسان بن ثابت المتوكل-طنطا-الغربية")</f>
        <v>شارع حسان بن ثابت المتوكل-طنطا-الغربية</v>
      </c>
      <c r="I556" s="6" t="str">
        <f ca="1">IFERROR(__xludf.DUMMYFUNCTION("""COMPUTED_VALUE"""),"201288809922")</f>
        <v>201288809922</v>
      </c>
      <c r="J556" s="6"/>
      <c r="K556" s="6" t="str">
        <f ca="1">IFERROR(__xludf.DUMMYFUNCTION("""COMPUTED_VALUE"""),"خصم يصل الي 25%")</f>
        <v>خصم يصل الي 25%</v>
      </c>
    </row>
    <row r="557" spans="1:11" x14ac:dyDescent="0.25">
      <c r="A557" s="4" t="str">
        <f ca="1">IFERROR(__xludf.DUMMYFUNCTION("""COMPUTED_VALUE"""),"104915-B")</f>
        <v>104915-B</v>
      </c>
      <c r="B557" s="5" t="str">
        <f ca="1">IFERROR(__xludf.DUMMYFUNCTION("""COMPUTED_VALUE"""),"الفيوم")</f>
        <v>الفيوم</v>
      </c>
      <c r="C557" s="5" t="str">
        <f ca="1">IFERROR(__xludf.DUMMYFUNCTION("""COMPUTED_VALUE"""),"الفيوم")</f>
        <v>الفيوم</v>
      </c>
      <c r="D557" s="5" t="str">
        <f ca="1">IFERROR(__xludf.DUMMYFUNCTION("""COMPUTED_VALUE"""),"صيدلية")</f>
        <v>صيدلية</v>
      </c>
      <c r="E557" s="5" t="str">
        <f ca="1">IFERROR(__xludf.DUMMYFUNCTION("""COMPUTED_VALUE"""),"صيدلية")</f>
        <v>صيدلية</v>
      </c>
      <c r="F557" s="5" t="str">
        <f ca="1">IFERROR(__xludf.DUMMYFUNCTION("""COMPUTED_VALUE"""),"صيدلية (أدوية ومستلزمات طبية)")</f>
        <v>صيدلية (أدوية ومستلزمات طبية)</v>
      </c>
      <c r="G557" s="5" t="str">
        <f ca="1">IFERROR(__xludf.DUMMYFUNCTION("""COMPUTED_VALUE"""),"ورثه ممدوح كامل ابراهيم ابراهيم ( صيدليه النيل )")</f>
        <v>ورثه ممدوح كامل ابراهيم ابراهيم ( صيدليه النيل )</v>
      </c>
      <c r="H557" s="5" t="str">
        <f ca="1">IFERROR(__xludf.DUMMYFUNCTION("""COMPUTED_VALUE"""),"ش موسى ميزار - خلف المعهد الديني - بجوار محلات الدمياطي للأثاث - الفوال - الفيوم")</f>
        <v>ش موسى ميزار - خلف المعهد الديني - بجوار محلات الدمياطي للأثاث - الفوال - الفيوم</v>
      </c>
      <c r="I557" s="6" t="str">
        <f ca="1">IFERROR(__xludf.DUMMYFUNCTION("""COMPUTED_VALUE"""),"20842334738")</f>
        <v>20842334738</v>
      </c>
      <c r="J557" s="6"/>
      <c r="K557" s="6" t="str">
        <f ca="1">IFERROR(__xludf.DUMMYFUNCTION("""COMPUTED_VALUE"""),"خصم 12% علي المحلي و 6% علي المستورد")</f>
        <v>خصم 12% علي المحلي و 6% علي المستورد</v>
      </c>
    </row>
    <row r="558" spans="1:11" x14ac:dyDescent="0.25">
      <c r="A558" s="4" t="str">
        <f ca="1">IFERROR(__xludf.DUMMYFUNCTION("""COMPUTED_VALUE"""),"103971-B")</f>
        <v>103971-B</v>
      </c>
      <c r="B558" s="5" t="str">
        <f ca="1">IFERROR(__xludf.DUMMYFUNCTION("""COMPUTED_VALUE"""),"القليوبية")</f>
        <v>القليوبية</v>
      </c>
      <c r="C558" s="5" t="str">
        <f ca="1">IFERROR(__xludf.DUMMYFUNCTION("""COMPUTED_VALUE"""),"قليوب")</f>
        <v>قليوب</v>
      </c>
      <c r="D558" s="5" t="str">
        <f ca="1">IFERROR(__xludf.DUMMYFUNCTION("""COMPUTED_VALUE"""),"شركة")</f>
        <v>شركة</v>
      </c>
      <c r="E558" s="5" t="str">
        <f ca="1">IFERROR(__xludf.DUMMYFUNCTION("""COMPUTED_VALUE"""),"شركة اجهزة طبية")</f>
        <v>شركة اجهزة طبية</v>
      </c>
      <c r="F558" s="5" t="str">
        <f ca="1">IFERROR(__xludf.DUMMYFUNCTION("""COMPUTED_VALUE"""),"مركز بصريات")</f>
        <v>مركز بصريات</v>
      </c>
      <c r="G558" s="5" t="str">
        <f ca="1">IFERROR(__xludf.DUMMYFUNCTION("""COMPUTED_VALUE"""),"مراكز كمال و جلال للبصريات")</f>
        <v>مراكز كمال و جلال للبصريات</v>
      </c>
      <c r="H558" s="5" t="str">
        <f ca="1">IFERROR(__xludf.DUMMYFUNCTION("""COMPUTED_VALUE"""),"3 شارع عبد السلام عارف - احمد عرابى - عزبه عثمان - القليوبية")</f>
        <v>3 شارع عبد السلام عارف - احمد عرابى - عزبه عثمان - القليوبية</v>
      </c>
      <c r="I558" s="6" t="str">
        <f ca="1">IFERROR(__xludf.DUMMYFUNCTION("""COMPUTED_VALUE"""),"20248266552")</f>
        <v>20248266552</v>
      </c>
      <c r="J558" s="6"/>
      <c r="K558" s="6" t="str">
        <f ca="1">IFERROR(__xludf.DUMMYFUNCTION("""COMPUTED_VALUE"""),"30% على جميع الخدمات")</f>
        <v>30% على جميع الخدمات</v>
      </c>
    </row>
    <row r="559" spans="1:11" x14ac:dyDescent="0.25">
      <c r="A559" s="4" t="str">
        <f ca="1">IFERROR(__xludf.DUMMYFUNCTION("""COMPUTED_VALUE"""),"103971-B")</f>
        <v>103971-B</v>
      </c>
      <c r="B559" s="5" t="str">
        <f ca="1">IFERROR(__xludf.DUMMYFUNCTION("""COMPUTED_VALUE"""),"القليوبية")</f>
        <v>القليوبية</v>
      </c>
      <c r="C559" s="5" t="str">
        <f ca="1">IFERROR(__xludf.DUMMYFUNCTION("""COMPUTED_VALUE"""),"بهتيم")</f>
        <v>بهتيم</v>
      </c>
      <c r="D559" s="5" t="str">
        <f ca="1">IFERROR(__xludf.DUMMYFUNCTION("""COMPUTED_VALUE"""),"شركة")</f>
        <v>شركة</v>
      </c>
      <c r="E559" s="5" t="str">
        <f ca="1">IFERROR(__xludf.DUMMYFUNCTION("""COMPUTED_VALUE"""),"شركة اجهزة طبية")</f>
        <v>شركة اجهزة طبية</v>
      </c>
      <c r="F559" s="5" t="str">
        <f ca="1">IFERROR(__xludf.DUMMYFUNCTION("""COMPUTED_VALUE"""),"مركز بصريات")</f>
        <v>مركز بصريات</v>
      </c>
      <c r="G559" s="5" t="str">
        <f ca="1">IFERROR(__xludf.DUMMYFUNCTION("""COMPUTED_VALUE"""),"مراكز كمال و جلال للبصريات")</f>
        <v>مراكز كمال و جلال للبصريات</v>
      </c>
      <c r="H559" s="5" t="str">
        <f ca="1">IFERROR(__xludf.DUMMYFUNCTION("""COMPUTED_VALUE"""),"امام شركة اسكو - بهتيم - القليوبية")</f>
        <v>امام شركة اسكو - بهتيم - القليوبية</v>
      </c>
      <c r="I559" s="6" t="str">
        <f ca="1">IFERROR(__xludf.DUMMYFUNCTION("""COMPUTED_VALUE"""),"20248266552")</f>
        <v>20248266552</v>
      </c>
      <c r="J559" s="6"/>
      <c r="K559" s="6" t="str">
        <f ca="1">IFERROR(__xludf.DUMMYFUNCTION("""COMPUTED_VALUE"""),"30% على جميع الخدمات")</f>
        <v>30% على جميع الخدمات</v>
      </c>
    </row>
    <row r="560" spans="1:11" x14ac:dyDescent="0.25">
      <c r="A560" s="4" t="str">
        <f ca="1">IFERROR(__xludf.DUMMYFUNCTION("""COMPUTED_VALUE"""),"103971-B")</f>
        <v>103971-B</v>
      </c>
      <c r="B560" s="5" t="str">
        <f ca="1">IFERROR(__xludf.DUMMYFUNCTION("""COMPUTED_VALUE"""),"القليوبية")</f>
        <v>القليوبية</v>
      </c>
      <c r="C560" s="5" t="str">
        <f ca="1">IFERROR(__xludf.DUMMYFUNCTION("""COMPUTED_VALUE"""),"بهتيم")</f>
        <v>بهتيم</v>
      </c>
      <c r="D560" s="5" t="str">
        <f ca="1">IFERROR(__xludf.DUMMYFUNCTION("""COMPUTED_VALUE"""),"شركة")</f>
        <v>شركة</v>
      </c>
      <c r="E560" s="5" t="str">
        <f ca="1">IFERROR(__xludf.DUMMYFUNCTION("""COMPUTED_VALUE"""),"شركة اجهزة طبية")</f>
        <v>شركة اجهزة طبية</v>
      </c>
      <c r="F560" s="5" t="str">
        <f ca="1">IFERROR(__xludf.DUMMYFUNCTION("""COMPUTED_VALUE"""),"مركز بصريات")</f>
        <v>مركز بصريات</v>
      </c>
      <c r="G560" s="5" t="str">
        <f ca="1">IFERROR(__xludf.DUMMYFUNCTION("""COMPUTED_VALUE"""),"مراكز كمال و جلال للبصريات")</f>
        <v>مراكز كمال و جلال للبصريات</v>
      </c>
      <c r="H560" s="5" t="str">
        <f ca="1">IFERROR(__xludf.DUMMYFUNCTION("""COMPUTED_VALUE"""),"برج عفيفى - ميدان بهتيم  - القليوبية")</f>
        <v>برج عفيفى - ميدان بهتيم  - القليوبية</v>
      </c>
      <c r="I560" s="6" t="str">
        <f ca="1">IFERROR(__xludf.DUMMYFUNCTION("""COMPUTED_VALUE"""),"20248266552")</f>
        <v>20248266552</v>
      </c>
      <c r="J560" s="6"/>
      <c r="K560" s="6" t="str">
        <f ca="1">IFERROR(__xludf.DUMMYFUNCTION("""COMPUTED_VALUE"""),"30% على جميع الخدمات")</f>
        <v>30% على جميع الخدمات</v>
      </c>
    </row>
    <row r="561" spans="1:11" x14ac:dyDescent="0.25">
      <c r="A561" s="4" t="str">
        <f ca="1">IFERROR(__xludf.DUMMYFUNCTION("""COMPUTED_VALUE"""),"103971-B")</f>
        <v>103971-B</v>
      </c>
      <c r="B561" s="5" t="str">
        <f ca="1">IFERROR(__xludf.DUMMYFUNCTION("""COMPUTED_VALUE"""),"القليوبية")</f>
        <v>القليوبية</v>
      </c>
      <c r="C561" s="5" t="str">
        <f ca="1">IFERROR(__xludf.DUMMYFUNCTION("""COMPUTED_VALUE"""),"بهتيم")</f>
        <v>بهتيم</v>
      </c>
      <c r="D561" s="5" t="str">
        <f ca="1">IFERROR(__xludf.DUMMYFUNCTION("""COMPUTED_VALUE"""),"شركة")</f>
        <v>شركة</v>
      </c>
      <c r="E561" s="5" t="str">
        <f ca="1">IFERROR(__xludf.DUMMYFUNCTION("""COMPUTED_VALUE"""),"شركة اجهزة طبية")</f>
        <v>شركة اجهزة طبية</v>
      </c>
      <c r="F561" s="5" t="str">
        <f ca="1">IFERROR(__xludf.DUMMYFUNCTION("""COMPUTED_VALUE"""),"مركز بصريات")</f>
        <v>مركز بصريات</v>
      </c>
      <c r="G561" s="5" t="str">
        <f ca="1">IFERROR(__xludf.DUMMYFUNCTION("""COMPUTED_VALUE"""),"مراكز كمال و جلال للبصريات")</f>
        <v>مراكز كمال و جلال للبصريات</v>
      </c>
      <c r="H561" s="5" t="str">
        <f ca="1">IFERROR(__xludf.DUMMYFUNCTION("""COMPUTED_VALUE"""),"شارع مخلص  بهتيم - القليوبية")</f>
        <v>شارع مخلص  بهتيم - القليوبية</v>
      </c>
      <c r="I561" s="6" t="str">
        <f ca="1">IFERROR(__xludf.DUMMYFUNCTION("""COMPUTED_VALUE"""),"20248266552")</f>
        <v>20248266552</v>
      </c>
      <c r="J561" s="6"/>
      <c r="K561" s="6" t="str">
        <f ca="1">IFERROR(__xludf.DUMMYFUNCTION("""COMPUTED_VALUE"""),"30% على جميع الخدمات")</f>
        <v>30% على جميع الخدمات</v>
      </c>
    </row>
    <row r="562" spans="1:11" x14ac:dyDescent="0.25">
      <c r="A562" s="4" t="str">
        <f ca="1">IFERROR(__xludf.DUMMYFUNCTION("""COMPUTED_VALUE"""),"103971-B")</f>
        <v>103971-B</v>
      </c>
      <c r="B562" s="5" t="str">
        <f ca="1">IFERROR(__xludf.DUMMYFUNCTION("""COMPUTED_VALUE"""),"القليوبية")</f>
        <v>القليوبية</v>
      </c>
      <c r="C562" s="5" t="str">
        <f ca="1">IFERROR(__xludf.DUMMYFUNCTION("""COMPUTED_VALUE"""),"شبرا الخيمة")</f>
        <v>شبرا الخيمة</v>
      </c>
      <c r="D562" s="5" t="str">
        <f ca="1">IFERROR(__xludf.DUMMYFUNCTION("""COMPUTED_VALUE"""),"شركة")</f>
        <v>شركة</v>
      </c>
      <c r="E562" s="5" t="str">
        <f ca="1">IFERROR(__xludf.DUMMYFUNCTION("""COMPUTED_VALUE"""),"شركة اجهزة طبية")</f>
        <v>شركة اجهزة طبية</v>
      </c>
      <c r="F562" s="5" t="str">
        <f ca="1">IFERROR(__xludf.DUMMYFUNCTION("""COMPUTED_VALUE"""),"مركز بصريات")</f>
        <v>مركز بصريات</v>
      </c>
      <c r="G562" s="5" t="str">
        <f ca="1">IFERROR(__xludf.DUMMYFUNCTION("""COMPUTED_VALUE"""),"مراكز كمال و جلال للبصريات")</f>
        <v>مراكز كمال و جلال للبصريات</v>
      </c>
      <c r="H562" s="5" t="str">
        <f ca="1">IFERROR(__xludf.DUMMYFUNCTION("""COMPUTED_VALUE"""),"اولاد ياسين عزبه بدران بجوار نادى الكابلات - شبرا الخيمة - القليوبية")</f>
        <v>اولاد ياسين عزبه بدران بجوار نادى الكابلات - شبرا الخيمة - القليوبية</v>
      </c>
      <c r="I562" s="6" t="str">
        <f ca="1">IFERROR(__xludf.DUMMYFUNCTION("""COMPUTED_VALUE"""),"20248266552")</f>
        <v>20248266552</v>
      </c>
      <c r="J562" s="6"/>
      <c r="K562" s="6" t="str">
        <f ca="1">IFERROR(__xludf.DUMMYFUNCTION("""COMPUTED_VALUE"""),"30% على جميع الخدمات")</f>
        <v>30% على جميع الخدمات</v>
      </c>
    </row>
    <row r="563" spans="1:11" x14ac:dyDescent="0.25">
      <c r="A563" s="4" t="str">
        <f ca="1">IFERROR(__xludf.DUMMYFUNCTION("""COMPUTED_VALUE"""),"103971-B")</f>
        <v>103971-B</v>
      </c>
      <c r="B563" s="5" t="str">
        <f ca="1">IFERROR(__xludf.DUMMYFUNCTION("""COMPUTED_VALUE"""),"القليوبية")</f>
        <v>القليوبية</v>
      </c>
      <c r="C563" s="5" t="str">
        <f ca="1">IFERROR(__xludf.DUMMYFUNCTION("""COMPUTED_VALUE"""),"شبرا الخيمة")</f>
        <v>شبرا الخيمة</v>
      </c>
      <c r="D563" s="5" t="str">
        <f ca="1">IFERROR(__xludf.DUMMYFUNCTION("""COMPUTED_VALUE"""),"شركة")</f>
        <v>شركة</v>
      </c>
      <c r="E563" s="5" t="str">
        <f ca="1">IFERROR(__xludf.DUMMYFUNCTION("""COMPUTED_VALUE"""),"شركة اجهزة طبية")</f>
        <v>شركة اجهزة طبية</v>
      </c>
      <c r="F563" s="5" t="str">
        <f ca="1">IFERROR(__xludf.DUMMYFUNCTION("""COMPUTED_VALUE"""),"مركز بصريات")</f>
        <v>مركز بصريات</v>
      </c>
      <c r="G563" s="5" t="str">
        <f ca="1">IFERROR(__xludf.DUMMYFUNCTION("""COMPUTED_VALUE"""),"مراكز كمال و جلال للبصريات")</f>
        <v>مراكز كمال و جلال للبصريات</v>
      </c>
      <c r="H563" s="5" t="str">
        <f ca="1">IFERROR(__xludf.DUMMYFUNCTION("""COMPUTED_VALUE"""),"سنتر الرضوى - المرجوشى  - شبرا الخيمة - القليوبية")</f>
        <v>سنتر الرضوى - المرجوشى  - شبرا الخيمة - القليوبية</v>
      </c>
      <c r="I563" s="6" t="str">
        <f ca="1">IFERROR(__xludf.DUMMYFUNCTION("""COMPUTED_VALUE"""),"20248266552")</f>
        <v>20248266552</v>
      </c>
      <c r="J563" s="6"/>
      <c r="K563" s="6" t="str">
        <f ca="1">IFERROR(__xludf.DUMMYFUNCTION("""COMPUTED_VALUE"""),"30% على جميع الخدمات")</f>
        <v>30% على جميع الخدمات</v>
      </c>
    </row>
    <row r="564" spans="1:11" x14ac:dyDescent="0.25">
      <c r="A564" s="4" t="str">
        <f ca="1">IFERROR(__xludf.DUMMYFUNCTION("""COMPUTED_VALUE"""),"103971")</f>
        <v>103971</v>
      </c>
      <c r="B564" s="5" t="str">
        <f ca="1">IFERROR(__xludf.DUMMYFUNCTION("""COMPUTED_VALUE"""),"القليوبية")</f>
        <v>القليوبية</v>
      </c>
      <c r="C564" s="5" t="str">
        <f ca="1">IFERROR(__xludf.DUMMYFUNCTION("""COMPUTED_VALUE"""),"شبرا الخيمة")</f>
        <v>شبرا الخيمة</v>
      </c>
      <c r="D564" s="5" t="str">
        <f ca="1">IFERROR(__xludf.DUMMYFUNCTION("""COMPUTED_VALUE"""),"شركة")</f>
        <v>شركة</v>
      </c>
      <c r="E564" s="5" t="str">
        <f ca="1">IFERROR(__xludf.DUMMYFUNCTION("""COMPUTED_VALUE"""),"شركة اجهزة طبية")</f>
        <v>شركة اجهزة طبية</v>
      </c>
      <c r="F564" s="5" t="str">
        <f ca="1">IFERROR(__xludf.DUMMYFUNCTION("""COMPUTED_VALUE"""),"مركز بصريات")</f>
        <v>مركز بصريات</v>
      </c>
      <c r="G564" s="5" t="str">
        <f ca="1">IFERROR(__xludf.DUMMYFUNCTION("""COMPUTED_VALUE"""),"مراكز كمال و جلال للبصريات")</f>
        <v>مراكز كمال و جلال للبصريات</v>
      </c>
      <c r="H564" s="5" t="str">
        <f ca="1">IFERROR(__xludf.DUMMYFUNCTION("""COMPUTED_VALUE"""),"شارع 15 مايو امام مدرسة تجارة بنات   - شبرا الخيمة - القليوبية")</f>
        <v>شارع 15 مايو امام مدرسة تجارة بنات   - شبرا الخيمة - القليوبية</v>
      </c>
      <c r="I564" s="6" t="str">
        <f ca="1">IFERROR(__xludf.DUMMYFUNCTION("""COMPUTED_VALUE"""),"01553184636")</f>
        <v>01553184636</v>
      </c>
      <c r="J564" s="6"/>
      <c r="K564" s="6" t="str">
        <f ca="1">IFERROR(__xludf.DUMMYFUNCTION("""COMPUTED_VALUE"""),"30% على جميع الخدمات")</f>
        <v>30% على جميع الخدمات</v>
      </c>
    </row>
    <row r="565" spans="1:11" x14ac:dyDescent="0.25">
      <c r="A565" s="4" t="str">
        <f ca="1">IFERROR(__xludf.DUMMYFUNCTION("""COMPUTED_VALUE"""),"103971-B")</f>
        <v>103971-B</v>
      </c>
      <c r="B565" s="5" t="str">
        <f ca="1">IFERROR(__xludf.DUMMYFUNCTION("""COMPUTED_VALUE"""),"القليوبية")</f>
        <v>القليوبية</v>
      </c>
      <c r="C565" s="5" t="str">
        <f ca="1">IFERROR(__xludf.DUMMYFUNCTION("""COMPUTED_VALUE"""),"شبرا الخيمة")</f>
        <v>شبرا الخيمة</v>
      </c>
      <c r="D565" s="5" t="str">
        <f ca="1">IFERROR(__xludf.DUMMYFUNCTION("""COMPUTED_VALUE"""),"شركة")</f>
        <v>شركة</v>
      </c>
      <c r="E565" s="5" t="str">
        <f ca="1">IFERROR(__xludf.DUMMYFUNCTION("""COMPUTED_VALUE"""),"شركة اجهزة طبية")</f>
        <v>شركة اجهزة طبية</v>
      </c>
      <c r="F565" s="5" t="str">
        <f ca="1">IFERROR(__xludf.DUMMYFUNCTION("""COMPUTED_VALUE"""),"مركز بصريات")</f>
        <v>مركز بصريات</v>
      </c>
      <c r="G565" s="5" t="str">
        <f ca="1">IFERROR(__xludf.DUMMYFUNCTION("""COMPUTED_VALUE"""),"مراكز كمال و جلال للبصريات")</f>
        <v>مراكز كمال و جلال للبصريات</v>
      </c>
      <c r="H565" s="5" t="str">
        <f ca="1">IFERROR(__xludf.DUMMYFUNCTION("""COMPUTED_VALUE"""),"قهوة شرف بجوار رستوران زين  - شبرا الخيمة - القليوبية")</f>
        <v>قهوة شرف بجوار رستوران زين  - شبرا الخيمة - القليوبية</v>
      </c>
      <c r="I565" s="6" t="str">
        <f ca="1">IFERROR(__xludf.DUMMYFUNCTION("""COMPUTED_VALUE"""),"20248266552")</f>
        <v>20248266552</v>
      </c>
      <c r="J565" s="6"/>
      <c r="K565" s="6" t="str">
        <f ca="1">IFERROR(__xludf.DUMMYFUNCTION("""COMPUTED_VALUE"""),"30% على جميع الخدمات")</f>
        <v>30% على جميع الخدمات</v>
      </c>
    </row>
    <row r="566" spans="1:11" x14ac:dyDescent="0.25">
      <c r="A566" s="4" t="str">
        <f ca="1">IFERROR(__xludf.DUMMYFUNCTION("""COMPUTED_VALUE"""),"103971-B")</f>
        <v>103971-B</v>
      </c>
      <c r="B566" s="5" t="str">
        <f ca="1">IFERROR(__xludf.DUMMYFUNCTION("""COMPUTED_VALUE"""),"القليوبية")</f>
        <v>القليوبية</v>
      </c>
      <c r="C566" s="5" t="str">
        <f ca="1">IFERROR(__xludf.DUMMYFUNCTION("""COMPUTED_VALUE"""),"قليوب")</f>
        <v>قليوب</v>
      </c>
      <c r="D566" s="5" t="str">
        <f ca="1">IFERROR(__xludf.DUMMYFUNCTION("""COMPUTED_VALUE"""),"شركة")</f>
        <v>شركة</v>
      </c>
      <c r="E566" s="5" t="str">
        <f ca="1">IFERROR(__xludf.DUMMYFUNCTION("""COMPUTED_VALUE"""),"شركة اجهزة طبية")</f>
        <v>شركة اجهزة طبية</v>
      </c>
      <c r="F566" s="5" t="str">
        <f ca="1">IFERROR(__xludf.DUMMYFUNCTION("""COMPUTED_VALUE"""),"مركز بصريات")</f>
        <v>مركز بصريات</v>
      </c>
      <c r="G566" s="5" t="str">
        <f ca="1">IFERROR(__xludf.DUMMYFUNCTION("""COMPUTED_VALUE"""),"مراكز كمال و جلال للبصريات")</f>
        <v>مراكز كمال و جلال للبصريات</v>
      </c>
      <c r="H566" s="5" t="str">
        <f ca="1">IFERROR(__xludf.DUMMYFUNCTION("""COMPUTED_VALUE"""),"قليوب البلد - امام مزلقان قليوب - القليوبية")</f>
        <v>قليوب البلد - امام مزلقان قليوب - القليوبية</v>
      </c>
      <c r="I566" s="6" t="str">
        <f ca="1">IFERROR(__xludf.DUMMYFUNCTION("""COMPUTED_VALUE"""),"20248266552")</f>
        <v>20248266552</v>
      </c>
      <c r="J566" s="6"/>
      <c r="K566" s="6" t="str">
        <f ca="1">IFERROR(__xludf.DUMMYFUNCTION("""COMPUTED_VALUE"""),"30% على جميع الخدمات")</f>
        <v>30% على جميع الخدمات</v>
      </c>
    </row>
    <row r="567" spans="1:11" x14ac:dyDescent="0.25">
      <c r="A567" s="4" t="str">
        <f ca="1">IFERROR(__xludf.DUMMYFUNCTION("""COMPUTED_VALUE"""),"103357")</f>
        <v>103357</v>
      </c>
      <c r="B567" s="5" t="str">
        <f ca="1">IFERROR(__xludf.DUMMYFUNCTION("""COMPUTED_VALUE"""),"المنوفية")</f>
        <v>المنوفية</v>
      </c>
      <c r="C567" s="5" t="str">
        <f ca="1">IFERROR(__xludf.DUMMYFUNCTION("""COMPUTED_VALUE"""),"شبين الكوم")</f>
        <v>شبين الكوم</v>
      </c>
      <c r="D567" s="5" t="str">
        <f ca="1">IFERROR(__xludf.DUMMYFUNCTION("""COMPUTED_VALUE"""),"شركة")</f>
        <v>شركة</v>
      </c>
      <c r="E567" s="5" t="str">
        <f ca="1">IFERROR(__xludf.DUMMYFUNCTION("""COMPUTED_VALUE"""),"شركة اجهزة طبية")</f>
        <v>شركة اجهزة طبية</v>
      </c>
      <c r="F567" s="5" t="str">
        <f ca="1">IFERROR(__xludf.DUMMYFUNCTION("""COMPUTED_VALUE"""),"مركز بصريات")</f>
        <v>مركز بصريات</v>
      </c>
      <c r="G567" s="5" t="str">
        <f ca="1">IFERROR(__xludf.DUMMYFUNCTION("""COMPUTED_VALUE"""),"إخوان طاحون للنظارات")</f>
        <v>إخوان طاحون للنظارات</v>
      </c>
      <c r="H567" s="5" t="str">
        <f ca="1">IFERROR(__xludf.DUMMYFUNCTION("""COMPUTED_VALUE"""),"شارع جمال عبد الناصر- ميدان شرف - عمارة الفقي-شبين الكوم-المنوفية")</f>
        <v>شارع جمال عبد الناصر- ميدان شرف - عمارة الفقي-شبين الكوم-المنوفية</v>
      </c>
      <c r="I567" s="6" t="str">
        <f ca="1">IFERROR(__xludf.DUMMYFUNCTION("""COMPUTED_VALUE"""),"20482227164")</f>
        <v>20482227164</v>
      </c>
      <c r="J567" s="6"/>
      <c r="K567" s="6" t="str">
        <f ca="1">IFERROR(__xludf.DUMMYFUNCTION("""COMPUTED_VALUE"""),"خصم 30% علي الاسعار النقدي")</f>
        <v>خصم 30% علي الاسعار النقدي</v>
      </c>
    </row>
    <row r="568" spans="1:11" x14ac:dyDescent="0.25">
      <c r="A568" s="4" t="str">
        <f ca="1">IFERROR(__xludf.DUMMYFUNCTION("""COMPUTED_VALUE"""),"104719")</f>
        <v>104719</v>
      </c>
      <c r="B568" s="5" t="str">
        <f ca="1">IFERROR(__xludf.DUMMYFUNCTION("""COMPUTED_VALUE"""),"القاهرة")</f>
        <v>القاهرة</v>
      </c>
      <c r="C568" s="5" t="str">
        <f ca="1">IFERROR(__xludf.DUMMYFUNCTION("""COMPUTED_VALUE"""),"مدينة نصر")</f>
        <v>مدينة نصر</v>
      </c>
      <c r="D568" s="5" t="str">
        <f ca="1">IFERROR(__xludf.DUMMYFUNCTION("""COMPUTED_VALUE"""),"شركة")</f>
        <v>شركة</v>
      </c>
      <c r="E568" s="5" t="str">
        <f ca="1">IFERROR(__xludf.DUMMYFUNCTION("""COMPUTED_VALUE"""),"شركة اجهزة طبية")</f>
        <v>شركة اجهزة طبية</v>
      </c>
      <c r="F568" s="5" t="str">
        <f ca="1">IFERROR(__xludf.DUMMYFUNCTION("""COMPUTED_VALUE"""),"مركز بصريات")</f>
        <v>مركز بصريات</v>
      </c>
      <c r="G568" s="5" t="str">
        <f ca="1">IFERROR(__xludf.DUMMYFUNCTION("""COMPUTED_VALUE"""),"شركة أوبتك جاليري للتجارة")</f>
        <v>شركة أوبتك جاليري للتجارة</v>
      </c>
      <c r="H568" s="5" t="str">
        <f ca="1">IFERROR(__xludf.DUMMYFUNCTION("""COMPUTED_VALUE"""),"4ش الدكتور البطراوي أمام جنينه مول - مدينة نصر - القاهرة")</f>
        <v>4ش الدكتور البطراوي أمام جنينه مول - مدينة نصر - القاهرة</v>
      </c>
      <c r="I568" s="6" t="str">
        <f ca="1">IFERROR(__xludf.DUMMYFUNCTION("""COMPUTED_VALUE"""),"01008816333")</f>
        <v>01008816333</v>
      </c>
      <c r="J568" s="6"/>
      <c r="K568" s="6" t="str">
        <f ca="1">IFERROR(__xludf.DUMMYFUNCTION("""COMPUTED_VALUE"""),"25% نسبة خصم")</f>
        <v>25% نسبة خصم</v>
      </c>
    </row>
    <row r="569" spans="1:11" x14ac:dyDescent="0.25">
      <c r="A569" s="4" t="str">
        <f ca="1">IFERROR(__xludf.DUMMYFUNCTION("""COMPUTED_VALUE"""),"104719-B")</f>
        <v>104719-B</v>
      </c>
      <c r="B569" s="5" t="str">
        <f ca="1">IFERROR(__xludf.DUMMYFUNCTION("""COMPUTED_VALUE"""),"القاهرة")</f>
        <v>القاهرة</v>
      </c>
      <c r="C569" s="5" t="str">
        <f ca="1">IFERROR(__xludf.DUMMYFUNCTION("""COMPUTED_VALUE"""),"مدينة نصر")</f>
        <v>مدينة نصر</v>
      </c>
      <c r="D569" s="5" t="str">
        <f ca="1">IFERROR(__xludf.DUMMYFUNCTION("""COMPUTED_VALUE"""),"شركة")</f>
        <v>شركة</v>
      </c>
      <c r="E569" s="5" t="str">
        <f ca="1">IFERROR(__xludf.DUMMYFUNCTION("""COMPUTED_VALUE"""),"شركة اجهزة طبية")</f>
        <v>شركة اجهزة طبية</v>
      </c>
      <c r="F569" s="5" t="str">
        <f ca="1">IFERROR(__xludf.DUMMYFUNCTION("""COMPUTED_VALUE"""),"مركز بصريات")</f>
        <v>مركز بصريات</v>
      </c>
      <c r="G569" s="5" t="str">
        <f ca="1">IFERROR(__xludf.DUMMYFUNCTION("""COMPUTED_VALUE"""),"شركة أوبتك جاليري للتجارة")</f>
        <v>شركة أوبتك جاليري للتجارة</v>
      </c>
      <c r="H569" s="5" t="str">
        <f ca="1">IFERROR(__xludf.DUMMYFUNCTION("""COMPUTED_VALUE"""),"عيادات الحق أمام العقاد مول - مدينة نصر - القاهرة")</f>
        <v>عيادات الحق أمام العقاد مول - مدينة نصر - القاهرة</v>
      </c>
      <c r="I569" s="6" t="str">
        <f ca="1">IFERROR(__xludf.DUMMYFUNCTION("""COMPUTED_VALUE"""),"01008816333")</f>
        <v>01008816333</v>
      </c>
      <c r="J569" s="6"/>
      <c r="K569" s="6" t="str">
        <f ca="1">IFERROR(__xludf.DUMMYFUNCTION("""COMPUTED_VALUE"""),"25% نسبة خصم")</f>
        <v>25% نسبة خصم</v>
      </c>
    </row>
    <row r="570" spans="1:11" x14ac:dyDescent="0.25">
      <c r="A570" s="4" t="str">
        <f ca="1">IFERROR(__xludf.DUMMYFUNCTION("""COMPUTED_VALUE"""),"104719-B")</f>
        <v>104719-B</v>
      </c>
      <c r="B570" s="5" t="str">
        <f ca="1">IFERROR(__xludf.DUMMYFUNCTION("""COMPUTED_VALUE"""),"القاهرة")</f>
        <v>القاهرة</v>
      </c>
      <c r="C570" s="5" t="str">
        <f ca="1">IFERROR(__xludf.DUMMYFUNCTION("""COMPUTED_VALUE"""),"المعادى")</f>
        <v>المعادى</v>
      </c>
      <c r="D570" s="5" t="str">
        <f ca="1">IFERROR(__xludf.DUMMYFUNCTION("""COMPUTED_VALUE"""),"شركة")</f>
        <v>شركة</v>
      </c>
      <c r="E570" s="5" t="str">
        <f ca="1">IFERROR(__xludf.DUMMYFUNCTION("""COMPUTED_VALUE"""),"شركة اجهزة طبية")</f>
        <v>شركة اجهزة طبية</v>
      </c>
      <c r="F570" s="5" t="str">
        <f ca="1">IFERROR(__xludf.DUMMYFUNCTION("""COMPUTED_VALUE"""),"مركز بصريات")</f>
        <v>مركز بصريات</v>
      </c>
      <c r="G570" s="5" t="str">
        <f ca="1">IFERROR(__xludf.DUMMYFUNCTION("""COMPUTED_VALUE"""),"شركة أوبتك جاليري للتجارة")</f>
        <v>شركة أوبتك جاليري للتجارة</v>
      </c>
      <c r="H570" s="5" t="str">
        <f ca="1">IFERROR(__xludf.DUMMYFUNCTION("""COMPUTED_VALUE"""),"55 صقر قريش - المعادي الجديدة - القاهرة")</f>
        <v>55 صقر قريش - المعادي الجديدة - القاهرة</v>
      </c>
      <c r="I570" s="6" t="str">
        <f ca="1">IFERROR(__xludf.DUMMYFUNCTION("""COMPUTED_VALUE"""),"20227474399")</f>
        <v>20227474399</v>
      </c>
      <c r="J570" s="6"/>
      <c r="K570" s="6" t="str">
        <f ca="1">IFERROR(__xludf.DUMMYFUNCTION("""COMPUTED_VALUE"""),"25% نسبة خصم")</f>
        <v>25% نسبة خصم</v>
      </c>
    </row>
    <row r="571" spans="1:11" x14ac:dyDescent="0.25">
      <c r="A571" s="4" t="str">
        <f ca="1">IFERROR(__xludf.DUMMYFUNCTION("""COMPUTED_VALUE"""),"104719-B")</f>
        <v>104719-B</v>
      </c>
      <c r="B571" s="5" t="str">
        <f ca="1">IFERROR(__xludf.DUMMYFUNCTION("""COMPUTED_VALUE"""),"الجيزة")</f>
        <v>الجيزة</v>
      </c>
      <c r="C571" s="5" t="str">
        <f ca="1">IFERROR(__xludf.DUMMYFUNCTION("""COMPUTED_VALUE"""),"السادس من اكتوبر")</f>
        <v>السادس من اكتوبر</v>
      </c>
      <c r="D571" s="5" t="str">
        <f ca="1">IFERROR(__xludf.DUMMYFUNCTION("""COMPUTED_VALUE"""),"شركة")</f>
        <v>شركة</v>
      </c>
      <c r="E571" s="5" t="str">
        <f ca="1">IFERROR(__xludf.DUMMYFUNCTION("""COMPUTED_VALUE"""),"شركة اجهزة طبية")</f>
        <v>شركة اجهزة طبية</v>
      </c>
      <c r="F571" s="5" t="str">
        <f ca="1">IFERROR(__xludf.DUMMYFUNCTION("""COMPUTED_VALUE"""),"مركز بصريات")</f>
        <v>مركز بصريات</v>
      </c>
      <c r="G571" s="5" t="str">
        <f ca="1">IFERROR(__xludf.DUMMYFUNCTION("""COMPUTED_VALUE"""),"شركة أوبتك جاليري للتجارة")</f>
        <v>شركة أوبتك جاليري للتجارة</v>
      </c>
      <c r="H571" s="5" t="str">
        <f ca="1">IFERROR(__xludf.DUMMYFUNCTION("""COMPUTED_VALUE"""),"دياموند مول محل رقم 68 - 6 أكتوبر - الجيزة")</f>
        <v>دياموند مول محل رقم 68 - 6 أكتوبر - الجيزة</v>
      </c>
      <c r="I571" s="6" t="str">
        <f ca="1">IFERROR(__xludf.DUMMYFUNCTION("""COMPUTED_VALUE"""),"01002140190")</f>
        <v>01002140190</v>
      </c>
      <c r="J571" s="6"/>
      <c r="K571" s="6" t="str">
        <f ca="1">IFERROR(__xludf.DUMMYFUNCTION("""COMPUTED_VALUE"""),"25% نسبة خصم")</f>
        <v>25% نسبة خصم</v>
      </c>
    </row>
    <row r="572" spans="1:11" x14ac:dyDescent="0.25">
      <c r="A572" s="4" t="str">
        <f ca="1">IFERROR(__xludf.DUMMYFUNCTION("""COMPUTED_VALUE"""),"104719-B")</f>
        <v>104719-B</v>
      </c>
      <c r="B572" s="5" t="str">
        <f ca="1">IFERROR(__xludf.DUMMYFUNCTION("""COMPUTED_VALUE"""),"القاهرة")</f>
        <v>القاهرة</v>
      </c>
      <c r="C572" s="5" t="str">
        <f ca="1">IFERROR(__xludf.DUMMYFUNCTION("""COMPUTED_VALUE"""),"القاهرة الجديدة")</f>
        <v>القاهرة الجديدة</v>
      </c>
      <c r="D572" s="5" t="str">
        <f ca="1">IFERROR(__xludf.DUMMYFUNCTION("""COMPUTED_VALUE"""),"شركة")</f>
        <v>شركة</v>
      </c>
      <c r="E572" s="5" t="str">
        <f ca="1">IFERROR(__xludf.DUMMYFUNCTION("""COMPUTED_VALUE"""),"شركة اجهزة طبية")</f>
        <v>شركة اجهزة طبية</v>
      </c>
      <c r="F572" s="5" t="str">
        <f ca="1">IFERROR(__xludf.DUMMYFUNCTION("""COMPUTED_VALUE"""),"مركز بصريات")</f>
        <v>مركز بصريات</v>
      </c>
      <c r="G572" s="5" t="str">
        <f ca="1">IFERROR(__xludf.DUMMYFUNCTION("""COMPUTED_VALUE"""),"شركة أوبتك جاليري للتجارة")</f>
        <v>شركة أوبتك جاليري للتجارة</v>
      </c>
      <c r="H572" s="5" t="str">
        <f ca="1">IFERROR(__xludf.DUMMYFUNCTION("""COMPUTED_VALUE"""),"مركز نسايم- ميديكال بارك - امام المحكمه")</f>
        <v>مركز نسايم- ميديكال بارك - امام المحكمه</v>
      </c>
      <c r="I572" s="6" t="str">
        <f ca="1">IFERROR(__xludf.DUMMYFUNCTION("""COMPUTED_VALUE"""),"01033301871")</f>
        <v>01033301871</v>
      </c>
      <c r="J572" s="6"/>
      <c r="K572" s="6" t="str">
        <f ca="1">IFERROR(__xludf.DUMMYFUNCTION("""COMPUTED_VALUE"""),"25% نسبة خصم")</f>
        <v>25% نسبة خصم</v>
      </c>
    </row>
    <row r="573" spans="1:11" x14ac:dyDescent="0.25">
      <c r="A573" s="4" t="str">
        <f ca="1">IFERROR(__xludf.DUMMYFUNCTION("""COMPUTED_VALUE"""),"104917")</f>
        <v>104917</v>
      </c>
      <c r="B573" s="5" t="str">
        <f ca="1">IFERROR(__xludf.DUMMYFUNCTION("""COMPUTED_VALUE"""),"الجيزة")</f>
        <v>الجيزة</v>
      </c>
      <c r="C573" s="5" t="str">
        <f ca="1">IFERROR(__xludf.DUMMYFUNCTION("""COMPUTED_VALUE"""),"أوسيم")</f>
        <v>أوسيم</v>
      </c>
      <c r="D573" s="5" t="str">
        <f ca="1">IFERROR(__xludf.DUMMYFUNCTION("""COMPUTED_VALUE"""),"شركة")</f>
        <v>شركة</v>
      </c>
      <c r="E573" s="5" t="str">
        <f ca="1">IFERROR(__xludf.DUMMYFUNCTION("""COMPUTED_VALUE"""),"شركة اجهزة طبية")</f>
        <v>شركة اجهزة طبية</v>
      </c>
      <c r="F573" s="5" t="str">
        <f ca="1">IFERROR(__xludf.DUMMYFUNCTION("""COMPUTED_VALUE"""),"مركز بصريات")</f>
        <v>مركز بصريات</v>
      </c>
      <c r="G573" s="5" t="str">
        <f ca="1">IFERROR(__xludf.DUMMYFUNCTION("""COMPUTED_VALUE"""),"نور العيون للنظارات ( د/ خالد على سليمان على")</f>
        <v>نور العيون للنظارات ( د/ خالد على سليمان على</v>
      </c>
      <c r="H573" s="5" t="str">
        <f ca="1">IFERROR(__xludf.DUMMYFUNCTION("""COMPUTED_VALUE"""),"القراطيين - الجيزة - اوسيم")</f>
        <v>القراطيين - الجيزة - اوسيم</v>
      </c>
      <c r="I573" s="6" t="str">
        <f ca="1">IFERROR(__xludf.DUMMYFUNCTION("""COMPUTED_VALUE"""),"201065057076")</f>
        <v>201065057076</v>
      </c>
      <c r="J573" s="6"/>
      <c r="K573" s="6" t="str">
        <f ca="1">IFERROR(__xludf.DUMMYFUNCTION("""COMPUTED_VALUE"""),"خصم يصل الي 20%")</f>
        <v>خصم يصل الي 20%</v>
      </c>
    </row>
    <row r="574" spans="1:11" x14ac:dyDescent="0.25">
      <c r="A574" s="4" t="str">
        <f ca="1">IFERROR(__xludf.DUMMYFUNCTION("""COMPUTED_VALUE"""),"104917-B")</f>
        <v>104917-B</v>
      </c>
      <c r="B574" s="5" t="str">
        <f ca="1">IFERROR(__xludf.DUMMYFUNCTION("""COMPUTED_VALUE"""),"الجيزة")</f>
        <v>الجيزة</v>
      </c>
      <c r="C574" s="5" t="str">
        <f ca="1">IFERROR(__xludf.DUMMYFUNCTION("""COMPUTED_VALUE"""),"أوسيم")</f>
        <v>أوسيم</v>
      </c>
      <c r="D574" s="5" t="str">
        <f ca="1">IFERROR(__xludf.DUMMYFUNCTION("""COMPUTED_VALUE"""),"شركة")</f>
        <v>شركة</v>
      </c>
      <c r="E574" s="5" t="str">
        <f ca="1">IFERROR(__xludf.DUMMYFUNCTION("""COMPUTED_VALUE"""),"شركة اجهزة طبية")</f>
        <v>شركة اجهزة طبية</v>
      </c>
      <c r="F574" s="5" t="str">
        <f ca="1">IFERROR(__xludf.DUMMYFUNCTION("""COMPUTED_VALUE"""),"مركز بصريات")</f>
        <v>مركز بصريات</v>
      </c>
      <c r="G574" s="5" t="str">
        <f ca="1">IFERROR(__xludf.DUMMYFUNCTION("""COMPUTED_VALUE"""),"نور العيون للنظارات ( د/ خالد على سليمان على")</f>
        <v>نور العيون للنظارات ( د/ خالد على سليمان على</v>
      </c>
      <c r="H574" s="5" t="str">
        <f ca="1">IFERROR(__xludf.DUMMYFUNCTION("""COMPUTED_VALUE"""),"3شارع الجمهورية امام مجلس المدينة - الجيزة - اوسيم")</f>
        <v>3شارع الجمهورية امام مجلس المدينة - الجيزة - اوسيم</v>
      </c>
      <c r="I574" s="6" t="str">
        <f ca="1">IFERROR(__xludf.DUMMYFUNCTION("""COMPUTED_VALUE"""),"201284613360")</f>
        <v>201284613360</v>
      </c>
      <c r="J574" s="6"/>
      <c r="K574" s="6" t="str">
        <f ca="1">IFERROR(__xludf.DUMMYFUNCTION("""COMPUTED_VALUE"""),"خصم يصل الي 20%")</f>
        <v>خصم يصل الي 20%</v>
      </c>
    </row>
    <row r="575" spans="1:11" x14ac:dyDescent="0.25">
      <c r="A575" s="4" t="str">
        <f ca="1">IFERROR(__xludf.DUMMYFUNCTION("""COMPUTED_VALUE"""),"104917-B")</f>
        <v>104917-B</v>
      </c>
      <c r="B575" s="5" t="str">
        <f ca="1">IFERROR(__xludf.DUMMYFUNCTION("""COMPUTED_VALUE"""),"الجيزة")</f>
        <v>الجيزة</v>
      </c>
      <c r="C575" s="5" t="str">
        <f ca="1">IFERROR(__xludf.DUMMYFUNCTION("""COMPUTED_VALUE"""),"أوسيم")</f>
        <v>أوسيم</v>
      </c>
      <c r="D575" s="5" t="str">
        <f ca="1">IFERROR(__xludf.DUMMYFUNCTION("""COMPUTED_VALUE"""),"شركة")</f>
        <v>شركة</v>
      </c>
      <c r="E575" s="5" t="str">
        <f ca="1">IFERROR(__xludf.DUMMYFUNCTION("""COMPUTED_VALUE"""),"شركة اجهزة طبية")</f>
        <v>شركة اجهزة طبية</v>
      </c>
      <c r="F575" s="5" t="str">
        <f ca="1">IFERROR(__xludf.DUMMYFUNCTION("""COMPUTED_VALUE"""),"مركز بصريات")</f>
        <v>مركز بصريات</v>
      </c>
      <c r="G575" s="5" t="str">
        <f ca="1">IFERROR(__xludf.DUMMYFUNCTION("""COMPUTED_VALUE"""),"نور العيون للنظارات ( د/ خالد على سليمان على")</f>
        <v>نور العيون للنظارات ( د/ خالد على سليمان على</v>
      </c>
      <c r="H575" s="5" t="str">
        <f ca="1">IFERROR(__xludf.DUMMYFUNCTION("""COMPUTED_VALUE"""),"الذيدية -ناصية المدرسة الثانوى العام - الجيزة - اوسيم")</f>
        <v>الذيدية -ناصية المدرسة الثانوى العام - الجيزة - اوسيم</v>
      </c>
      <c r="I575" s="6" t="str">
        <f ca="1">IFERROR(__xludf.DUMMYFUNCTION("""COMPUTED_VALUE"""),"20238915117")</f>
        <v>20238915117</v>
      </c>
      <c r="J575" s="6"/>
      <c r="K575" s="6" t="str">
        <f ca="1">IFERROR(__xludf.DUMMYFUNCTION("""COMPUTED_VALUE"""),"خصم يصل الي 20%")</f>
        <v>خصم يصل الي 20%</v>
      </c>
    </row>
    <row r="576" spans="1:11" x14ac:dyDescent="0.25">
      <c r="A576" s="4" t="str">
        <f ca="1">IFERROR(__xludf.DUMMYFUNCTION("""COMPUTED_VALUE"""),"3056")</f>
        <v>3056</v>
      </c>
      <c r="B576" s="5" t="str">
        <f ca="1">IFERROR(__xludf.DUMMYFUNCTION("""COMPUTED_VALUE"""),"الشرقية")</f>
        <v>الشرقية</v>
      </c>
      <c r="C576" s="5" t="str">
        <f ca="1">IFERROR(__xludf.DUMMYFUNCTION("""COMPUTED_VALUE"""),"الزقازيق")</f>
        <v>الزقازيق</v>
      </c>
      <c r="D576" s="5" t="str">
        <f ca="1">IFERROR(__xludf.DUMMYFUNCTION("""COMPUTED_VALUE"""),"مستشفى")</f>
        <v>مستشفى</v>
      </c>
      <c r="E576" s="5" t="str">
        <f ca="1">IFERROR(__xludf.DUMMYFUNCTION("""COMPUTED_VALUE"""),"مستشفي طبي متخصص")</f>
        <v>مستشفي طبي متخصص</v>
      </c>
      <c r="F576" s="5" t="str">
        <f ca="1">IFERROR(__xludf.DUMMYFUNCTION("""COMPUTED_VALUE"""),"رمد (جراحة عيون)")</f>
        <v>رمد (جراحة عيون)</v>
      </c>
      <c r="G576" s="5" t="str">
        <f ca="1">IFERROR(__xludf.DUMMYFUNCTION("""COMPUTED_VALUE"""),"مستشفى الفردوس للعيون")</f>
        <v>مستشفى الفردوس للعيون</v>
      </c>
      <c r="H576" s="5" t="str">
        <f ca="1">IFERROR(__xludf.DUMMYFUNCTION("""COMPUTED_VALUE"""),"كفرمحمد حسين-الزقازيق-الشرقية")</f>
        <v>كفرمحمد حسين-الزقازيق-الشرقية</v>
      </c>
      <c r="I576" s="6" t="str">
        <f ca="1">IFERROR(__xludf.DUMMYFUNCTION("""COMPUTED_VALUE"""),"20552312802")</f>
        <v>20552312802</v>
      </c>
      <c r="J576" s="6"/>
      <c r="K576" s="6" t="str">
        <f ca="1">IFERROR(__xludf.DUMMYFUNCTION("""COMPUTED_VALUE"""),"المؤسسه العلاجيه 2017")</f>
        <v>المؤسسه العلاجيه 2017</v>
      </c>
    </row>
    <row r="577" spans="1:11" x14ac:dyDescent="0.25">
      <c r="A577" s="4" t="str">
        <f ca="1">IFERROR(__xludf.DUMMYFUNCTION("""COMPUTED_VALUE"""),"103536")</f>
        <v>103536</v>
      </c>
      <c r="B577" s="5" t="str">
        <f ca="1">IFERROR(__xludf.DUMMYFUNCTION("""COMPUTED_VALUE"""),"الإسماعيلية")</f>
        <v>الإسماعيلية</v>
      </c>
      <c r="C577" s="5" t="str">
        <f ca="1">IFERROR(__xludf.DUMMYFUNCTION("""COMPUTED_VALUE"""),"الإسماعيلية")</f>
        <v>الإسماعيلية</v>
      </c>
      <c r="D577" s="5" t="str">
        <f ca="1">IFERROR(__xludf.DUMMYFUNCTION("""COMPUTED_VALUE"""),"مستشفى")</f>
        <v>مستشفى</v>
      </c>
      <c r="E577" s="5" t="str">
        <f ca="1">IFERROR(__xludf.DUMMYFUNCTION("""COMPUTED_VALUE"""),"مستشفي طبي متخصص")</f>
        <v>مستشفي طبي متخصص</v>
      </c>
      <c r="F577" s="5" t="str">
        <f ca="1">IFERROR(__xludf.DUMMYFUNCTION("""COMPUTED_VALUE"""),"رمد (جراحة عيون)")</f>
        <v>رمد (جراحة عيون)</v>
      </c>
      <c r="G577" s="5" t="str">
        <f ca="1">IFERROR(__xludf.DUMMYFUNCTION("""COMPUTED_VALUE"""),"مركز الجوهرة لجراحات العيون و الليزيك")</f>
        <v>مركز الجوهرة لجراحات العيون و الليزيك</v>
      </c>
      <c r="H577" s="5" t="str">
        <f ca="1">IFERROR(__xludf.DUMMYFUNCTION("""COMPUTED_VALUE"""),"امام مجمع المحاكم و الموقف الجديد-الاسماعيلية")</f>
        <v>امام مجمع المحاكم و الموقف الجديد-الاسماعيلية</v>
      </c>
      <c r="I577" s="6" t="str">
        <f ca="1">IFERROR(__xludf.DUMMYFUNCTION("""COMPUTED_VALUE"""),"20643222673")</f>
        <v>20643222673</v>
      </c>
      <c r="J577" s="6"/>
      <c r="K577" s="6" t="str">
        <f ca="1">IFERROR(__xludf.DUMMYFUNCTION("""COMPUTED_VALUE"""),"25%على جميع الخدمات")</f>
        <v>25%على جميع الخدمات</v>
      </c>
    </row>
    <row r="578" spans="1:11" x14ac:dyDescent="0.25">
      <c r="A578" s="4" t="str">
        <f ca="1">IFERROR(__xludf.DUMMYFUNCTION("""COMPUTED_VALUE"""),"3055")</f>
        <v>3055</v>
      </c>
      <c r="B578" s="5" t="str">
        <f ca="1">IFERROR(__xludf.DUMMYFUNCTION("""COMPUTED_VALUE"""),"الشرقية")</f>
        <v>الشرقية</v>
      </c>
      <c r="C578" s="5" t="str">
        <f ca="1">IFERROR(__xludf.DUMMYFUNCTION("""COMPUTED_VALUE"""),"الزقازيق")</f>
        <v>الزقازيق</v>
      </c>
      <c r="D578" s="5" t="str">
        <f ca="1">IFERROR(__xludf.DUMMYFUNCTION("""COMPUTED_VALUE"""),"مستشفى")</f>
        <v>مستشفى</v>
      </c>
      <c r="E578" s="5" t="str">
        <f ca="1">IFERROR(__xludf.DUMMYFUNCTION("""COMPUTED_VALUE"""),"مستشفي طبي متخصص")</f>
        <v>مستشفي طبي متخصص</v>
      </c>
      <c r="F578" s="5" t="str">
        <f ca="1">IFERROR(__xludf.DUMMYFUNCTION("""COMPUTED_VALUE"""),"رمد (جراحة عيون)")</f>
        <v>رمد (جراحة عيون)</v>
      </c>
      <c r="G578" s="5" t="str">
        <f ca="1">IFERROR(__xludf.DUMMYFUNCTION("""COMPUTED_VALUE"""),"مستشفى الفتح للعيون")</f>
        <v>مستشفى الفتح للعيون</v>
      </c>
      <c r="H578" s="5" t="str">
        <f ca="1">IFERROR(__xludf.DUMMYFUNCTION("""COMPUTED_VALUE"""),"15 ش الفتح بجوار المبرة -الزقازيق-الشرقية")</f>
        <v>15 ش الفتح بجوار المبرة -الزقازيق-الشرقية</v>
      </c>
      <c r="I578" s="6" t="str">
        <f ca="1">IFERROR(__xludf.DUMMYFUNCTION("""COMPUTED_VALUE"""),"20552353737")</f>
        <v>20552353737</v>
      </c>
      <c r="J578" s="6"/>
      <c r="K578" s="6" t="str">
        <f ca="1">IFERROR(__xludf.DUMMYFUNCTION("""COMPUTED_VALUE"""),"خصم 20 % على الاسعار المعلنة")</f>
        <v>خصم 20 % على الاسعار المعلنة</v>
      </c>
    </row>
    <row r="579" spans="1:11" x14ac:dyDescent="0.25">
      <c r="A579" s="4" t="str">
        <f ca="1">IFERROR(__xludf.DUMMYFUNCTION("""COMPUTED_VALUE"""),"1969-B")</f>
        <v>1969-B</v>
      </c>
      <c r="B579" s="5" t="str">
        <f ca="1">IFERROR(__xludf.DUMMYFUNCTION("""COMPUTED_VALUE"""),"الغربية")</f>
        <v>الغربية</v>
      </c>
      <c r="C579" s="5" t="str">
        <f ca="1">IFERROR(__xludf.DUMMYFUNCTION("""COMPUTED_VALUE"""),"طنطا")</f>
        <v>طنطا</v>
      </c>
      <c r="D579" s="5" t="str">
        <f ca="1">IFERROR(__xludf.DUMMYFUNCTION("""COMPUTED_VALUE"""),"مستشفى")</f>
        <v>مستشفى</v>
      </c>
      <c r="E579" s="5" t="str">
        <f ca="1">IFERROR(__xludf.DUMMYFUNCTION("""COMPUTED_VALUE"""),"مستشفي طبي متخصص")</f>
        <v>مستشفي طبي متخصص</v>
      </c>
      <c r="F579" s="5" t="str">
        <f ca="1">IFERROR(__xludf.DUMMYFUNCTION("""COMPUTED_VALUE"""),"رمد (جراحة عيون)")</f>
        <v>رمد (جراحة عيون)</v>
      </c>
      <c r="G579" s="5" t="str">
        <f ca="1">IFERROR(__xludf.DUMMYFUNCTION("""COMPUTED_VALUE"""),"مستشفي المغربى للعيون - بنك و شركات")</f>
        <v>مستشفي المغربى للعيون - بنك و شركات</v>
      </c>
      <c r="H579" s="5" t="str">
        <f ca="1">IFERROR(__xludf.DUMMYFUNCTION("""COMPUTED_VALUE"""),"107 شارع الجيش.-طنطا-الغربية")</f>
        <v>107 شارع الجيش.-طنطا-الغربية</v>
      </c>
      <c r="I579" s="6" t="str">
        <f ca="1">IFERROR(__xludf.DUMMYFUNCTION("""COMPUTED_VALUE"""),"20403333528")</f>
        <v>20403333528</v>
      </c>
      <c r="J579" s="6" t="str">
        <f ca="1">IFERROR(__xludf.DUMMYFUNCTION("""COMPUTED_VALUE"""),"19505")</f>
        <v>19505</v>
      </c>
      <c r="K579" s="6" t="str">
        <f ca="1">IFERROR(__xludf.DUMMYFUNCTION("""COMPUTED_VALUE"""),"30% على الكشوفات ,20% على الفحوصات,10% على العمليات الجراحية")</f>
        <v>30% على الكشوفات ,20% على الفحوصات,10% على العمليات الجراحية</v>
      </c>
    </row>
    <row r="580" spans="1:11" x14ac:dyDescent="0.25">
      <c r="A580" s="4" t="str">
        <f ca="1">IFERROR(__xludf.DUMMYFUNCTION("""COMPUTED_VALUE"""),"1897-B")</f>
        <v>1897-B</v>
      </c>
      <c r="B580" s="5" t="str">
        <f ca="1">IFERROR(__xludf.DUMMYFUNCTION("""COMPUTED_VALUE"""),"الفيوم")</f>
        <v>الفيوم</v>
      </c>
      <c r="C580" s="5" t="str">
        <f ca="1">IFERROR(__xludf.DUMMYFUNCTION("""COMPUTED_VALUE"""),"ابشواى")</f>
        <v>ابشواى</v>
      </c>
      <c r="D580" s="5" t="str">
        <f ca="1">IFERROR(__xludf.DUMMYFUNCTION("""COMPUTED_VALUE"""),"معمل")</f>
        <v>معمل</v>
      </c>
      <c r="E580" s="5" t="str">
        <f ca="1">IFERROR(__xludf.DUMMYFUNCTION("""COMPUTED_VALUE"""),"معمل")</f>
        <v>معمل</v>
      </c>
      <c r="F580" s="5" t="str">
        <f ca="1">IFERROR(__xludf.DUMMYFUNCTION("""COMPUTED_VALUE"""),"معمل التحاليل الطبية")</f>
        <v>معمل التحاليل الطبية</v>
      </c>
      <c r="G580" s="5" t="str">
        <f ca="1">IFERROR(__xludf.DUMMYFUNCTION("""COMPUTED_VALUE"""),"معمل المختبر (د. مؤمنة كامل)")</f>
        <v>معمل المختبر (د. مؤمنة كامل)</v>
      </c>
      <c r="H580" s="5" t="str">
        <f ca="1">IFERROR(__xludf.DUMMYFUNCTION("""COMPUTED_VALUE"""),"1ش ابو طالب اعلى شركة فودافون امام محطة ابشواى سابقا - ابشواى - الفيوم .")</f>
        <v>1ش ابو طالب اعلى شركة فودافون امام محطة ابشواى سابقا - ابشواى - الفيوم .</v>
      </c>
      <c r="I580" s="6" t="str">
        <f ca="1">IFERROR(__xludf.DUMMYFUNCTION("""COMPUTED_VALUE"""),"01012655443")</f>
        <v>01012655443</v>
      </c>
      <c r="J580" s="6" t="str">
        <f ca="1">IFERROR(__xludf.DUMMYFUNCTION("""COMPUTED_VALUE"""),"19014")</f>
        <v>19014</v>
      </c>
      <c r="K580" s="6" t="str">
        <f ca="1">IFERROR(__xludf.DUMMYFUNCTION("""COMPUTED_VALUE"""),"خصم 20% علي جميع التحاليل")</f>
        <v>خصم 20% علي جميع التحاليل</v>
      </c>
    </row>
    <row r="581" spans="1:11" x14ac:dyDescent="0.25">
      <c r="A581" s="4" t="str">
        <f ca="1">IFERROR(__xludf.DUMMYFUNCTION("""COMPUTED_VALUE"""),"1897-B")</f>
        <v>1897-B</v>
      </c>
      <c r="B581" s="5" t="str">
        <f ca="1">IFERROR(__xludf.DUMMYFUNCTION("""COMPUTED_VALUE"""),"الفيوم")</f>
        <v>الفيوم</v>
      </c>
      <c r="C581" s="5" t="str">
        <f ca="1">IFERROR(__xludf.DUMMYFUNCTION("""COMPUTED_VALUE"""),"الفيوم")</f>
        <v>الفيوم</v>
      </c>
      <c r="D581" s="5" t="str">
        <f ca="1">IFERROR(__xludf.DUMMYFUNCTION("""COMPUTED_VALUE"""),"معمل")</f>
        <v>معمل</v>
      </c>
      <c r="E581" s="5" t="str">
        <f ca="1">IFERROR(__xludf.DUMMYFUNCTION("""COMPUTED_VALUE"""),"معمل")</f>
        <v>معمل</v>
      </c>
      <c r="F581" s="5" t="str">
        <f ca="1">IFERROR(__xludf.DUMMYFUNCTION("""COMPUTED_VALUE"""),"معمل التحاليل الطبية")</f>
        <v>معمل التحاليل الطبية</v>
      </c>
      <c r="G581" s="5" t="str">
        <f ca="1">IFERROR(__xludf.DUMMYFUNCTION("""COMPUTED_VALUE"""),"معمل المختبر (د. مؤمنة كامل)")</f>
        <v>معمل المختبر (د. مؤمنة كامل)</v>
      </c>
      <c r="H581" s="5" t="str">
        <f ca="1">IFERROR(__xludf.DUMMYFUNCTION("""COMPUTED_VALUE"""),"ش جمال عبدالعظيم ميدان المسلة - برج الأميرة  - الفيوم .")</f>
        <v>ش جمال عبدالعظيم ميدان المسلة - برج الأميرة  - الفيوم .</v>
      </c>
      <c r="I581" s="6" t="str">
        <f ca="1">IFERROR(__xludf.DUMMYFUNCTION("""COMPUTED_VALUE"""),"01015004414")</f>
        <v>01015004414</v>
      </c>
      <c r="J581" s="6" t="str">
        <f ca="1">IFERROR(__xludf.DUMMYFUNCTION("""COMPUTED_VALUE"""),"19014")</f>
        <v>19014</v>
      </c>
      <c r="K581" s="6" t="str">
        <f ca="1">IFERROR(__xludf.DUMMYFUNCTION("""COMPUTED_VALUE"""),"خصم 20% علي جميع التحاليل")</f>
        <v>خصم 20% علي جميع التحاليل</v>
      </c>
    </row>
    <row r="582" spans="1:11" x14ac:dyDescent="0.25">
      <c r="A582" s="4" t="str">
        <f ca="1">IFERROR(__xludf.DUMMYFUNCTION("""COMPUTED_VALUE"""),"3229")</f>
        <v>3229</v>
      </c>
      <c r="B582" s="5" t="str">
        <f ca="1">IFERROR(__xludf.DUMMYFUNCTION("""COMPUTED_VALUE"""),"الجيزة")</f>
        <v>الجيزة</v>
      </c>
      <c r="C582" s="5" t="str">
        <f ca="1">IFERROR(__xludf.DUMMYFUNCTION("""COMPUTED_VALUE"""),"الدقي")</f>
        <v>الدقي</v>
      </c>
      <c r="D582" s="5" t="str">
        <f ca="1">IFERROR(__xludf.DUMMYFUNCTION("""COMPUTED_VALUE"""),"مستشفى")</f>
        <v>مستشفى</v>
      </c>
      <c r="E582" s="5" t="str">
        <f ca="1">IFERROR(__xludf.DUMMYFUNCTION("""COMPUTED_VALUE"""),"مستشفي طبي متخصص")</f>
        <v>مستشفي طبي متخصص</v>
      </c>
      <c r="F582" s="5" t="str">
        <f ca="1">IFERROR(__xludf.DUMMYFUNCTION("""COMPUTED_VALUE"""),"رمد (جراحة عيون)")</f>
        <v>رمد (جراحة عيون)</v>
      </c>
      <c r="G582" s="5" t="str">
        <f ca="1">IFERROR(__xludf.DUMMYFUNCTION("""COMPUTED_VALUE"""),"مستشفى الرواد للعيون")</f>
        <v>مستشفى الرواد للعيون</v>
      </c>
      <c r="H582" s="5" t="str">
        <f ca="1">IFERROR(__xludf.DUMMYFUNCTION("""COMPUTED_VALUE"""),"29شارع ايران - خلف مسجد أسد بن الفرات -الدقي- الجيزة")</f>
        <v>29شارع ايران - خلف مسجد أسد بن الفرات -الدقي- الجيزة</v>
      </c>
      <c r="I582" s="6" t="str">
        <f ca="1">IFERROR(__xludf.DUMMYFUNCTION("""COMPUTED_VALUE"""),"20233365213")</f>
        <v>20233365213</v>
      </c>
      <c r="J582" s="6" t="str">
        <f ca="1">IFERROR(__xludf.DUMMYFUNCTION("""COMPUTED_VALUE"""),"19635")</f>
        <v>19635</v>
      </c>
      <c r="K582" s="6" t="str">
        <f ca="1">IFERROR(__xludf.DUMMYFUNCTION("""COMPUTED_VALUE"""),"15% نسبة خصم")</f>
        <v>15% نسبة خصم</v>
      </c>
    </row>
    <row r="583" spans="1:11" x14ac:dyDescent="0.25">
      <c r="A583" s="4" t="str">
        <f ca="1">IFERROR(__xludf.DUMMYFUNCTION("""COMPUTED_VALUE"""),"2975")</f>
        <v>2975</v>
      </c>
      <c r="B583" s="5" t="str">
        <f ca="1">IFERROR(__xludf.DUMMYFUNCTION("""COMPUTED_VALUE"""),"الجيزة")</f>
        <v>الجيزة</v>
      </c>
      <c r="C583" s="5" t="str">
        <f ca="1">IFERROR(__xludf.DUMMYFUNCTION("""COMPUTED_VALUE"""),"الدقي")</f>
        <v>الدقي</v>
      </c>
      <c r="D583" s="5" t="str">
        <f ca="1">IFERROR(__xludf.DUMMYFUNCTION("""COMPUTED_VALUE"""),"هيئة الأطباء")</f>
        <v>هيئة الأطباء</v>
      </c>
      <c r="E583" s="5" t="str">
        <f ca="1">IFERROR(__xludf.DUMMYFUNCTION("""COMPUTED_VALUE"""),"رمد")</f>
        <v>رمد</v>
      </c>
      <c r="F583" s="5" t="str">
        <f ca="1">IFERROR(__xludf.DUMMYFUNCTION("""COMPUTED_VALUE"""),"رمد (جراحة عيون)")</f>
        <v>رمد (جراحة عيون)</v>
      </c>
      <c r="G583" s="5" t="str">
        <f ca="1">IFERROR(__xludf.DUMMYFUNCTION("""COMPUTED_VALUE"""),"د/ طارق  البلتاجى")</f>
        <v>د/ طارق  البلتاجى</v>
      </c>
      <c r="H583" s="5" t="str">
        <f ca="1">IFERROR(__xludf.DUMMYFUNCTION("""COMPUTED_VALUE"""),"75 شارع محي الدين أبو العز - ناحية جامعة الدول العربية -الدقي- الجيزة")</f>
        <v>75 شارع محي الدين أبو العز - ناحية جامعة الدول العربية -الدقي- الجيزة</v>
      </c>
      <c r="I583" s="6" t="str">
        <f ca="1">IFERROR(__xludf.DUMMYFUNCTION("""COMPUTED_VALUE"""),"20237616363")</f>
        <v>20237616363</v>
      </c>
      <c r="J583" s="6"/>
      <c r="K583" s="6" t="str">
        <f ca="1">IFERROR(__xludf.DUMMYFUNCTION("""COMPUTED_VALUE"""),"الكشف: 60,")</f>
        <v>الكشف: 60,</v>
      </c>
    </row>
    <row r="584" spans="1:11" x14ac:dyDescent="0.25">
      <c r="A584" s="4" t="str">
        <f ca="1">IFERROR(__xludf.DUMMYFUNCTION("""COMPUTED_VALUE"""),"1969")</f>
        <v>1969</v>
      </c>
      <c r="B584" s="5" t="str">
        <f ca="1">IFERROR(__xludf.DUMMYFUNCTION("""COMPUTED_VALUE"""),"القاهرة")</f>
        <v>القاهرة</v>
      </c>
      <c r="C584" s="5" t="str">
        <f ca="1">IFERROR(__xludf.DUMMYFUNCTION("""COMPUTED_VALUE"""),"السيدة نفيسة")</f>
        <v>السيدة نفيسة</v>
      </c>
      <c r="D584" s="5" t="str">
        <f ca="1">IFERROR(__xludf.DUMMYFUNCTION("""COMPUTED_VALUE"""),"مستشفى")</f>
        <v>مستشفى</v>
      </c>
      <c r="E584" s="5" t="str">
        <f ca="1">IFERROR(__xludf.DUMMYFUNCTION("""COMPUTED_VALUE"""),"مستشفي طبي متخصص")</f>
        <v>مستشفي طبي متخصص</v>
      </c>
      <c r="F584" s="5" t="str">
        <f ca="1">IFERROR(__xludf.DUMMYFUNCTION("""COMPUTED_VALUE"""),"رمد (جراحة عيون)")</f>
        <v>رمد (جراحة عيون)</v>
      </c>
      <c r="G584" s="5" t="str">
        <f ca="1">IFERROR(__xludf.DUMMYFUNCTION("""COMPUTED_VALUE"""),"مستشفي المغربى للعيون - بنك و شركات")</f>
        <v>مستشفي المغربى للعيون - بنك و شركات</v>
      </c>
      <c r="H584" s="5" t="str">
        <f ca="1">IFERROR(__xludf.DUMMYFUNCTION("""COMPUTED_VALUE"""),"ميدان السيدة نفيسة - أمام مسجد السيدة نفيسة-السيدة نفيسة-القاهرة")</f>
        <v>ميدان السيدة نفيسة - أمام مسجد السيدة نفيسة-السيدة نفيسة-القاهرة</v>
      </c>
      <c r="I584" s="6" t="str">
        <f ca="1">IFERROR(__xludf.DUMMYFUNCTION("""COMPUTED_VALUE"""),"20223631111")</f>
        <v>20223631111</v>
      </c>
      <c r="J584" s="6" t="str">
        <f ca="1">IFERROR(__xludf.DUMMYFUNCTION("""COMPUTED_VALUE"""),"19505")</f>
        <v>19505</v>
      </c>
      <c r="K584" s="6" t="str">
        <f ca="1">IFERROR(__xludf.DUMMYFUNCTION("""COMPUTED_VALUE"""),"30% على الكشوفات ,20% على الفحوصات,10% على العمليات الجراحية")</f>
        <v>30% على الكشوفات ,20% على الفحوصات,10% على العمليات الجراحية</v>
      </c>
    </row>
    <row r="585" spans="1:11" x14ac:dyDescent="0.25">
      <c r="A585" s="4" t="str">
        <f ca="1">IFERROR(__xludf.DUMMYFUNCTION("""COMPUTED_VALUE"""),"3235")</f>
        <v>3235</v>
      </c>
      <c r="B585" s="5" t="str">
        <f ca="1">IFERROR(__xludf.DUMMYFUNCTION("""COMPUTED_VALUE"""),"الجيزة")</f>
        <v>الجيزة</v>
      </c>
      <c r="C585" s="5" t="str">
        <f ca="1">IFERROR(__xludf.DUMMYFUNCTION("""COMPUTED_VALUE"""),"الشيخ زايد")</f>
        <v>الشيخ زايد</v>
      </c>
      <c r="D585" s="5" t="str">
        <f ca="1">IFERROR(__xludf.DUMMYFUNCTION("""COMPUTED_VALUE"""),"مستشفى")</f>
        <v>مستشفى</v>
      </c>
      <c r="E585" s="5" t="str">
        <f ca="1">IFERROR(__xludf.DUMMYFUNCTION("""COMPUTED_VALUE"""),"مستشفي طبي متخصص")</f>
        <v>مستشفي طبي متخصص</v>
      </c>
      <c r="F585" s="5" t="str">
        <f ca="1">IFERROR(__xludf.DUMMYFUNCTION("""COMPUTED_VALUE"""),"رمد (جراحة عيون)")</f>
        <v>رمد (جراحة عيون)</v>
      </c>
      <c r="G585" s="5" t="str">
        <f ca="1">IFERROR(__xludf.DUMMYFUNCTION("""COMPUTED_VALUE"""),"مستشفى دار العيون")</f>
        <v>مستشفى دار العيون</v>
      </c>
      <c r="H585" s="5" t="str">
        <f ca="1">IFERROR(__xludf.DUMMYFUNCTION("""COMPUTED_VALUE"""),"مدخل زايد 2000 - مدينة رفيده الطبية - خلف مبنى هيئة المجتمعات العمرانية - الشيخ زايد - الجيزة")</f>
        <v>مدخل زايد 2000 - مدينة رفيده الطبية - خلف مبنى هيئة المجتمعات العمرانية - الشيخ زايد - الجيزة</v>
      </c>
      <c r="I585" s="6" t="str">
        <f ca="1">IFERROR(__xludf.DUMMYFUNCTION("""COMPUTED_VALUE"""),"20237963012/3/4")</f>
        <v>20237963012/3/4</v>
      </c>
      <c r="J585" s="6"/>
      <c r="K585" s="6" t="str">
        <f ca="1">IFERROR(__xludf.DUMMYFUNCTION("""COMPUTED_VALUE"""),"خصم 40% علي الكشف , خصم 20% علي الداخلي , خصم 25% علي الخارجي , 20% علي جلسات جفاف العين و 15% علي الفيمتوليزك")</f>
        <v>خصم 40% علي الكشف , خصم 20% علي الداخلي , خصم 25% علي الخارجي , 20% علي جلسات جفاف العين و 15% علي الفيمتوليزك</v>
      </c>
    </row>
    <row r="586" spans="1:11" x14ac:dyDescent="0.25">
      <c r="A586" s="4" t="str">
        <f ca="1">IFERROR(__xludf.DUMMYFUNCTION("""COMPUTED_VALUE"""),"1721")</f>
        <v>1721</v>
      </c>
      <c r="B586" s="5" t="str">
        <f ca="1">IFERROR(__xludf.DUMMYFUNCTION("""COMPUTED_VALUE"""),"الجيزة")</f>
        <v>الجيزة</v>
      </c>
      <c r="C586" s="5" t="str">
        <f ca="1">IFERROR(__xludf.DUMMYFUNCTION("""COMPUTED_VALUE"""),"المهندسين")</f>
        <v>المهندسين</v>
      </c>
      <c r="D586" s="5" t="str">
        <f ca="1">IFERROR(__xludf.DUMMYFUNCTION("""COMPUTED_VALUE"""),"مستشفى")</f>
        <v>مستشفى</v>
      </c>
      <c r="E586" s="5" t="str">
        <f ca="1">IFERROR(__xludf.DUMMYFUNCTION("""COMPUTED_VALUE"""),"مستشفي طبي متخصص")</f>
        <v>مستشفي طبي متخصص</v>
      </c>
      <c r="F586" s="5" t="str">
        <f ca="1">IFERROR(__xludf.DUMMYFUNCTION("""COMPUTED_VALUE"""),"رمد (جراحة عيون)")</f>
        <v>رمد (جراحة عيون)</v>
      </c>
      <c r="G586" s="5" t="str">
        <f ca="1">IFERROR(__xludf.DUMMYFUNCTION("""COMPUTED_VALUE"""),"مركز رواد تصحيح الابصار لجراحات العيون و الليزك")</f>
        <v>مركز رواد تصحيح الابصار لجراحات العيون و الليزك</v>
      </c>
      <c r="H586" s="5" t="str">
        <f ca="1">IFERROR(__xludf.DUMMYFUNCTION("""COMPUTED_VALUE"""),"24 ش سوريا المهندسين-المهندسين- الجيزة")</f>
        <v>24 ش سوريا المهندسين-المهندسين- الجيزة</v>
      </c>
      <c r="I586" s="6" t="str">
        <f ca="1">IFERROR(__xludf.DUMMYFUNCTION("""COMPUTED_VALUE"""),"20237628739")</f>
        <v>20237628739</v>
      </c>
      <c r="J586" s="6" t="str">
        <f ca="1">IFERROR(__xludf.DUMMYFUNCTION("""COMPUTED_VALUE"""),"16568")</f>
        <v>16568</v>
      </c>
      <c r="K586" s="6" t="str">
        <f ca="1">IFERROR(__xludf.DUMMYFUNCTION("""COMPUTED_VALUE"""),"30% علي الكشف / 15 % علي الاجراءات و العمليات")</f>
        <v>30% علي الكشف / 15 % علي الاجراءات و العمليات</v>
      </c>
    </row>
    <row r="587" spans="1:11" x14ac:dyDescent="0.25">
      <c r="A587" s="4" t="str">
        <f ca="1">IFERROR(__xludf.DUMMYFUNCTION("""COMPUTED_VALUE"""),"1969-B")</f>
        <v>1969-B</v>
      </c>
      <c r="B587" s="5" t="str">
        <f ca="1">IFERROR(__xludf.DUMMYFUNCTION("""COMPUTED_VALUE"""),"الجيزة")</f>
        <v>الجيزة</v>
      </c>
      <c r="C587" s="5" t="str">
        <f ca="1">IFERROR(__xludf.DUMMYFUNCTION("""COMPUTED_VALUE"""),"المهندسين")</f>
        <v>المهندسين</v>
      </c>
      <c r="D587" s="5" t="str">
        <f ca="1">IFERROR(__xludf.DUMMYFUNCTION("""COMPUTED_VALUE"""),"مستشفى")</f>
        <v>مستشفى</v>
      </c>
      <c r="E587" s="5" t="str">
        <f ca="1">IFERROR(__xludf.DUMMYFUNCTION("""COMPUTED_VALUE"""),"مستشفي طبي متخصص")</f>
        <v>مستشفي طبي متخصص</v>
      </c>
      <c r="F587" s="5" t="str">
        <f ca="1">IFERROR(__xludf.DUMMYFUNCTION("""COMPUTED_VALUE"""),"رمد (جراحة عيون)")</f>
        <v>رمد (جراحة عيون)</v>
      </c>
      <c r="G587" s="5" t="str">
        <f ca="1">IFERROR(__xludf.DUMMYFUNCTION("""COMPUTED_VALUE"""),"مستشفي المغربى للعيون - بنك و شركات")</f>
        <v>مستشفي المغربى للعيون - بنك و شركات</v>
      </c>
      <c r="H587" s="5" t="str">
        <f ca="1">IFERROR(__xludf.DUMMYFUNCTION("""COMPUTED_VALUE"""),"112 شارع محيي الدين أبو العز-المهندسين-المهندسين- الجيزة")</f>
        <v>112 شارع محيي الدين أبو العز-المهندسين-المهندسين- الجيزة</v>
      </c>
      <c r="I587" s="6" t="str">
        <f ca="1">IFERROR(__xludf.DUMMYFUNCTION("""COMPUTED_VALUE"""),"20237610878")</f>
        <v>20237610878</v>
      </c>
      <c r="J587" s="6" t="str">
        <f ca="1">IFERROR(__xludf.DUMMYFUNCTION("""COMPUTED_VALUE"""),"19505")</f>
        <v>19505</v>
      </c>
      <c r="K587" s="6" t="str">
        <f ca="1">IFERROR(__xludf.DUMMYFUNCTION("""COMPUTED_VALUE"""),"30% على الكشوفات ,20% على الفحوصات,10% على العمليات الجراحية")</f>
        <v>30% على الكشوفات ,20% على الفحوصات,10% على العمليات الجراحية</v>
      </c>
    </row>
    <row r="588" spans="1:11" x14ac:dyDescent="0.25">
      <c r="A588" s="4" t="str">
        <f ca="1">IFERROR(__xludf.DUMMYFUNCTION("""COMPUTED_VALUE"""),"3883")</f>
        <v>3883</v>
      </c>
      <c r="B588" s="5" t="str">
        <f ca="1">IFERROR(__xludf.DUMMYFUNCTION("""COMPUTED_VALUE"""),"الجيزة")</f>
        <v>الجيزة</v>
      </c>
      <c r="C588" s="5" t="str">
        <f ca="1">IFERROR(__xludf.DUMMYFUNCTION("""COMPUTED_VALUE"""),"المهندسين")</f>
        <v>المهندسين</v>
      </c>
      <c r="D588" s="5" t="str">
        <f ca="1">IFERROR(__xludf.DUMMYFUNCTION("""COMPUTED_VALUE"""),"مستشفى")</f>
        <v>مستشفى</v>
      </c>
      <c r="E588" s="5" t="str">
        <f ca="1">IFERROR(__xludf.DUMMYFUNCTION("""COMPUTED_VALUE"""),"مستشفي طبي متخصص")</f>
        <v>مستشفي طبي متخصص</v>
      </c>
      <c r="F588" s="5" t="str">
        <f ca="1">IFERROR(__xludf.DUMMYFUNCTION("""COMPUTED_VALUE"""),"رمد (جراحة عيون)")</f>
        <v>رمد (جراحة عيون)</v>
      </c>
      <c r="G588" s="5" t="str">
        <f ca="1">IFERROR(__xludf.DUMMYFUNCTION("""COMPUTED_VALUE"""),"د/ أحمد حسن برادة (مركز برادة للعيون)‎")</f>
        <v>د/ أحمد حسن برادة (مركز برادة للعيون)‎</v>
      </c>
      <c r="H588" s="5" t="str">
        <f ca="1">IFERROR(__xludf.DUMMYFUNCTION("""COMPUTED_VALUE"""),"13ميدان سفنكس الدور السابع-المهندسين- الجيزة")</f>
        <v>13ميدان سفنكس الدور السابع-المهندسين- الجيزة</v>
      </c>
      <c r="I588" s="6" t="str">
        <f ca="1">IFERROR(__xludf.DUMMYFUNCTION("""COMPUTED_VALUE"""),"20233441702")</f>
        <v>20233441702</v>
      </c>
      <c r="J588" s="6"/>
      <c r="K588" s="6" t="str">
        <f ca="1">IFERROR(__xludf.DUMMYFUNCTION("""COMPUTED_VALUE"""),"الكشف 70")</f>
        <v>الكشف 70</v>
      </c>
    </row>
    <row r="589" spans="1:11" x14ac:dyDescent="0.25">
      <c r="A589" s="4" t="str">
        <f ca="1">IFERROR(__xludf.DUMMYFUNCTION("""COMPUTED_VALUE"""),"1822")</f>
        <v>1822</v>
      </c>
      <c r="B589" s="5" t="str">
        <f ca="1">IFERROR(__xludf.DUMMYFUNCTION("""COMPUTED_VALUE"""),"الجيزة")</f>
        <v>الجيزة</v>
      </c>
      <c r="C589" s="5" t="str">
        <f ca="1">IFERROR(__xludf.DUMMYFUNCTION("""COMPUTED_VALUE"""),"الهرم")</f>
        <v>الهرم</v>
      </c>
      <c r="D589" s="5" t="str">
        <f ca="1">IFERROR(__xludf.DUMMYFUNCTION("""COMPUTED_VALUE"""),"مستشفى")</f>
        <v>مستشفى</v>
      </c>
      <c r="E589" s="5" t="str">
        <f ca="1">IFERROR(__xludf.DUMMYFUNCTION("""COMPUTED_VALUE"""),"مستشفي طبي متخصص")</f>
        <v>مستشفي طبي متخصص</v>
      </c>
      <c r="F589" s="5" t="str">
        <f ca="1">IFERROR(__xludf.DUMMYFUNCTION("""COMPUTED_VALUE"""),"رمد (جراحة عيون)")</f>
        <v>رمد (جراحة عيون)</v>
      </c>
      <c r="G589" s="5" t="str">
        <f ca="1">IFERROR(__xludf.DUMMYFUNCTION("""COMPUTED_VALUE"""),"مستشفى نور العيون التخصصي")</f>
        <v>مستشفى نور العيون التخصصي</v>
      </c>
      <c r="H589" s="5" t="str">
        <f ca="1">IFERROR(__xludf.DUMMYFUNCTION("""COMPUTED_VALUE"""),"365ش الهرم امام كازينو الليل-بجوار مول اخناتون -الهرم- الجيزة")</f>
        <v>365ش الهرم امام كازينو الليل-بجوار مول اخناتون -الهرم- الجيزة</v>
      </c>
      <c r="I589" s="6" t="str">
        <f ca="1">IFERROR(__xludf.DUMMYFUNCTION("""COMPUTED_VALUE"""),"20235865652")</f>
        <v>20235865652</v>
      </c>
      <c r="J589" s="6"/>
      <c r="K589" s="6" t="str">
        <f ca="1">IFERROR(__xludf.DUMMYFUNCTION("""COMPUTED_VALUE"""),"50%الكشف، 20% عمليات و الخدمات ، 30% نظارات")</f>
        <v>50%الكشف، 20% عمليات و الخدمات ، 30% نظارات</v>
      </c>
    </row>
    <row r="590" spans="1:11" x14ac:dyDescent="0.25">
      <c r="A590" s="4" t="str">
        <f ca="1">IFERROR(__xludf.DUMMYFUNCTION("""COMPUTED_VALUE"""),"1958")</f>
        <v>1958</v>
      </c>
      <c r="B590" s="5" t="str">
        <f ca="1">IFERROR(__xludf.DUMMYFUNCTION("""COMPUTED_VALUE"""),"القاهرة")</f>
        <v>القاهرة</v>
      </c>
      <c r="C590" s="5" t="str">
        <f ca="1">IFERROR(__xludf.DUMMYFUNCTION("""COMPUTED_VALUE"""),"حلوان")</f>
        <v>حلوان</v>
      </c>
      <c r="D590" s="5" t="str">
        <f ca="1">IFERROR(__xludf.DUMMYFUNCTION("""COMPUTED_VALUE"""),"مستشفى")</f>
        <v>مستشفى</v>
      </c>
      <c r="E590" s="5" t="str">
        <f ca="1">IFERROR(__xludf.DUMMYFUNCTION("""COMPUTED_VALUE"""),"مستشفي طبي متخصص")</f>
        <v>مستشفي طبي متخصص</v>
      </c>
      <c r="F590" s="5" t="str">
        <f ca="1">IFERROR(__xludf.DUMMYFUNCTION("""COMPUTED_VALUE"""),"رمد (جراحة عيون)")</f>
        <v>رمد (جراحة عيون)</v>
      </c>
      <c r="G590" s="5" t="str">
        <f ca="1">IFERROR(__xludf.DUMMYFUNCTION("""COMPUTED_VALUE"""),"مركز النيل للعيون")</f>
        <v>مركز النيل للعيون</v>
      </c>
      <c r="H590" s="5" t="str">
        <f ca="1">IFERROR(__xludf.DUMMYFUNCTION("""COMPUTED_VALUE"""),"41 شارع سيد محمد احمد - تقاطع شارع عبد الله- امام مؤمن حلوان-حلوان-القاهرة")</f>
        <v>41 شارع سيد محمد احمد - تقاطع شارع عبد الله- امام مؤمن حلوان-حلوان-القاهرة</v>
      </c>
      <c r="I590" s="6" t="str">
        <f ca="1">IFERROR(__xludf.DUMMYFUNCTION("""COMPUTED_VALUE"""),"20228182201/5")</f>
        <v>20228182201/5</v>
      </c>
      <c r="J590" s="6"/>
      <c r="K590" s="6" t="str">
        <f ca="1">IFERROR(__xludf.DUMMYFUNCTION("""COMPUTED_VALUE""")," الكشف :30 % ، باقي الخدمات 20%، العمليات 20%")</f>
        <v xml:space="preserve"> الكشف :30 % ، باقي الخدمات 20%، العمليات 20%</v>
      </c>
    </row>
    <row r="591" spans="1:11" x14ac:dyDescent="0.25">
      <c r="A591" s="4" t="str">
        <f ca="1">IFERROR(__xludf.DUMMYFUNCTION("""COMPUTED_VALUE"""),"103879")</f>
        <v>103879</v>
      </c>
      <c r="B591" s="5" t="str">
        <f ca="1">IFERROR(__xludf.DUMMYFUNCTION("""COMPUTED_VALUE"""),"القاهرة")</f>
        <v>القاهرة</v>
      </c>
      <c r="C591" s="5" t="str">
        <f ca="1">IFERROR(__xludf.DUMMYFUNCTION("""COMPUTED_VALUE"""),"شبرا")</f>
        <v>شبرا</v>
      </c>
      <c r="D591" s="5" t="str">
        <f ca="1">IFERROR(__xludf.DUMMYFUNCTION("""COMPUTED_VALUE"""),"مستشفى")</f>
        <v>مستشفى</v>
      </c>
      <c r="E591" s="5" t="str">
        <f ca="1">IFERROR(__xludf.DUMMYFUNCTION("""COMPUTED_VALUE"""),"مستشفي طبي متخصص")</f>
        <v>مستشفي طبي متخصص</v>
      </c>
      <c r="F591" s="5" t="str">
        <f ca="1">IFERROR(__xludf.DUMMYFUNCTION("""COMPUTED_VALUE"""),"رمد (جراحة عيون)")</f>
        <v>رمد (جراحة عيون)</v>
      </c>
      <c r="G591" s="5" t="str">
        <f ca="1">IFERROR(__xludf.DUMMYFUNCTION("""COMPUTED_VALUE"""),"مركز رؤية شبرا للعيون")</f>
        <v>مركز رؤية شبرا للعيون</v>
      </c>
      <c r="H591" s="5" t="str">
        <f ca="1">IFERROR(__xludf.DUMMYFUNCTION("""COMPUTED_VALUE"""),"288 شارع شبرا - اعلى محطة مترو المظلات - شبرا - القاهرة")</f>
        <v>288 شارع شبرا - اعلى محطة مترو المظلات - شبرا - القاهرة</v>
      </c>
      <c r="I591" s="6" t="str">
        <f ca="1">IFERROR(__xludf.DUMMYFUNCTION("""COMPUTED_VALUE"""),"20224330961")</f>
        <v>20224330961</v>
      </c>
      <c r="J591" s="6"/>
      <c r="K591" s="6" t="str">
        <f ca="1">IFERROR(__xludf.DUMMYFUNCTION("""COMPUTED_VALUE"""),"30% على الكشوفات , 15% على باقى الخدمات")</f>
        <v>30% على الكشوفات , 15% على باقى الخدمات</v>
      </c>
    </row>
    <row r="592" spans="1:11" x14ac:dyDescent="0.25">
      <c r="A592" s="4" t="str">
        <f ca="1">IFERROR(__xludf.DUMMYFUNCTION("""COMPUTED_VALUE"""),"3229-B")</f>
        <v>3229-B</v>
      </c>
      <c r="B592" s="5" t="str">
        <f ca="1">IFERROR(__xludf.DUMMYFUNCTION("""COMPUTED_VALUE"""),"القاهرة")</f>
        <v>القاهرة</v>
      </c>
      <c r="C592" s="5" t="str">
        <f ca="1">IFERROR(__xludf.DUMMYFUNCTION("""COMPUTED_VALUE"""),"مدينة نصر")</f>
        <v>مدينة نصر</v>
      </c>
      <c r="D592" s="5" t="str">
        <f ca="1">IFERROR(__xludf.DUMMYFUNCTION("""COMPUTED_VALUE"""),"مستشفى")</f>
        <v>مستشفى</v>
      </c>
      <c r="E592" s="5" t="str">
        <f ca="1">IFERROR(__xludf.DUMMYFUNCTION("""COMPUTED_VALUE"""),"مستشفي طبي متخصص")</f>
        <v>مستشفي طبي متخصص</v>
      </c>
      <c r="F592" s="5" t="str">
        <f ca="1">IFERROR(__xludf.DUMMYFUNCTION("""COMPUTED_VALUE"""),"رمد (جراحة عيون)")</f>
        <v>رمد (جراحة عيون)</v>
      </c>
      <c r="G592" s="5" t="str">
        <f ca="1">IFERROR(__xludf.DUMMYFUNCTION("""COMPUTED_VALUE"""),"مستشفى الرواد للعيون")</f>
        <v>مستشفى الرواد للعيون</v>
      </c>
      <c r="H592" s="5" t="str">
        <f ca="1">IFERROR(__xludf.DUMMYFUNCTION("""COMPUTED_VALUE"""),"16 شارع عماد الدين كامل - خلف طيبة مول (المدخل الرئيسي: شارع انور المفتي)-مدينة نصر-القاهرة")</f>
        <v>16 شارع عماد الدين كامل - خلف طيبة مول (المدخل الرئيسي: شارع انور المفتي)-مدينة نصر-القاهرة</v>
      </c>
      <c r="I592" s="6" t="str">
        <f ca="1">IFERROR(__xludf.DUMMYFUNCTION("""COMPUTED_VALUE"""),"024018504")</f>
        <v>024018504</v>
      </c>
      <c r="J592" s="6" t="str">
        <f ca="1">IFERROR(__xludf.DUMMYFUNCTION("""COMPUTED_VALUE"""),"19635")</f>
        <v>19635</v>
      </c>
      <c r="K592" s="6" t="str">
        <f ca="1">IFERROR(__xludf.DUMMYFUNCTION("""COMPUTED_VALUE"""),"15% نسبة خصم")</f>
        <v>15% نسبة خصم</v>
      </c>
    </row>
    <row r="593" spans="1:11" x14ac:dyDescent="0.25">
      <c r="A593" s="4" t="str">
        <f ca="1">IFERROR(__xludf.DUMMYFUNCTION("""COMPUTED_VALUE"""),"1969-B")</f>
        <v>1969-B</v>
      </c>
      <c r="B593" s="5" t="str">
        <f ca="1">IFERROR(__xludf.DUMMYFUNCTION("""COMPUTED_VALUE"""),"القاهرة")</f>
        <v>القاهرة</v>
      </c>
      <c r="C593" s="5" t="str">
        <f ca="1">IFERROR(__xludf.DUMMYFUNCTION("""COMPUTED_VALUE"""),"مدينة نصر")</f>
        <v>مدينة نصر</v>
      </c>
      <c r="D593" s="5" t="str">
        <f ca="1">IFERROR(__xludf.DUMMYFUNCTION("""COMPUTED_VALUE"""),"مستشفى")</f>
        <v>مستشفى</v>
      </c>
      <c r="E593" s="5" t="str">
        <f ca="1">IFERROR(__xludf.DUMMYFUNCTION("""COMPUTED_VALUE"""),"مستشفي طبي متخصص")</f>
        <v>مستشفي طبي متخصص</v>
      </c>
      <c r="F593" s="5" t="str">
        <f ca="1">IFERROR(__xludf.DUMMYFUNCTION("""COMPUTED_VALUE"""),"رمد (جراحة عيون)")</f>
        <v>رمد (جراحة عيون)</v>
      </c>
      <c r="G593" s="5" t="str">
        <f ca="1">IFERROR(__xludf.DUMMYFUNCTION("""COMPUTED_VALUE"""),"مستشفي المغربى للعيون - بنك و شركات")</f>
        <v>مستشفي المغربى للعيون - بنك و شركات</v>
      </c>
      <c r="H593" s="5" t="str">
        <f ca="1">IFERROR(__xludf.DUMMYFUNCTION("""COMPUTED_VALUE"""),"39  شارع عباس العقاد-مدينة نصر-مدينة نصر-القاهرة")</f>
        <v>39  شارع عباس العقاد-مدينة نصر-مدينة نصر-القاهرة</v>
      </c>
      <c r="I593" s="6" t="str">
        <f ca="1">IFERROR(__xludf.DUMMYFUNCTION("""COMPUTED_VALUE"""),"20222623990")</f>
        <v>20222623990</v>
      </c>
      <c r="J593" s="6" t="str">
        <f ca="1">IFERROR(__xludf.DUMMYFUNCTION("""COMPUTED_VALUE"""),"19505")</f>
        <v>19505</v>
      </c>
      <c r="K593" s="6" t="str">
        <f ca="1">IFERROR(__xludf.DUMMYFUNCTION("""COMPUTED_VALUE"""),"30% على الكشوفات ,20% على الفحوصات,10% على العمليات الجراحية")</f>
        <v>30% على الكشوفات ,20% على الفحوصات,10% على العمليات الجراحية</v>
      </c>
    </row>
    <row r="594" spans="1:11" x14ac:dyDescent="0.25">
      <c r="A594" s="4" t="str">
        <f ca="1">IFERROR(__xludf.DUMMYFUNCTION("""COMPUTED_VALUE"""),"3677")</f>
        <v>3677</v>
      </c>
      <c r="B594" s="5" t="str">
        <f ca="1">IFERROR(__xludf.DUMMYFUNCTION("""COMPUTED_VALUE"""),"القاهرة")</f>
        <v>القاهرة</v>
      </c>
      <c r="C594" s="5" t="str">
        <f ca="1">IFERROR(__xludf.DUMMYFUNCTION("""COMPUTED_VALUE"""),"مصر الجديدة")</f>
        <v>مصر الجديدة</v>
      </c>
      <c r="D594" s="5" t="str">
        <f ca="1">IFERROR(__xludf.DUMMYFUNCTION("""COMPUTED_VALUE"""),"مستشفى")</f>
        <v>مستشفى</v>
      </c>
      <c r="E594" s="5" t="str">
        <f ca="1">IFERROR(__xludf.DUMMYFUNCTION("""COMPUTED_VALUE"""),"مستشفي طبي متخصص")</f>
        <v>مستشفي طبي متخصص</v>
      </c>
      <c r="F594" s="5" t="str">
        <f ca="1">IFERROR(__xludf.DUMMYFUNCTION("""COMPUTED_VALUE"""),"رمد (جراحة عيون)")</f>
        <v>رمد (جراحة عيون)</v>
      </c>
      <c r="G594" s="5" t="str">
        <f ca="1">IFERROR(__xludf.DUMMYFUNCTION("""COMPUTED_VALUE"""),"المركز التخصصي للعيون - مصر الجديدة")</f>
        <v>المركز التخصصي للعيون - مصر الجديدة</v>
      </c>
      <c r="H594" s="5" t="str">
        <f ca="1">IFERROR(__xludf.DUMMYFUNCTION("""COMPUTED_VALUE"""),"18شارع الخليفة المأمون -مصر الجديدة-القاهرة")</f>
        <v>18شارع الخليفة المأمون -مصر الجديدة-القاهرة</v>
      </c>
      <c r="I594" s="6" t="str">
        <f ca="1">IFERROR(__xludf.DUMMYFUNCTION("""COMPUTED_VALUE"""),"20224549570")</f>
        <v>20224549570</v>
      </c>
      <c r="J594" s="6" t="str">
        <f ca="1">IFERROR(__xludf.DUMMYFUNCTION("""COMPUTED_VALUE"""),"19980")</f>
        <v>19980</v>
      </c>
      <c r="K594" s="6" t="str">
        <f ca="1">IFERROR(__xludf.DUMMYFUNCTION("""COMPUTED_VALUE"""),"20%على جميع الخدمات")</f>
        <v>20%على جميع الخدمات</v>
      </c>
    </row>
    <row r="595" spans="1:11" x14ac:dyDescent="0.25">
      <c r="A595" s="4" t="str">
        <f ca="1">IFERROR(__xludf.DUMMYFUNCTION("""COMPUTED_VALUE"""),"1950")</f>
        <v>1950</v>
      </c>
      <c r="B595" s="5" t="str">
        <f ca="1">IFERROR(__xludf.DUMMYFUNCTION("""COMPUTED_VALUE"""),"القاهرة")</f>
        <v>القاهرة</v>
      </c>
      <c r="C595" s="5" t="str">
        <f ca="1">IFERROR(__xludf.DUMMYFUNCTION("""COMPUTED_VALUE"""),"مصر الجديدة")</f>
        <v>مصر الجديدة</v>
      </c>
      <c r="D595" s="5" t="str">
        <f ca="1">IFERROR(__xludf.DUMMYFUNCTION("""COMPUTED_VALUE"""),"مستشفى")</f>
        <v>مستشفى</v>
      </c>
      <c r="E595" s="5" t="str">
        <f ca="1">IFERROR(__xludf.DUMMYFUNCTION("""COMPUTED_VALUE"""),"مستشفي طبي متخصص")</f>
        <v>مستشفي طبي متخصص</v>
      </c>
      <c r="F595" s="5" t="str">
        <f ca="1">IFERROR(__xludf.DUMMYFUNCTION("""COMPUTED_VALUE"""),"رمد (جراحة عيون)")</f>
        <v>رمد (جراحة عيون)</v>
      </c>
      <c r="G595" s="5" t="str">
        <f ca="1">IFERROR(__xludf.DUMMYFUNCTION("""COMPUTED_VALUE"""),"مركز العين لطب وجراحة العيون")</f>
        <v>مركز العين لطب وجراحة العيون</v>
      </c>
      <c r="H595" s="5" t="str">
        <f ca="1">IFERROR(__xludf.DUMMYFUNCTION("""COMPUTED_VALUE"""),"7شارع محرم شوقي متفرع من شارع العروبة أمام قصر البارون-مصر الجديدة-القاهرة")</f>
        <v>7شارع محرم شوقي متفرع من شارع العروبة أمام قصر البارون-مصر الجديدة-القاهرة</v>
      </c>
      <c r="I595" s="6" t="str">
        <f ca="1">IFERROR(__xludf.DUMMYFUNCTION("""COMPUTED_VALUE"""),"20222911633")</f>
        <v>20222911633</v>
      </c>
      <c r="J595" s="6"/>
      <c r="K595" s="6" t="str">
        <f ca="1">IFERROR(__xludf.DUMMYFUNCTION("""COMPUTED_VALUE"""),"20% علي جميع الخدمات ما عدا جراحه القرنية.")</f>
        <v>20% علي جميع الخدمات ما عدا جراحه القرنية.</v>
      </c>
    </row>
    <row r="596" spans="1:11" x14ac:dyDescent="0.25">
      <c r="A596" s="4" t="str">
        <f ca="1">IFERROR(__xludf.DUMMYFUNCTION("""COMPUTED_VALUE"""),"104177-B")</f>
        <v>104177-B</v>
      </c>
      <c r="B596" s="5" t="str">
        <f ca="1">IFERROR(__xludf.DUMMYFUNCTION("""COMPUTED_VALUE"""),"القاهرة")</f>
        <v>القاهرة</v>
      </c>
      <c r="C596" s="5" t="str">
        <f ca="1">IFERROR(__xludf.DUMMYFUNCTION("""COMPUTED_VALUE"""),"مصر الجديدة")</f>
        <v>مصر الجديدة</v>
      </c>
      <c r="D596" s="5" t="str">
        <f ca="1">IFERROR(__xludf.DUMMYFUNCTION("""COMPUTED_VALUE"""),"مستشفى")</f>
        <v>مستشفى</v>
      </c>
      <c r="E596" s="5" t="str">
        <f ca="1">IFERROR(__xludf.DUMMYFUNCTION("""COMPUTED_VALUE"""),"مستشفي طبي متخصص")</f>
        <v>مستشفي طبي متخصص</v>
      </c>
      <c r="F596" s="5" t="str">
        <f ca="1">IFERROR(__xludf.DUMMYFUNCTION("""COMPUTED_VALUE"""),"رمد (جراحة عيون)")</f>
        <v>رمد (جراحة عيون)</v>
      </c>
      <c r="G596" s="5" t="str">
        <f ca="1">IFERROR(__xludf.DUMMYFUNCTION("""COMPUTED_VALUE"""),"مستشفى الوطني للعيون")</f>
        <v>مستشفى الوطني للعيون</v>
      </c>
      <c r="H596" s="5" t="str">
        <f ca="1">IFERROR(__xludf.DUMMYFUNCTION("""COMPUTED_VALUE"""),"211 شارع الحجاز - مصر الجديدة - القاهرة .")</f>
        <v>211 شارع الحجاز - مصر الجديدة - القاهرة .</v>
      </c>
      <c r="I596" s="6" t="str">
        <f ca="1">IFERROR(__xludf.DUMMYFUNCTION("""COMPUTED_VALUE"""),"20226206117")</f>
        <v>20226206117</v>
      </c>
      <c r="J596" s="6"/>
      <c r="K596" s="6" t="str">
        <f ca="1">IFERROR(__xludf.DUMMYFUNCTION("""COMPUTED_VALUE"""),"18% علي الأسعار النقدي المعلنه")</f>
        <v>18% علي الأسعار النقدي المعلنه</v>
      </c>
    </row>
    <row r="597" spans="1:11" x14ac:dyDescent="0.25">
      <c r="A597" s="4" t="str">
        <f ca="1">IFERROR(__xludf.DUMMYFUNCTION("""COMPUTED_VALUE"""),"104177")</f>
        <v>104177</v>
      </c>
      <c r="B597" s="5" t="str">
        <f ca="1">IFERROR(__xludf.DUMMYFUNCTION("""COMPUTED_VALUE"""),"القاهرة")</f>
        <v>القاهرة</v>
      </c>
      <c r="C597" s="5" t="str">
        <f ca="1">IFERROR(__xludf.DUMMYFUNCTION("""COMPUTED_VALUE"""),"مصر الجديدة")</f>
        <v>مصر الجديدة</v>
      </c>
      <c r="D597" s="5" t="str">
        <f ca="1">IFERROR(__xludf.DUMMYFUNCTION("""COMPUTED_VALUE"""),"مستشفى")</f>
        <v>مستشفى</v>
      </c>
      <c r="E597" s="5" t="str">
        <f ca="1">IFERROR(__xludf.DUMMYFUNCTION("""COMPUTED_VALUE"""),"مستشفي طبي متخصص")</f>
        <v>مستشفي طبي متخصص</v>
      </c>
      <c r="F597" s="5" t="str">
        <f ca="1">IFERROR(__xludf.DUMMYFUNCTION("""COMPUTED_VALUE"""),"رمد (جراحة عيون)")</f>
        <v>رمد (جراحة عيون)</v>
      </c>
      <c r="G597" s="5" t="str">
        <f ca="1">IFERROR(__xludf.DUMMYFUNCTION("""COMPUTED_VALUE"""),"مستشفى الوطني للعيون")</f>
        <v>مستشفى الوطني للعيون</v>
      </c>
      <c r="H597" s="5" t="str">
        <f ca="1">IFERROR(__xludf.DUMMYFUNCTION("""COMPUTED_VALUE"""),"إمتداد شارع الثورة - أمام كوبري الجيش -مصر الجديدة - القاهرة")</f>
        <v>إمتداد شارع الثورة - أمام كوبري الجيش -مصر الجديدة - القاهرة</v>
      </c>
      <c r="I597" s="6" t="str">
        <f ca="1">IFERROR(__xludf.DUMMYFUNCTION("""COMPUTED_VALUE"""),"20226966000")</f>
        <v>20226966000</v>
      </c>
      <c r="J597" s="6"/>
      <c r="K597" s="6" t="str">
        <f ca="1">IFERROR(__xludf.DUMMYFUNCTION("""COMPUTED_VALUE"""),"18% علي الأسعار النقدي المعلنه")</f>
        <v>18% علي الأسعار النقدي المعلنه</v>
      </c>
    </row>
    <row r="598" spans="1:11" x14ac:dyDescent="0.25">
      <c r="A598" s="4" t="str">
        <f ca="1">IFERROR(__xludf.DUMMYFUNCTION("""COMPUTED_VALUE"""),"3234")</f>
        <v>3234</v>
      </c>
      <c r="B598" s="5" t="str">
        <f ca="1">IFERROR(__xludf.DUMMYFUNCTION("""COMPUTED_VALUE"""),"القاهرة")</f>
        <v>القاهرة</v>
      </c>
      <c r="C598" s="5" t="str">
        <f ca="1">IFERROR(__xludf.DUMMYFUNCTION("""COMPUTED_VALUE"""),"مصر الجديدة")</f>
        <v>مصر الجديدة</v>
      </c>
      <c r="D598" s="5" t="str">
        <f ca="1">IFERROR(__xludf.DUMMYFUNCTION("""COMPUTED_VALUE"""),"مستشفى")</f>
        <v>مستشفى</v>
      </c>
      <c r="E598" s="5" t="str">
        <f ca="1">IFERROR(__xludf.DUMMYFUNCTION("""COMPUTED_VALUE"""),"مستشفي طبي متخصص")</f>
        <v>مستشفي طبي متخصص</v>
      </c>
      <c r="F598" s="5" t="str">
        <f ca="1">IFERROR(__xludf.DUMMYFUNCTION("""COMPUTED_VALUE"""),"رمد (جراحة عيون)")</f>
        <v>رمد (جراحة عيون)</v>
      </c>
      <c r="G598" s="5" t="str">
        <f ca="1">IFERROR(__xludf.DUMMYFUNCTION("""COMPUTED_VALUE"""),"مستشفى نور الحياة للعيون")</f>
        <v>مستشفى نور الحياة للعيون</v>
      </c>
      <c r="H598" s="5" t="str">
        <f ca="1">IFERROR(__xludf.DUMMYFUNCTION("""COMPUTED_VALUE"""),"93شارع الميرغني-مصر الجديدة-القاهرة")</f>
        <v>93شارع الميرغني-مصر الجديدة-القاهرة</v>
      </c>
      <c r="I598" s="6" t="str">
        <f ca="1">IFERROR(__xludf.DUMMYFUNCTION("""COMPUTED_VALUE"""),"20222907003")</f>
        <v>20222907003</v>
      </c>
      <c r="J598" s="6"/>
      <c r="K598" s="6" t="str">
        <f ca="1">IFERROR(__xludf.DUMMYFUNCTION("""COMPUTED_VALUE"""),"خصم 50% علي الكشوفات ، 15% علي الفحوصات ، 15% علي الليزك وفيمتو ليزك ، 10% علي العمليات الجراحيه ، ما عدا الحالات الخاصه بالدكاتره وعمليات التجميل.
")</f>
        <v xml:space="preserve">خصم 50% علي الكشوفات ، 15% علي الفحوصات ، 15% علي الليزك وفيمتو ليزك ، 10% علي العمليات الجراحيه ، ما عدا الحالات الخاصه بالدكاتره وعمليات التجميل.
</v>
      </c>
    </row>
    <row r="599" spans="1:11" x14ac:dyDescent="0.25">
      <c r="A599" s="4" t="str">
        <f ca="1">IFERROR(__xludf.DUMMYFUNCTION("""COMPUTED_VALUE"""),"2988")</f>
        <v>2988</v>
      </c>
      <c r="B599" s="5" t="str">
        <f ca="1">IFERROR(__xludf.DUMMYFUNCTION("""COMPUTED_VALUE"""),"القاهرة")</f>
        <v>القاهرة</v>
      </c>
      <c r="C599" s="5" t="str">
        <f ca="1">IFERROR(__xludf.DUMMYFUNCTION("""COMPUTED_VALUE"""),"وسط البلد")</f>
        <v>وسط البلد</v>
      </c>
      <c r="D599" s="5" t="str">
        <f ca="1">IFERROR(__xludf.DUMMYFUNCTION("""COMPUTED_VALUE"""),"هيئة الأطباء")</f>
        <v>هيئة الأطباء</v>
      </c>
      <c r="E599" s="5" t="str">
        <f ca="1">IFERROR(__xludf.DUMMYFUNCTION("""COMPUTED_VALUE"""),"رمد")</f>
        <v>رمد</v>
      </c>
      <c r="F599" s="5" t="str">
        <f ca="1">IFERROR(__xludf.DUMMYFUNCTION("""COMPUTED_VALUE"""),"رمد (جراحة عيون)")</f>
        <v>رمد (جراحة عيون)</v>
      </c>
      <c r="G599" s="5" t="str">
        <f ca="1">IFERROR(__xludf.DUMMYFUNCTION("""COMPUTED_VALUE"""),"د/ حمدى عصام (حمدي محمد عصام الدين حمدي)")</f>
        <v>د/ حمدى عصام (حمدي محمد عصام الدين حمدي)</v>
      </c>
      <c r="H599" s="5" t="str">
        <f ca="1">IFERROR(__xludf.DUMMYFUNCTION("""COMPUTED_VALUE"""),"171 شارع محمد فريد تقاطع 26 يوليو – الدور الرابع -وسط البلد-القاهرة")</f>
        <v>171 شارع محمد فريد تقاطع 26 يوليو – الدور الرابع -وسط البلد-القاهرة</v>
      </c>
      <c r="I599" s="6" t="str">
        <f ca="1">IFERROR(__xludf.DUMMYFUNCTION("""COMPUTED_VALUE"""),"20223906556")</f>
        <v>20223906556</v>
      </c>
      <c r="J599" s="6"/>
      <c r="K599" s="6" t="str">
        <f ca="1">IFERROR(__xludf.DUMMYFUNCTION("""COMPUTED_VALUE"""),"الكشف:90 , نقابه 2017")</f>
        <v>الكشف:90 , نقابه 2017</v>
      </c>
    </row>
    <row r="600" spans="1:11" x14ac:dyDescent="0.25">
      <c r="A600" s="4" t="str">
        <f ca="1">IFERROR(__xludf.DUMMYFUNCTION("""COMPUTED_VALUE"""),"104092")</f>
        <v>104092</v>
      </c>
      <c r="B600" s="5" t="str">
        <f ca="1">IFERROR(__xludf.DUMMYFUNCTION("""COMPUTED_VALUE"""),"القليوبية")</f>
        <v>القليوبية</v>
      </c>
      <c r="C600" s="5" t="str">
        <f ca="1">IFERROR(__xludf.DUMMYFUNCTION("""COMPUTED_VALUE"""),"بنها")</f>
        <v>بنها</v>
      </c>
      <c r="D600" s="5" t="str">
        <f ca="1">IFERROR(__xludf.DUMMYFUNCTION("""COMPUTED_VALUE"""),"هيئة الأطباء")</f>
        <v>هيئة الأطباء</v>
      </c>
      <c r="E600" s="5" t="str">
        <f ca="1">IFERROR(__xludf.DUMMYFUNCTION("""COMPUTED_VALUE"""),"رمد")</f>
        <v>رمد</v>
      </c>
      <c r="F600" s="5" t="str">
        <f ca="1">IFERROR(__xludf.DUMMYFUNCTION("""COMPUTED_VALUE"""),"رمد (جراحة عيون)")</f>
        <v>رمد (جراحة عيون)</v>
      </c>
      <c r="G600" s="5" t="str">
        <f ca="1">IFERROR(__xludf.DUMMYFUNCTION("""COMPUTED_VALUE"""),"د/ تامر ابراهيم سالم")</f>
        <v>د/ تامر ابراهيم سالم</v>
      </c>
      <c r="H600" s="5" t="str">
        <f ca="1">IFERROR(__xludf.DUMMYFUNCTION("""COMPUTED_VALUE"""),"امام مستشفى الجامعة بجوار مطاعم العلمين-بنها-القليوبية")</f>
        <v>امام مستشفى الجامعة بجوار مطاعم العلمين-بنها-القليوبية</v>
      </c>
      <c r="I600" s="6" t="str">
        <f ca="1">IFERROR(__xludf.DUMMYFUNCTION("""COMPUTED_VALUE"""),"201224097450")</f>
        <v>201224097450</v>
      </c>
      <c r="J600" s="6"/>
      <c r="K600" s="6" t="str">
        <f ca="1">IFERROR(__xludf.DUMMYFUNCTION("""COMPUTED_VALUE"""),"الكشف : 65, مؤسسه 2015")</f>
        <v>الكشف : 65, مؤسسه 2015</v>
      </c>
    </row>
    <row r="601" spans="1:11" x14ac:dyDescent="0.25">
      <c r="A601" s="4" t="str">
        <f ca="1">IFERROR(__xludf.DUMMYFUNCTION("""COMPUTED_VALUE"""),"3303")</f>
        <v>3303</v>
      </c>
      <c r="B601" s="5" t="str">
        <f ca="1">IFERROR(__xludf.DUMMYFUNCTION("""COMPUTED_VALUE"""),"بورسعيد")</f>
        <v>بورسعيد</v>
      </c>
      <c r="C601" s="5" t="str">
        <f ca="1">IFERROR(__xludf.DUMMYFUNCTION("""COMPUTED_VALUE"""),"بورسعيد")</f>
        <v>بورسعيد</v>
      </c>
      <c r="D601" s="5" t="str">
        <f ca="1">IFERROR(__xludf.DUMMYFUNCTION("""COMPUTED_VALUE"""),"هيئة الأطباء")</f>
        <v>هيئة الأطباء</v>
      </c>
      <c r="E601" s="5" t="str">
        <f ca="1">IFERROR(__xludf.DUMMYFUNCTION("""COMPUTED_VALUE"""),"رمد")</f>
        <v>رمد</v>
      </c>
      <c r="F601" s="5" t="str">
        <f ca="1">IFERROR(__xludf.DUMMYFUNCTION("""COMPUTED_VALUE"""),"رمد (جراحة عيون)")</f>
        <v>رمد (جراحة عيون)</v>
      </c>
      <c r="G601" s="5" t="str">
        <f ca="1">IFERROR(__xludf.DUMMYFUNCTION("""COMPUTED_VALUE"""),"د/ احمد شحاته ابو جندى")</f>
        <v>د/ احمد شحاته ابو جندى</v>
      </c>
      <c r="H601" s="5" t="str">
        <f ca="1">IFERROR(__xludf.DUMMYFUNCTION("""COMPUTED_VALUE"""),"10شارع الظاهر والوكيل-بورسعيد")</f>
        <v>10شارع الظاهر والوكيل-بورسعيد</v>
      </c>
      <c r="I601" s="6" t="str">
        <f ca="1">IFERROR(__xludf.DUMMYFUNCTION("""COMPUTED_VALUE"""),"20663346466")</f>
        <v>20663346466</v>
      </c>
      <c r="J601" s="6"/>
      <c r="K601" s="6" t="str">
        <f ca="1">IFERROR(__xludf.DUMMYFUNCTION("""COMPUTED_VALUE"""),"خصم 30% علي أسعار الجمهور")</f>
        <v>خصم 30% علي أسعار الجمهور</v>
      </c>
    </row>
    <row r="602" spans="1:11" x14ac:dyDescent="0.25">
      <c r="A602" s="4" t="str">
        <f ca="1">IFERROR(__xludf.DUMMYFUNCTION("""COMPUTED_VALUE"""),"104272")</f>
        <v>104272</v>
      </c>
      <c r="B602" s="5" t="str">
        <f ca="1">IFERROR(__xludf.DUMMYFUNCTION("""COMPUTED_VALUE"""),"دمياط")</f>
        <v>دمياط</v>
      </c>
      <c r="C602" s="5" t="str">
        <f ca="1">IFERROR(__xludf.DUMMYFUNCTION("""COMPUTED_VALUE"""),"دمياط الجديدة")</f>
        <v>دمياط الجديدة</v>
      </c>
      <c r="D602" s="5" t="str">
        <f ca="1">IFERROR(__xludf.DUMMYFUNCTION("""COMPUTED_VALUE"""),"مستشفى")</f>
        <v>مستشفى</v>
      </c>
      <c r="E602" s="5" t="str">
        <f ca="1">IFERROR(__xludf.DUMMYFUNCTION("""COMPUTED_VALUE"""),"مستشفي طبي متخصص")</f>
        <v>مستشفي طبي متخصص</v>
      </c>
      <c r="F602" s="5" t="str">
        <f ca="1">IFERROR(__xludf.DUMMYFUNCTION("""COMPUTED_VALUE"""),"رمد (جراحة عيون)")</f>
        <v>رمد (جراحة عيون)</v>
      </c>
      <c r="G602" s="5" t="str">
        <f ca="1">IFERROR(__xludf.DUMMYFUNCTION("""COMPUTED_VALUE"""),"شركة مستشفى دار العيون دمياط")</f>
        <v>شركة مستشفى دار العيون دمياط</v>
      </c>
      <c r="H602" s="5" t="str">
        <f ca="1">IFERROR(__xludf.DUMMYFUNCTION("""COMPUTED_VALUE"""),"21 المنظقة المركزية - امام شارع المحجوب - دمياط الجديدة - دمياط")</f>
        <v>21 المنظقة المركزية - امام شارع المحجوب - دمياط الجديدة - دمياط</v>
      </c>
      <c r="I602" s="6" t="str">
        <f ca="1">IFERROR(__xludf.DUMMYFUNCTION("""COMPUTED_VALUE"""),"201006677720")</f>
        <v>201006677720</v>
      </c>
      <c r="J602" s="6"/>
      <c r="K602" s="6" t="str">
        <f ca="1">IFERROR(__xludf.DUMMYFUNCTION("""COMPUTED_VALUE"""),"40% على الكشف ,15% على الخارجي والداخلى ,10% على باقى الخدمات")</f>
        <v>40% على الكشف ,15% على الخارجي والداخلى ,10% على باقى الخدمات</v>
      </c>
    </row>
    <row r="603" spans="1:11" x14ac:dyDescent="0.25">
      <c r="A603" s="4" t="str">
        <f ca="1">IFERROR(__xludf.DUMMYFUNCTION("""COMPUTED_VALUE"""),"3229-B")</f>
        <v>3229-B</v>
      </c>
      <c r="B603" s="5" t="str">
        <f ca="1">IFERROR(__xludf.DUMMYFUNCTION("""COMPUTED_VALUE"""),"بني سويف")</f>
        <v>بني سويف</v>
      </c>
      <c r="C603" s="5" t="str">
        <f ca="1">IFERROR(__xludf.DUMMYFUNCTION("""COMPUTED_VALUE"""),"بني سويف")</f>
        <v>بني سويف</v>
      </c>
      <c r="D603" s="5" t="str">
        <f ca="1">IFERROR(__xludf.DUMMYFUNCTION("""COMPUTED_VALUE"""),"مستشفى")</f>
        <v>مستشفى</v>
      </c>
      <c r="E603" s="5" t="str">
        <f ca="1">IFERROR(__xludf.DUMMYFUNCTION("""COMPUTED_VALUE"""),"مستشفي طبي متخصص")</f>
        <v>مستشفي طبي متخصص</v>
      </c>
      <c r="F603" s="5" t="str">
        <f ca="1">IFERROR(__xludf.DUMMYFUNCTION("""COMPUTED_VALUE"""),"رمد (جراحة عيون)")</f>
        <v>رمد (جراحة عيون)</v>
      </c>
      <c r="G603" s="5" t="str">
        <f ca="1">IFERROR(__xludf.DUMMYFUNCTION("""COMPUTED_VALUE"""),"مستشفى الرواد للعيون")</f>
        <v>مستشفى الرواد للعيون</v>
      </c>
      <c r="H603" s="5" t="str">
        <f ca="1">IFERROR(__xludf.DUMMYFUNCTION("""COMPUTED_VALUE"""),"حي الزهور - أمام مستشفى الصدر على الطريق الدائري - بني سويف")</f>
        <v>حي الزهور - أمام مستشفى الصدر على الطريق الدائري - بني سويف</v>
      </c>
      <c r="I603" s="6" t="str">
        <f ca="1">IFERROR(__xludf.DUMMYFUNCTION("""COMPUTED_VALUE"""),"201005697355")</f>
        <v>201005697355</v>
      </c>
      <c r="J603" s="6" t="str">
        <f ca="1">IFERROR(__xludf.DUMMYFUNCTION("""COMPUTED_VALUE"""),"19635")</f>
        <v>19635</v>
      </c>
      <c r="K603" s="6" t="str">
        <f ca="1">IFERROR(__xludf.DUMMYFUNCTION("""COMPUTED_VALUE"""),"15% نسبة خصم")</f>
        <v>15% نسبة خصم</v>
      </c>
    </row>
    <row r="604" spans="1:11" x14ac:dyDescent="0.25">
      <c r="A604" s="4" t="str">
        <f ca="1">IFERROR(__xludf.DUMMYFUNCTION("""COMPUTED_VALUE"""),"104825")</f>
        <v>104825</v>
      </c>
      <c r="B604" s="5" t="str">
        <f ca="1">IFERROR(__xludf.DUMMYFUNCTION("""COMPUTED_VALUE"""),"الجيزة")</f>
        <v>الجيزة</v>
      </c>
      <c r="C604" s="5" t="str">
        <f ca="1">IFERROR(__xludf.DUMMYFUNCTION("""COMPUTED_VALUE"""),"الدقي")</f>
        <v>الدقي</v>
      </c>
      <c r="D604" s="5" t="str">
        <f ca="1">IFERROR(__xludf.DUMMYFUNCTION("""COMPUTED_VALUE"""),"مستشفى")</f>
        <v>مستشفى</v>
      </c>
      <c r="E604" s="5" t="str">
        <f ca="1">IFERROR(__xludf.DUMMYFUNCTION("""COMPUTED_VALUE"""),"مستشفي طبي متخصص")</f>
        <v>مستشفي طبي متخصص</v>
      </c>
      <c r="F604" s="5" t="str">
        <f ca="1">IFERROR(__xludf.DUMMYFUNCTION("""COMPUTED_VALUE"""),"رمد (جراحة عيون)")</f>
        <v>رمد (جراحة عيون)</v>
      </c>
      <c r="G604" s="5" t="str">
        <f ca="1">IFERROR(__xludf.DUMMYFUNCTION("""COMPUTED_VALUE"""),"مركز الرعاية البصرية للعيون (visi care)")</f>
        <v>مركز الرعاية البصرية للعيون (visi care)</v>
      </c>
      <c r="H604" s="5" t="str">
        <f ca="1">IFERROR(__xludf.DUMMYFUNCTION("""COMPUTED_VALUE"""),"3شارع طهران -اول شارع مصدق - الدقى - الجبزة")</f>
        <v>3شارع طهران -اول شارع مصدق - الدقى - الجبزة</v>
      </c>
      <c r="I604" s="6" t="str">
        <f ca="1">IFERROR(__xludf.DUMMYFUNCTION("""COMPUTED_VALUE"""),"20233389315")</f>
        <v>20233389315</v>
      </c>
      <c r="J604" s="6"/>
      <c r="K604" s="6" t="str">
        <f ca="1">IFERROR(__xludf.DUMMYFUNCTION("""COMPUTED_VALUE"""),"الكشف : 60جنية , &amp; الخدمات الاخري نقابه 2016")</f>
        <v>الكشف : 60جنية , &amp; الخدمات الاخري نقابه 2016</v>
      </c>
    </row>
    <row r="605" spans="1:11" x14ac:dyDescent="0.25">
      <c r="A605" s="4" t="str">
        <f ca="1">IFERROR(__xludf.DUMMYFUNCTION("""COMPUTED_VALUE"""),"104875-B")</f>
        <v>104875-B</v>
      </c>
      <c r="B605" s="5" t="str">
        <f ca="1">IFERROR(__xludf.DUMMYFUNCTION("""COMPUTED_VALUE"""),"البحيرة")</f>
        <v>البحيرة</v>
      </c>
      <c r="C605" s="5" t="str">
        <f ca="1">IFERROR(__xludf.DUMMYFUNCTION("""COMPUTED_VALUE"""),"دمنهور")</f>
        <v>دمنهور</v>
      </c>
      <c r="D605" s="5" t="str">
        <f ca="1">IFERROR(__xludf.DUMMYFUNCTION("""COMPUTED_VALUE"""),"مستشفى")</f>
        <v>مستشفى</v>
      </c>
      <c r="E605" s="5" t="str">
        <f ca="1">IFERROR(__xludf.DUMMYFUNCTION("""COMPUTED_VALUE"""),"مستشفي طبي متخصص")</f>
        <v>مستشفي طبي متخصص</v>
      </c>
      <c r="F605" s="5" t="str">
        <f ca="1">IFERROR(__xludf.DUMMYFUNCTION("""COMPUTED_VALUE"""),"رمد (جراحة عيون)")</f>
        <v>رمد (جراحة عيون)</v>
      </c>
      <c r="G605" s="5" t="str">
        <f ca="1">IFERROR(__xludf.DUMMYFUNCTION("""COMPUTED_VALUE"""),"مركز النور للعيون")</f>
        <v>مركز النور للعيون</v>
      </c>
      <c r="H605" s="5" t="str">
        <f ca="1">IFERROR(__xludf.DUMMYFUNCTION("""COMPUTED_VALUE"""),"شارع 23 يوليو -بجوار شبكة الكهرباء - دمنهور - البحيرة")</f>
        <v>شارع 23 يوليو -بجوار شبكة الكهرباء - دمنهور - البحيرة</v>
      </c>
      <c r="I605" s="6" t="str">
        <f ca="1">IFERROR(__xludf.DUMMYFUNCTION("""COMPUTED_VALUE"""),"201066600814")</f>
        <v>201066600814</v>
      </c>
      <c r="J605" s="6"/>
      <c r="K605" s="6" t="str">
        <f ca="1">IFERROR(__xludf.DUMMYFUNCTION("""COMPUTED_VALUE"""),"20% علي الكشوفات ،15 %علي الفحوصات ، 10% علي العمليات ،10% علي النظارات والعدسات")</f>
        <v>20% علي الكشوفات ،15 %علي الفحوصات ، 10% علي العمليات ،10% علي النظارات والعدسات</v>
      </c>
    </row>
    <row r="606" spans="1:11" x14ac:dyDescent="0.25">
      <c r="A606" s="4" t="str">
        <f ca="1">IFERROR(__xludf.DUMMYFUNCTION("""COMPUTED_VALUE"""),"104320")</f>
        <v>104320</v>
      </c>
      <c r="B606" s="5" t="str">
        <f ca="1">IFERROR(__xludf.DUMMYFUNCTION("""COMPUTED_VALUE"""),"الجيزة")</f>
        <v>الجيزة</v>
      </c>
      <c r="C606" s="5" t="str">
        <f ca="1">IFERROR(__xludf.DUMMYFUNCTION("""COMPUTED_VALUE"""),"المهندسين")</f>
        <v>المهندسين</v>
      </c>
      <c r="D606" s="5" t="str">
        <f ca="1">IFERROR(__xludf.DUMMYFUNCTION("""COMPUTED_VALUE"""),"هيئة الأطباء")</f>
        <v>هيئة الأطباء</v>
      </c>
      <c r="E606" s="5" t="str">
        <f ca="1">IFERROR(__xludf.DUMMYFUNCTION("""COMPUTED_VALUE"""),"جراحة")</f>
        <v>جراحة</v>
      </c>
      <c r="F606" s="5" t="str">
        <f ca="1">IFERROR(__xludf.DUMMYFUNCTION("""COMPUTED_VALUE"""),"جراحة أورام")</f>
        <v>جراحة أورام</v>
      </c>
      <c r="G606" s="5" t="str">
        <f ca="1">IFERROR(__xludf.DUMMYFUNCTION("""COMPUTED_VALUE"""),"د/ حمدي عبدالغفار الشرقاوي")</f>
        <v>د/ حمدي عبدالغفار الشرقاوي</v>
      </c>
      <c r="H606" s="5" t="str">
        <f ca="1">IFERROR(__xludf.DUMMYFUNCTION("""COMPUTED_VALUE"""),"20شارع البطل أحمد عبدالعزيز تقاطع عبدالمنعم رياض - المهندسين -برج الحكمه الطبى")</f>
        <v>20شارع البطل أحمد عبدالعزيز تقاطع عبدالمنعم رياض - المهندسين -برج الحكمه الطبى</v>
      </c>
      <c r="I606" s="6" t="str">
        <f ca="1">IFERROR(__xludf.DUMMYFUNCTION("""COMPUTED_VALUE"""),"20233351006")</f>
        <v>20233351006</v>
      </c>
      <c r="J606" s="6"/>
      <c r="K606" s="6" t="str">
        <f ca="1">IFERROR(__xludf.DUMMYFUNCTION("""COMPUTED_VALUE"""),"خصم 30% علي الاسعار النقدي المعلنه")</f>
        <v>خصم 30% علي الاسعار النقدي المعلنه</v>
      </c>
    </row>
    <row r="607" spans="1:11" x14ac:dyDescent="0.25">
      <c r="A607" s="4" t="str">
        <f ca="1">IFERROR(__xludf.DUMMYFUNCTION("""COMPUTED_VALUE"""),"1717")</f>
        <v>1717</v>
      </c>
      <c r="B607" s="5" t="str">
        <f ca="1">IFERROR(__xludf.DUMMYFUNCTION("""COMPUTED_VALUE"""),"القاهرة")</f>
        <v>القاهرة</v>
      </c>
      <c r="C607" s="5" t="str">
        <f ca="1">IFERROR(__xludf.DUMMYFUNCTION("""COMPUTED_VALUE"""),"مدينة نصر")</f>
        <v>مدينة نصر</v>
      </c>
      <c r="D607" s="5" t="str">
        <f ca="1">IFERROR(__xludf.DUMMYFUNCTION("""COMPUTED_VALUE"""),"مستشفى")</f>
        <v>مستشفى</v>
      </c>
      <c r="E607" s="5" t="str">
        <f ca="1">IFERROR(__xludf.DUMMYFUNCTION("""COMPUTED_VALUE"""),"مستشفي طبي متخصص")</f>
        <v>مستشفي طبي متخصص</v>
      </c>
      <c r="F607" s="5" t="str">
        <f ca="1">IFERROR(__xludf.DUMMYFUNCTION("""COMPUTED_VALUE"""),"مركز أورام")</f>
        <v>مركز أورام</v>
      </c>
      <c r="G607" s="5" t="str">
        <f ca="1">IFERROR(__xludf.DUMMYFUNCTION("""COMPUTED_VALUE"""),"مركز مصر لتشخيص وعلاج الأورام")</f>
        <v>مركز مصر لتشخيص وعلاج الأورام</v>
      </c>
      <c r="H607" s="5" t="str">
        <f ca="1">IFERROR(__xludf.DUMMYFUNCTION("""COMPUTED_VALUE"""),"17 ش ابو العتاهية امتداد شارع عباس العقاد – بجوار مصر للطيران - امام الحديقة الدولية-مدينة نصر-القاهرة")</f>
        <v>17 ش ابو العتاهية امتداد شارع عباس العقاد – بجوار مصر للطيران - امام الحديقة الدولية-مدينة نصر-القاهرة</v>
      </c>
      <c r="I607" s="6" t="str">
        <f ca="1">IFERROR(__xludf.DUMMYFUNCTION("""COMPUTED_VALUE"""),"201018874650")</f>
        <v>201018874650</v>
      </c>
      <c r="J607" s="6"/>
      <c r="K607" s="6" t="str">
        <f ca="1">IFERROR(__xludf.DUMMYFUNCTION("""COMPUTED_VALUE"""),"خصم 40% علي الأسعار النقدي المعلنه")</f>
        <v>خصم 40% علي الأسعار النقدي المعلنه</v>
      </c>
    </row>
    <row r="608" spans="1:11" x14ac:dyDescent="0.25">
      <c r="A608" s="4" t="str">
        <f ca="1">IFERROR(__xludf.DUMMYFUNCTION("""COMPUTED_VALUE"""),"4080")</f>
        <v>4080</v>
      </c>
      <c r="B608" s="5" t="str">
        <f ca="1">IFERROR(__xludf.DUMMYFUNCTION("""COMPUTED_VALUE"""),"القاهرة")</f>
        <v>القاهرة</v>
      </c>
      <c r="C608" s="5" t="str">
        <f ca="1">IFERROR(__xludf.DUMMYFUNCTION("""COMPUTED_VALUE"""),"مصر الجديدة")</f>
        <v>مصر الجديدة</v>
      </c>
      <c r="D608" s="5" t="str">
        <f ca="1">IFERROR(__xludf.DUMMYFUNCTION("""COMPUTED_VALUE"""),"مستشفى")</f>
        <v>مستشفى</v>
      </c>
      <c r="E608" s="5" t="str">
        <f ca="1">IFERROR(__xludf.DUMMYFUNCTION("""COMPUTED_VALUE"""),"مستشفي طبي متخصص")</f>
        <v>مستشفي طبي متخصص</v>
      </c>
      <c r="F608" s="5" t="str">
        <f ca="1">IFERROR(__xludf.DUMMYFUNCTION("""COMPUTED_VALUE"""),"مركز أورام")</f>
        <v>مركز أورام</v>
      </c>
      <c r="G608" s="5" t="str">
        <f ca="1">IFERROR(__xludf.DUMMYFUNCTION("""COMPUTED_VALUE"""),"رامي رفعت يوسف غالي (مركز د. رامي غالي لعلاج الاورام)")</f>
        <v>رامي رفعت يوسف غالي (مركز د. رامي غالي لعلاج الاورام)</v>
      </c>
      <c r="H608" s="5" t="str">
        <f ca="1">IFERROR(__xludf.DUMMYFUNCTION("""COMPUTED_VALUE"""),"40 أ شارع بغداد - الكوربة - مصر الجديدة - القاهرة")</f>
        <v>40 أ شارع بغداد - الكوربة - مصر الجديدة - القاهرة</v>
      </c>
      <c r="I608" s="6" t="str">
        <f ca="1">IFERROR(__xludf.DUMMYFUNCTION("""COMPUTED_VALUE"""),"20226905999")</f>
        <v>20226905999</v>
      </c>
      <c r="J608" s="6"/>
      <c r="K608" s="6" t="str">
        <f ca="1">IFERROR(__xludf.DUMMYFUNCTION("""COMPUTED_VALUE"""),"خصم 30% علي الاسعار النقدي المعلنه")</f>
        <v>خصم 30% علي الاسعار النقدي المعلنه</v>
      </c>
    </row>
    <row r="609" spans="1:11" x14ac:dyDescent="0.25">
      <c r="A609" s="4" t="str">
        <f ca="1">IFERROR(__xludf.DUMMYFUNCTION("""COMPUTED_VALUE"""),"2268")</f>
        <v>2268</v>
      </c>
      <c r="B609" s="5" t="str">
        <f ca="1">IFERROR(__xludf.DUMMYFUNCTION("""COMPUTED_VALUE"""),"الدقهلية")</f>
        <v>الدقهلية</v>
      </c>
      <c r="C609" s="5" t="str">
        <f ca="1">IFERROR(__xludf.DUMMYFUNCTION("""COMPUTED_VALUE"""),"ميت غمر")</f>
        <v>ميت غمر</v>
      </c>
      <c r="D609" s="5" t="str">
        <f ca="1">IFERROR(__xludf.DUMMYFUNCTION("""COMPUTED_VALUE"""),"مستشفى")</f>
        <v>مستشفى</v>
      </c>
      <c r="E609" s="5" t="str">
        <f ca="1">IFERROR(__xludf.DUMMYFUNCTION("""COMPUTED_VALUE"""),"مستشفي طبي متخصص")</f>
        <v>مستشفي طبي متخصص</v>
      </c>
      <c r="F609" s="5" t="str">
        <f ca="1">IFERROR(__xludf.DUMMYFUNCTION("""COMPUTED_VALUE"""),"نساء وتوليد")</f>
        <v>نساء وتوليد</v>
      </c>
      <c r="G609" s="5" t="str">
        <f ca="1">IFERROR(__xludf.DUMMYFUNCTION("""COMPUTED_VALUE"""),"مستشفى الفيروز التخصصي - الدقهلية")</f>
        <v>مستشفى الفيروز التخصصي - الدقهلية</v>
      </c>
      <c r="H609" s="5" t="str">
        <f ca="1">IFERROR(__xludf.DUMMYFUNCTION("""COMPUTED_VALUE"""),"38شارع احمد عرابي-ميت غمر-الدقهلية")</f>
        <v>38شارع احمد عرابي-ميت غمر-الدقهلية</v>
      </c>
      <c r="I609" s="6" t="str">
        <f ca="1">IFERROR(__xludf.DUMMYFUNCTION("""COMPUTED_VALUE"""),"20506913966")</f>
        <v>20506913966</v>
      </c>
      <c r="J609" s="6"/>
      <c r="K609" s="6" t="str">
        <f ca="1">IFERROR(__xludf.DUMMYFUNCTION("""COMPUTED_VALUE"""),"نقابه 2016 الكشف 40 جنية")</f>
        <v>نقابه 2016 الكشف 40 جنية</v>
      </c>
    </row>
    <row r="610" spans="1:11" x14ac:dyDescent="0.25">
      <c r="A610" s="4" t="str">
        <f ca="1">IFERROR(__xludf.DUMMYFUNCTION("""COMPUTED_VALUE"""),"104810")</f>
        <v>104810</v>
      </c>
      <c r="B610" s="5" t="str">
        <f ca="1">IFERROR(__xludf.DUMMYFUNCTION("""COMPUTED_VALUE"""),"القاهرة")</f>
        <v>القاهرة</v>
      </c>
      <c r="C610" s="5" t="str">
        <f ca="1">IFERROR(__xludf.DUMMYFUNCTION("""COMPUTED_VALUE"""),"مصر الجديدة")</f>
        <v>مصر الجديدة</v>
      </c>
      <c r="D610" s="5" t="str">
        <f ca="1">IFERROR(__xludf.DUMMYFUNCTION("""COMPUTED_VALUE"""),"هيئة الأطباء")</f>
        <v>هيئة الأطباء</v>
      </c>
      <c r="E610" s="5" t="str">
        <f ca="1">IFERROR(__xludf.DUMMYFUNCTION("""COMPUTED_VALUE"""),"نساء وتوليد")</f>
        <v>نساء وتوليد</v>
      </c>
      <c r="F610" s="5" t="str">
        <f ca="1">IFERROR(__xludf.DUMMYFUNCTION("""COMPUTED_VALUE"""),"نساء وتوليد")</f>
        <v>نساء وتوليد</v>
      </c>
      <c r="G610" s="5" t="str">
        <f ca="1">IFERROR(__xludf.DUMMYFUNCTION("""COMPUTED_VALUE"""),"د/محمد سعد الدين اسماعيل الصفتي (د/محمد الصفتي)")</f>
        <v>د/محمد سعد الدين اسماعيل الصفتي (د/محمد الصفتي)</v>
      </c>
      <c r="H610" s="5" t="str">
        <f ca="1">IFERROR(__xludf.DUMMYFUNCTION("""COMPUTED_VALUE"""),"50ش الخليفة المأمون - مول سوق العصر - مصر الجديدة")</f>
        <v>50ش الخليفة المأمون - مول سوق العصر - مصر الجديدة</v>
      </c>
      <c r="I610" s="6" t="str">
        <f ca="1">IFERROR(__xludf.DUMMYFUNCTION("""COMPUTED_VALUE"""),"201002554281")</f>
        <v>201002554281</v>
      </c>
      <c r="J610" s="6"/>
      <c r="K610" s="6" t="str">
        <f ca="1">IFERROR(__xludf.DUMMYFUNCTION("""COMPUTED_VALUE"""),"الكشف: 65 , نقابه 2016")</f>
        <v>الكشف: 65 , نقابه 2016</v>
      </c>
    </row>
    <row r="611" spans="1:11" x14ac:dyDescent="0.25">
      <c r="A611" s="4" t="str">
        <f ca="1">IFERROR(__xludf.DUMMYFUNCTION("""COMPUTED_VALUE"""),"104810-B")</f>
        <v>104810-B</v>
      </c>
      <c r="B611" s="5" t="str">
        <f ca="1">IFERROR(__xludf.DUMMYFUNCTION("""COMPUTED_VALUE"""),"القاهرة")</f>
        <v>القاهرة</v>
      </c>
      <c r="C611" s="5" t="str">
        <f ca="1">IFERROR(__xludf.DUMMYFUNCTION("""COMPUTED_VALUE"""),"القاهرة الجديدة")</f>
        <v>القاهرة الجديدة</v>
      </c>
      <c r="D611" s="5" t="str">
        <f ca="1">IFERROR(__xludf.DUMMYFUNCTION("""COMPUTED_VALUE"""),"هيئة الأطباء")</f>
        <v>هيئة الأطباء</v>
      </c>
      <c r="E611" s="5" t="str">
        <f ca="1">IFERROR(__xludf.DUMMYFUNCTION("""COMPUTED_VALUE"""),"نساء وتوليد")</f>
        <v>نساء وتوليد</v>
      </c>
      <c r="F611" s="5" t="str">
        <f ca="1">IFERROR(__xludf.DUMMYFUNCTION("""COMPUTED_VALUE"""),"نساء وتوليد")</f>
        <v>نساء وتوليد</v>
      </c>
      <c r="G611" s="5" t="str">
        <f ca="1">IFERROR(__xludf.DUMMYFUNCTION("""COMPUTED_VALUE"""),"د/محمد سعد الدين اسماعيل الصفتي (د/محمد الصفتي)")</f>
        <v>د/محمد سعد الدين اسماعيل الصفتي (د/محمد الصفتي)</v>
      </c>
      <c r="H611" s="5" t="str">
        <f ca="1">IFERROR(__xludf.DUMMYFUNCTION("""COMPUTED_VALUE"""),"خلف المستشفى الجوي بجوار كومباوند ليك فيو - ش التسعين - التجمع الخامس")</f>
        <v>خلف المستشفى الجوي بجوار كومباوند ليك فيو - ش التسعين - التجمع الخامس</v>
      </c>
      <c r="I611" s="6" t="str">
        <f ca="1">IFERROR(__xludf.DUMMYFUNCTION("""COMPUTED_VALUE"""),"201002554281")</f>
        <v>201002554281</v>
      </c>
      <c r="J611" s="6"/>
      <c r="K611" s="6" t="str">
        <f ca="1">IFERROR(__xludf.DUMMYFUNCTION("""COMPUTED_VALUE"""),"الكشف: 65 , نقابه 2016")</f>
        <v>الكشف: 65 , نقابه 2016</v>
      </c>
    </row>
    <row r="612" spans="1:11" x14ac:dyDescent="0.25">
      <c r="A612" s="4" t="str">
        <f ca="1">IFERROR(__xludf.DUMMYFUNCTION("""COMPUTED_VALUE"""),"104102")</f>
        <v>104102</v>
      </c>
      <c r="B612" s="5" t="str">
        <f ca="1">IFERROR(__xludf.DUMMYFUNCTION("""COMPUTED_VALUE"""),"البحيرة")</f>
        <v>البحيرة</v>
      </c>
      <c r="C612" s="5" t="str">
        <f ca="1">IFERROR(__xludf.DUMMYFUNCTION("""COMPUTED_VALUE"""),"دمنهور")</f>
        <v>دمنهور</v>
      </c>
      <c r="D612" s="5" t="str">
        <f ca="1">IFERROR(__xludf.DUMMYFUNCTION("""COMPUTED_VALUE"""),"هيئة الأطباء")</f>
        <v>هيئة الأطباء</v>
      </c>
      <c r="E612" s="5" t="str">
        <f ca="1">IFERROR(__xludf.DUMMYFUNCTION("""COMPUTED_VALUE"""),"جراحة")</f>
        <v>جراحة</v>
      </c>
      <c r="F612" s="5" t="str">
        <f ca="1">IFERROR(__xludf.DUMMYFUNCTION("""COMPUTED_VALUE"""),"جراحة مخ وأعصاب")</f>
        <v>جراحة مخ وأعصاب</v>
      </c>
      <c r="G612" s="5" t="str">
        <f ca="1">IFERROR(__xludf.DUMMYFUNCTION("""COMPUTED_VALUE"""),"د/ علوان عبد البديع")</f>
        <v>د/ علوان عبد البديع</v>
      </c>
      <c r="H612" s="5" t="str">
        <f ca="1">IFERROR(__xludf.DUMMYFUNCTION("""COMPUTED_VALUE"""),"شارع نقابة المحامين - ارض الميري بجوار بي تك عمارة الامير - دمنهور - البحيرة")</f>
        <v>شارع نقابة المحامين - ارض الميري بجوار بي تك عمارة الامير - دمنهور - البحيرة</v>
      </c>
      <c r="I612" s="6" t="str">
        <f ca="1">IFERROR(__xludf.DUMMYFUNCTION("""COMPUTED_VALUE"""),"201067172320")</f>
        <v>201067172320</v>
      </c>
      <c r="J612" s="6"/>
      <c r="K612" s="6" t="str">
        <f ca="1">IFERROR(__xludf.DUMMYFUNCTION("""COMPUTED_VALUE"""),"كشف : 90")</f>
        <v>كشف : 90</v>
      </c>
    </row>
    <row r="613" spans="1:11" x14ac:dyDescent="0.25">
      <c r="A613" s="4" t="str">
        <f ca="1">IFERROR(__xludf.DUMMYFUNCTION("""COMPUTED_VALUE"""),"4701")</f>
        <v>4701</v>
      </c>
      <c r="B613" s="5" t="str">
        <f ca="1">IFERROR(__xludf.DUMMYFUNCTION("""COMPUTED_VALUE"""),"الجيزة")</f>
        <v>الجيزة</v>
      </c>
      <c r="C613" s="5" t="str">
        <f ca="1">IFERROR(__xludf.DUMMYFUNCTION("""COMPUTED_VALUE"""),"السادس من اكتوبر")</f>
        <v>السادس من اكتوبر</v>
      </c>
      <c r="D613" s="5" t="str">
        <f ca="1">IFERROR(__xludf.DUMMYFUNCTION("""COMPUTED_VALUE"""),"مستشفى")</f>
        <v>مستشفى</v>
      </c>
      <c r="E613" s="5" t="str">
        <f ca="1">IFERROR(__xludf.DUMMYFUNCTION("""COMPUTED_VALUE"""),"مستشفي طبي متخصص")</f>
        <v>مستشفي طبي متخصص</v>
      </c>
      <c r="F613" s="5" t="str">
        <f ca="1">IFERROR(__xludf.DUMMYFUNCTION("""COMPUTED_VALUE"""),"جراحة مخ وأعصاب")</f>
        <v>جراحة مخ وأعصاب</v>
      </c>
      <c r="G613" s="5" t="str">
        <f ca="1">IFERROR(__xludf.DUMMYFUNCTION("""COMPUTED_VALUE"""),"مستشفى نيوروسبين")</f>
        <v>مستشفى نيوروسبين</v>
      </c>
      <c r="H613" s="5" t="str">
        <f ca="1">IFERROR(__xludf.DUMMYFUNCTION("""COMPUTED_VALUE"""),"عمارة اللواء مول لاسيني خلف خير زمان ماركت بجوار جامع الحصري - المحور المركزي-6 أكتوبر - الجيزة")</f>
        <v>عمارة اللواء مول لاسيني خلف خير زمان ماركت بجوار جامع الحصري - المحور المركزي-6 أكتوبر - الجيزة</v>
      </c>
      <c r="I613" s="6" t="str">
        <f ca="1">IFERROR(__xludf.DUMMYFUNCTION("""COMPUTED_VALUE"""),"20238382260")</f>
        <v>20238382260</v>
      </c>
      <c r="J613" s="6"/>
      <c r="K613" s="6" t="str">
        <f ca="1">IFERROR(__xludf.DUMMYFUNCTION("""COMPUTED_VALUE"""),"الخصم المتفق عليه")</f>
        <v>الخصم المتفق عليه</v>
      </c>
    </row>
    <row r="614" spans="1:11" x14ac:dyDescent="0.25">
      <c r="A614" s="4" t="str">
        <f ca="1">IFERROR(__xludf.DUMMYFUNCTION("""COMPUTED_VALUE"""),"4121")</f>
        <v>4121</v>
      </c>
      <c r="B614" s="5" t="str">
        <f ca="1">IFERROR(__xludf.DUMMYFUNCTION("""COMPUTED_VALUE"""),"القاهرة")</f>
        <v>القاهرة</v>
      </c>
      <c r="C614" s="5" t="str">
        <f ca="1">IFERROR(__xludf.DUMMYFUNCTION("""COMPUTED_VALUE"""),"المنيل")</f>
        <v>المنيل</v>
      </c>
      <c r="D614" s="5" t="str">
        <f ca="1">IFERROR(__xludf.DUMMYFUNCTION("""COMPUTED_VALUE"""),"هيئة الأطباء")</f>
        <v>هيئة الأطباء</v>
      </c>
      <c r="E614" s="5" t="str">
        <f ca="1">IFERROR(__xludf.DUMMYFUNCTION("""COMPUTED_VALUE"""),"جراحة")</f>
        <v>جراحة</v>
      </c>
      <c r="F614" s="5" t="str">
        <f ca="1">IFERROR(__xludf.DUMMYFUNCTION("""COMPUTED_VALUE"""),"جراحة مخ وأعصاب")</f>
        <v>جراحة مخ وأعصاب</v>
      </c>
      <c r="G614" s="5" t="str">
        <f ca="1">IFERROR(__xludf.DUMMYFUNCTION("""COMPUTED_VALUE"""),"د/ محمد صوان")</f>
        <v>د/ محمد صوان</v>
      </c>
      <c r="H614" s="5" t="str">
        <f ca="1">IFERROR(__xludf.DUMMYFUNCTION("""COMPUTED_VALUE"""),"47شارع المنيل - الدور الثاني-المنيل-القاهرة")</f>
        <v>47شارع المنيل - الدور الثاني-المنيل-القاهرة</v>
      </c>
      <c r="I614" s="6" t="str">
        <f ca="1">IFERROR(__xludf.DUMMYFUNCTION("""COMPUTED_VALUE"""),"20225324224")</f>
        <v>20225324224</v>
      </c>
      <c r="J614" s="6"/>
      <c r="K614" s="6" t="str">
        <f ca="1">IFERROR(__xludf.DUMMYFUNCTION("""COMPUTED_VALUE"""),"خصم 30% علي الاسعار النقدي المعلنه")</f>
        <v>خصم 30% علي الاسعار النقدي المعلنه</v>
      </c>
    </row>
    <row r="615" spans="1:11" x14ac:dyDescent="0.25">
      <c r="A615" s="4" t="str">
        <f ca="1">IFERROR(__xludf.DUMMYFUNCTION("""COMPUTED_VALUE"""),"104588")</f>
        <v>104588</v>
      </c>
      <c r="B615" s="5" t="str">
        <f ca="1">IFERROR(__xludf.DUMMYFUNCTION("""COMPUTED_VALUE"""),"بورسعيد")</f>
        <v>بورسعيد</v>
      </c>
      <c r="C615" s="5" t="str">
        <f ca="1">IFERROR(__xludf.DUMMYFUNCTION("""COMPUTED_VALUE"""),"بورسعيد")</f>
        <v>بورسعيد</v>
      </c>
      <c r="D615" s="5" t="str">
        <f ca="1">IFERROR(__xludf.DUMMYFUNCTION("""COMPUTED_VALUE"""),"هيئة الأطباء")</f>
        <v>هيئة الأطباء</v>
      </c>
      <c r="E615" s="5" t="str">
        <f ca="1">IFERROR(__xludf.DUMMYFUNCTION("""COMPUTED_VALUE"""),"جراحة")</f>
        <v>جراحة</v>
      </c>
      <c r="F615" s="5" t="str">
        <f ca="1">IFERROR(__xludf.DUMMYFUNCTION("""COMPUTED_VALUE"""),"جراحة مخ وأعصاب")</f>
        <v>جراحة مخ وأعصاب</v>
      </c>
      <c r="G615" s="5" t="str">
        <f ca="1">IFERROR(__xludf.DUMMYFUNCTION("""COMPUTED_VALUE"""),"د/ محمد إبراهيم محمد صبح")</f>
        <v>د/ محمد إبراهيم محمد صبح</v>
      </c>
      <c r="H615" s="5" t="str">
        <f ca="1">IFERROR(__xludf.DUMMYFUNCTION("""COMPUTED_VALUE"""),"برج قناة السويس – أمام سنيما مصر – شارع الثلاثيني – الدور الأول – بورسعيد.")</f>
        <v>برج قناة السويس – أمام سنيما مصر – شارع الثلاثيني – الدور الأول – بورسعيد.</v>
      </c>
      <c r="I615" s="6" t="str">
        <f ca="1">IFERROR(__xludf.DUMMYFUNCTION("""COMPUTED_VALUE"""),"20663330166")</f>
        <v>20663330166</v>
      </c>
      <c r="J615" s="6"/>
      <c r="K615" s="6" t="str">
        <f ca="1">IFERROR(__xludf.DUMMYFUNCTION("""COMPUTED_VALUE"""),"الكشف:100جنية")</f>
        <v>الكشف:100جنية</v>
      </c>
    </row>
    <row r="616" spans="1:11" x14ac:dyDescent="0.25">
      <c r="A616" s="4" t="str">
        <f ca="1">IFERROR(__xludf.DUMMYFUNCTION("""COMPUTED_VALUE"""),"104777")</f>
        <v>104777</v>
      </c>
      <c r="B616" s="5" t="str">
        <f ca="1">IFERROR(__xludf.DUMMYFUNCTION("""COMPUTED_VALUE"""),"المنوفية")</f>
        <v>المنوفية</v>
      </c>
      <c r="C616" s="5" t="str">
        <f ca="1">IFERROR(__xludf.DUMMYFUNCTION("""COMPUTED_VALUE"""),"بركه السبع")</f>
        <v>بركه السبع</v>
      </c>
      <c r="D616" s="5" t="str">
        <f ca="1">IFERROR(__xludf.DUMMYFUNCTION("""COMPUTED_VALUE"""),"هيئة الأطباء")</f>
        <v>هيئة الأطباء</v>
      </c>
      <c r="E616" s="5" t="str">
        <f ca="1">IFERROR(__xludf.DUMMYFUNCTION("""COMPUTED_VALUE"""),"جراحة")</f>
        <v>جراحة</v>
      </c>
      <c r="F616" s="5" t="str">
        <f ca="1">IFERROR(__xludf.DUMMYFUNCTION("""COMPUTED_VALUE"""),"جراحة مخ وأعصاب")</f>
        <v>جراحة مخ وأعصاب</v>
      </c>
      <c r="G616" s="5" t="str">
        <f ca="1">IFERROR(__xludf.DUMMYFUNCTION("""COMPUTED_VALUE"""),"د/ محمد عمارة عماره محمد الهواري")</f>
        <v>د/ محمد عمارة عماره محمد الهواري</v>
      </c>
      <c r="H616" s="5" t="str">
        <f ca="1">IFERROR(__xludf.DUMMYFUNCTION("""COMPUTED_VALUE"""),"بركة السبع غرب - شارع الكورنيش - فوق صيدلية معتز - المنوفية")</f>
        <v>بركة السبع غرب - شارع الكورنيش - فوق صيدلية معتز - المنوفية</v>
      </c>
      <c r="I616" s="6" t="str">
        <f ca="1">IFERROR(__xludf.DUMMYFUNCTION("""COMPUTED_VALUE"""),"01000551158 ")</f>
        <v xml:space="preserve">01000551158 </v>
      </c>
      <c r="J616" s="6"/>
      <c r="K616" s="6" t="str">
        <f ca="1">IFERROR(__xludf.DUMMYFUNCTION("""COMPUTED_VALUE"""),"خصم 50% علي الأسعار النقدي المعلنة")</f>
        <v>خصم 50% علي الأسعار النقدي المعلنة</v>
      </c>
    </row>
    <row r="617" spans="1:11" x14ac:dyDescent="0.25">
      <c r="A617" s="4" t="str">
        <f ca="1">IFERROR(__xludf.DUMMYFUNCTION("""COMPUTED_VALUE"""),"104777-B")</f>
        <v>104777-B</v>
      </c>
      <c r="B617" s="5" t="str">
        <f ca="1">IFERROR(__xludf.DUMMYFUNCTION("""COMPUTED_VALUE"""),"القاهرة")</f>
        <v>القاهرة</v>
      </c>
      <c r="C617" s="5" t="str">
        <f ca="1">IFERROR(__xludf.DUMMYFUNCTION("""COMPUTED_VALUE"""),"المنيل")</f>
        <v>المنيل</v>
      </c>
      <c r="D617" s="5" t="str">
        <f ca="1">IFERROR(__xludf.DUMMYFUNCTION("""COMPUTED_VALUE"""),"هيئة الأطباء")</f>
        <v>هيئة الأطباء</v>
      </c>
      <c r="E617" s="5" t="str">
        <f ca="1">IFERROR(__xludf.DUMMYFUNCTION("""COMPUTED_VALUE"""),"جراحة")</f>
        <v>جراحة</v>
      </c>
      <c r="F617" s="5" t="str">
        <f ca="1">IFERROR(__xludf.DUMMYFUNCTION("""COMPUTED_VALUE"""),"جراحة مخ وأعصاب")</f>
        <v>جراحة مخ وأعصاب</v>
      </c>
      <c r="G617" s="5" t="str">
        <f ca="1">IFERROR(__xludf.DUMMYFUNCTION("""COMPUTED_VALUE"""),"د/ محمد عمارة عماره محمد الهواري")</f>
        <v>د/ محمد عمارة عماره محمد الهواري</v>
      </c>
      <c r="H617" s="5" t="str">
        <f ca="1">IFERROR(__xludf.DUMMYFUNCTION("""COMPUTED_VALUE"""),"72 ش المنيل - أعلى كوك دور - الدور الأول - المنيل - القاهرة")</f>
        <v>72 ش المنيل - أعلى كوك دور - الدور الأول - المنيل - القاهرة</v>
      </c>
      <c r="I617" s="6" t="str">
        <f ca="1">IFERROR(__xludf.DUMMYFUNCTION("""COMPUTED_VALUE"""),"01000551158 ")</f>
        <v xml:space="preserve">01000551158 </v>
      </c>
      <c r="J617" s="6"/>
      <c r="K617" s="6" t="str">
        <f ca="1">IFERROR(__xludf.DUMMYFUNCTION("""COMPUTED_VALUE"""),"خصم 50% علي الأسعار النقدي المعلنة")</f>
        <v>خصم 50% علي الأسعار النقدي المعلنة</v>
      </c>
    </row>
    <row r="618" spans="1:11" x14ac:dyDescent="0.25">
      <c r="A618" s="4" t="str">
        <f ca="1">IFERROR(__xludf.DUMMYFUNCTION("""COMPUTED_VALUE"""),"2222")</f>
        <v>2222</v>
      </c>
      <c r="B618" s="5" t="str">
        <f ca="1">IFERROR(__xludf.DUMMYFUNCTION("""COMPUTED_VALUE"""),"البحيرة")</f>
        <v>البحيرة</v>
      </c>
      <c r="C618" s="5" t="str">
        <f ca="1">IFERROR(__xludf.DUMMYFUNCTION("""COMPUTED_VALUE"""),"دمنهور")</f>
        <v>دمنهور</v>
      </c>
      <c r="D618" s="5" t="str">
        <f ca="1">IFERROR(__xludf.DUMMYFUNCTION("""COMPUTED_VALUE"""),"مستشفى")</f>
        <v>مستشفى</v>
      </c>
      <c r="E618" s="5" t="str">
        <f ca="1">IFERROR(__xludf.DUMMYFUNCTION("""COMPUTED_VALUE"""),"مستشفي طبي متخصص")</f>
        <v>مستشفي طبي متخصص</v>
      </c>
      <c r="F618" s="5" t="str">
        <f ca="1">IFERROR(__xludf.DUMMYFUNCTION("""COMPUTED_VALUE"""),"كُلي و مسالك بولية")</f>
        <v>كُلي و مسالك بولية</v>
      </c>
      <c r="G618" s="5" t="str">
        <f ca="1">IFERROR(__xludf.DUMMYFUNCTION("""COMPUTED_VALUE"""),"مركز النخبة للمسالك البولية")</f>
        <v>مركز النخبة للمسالك البولية</v>
      </c>
      <c r="H618" s="5" t="str">
        <f ca="1">IFERROR(__xludf.DUMMYFUNCTION("""COMPUTED_VALUE"""),"شارع 23 يوليو -دمنهور-البحيرة")</f>
        <v>شارع 23 يوليو -دمنهور-البحيرة</v>
      </c>
      <c r="I618" s="6" t="str">
        <f ca="1">IFERROR(__xludf.DUMMYFUNCTION("""COMPUTED_VALUE"""),"20453306164")</f>
        <v>20453306164</v>
      </c>
      <c r="J618" s="6"/>
      <c r="K618" s="6" t="str">
        <f ca="1">IFERROR(__xludf.DUMMYFUNCTION("""COMPUTED_VALUE"""),"خصم 25% علي الأسعار النقدي المعلنة")</f>
        <v>خصم 25% علي الأسعار النقدي المعلنة</v>
      </c>
    </row>
    <row r="619" spans="1:11" x14ac:dyDescent="0.25">
      <c r="A619" s="4" t="str">
        <f ca="1">IFERROR(__xludf.DUMMYFUNCTION("""COMPUTED_VALUE"""),"4595")</f>
        <v>4595</v>
      </c>
      <c r="B619" s="5" t="str">
        <f ca="1">IFERROR(__xludf.DUMMYFUNCTION("""COMPUTED_VALUE"""),"القاهرة")</f>
        <v>القاهرة</v>
      </c>
      <c r="C619" s="5" t="str">
        <f ca="1">IFERROR(__xludf.DUMMYFUNCTION("""COMPUTED_VALUE"""),"مصر الجديدة")</f>
        <v>مصر الجديدة</v>
      </c>
      <c r="D619" s="5" t="str">
        <f ca="1">IFERROR(__xludf.DUMMYFUNCTION("""COMPUTED_VALUE"""),"مستشفى")</f>
        <v>مستشفى</v>
      </c>
      <c r="E619" s="5" t="str">
        <f ca="1">IFERROR(__xludf.DUMMYFUNCTION("""COMPUTED_VALUE"""),"مستشفي طبي متخصص")</f>
        <v>مستشفي طبي متخصص</v>
      </c>
      <c r="F619" s="5" t="str">
        <f ca="1">IFERROR(__xludf.DUMMYFUNCTION("""COMPUTED_VALUE"""),"كُلي و مسالك بولية")</f>
        <v>كُلي و مسالك بولية</v>
      </c>
      <c r="G619" s="5" t="str">
        <f ca="1">IFERROR(__xludf.DUMMYFUNCTION("""COMPUTED_VALUE"""),"مركز يوروكير للكلى والمسالك البولية")</f>
        <v>مركز يوروكير للكلى والمسالك البولية</v>
      </c>
      <c r="H619" s="5" t="str">
        <f ca="1">IFERROR(__xludf.DUMMYFUNCTION("""COMPUTED_VALUE"""),"4شارع النادى (الميرغنى)- روكسى-مصر الجديدة-القاهرة")</f>
        <v>4شارع النادى (الميرغنى)- روكسى-مصر الجديدة-القاهرة</v>
      </c>
      <c r="I619" s="6" t="str">
        <f ca="1">IFERROR(__xludf.DUMMYFUNCTION("""COMPUTED_VALUE"""),"20222566319")</f>
        <v>20222566319</v>
      </c>
      <c r="J619" s="6"/>
      <c r="K619" s="6" t="str">
        <f ca="1">IFERROR(__xludf.DUMMYFUNCTION("""COMPUTED_VALUE"""),"خصم 20% علي الكشف و الفحوصات ، 15% علي العمليات علي الأسعار النقدي المعلنه.")</f>
        <v>خصم 20% علي الكشف و الفحوصات ، 15% علي العمليات علي الأسعار النقدي المعلنه.</v>
      </c>
    </row>
    <row r="620" spans="1:11" x14ac:dyDescent="0.25">
      <c r="A620" s="4" t="str">
        <f ca="1">IFERROR(__xludf.DUMMYFUNCTION("""COMPUTED_VALUE"""),"2105-B")</f>
        <v>2105-B</v>
      </c>
      <c r="B620" s="5" t="str">
        <f ca="1">IFERROR(__xludf.DUMMYFUNCTION("""COMPUTED_VALUE"""),"الجيزة")</f>
        <v>الجيزة</v>
      </c>
      <c r="C620" s="5" t="str">
        <f ca="1">IFERROR(__xludf.DUMMYFUNCTION("""COMPUTED_VALUE"""),"المهندسين")</f>
        <v>المهندسين</v>
      </c>
      <c r="D620" s="5" t="str">
        <f ca="1">IFERROR(__xludf.DUMMYFUNCTION("""COMPUTED_VALUE"""),"هيئة الأطباء")</f>
        <v>هيئة الأطباء</v>
      </c>
      <c r="E620" s="5" t="str">
        <f ca="1">IFERROR(__xludf.DUMMYFUNCTION("""COMPUTED_VALUE"""),"باطنة")</f>
        <v>باطنة</v>
      </c>
      <c r="F620" s="5" t="str">
        <f ca="1">IFERROR(__xludf.DUMMYFUNCTION("""COMPUTED_VALUE"""),"كُلي و مسالك بولية")</f>
        <v>كُلي و مسالك بولية</v>
      </c>
      <c r="G620" s="5" t="str">
        <f ca="1">IFERROR(__xludf.DUMMYFUNCTION("""COMPUTED_VALUE"""),"د/ ياسر الشيخ (ياسر علي محمود احمد الشيخ)")</f>
        <v>د/ ياسر الشيخ (ياسر علي محمود احمد الشيخ)</v>
      </c>
      <c r="H620" s="5" t="str">
        <f ca="1">IFERROR(__xludf.DUMMYFUNCTION("""COMPUTED_VALUE"""),"1 ميدان الحجاز - برج الصفا الطبي-المهندسين- الجيزة")</f>
        <v>1 ميدان الحجاز - برج الصفا الطبي-المهندسين- الجيزة</v>
      </c>
      <c r="I620" s="6" t="str">
        <f ca="1">IFERROR(__xludf.DUMMYFUNCTION("""COMPUTED_VALUE"""),"20233377416")</f>
        <v>20233377416</v>
      </c>
      <c r="J620" s="6"/>
      <c r="K620" s="6" t="str">
        <f ca="1">IFERROR(__xludf.DUMMYFUNCTION("""COMPUTED_VALUE"""),"خصم 40% علي الأسعار النقدي المعلنه")</f>
        <v>خصم 40% علي الأسعار النقدي المعلنه</v>
      </c>
    </row>
    <row r="621" spans="1:11" x14ac:dyDescent="0.25">
      <c r="A621" s="4" t="str">
        <f ca="1">IFERROR(__xludf.DUMMYFUNCTION("""COMPUTED_VALUE"""),"2105")</f>
        <v>2105</v>
      </c>
      <c r="B621" s="5" t="str">
        <f ca="1">IFERROR(__xludf.DUMMYFUNCTION("""COMPUTED_VALUE"""),"القاهرة")</f>
        <v>القاهرة</v>
      </c>
      <c r="C621" s="5" t="str">
        <f ca="1">IFERROR(__xludf.DUMMYFUNCTION("""COMPUTED_VALUE"""),"وسط البلد")</f>
        <v>وسط البلد</v>
      </c>
      <c r="D621" s="5" t="str">
        <f ca="1">IFERROR(__xludf.DUMMYFUNCTION("""COMPUTED_VALUE"""),"هيئة الأطباء")</f>
        <v>هيئة الأطباء</v>
      </c>
      <c r="E621" s="5" t="str">
        <f ca="1">IFERROR(__xludf.DUMMYFUNCTION("""COMPUTED_VALUE"""),"باطنة")</f>
        <v>باطنة</v>
      </c>
      <c r="F621" s="5" t="str">
        <f ca="1">IFERROR(__xludf.DUMMYFUNCTION("""COMPUTED_VALUE"""),"كُلي و مسالك بولية")</f>
        <v>كُلي و مسالك بولية</v>
      </c>
      <c r="G621" s="5" t="str">
        <f ca="1">IFERROR(__xludf.DUMMYFUNCTION("""COMPUTED_VALUE"""),"د/ ياسر الشيخ (ياسر علي محمود احمد الشيخ)")</f>
        <v>د/ ياسر الشيخ (ياسر علي محمود احمد الشيخ)</v>
      </c>
      <c r="H621" s="5" t="str">
        <f ca="1">IFERROR(__xludf.DUMMYFUNCTION("""COMPUTED_VALUE"""),"41 شارع نوبار - باب اللوق - امام وزارة الداخلية-وسط البلد-القاهرة")</f>
        <v>41 شارع نوبار - باب اللوق - امام وزارة الداخلية-وسط البلد-القاهرة</v>
      </c>
      <c r="I621" s="6" t="str">
        <f ca="1">IFERROR(__xludf.DUMMYFUNCTION("""COMPUTED_VALUE"""),"20227923903")</f>
        <v>20227923903</v>
      </c>
      <c r="J621" s="6"/>
      <c r="K621" s="6" t="str">
        <f ca="1">IFERROR(__xludf.DUMMYFUNCTION("""COMPUTED_VALUE"""),"خصم 40% علي الأسعار النقدي المعلنه")</f>
        <v>خصم 40% علي الأسعار النقدي المعلنه</v>
      </c>
    </row>
    <row r="622" spans="1:11" x14ac:dyDescent="0.25">
      <c r="A622" s="4" t="str">
        <f ca="1">IFERROR(__xludf.DUMMYFUNCTION("""COMPUTED_VALUE"""),"104545")</f>
        <v>104545</v>
      </c>
      <c r="B622" s="5" t="str">
        <f ca="1">IFERROR(__xludf.DUMMYFUNCTION("""COMPUTED_VALUE"""),"سوهاج")</f>
        <v>سوهاج</v>
      </c>
      <c r="C622" s="5" t="str">
        <f ca="1">IFERROR(__xludf.DUMMYFUNCTION("""COMPUTED_VALUE"""),"جرجا")</f>
        <v>جرجا</v>
      </c>
      <c r="D622" s="5" t="str">
        <f ca="1">IFERROR(__xludf.DUMMYFUNCTION("""COMPUTED_VALUE"""),"هيئة الأطباء")</f>
        <v>هيئة الأطباء</v>
      </c>
      <c r="E622" s="5" t="str">
        <f ca="1">IFERROR(__xludf.DUMMYFUNCTION("""COMPUTED_VALUE"""),"جراحة")</f>
        <v>جراحة</v>
      </c>
      <c r="F622" s="5" t="str">
        <f ca="1">IFERROR(__xludf.DUMMYFUNCTION("""COMPUTED_VALUE"""),"كُلي و مسالك بولية")</f>
        <v>كُلي و مسالك بولية</v>
      </c>
      <c r="G622" s="5" t="str">
        <f ca="1">IFERROR(__xludf.DUMMYFUNCTION("""COMPUTED_VALUE"""),"د/إميل محفوظ قرياقص حنا")</f>
        <v>د/إميل محفوظ قرياقص حنا</v>
      </c>
      <c r="H622" s="5" t="str">
        <f ca="1">IFERROR(__xludf.DUMMYFUNCTION("""COMPUTED_VALUE"""),"شارع المنفذ القبلي - أعلى صيدلية المهندس - جرجا - سوهاج")</f>
        <v>شارع المنفذ القبلي - أعلى صيدلية المهندس - جرجا - سوهاج</v>
      </c>
      <c r="I622" s="6" t="str">
        <f ca="1">IFERROR(__xludf.DUMMYFUNCTION("""COMPUTED_VALUE"""),"20934678169")</f>
        <v>20934678169</v>
      </c>
      <c r="J622" s="6"/>
      <c r="K622" s="6" t="str">
        <f ca="1">IFERROR(__xludf.DUMMYFUNCTION("""COMPUTED_VALUE"""),"خصم 30% علي جميع اسعار النقدي")</f>
        <v>خصم 30% علي جميع اسعار النقدي</v>
      </c>
    </row>
    <row r="623" spans="1:11" x14ac:dyDescent="0.25">
      <c r="A623" s="4" t="str">
        <f ca="1">IFERROR(__xludf.DUMMYFUNCTION("""COMPUTED_VALUE"""),"3623")</f>
        <v>3623</v>
      </c>
      <c r="B623" s="5" t="str">
        <f ca="1">IFERROR(__xludf.DUMMYFUNCTION("""COMPUTED_VALUE"""),"مرسى مطروح")</f>
        <v>مرسى مطروح</v>
      </c>
      <c r="C623" s="5" t="str">
        <f ca="1">IFERROR(__xludf.DUMMYFUNCTION("""COMPUTED_VALUE"""),"الحمام")</f>
        <v>الحمام</v>
      </c>
      <c r="D623" s="5" t="str">
        <f ca="1">IFERROR(__xludf.DUMMYFUNCTION("""COMPUTED_VALUE"""),"هيئة الأطباء")</f>
        <v>هيئة الأطباء</v>
      </c>
      <c r="E623" s="5" t="str">
        <f ca="1">IFERROR(__xludf.DUMMYFUNCTION("""COMPUTED_VALUE"""),"باطنة")</f>
        <v>باطنة</v>
      </c>
      <c r="F623" s="5" t="str">
        <f ca="1">IFERROR(__xludf.DUMMYFUNCTION("""COMPUTED_VALUE"""),"كُلي و مسالك بولية")</f>
        <v>كُلي و مسالك بولية</v>
      </c>
      <c r="G623" s="5" t="str">
        <f ca="1">IFERROR(__xludf.DUMMYFUNCTION("""COMPUTED_VALUE"""),"د/ حسام وجدى")</f>
        <v>د/ حسام وجدى</v>
      </c>
      <c r="H623" s="5" t="str">
        <f ca="1">IFERROR(__xludf.DUMMYFUNCTION("""COMPUTED_VALUE"""),"شارع د/ حسام وجدي متفرع من ش الاسكندرية بجوار مستشفى الحمام - مدينة الحمام-  مرسى مطروح")</f>
        <v>شارع د/ حسام وجدي متفرع من ش الاسكندرية بجوار مستشفى الحمام - مدينة الحمام-  مرسى مطروح</v>
      </c>
      <c r="I623" s="6" t="str">
        <f ca="1">IFERROR(__xludf.DUMMYFUNCTION("""COMPUTED_VALUE"""),"201005835656")</f>
        <v>201005835656</v>
      </c>
      <c r="J623" s="6"/>
      <c r="K623" s="6" t="str">
        <f ca="1">IFERROR(__xludf.DUMMYFUNCTION("""COMPUTED_VALUE"""),"الكشف: 50")</f>
        <v>الكشف: 50</v>
      </c>
    </row>
    <row r="624" spans="1:11" x14ac:dyDescent="0.25">
      <c r="A624" s="4" t="str">
        <f ca="1">IFERROR(__xludf.DUMMYFUNCTION("""COMPUTED_VALUE"""),"103670")</f>
        <v>103670</v>
      </c>
      <c r="B624" s="5" t="str">
        <f ca="1">IFERROR(__xludf.DUMMYFUNCTION("""COMPUTED_VALUE"""),"القاهرة")</f>
        <v>القاهرة</v>
      </c>
      <c r="C624" s="5" t="str">
        <f ca="1">IFERROR(__xludf.DUMMYFUNCTION("""COMPUTED_VALUE"""),"وسط البلد")</f>
        <v>وسط البلد</v>
      </c>
      <c r="D624" s="5" t="str">
        <f ca="1">IFERROR(__xludf.DUMMYFUNCTION("""COMPUTED_VALUE"""),"شركة")</f>
        <v>شركة</v>
      </c>
      <c r="E624" s="5" t="str">
        <f ca="1">IFERROR(__xludf.DUMMYFUNCTION("""COMPUTED_VALUE"""),"شركة اجهزة طبية")</f>
        <v>شركة اجهزة طبية</v>
      </c>
      <c r="F624" s="5" t="str">
        <f ca="1">IFERROR(__xludf.DUMMYFUNCTION("""COMPUTED_VALUE"""),"مركز بصريات")</f>
        <v>مركز بصريات</v>
      </c>
      <c r="G624" s="5" t="str">
        <f ca="1">IFERROR(__xludf.DUMMYFUNCTION("""COMPUTED_VALUE"""),"رودانا للبصريات")</f>
        <v>رودانا للبصريات</v>
      </c>
      <c r="H624" s="5" t="str">
        <f ca="1">IFERROR(__xludf.DUMMYFUNCTION("""COMPUTED_VALUE"""),"168 شارع التحرير- باب اللوق-وسط البلد-القاهرة")</f>
        <v>168 شارع التحرير- باب اللوق-وسط البلد-القاهرة</v>
      </c>
      <c r="I624" s="6" t="str">
        <f ca="1">IFERROR(__xludf.DUMMYFUNCTION("""COMPUTED_VALUE"""),"20223932594")</f>
        <v>20223932594</v>
      </c>
      <c r="J624" s="6"/>
      <c r="K624" s="6" t="str">
        <f ca="1">IFERROR(__xludf.DUMMYFUNCTION("""COMPUTED_VALUE"""),"خصم يصل الي 30%")</f>
        <v>خصم يصل الي 30%</v>
      </c>
    </row>
    <row r="625" spans="1:11" x14ac:dyDescent="0.25">
      <c r="A625" s="4" t="str">
        <f ca="1">IFERROR(__xludf.DUMMYFUNCTION("""COMPUTED_VALUE"""),"3798-B")</f>
        <v>3798-B</v>
      </c>
      <c r="B625" s="5" t="str">
        <f ca="1">IFERROR(__xludf.DUMMYFUNCTION("""COMPUTED_VALUE"""),"الاسكندرية")</f>
        <v>الاسكندرية</v>
      </c>
      <c r="C625" s="5" t="str">
        <f ca="1">IFERROR(__xludf.DUMMYFUNCTION("""COMPUTED_VALUE"""),"السيوف")</f>
        <v>السيوف</v>
      </c>
      <c r="D625" s="5" t="str">
        <f ca="1">IFERROR(__xludf.DUMMYFUNCTION("""COMPUTED_VALUE"""),"معمل")</f>
        <v>معمل</v>
      </c>
      <c r="E625" s="5" t="str">
        <f ca="1">IFERROR(__xludf.DUMMYFUNCTION("""COMPUTED_VALUE"""),"معمل")</f>
        <v>معمل</v>
      </c>
      <c r="F625" s="5" t="str">
        <f ca="1">IFERROR(__xludf.DUMMYFUNCTION("""COMPUTED_VALUE"""),"معمل التحاليل الطبية")</f>
        <v>معمل التحاليل الطبية</v>
      </c>
      <c r="G625" s="5" t="str">
        <f ca="1">IFERROR(__xludf.DUMMYFUNCTION("""COMPUTED_VALUE"""),"معمل الدكتورة/ أمينة حساب")</f>
        <v>معمل الدكتورة/ أمينة حساب</v>
      </c>
      <c r="H625" s="5" t="str">
        <f ca="1">IFERROR(__xludf.DUMMYFUNCTION("""COMPUTED_VALUE"""),"برج ايوب بركة - ميدان السيوف شماعة - السيوف - الاسكندرية")</f>
        <v>برج ايوب بركة - ميدان السيوف شماعة - السيوف - الاسكندرية</v>
      </c>
      <c r="I625" s="6"/>
      <c r="J625" s="6" t="str">
        <f ca="1">IFERROR(__xludf.DUMMYFUNCTION("""COMPUTED_VALUE"""),"16987")</f>
        <v>16987</v>
      </c>
      <c r="K625" s="6" t="str">
        <f ca="1">IFERROR(__xludf.DUMMYFUNCTION("""COMPUTED_VALUE"""),"30% على جميع الخدمات         ")</f>
        <v xml:space="preserve">30% على جميع الخدمات         </v>
      </c>
    </row>
    <row r="626" spans="1:11" x14ac:dyDescent="0.25">
      <c r="A626" s="4" t="str">
        <f ca="1">IFERROR(__xludf.DUMMYFUNCTION("""COMPUTED_VALUE"""),"1897-B")</f>
        <v>1897-B</v>
      </c>
      <c r="B626" s="5" t="str">
        <f ca="1">IFERROR(__xludf.DUMMYFUNCTION("""COMPUTED_VALUE"""),"الاسكندرية")</f>
        <v>الاسكندرية</v>
      </c>
      <c r="C626" s="5" t="str">
        <f ca="1">IFERROR(__xludf.DUMMYFUNCTION("""COMPUTED_VALUE"""),"العامرية")</f>
        <v>العامرية</v>
      </c>
      <c r="D626" s="5" t="str">
        <f ca="1">IFERROR(__xludf.DUMMYFUNCTION("""COMPUTED_VALUE"""),"معمل")</f>
        <v>معمل</v>
      </c>
      <c r="E626" s="5" t="str">
        <f ca="1">IFERROR(__xludf.DUMMYFUNCTION("""COMPUTED_VALUE"""),"معمل")</f>
        <v>معمل</v>
      </c>
      <c r="F626" s="5" t="str">
        <f ca="1">IFERROR(__xludf.DUMMYFUNCTION("""COMPUTED_VALUE"""),"معمل التحاليل الطبية")</f>
        <v>معمل التحاليل الطبية</v>
      </c>
      <c r="G626" s="5" t="str">
        <f ca="1">IFERROR(__xludf.DUMMYFUNCTION("""COMPUTED_VALUE"""),"معمل المختبر (د. مؤمنة كامل)")</f>
        <v>معمل المختبر (د. مؤمنة كامل)</v>
      </c>
      <c r="H626" s="5" t="str">
        <f ca="1">IFERROR(__xludf.DUMMYFUNCTION("""COMPUTED_VALUE"""),"شارع مسجد الشرقاوي - امام مكتب صحة العامرية - الدور الاول - العامرية - الاسكندرية")</f>
        <v>شارع مسجد الشرقاوي - امام مكتب صحة العامرية - الدور الاول - العامرية - الاسكندرية</v>
      </c>
      <c r="I626" s="6" t="str">
        <f ca="1">IFERROR(__xludf.DUMMYFUNCTION("""COMPUTED_VALUE"""),"01090322215")</f>
        <v>01090322215</v>
      </c>
      <c r="J626" s="6" t="str">
        <f ca="1">IFERROR(__xludf.DUMMYFUNCTION("""COMPUTED_VALUE"""),"19014")</f>
        <v>19014</v>
      </c>
      <c r="K626" s="6" t="str">
        <f ca="1">IFERROR(__xludf.DUMMYFUNCTION("""COMPUTED_VALUE"""),"خصم 20% علي جميع التحاليل")</f>
        <v>خصم 20% علي جميع التحاليل</v>
      </c>
    </row>
    <row r="627" spans="1:11" x14ac:dyDescent="0.25">
      <c r="A627" s="4" t="str">
        <f ca="1">IFERROR(__xludf.DUMMYFUNCTION("""COMPUTED_VALUE"""),"3798-B")</f>
        <v>3798-B</v>
      </c>
      <c r="B627" s="5" t="str">
        <f ca="1">IFERROR(__xludf.DUMMYFUNCTION("""COMPUTED_VALUE"""),"الاسكندرية")</f>
        <v>الاسكندرية</v>
      </c>
      <c r="C627" s="5" t="str">
        <f ca="1">IFERROR(__xludf.DUMMYFUNCTION("""COMPUTED_VALUE"""),"العجمي")</f>
        <v>العجمي</v>
      </c>
      <c r="D627" s="5" t="str">
        <f ca="1">IFERROR(__xludf.DUMMYFUNCTION("""COMPUTED_VALUE"""),"معمل")</f>
        <v>معمل</v>
      </c>
      <c r="E627" s="5" t="str">
        <f ca="1">IFERROR(__xludf.DUMMYFUNCTION("""COMPUTED_VALUE"""),"معمل")</f>
        <v>معمل</v>
      </c>
      <c r="F627" s="5" t="str">
        <f ca="1">IFERROR(__xludf.DUMMYFUNCTION("""COMPUTED_VALUE"""),"معمل التحاليل الطبية")</f>
        <v>معمل التحاليل الطبية</v>
      </c>
      <c r="G627" s="5" t="str">
        <f ca="1">IFERROR(__xludf.DUMMYFUNCTION("""COMPUTED_VALUE"""),"معمل الدكتورة/ أمينة حساب")</f>
        <v>معمل الدكتورة/ أمينة حساب</v>
      </c>
      <c r="H627" s="5" t="str">
        <f ca="1">IFERROR(__xludf.DUMMYFUNCTION("""COMPUTED_VALUE"""),"170شارع أسكندرية مطروح - أمام مدرسة العجمى النموذجية-العجمي-الاسكندرية")</f>
        <v>170شارع أسكندرية مطروح - أمام مدرسة العجمى النموذجية-العجمي-الاسكندرية</v>
      </c>
      <c r="I627" s="6" t="str">
        <f ca="1">IFERROR(__xludf.DUMMYFUNCTION("""COMPUTED_VALUE"""),"201154458030")</f>
        <v>201154458030</v>
      </c>
      <c r="J627" s="6" t="str">
        <f ca="1">IFERROR(__xludf.DUMMYFUNCTION("""COMPUTED_VALUE"""),"16987")</f>
        <v>16987</v>
      </c>
      <c r="K627" s="6" t="str">
        <f ca="1">IFERROR(__xludf.DUMMYFUNCTION("""COMPUTED_VALUE"""),"30% على جميع الخدمات         ")</f>
        <v xml:space="preserve">30% على جميع الخدمات         </v>
      </c>
    </row>
    <row r="628" spans="1:11" x14ac:dyDescent="0.25">
      <c r="A628" s="4" t="str">
        <f ca="1">IFERROR(__xludf.DUMMYFUNCTION("""COMPUTED_VALUE"""),"1897-B")</f>
        <v>1897-B</v>
      </c>
      <c r="B628" s="5" t="str">
        <f ca="1">IFERROR(__xludf.DUMMYFUNCTION("""COMPUTED_VALUE"""),"الاسكندرية")</f>
        <v>الاسكندرية</v>
      </c>
      <c r="C628" s="5" t="str">
        <f ca="1">IFERROR(__xludf.DUMMYFUNCTION("""COMPUTED_VALUE"""),"العجمي")</f>
        <v>العجمي</v>
      </c>
      <c r="D628" s="5" t="str">
        <f ca="1">IFERROR(__xludf.DUMMYFUNCTION("""COMPUTED_VALUE"""),"معمل")</f>
        <v>معمل</v>
      </c>
      <c r="E628" s="5" t="str">
        <f ca="1">IFERROR(__xludf.DUMMYFUNCTION("""COMPUTED_VALUE"""),"معمل")</f>
        <v>معمل</v>
      </c>
      <c r="F628" s="5" t="str">
        <f ca="1">IFERROR(__xludf.DUMMYFUNCTION("""COMPUTED_VALUE"""),"معمل التحاليل الطبية")</f>
        <v>معمل التحاليل الطبية</v>
      </c>
      <c r="G628" s="5" t="str">
        <f ca="1">IFERROR(__xludf.DUMMYFUNCTION("""COMPUTED_VALUE"""),"معمل المختبر (د. مؤمنة كامل)")</f>
        <v>معمل المختبر (د. مؤمنة كامل)</v>
      </c>
      <c r="H628" s="5" t="str">
        <f ca="1">IFERROR(__xludf.DUMMYFUNCTION("""COMPUTED_VALUE"""),"طريق مطروح الاسكندرية، الكيلو 16، أمام سنترال العجمي-الهانوفيل-العجمي-الاسكندرية")</f>
        <v>طريق مطروح الاسكندرية، الكيلو 16، أمام سنترال العجمي-الهانوفيل-العجمي-الاسكندرية</v>
      </c>
      <c r="I628" s="6" t="str">
        <f ca="1">IFERROR(__xludf.DUMMYFUNCTION("""COMPUTED_VALUE"""),"01090011233")</f>
        <v>01090011233</v>
      </c>
      <c r="J628" s="6" t="str">
        <f ca="1">IFERROR(__xludf.DUMMYFUNCTION("""COMPUTED_VALUE"""),"19014")</f>
        <v>19014</v>
      </c>
      <c r="K628" s="6" t="str">
        <f ca="1">IFERROR(__xludf.DUMMYFUNCTION("""COMPUTED_VALUE"""),"خصم 20% علي جميع التحاليل")</f>
        <v>خصم 20% علي جميع التحاليل</v>
      </c>
    </row>
    <row r="629" spans="1:11" x14ac:dyDescent="0.25">
      <c r="A629" s="4" t="str">
        <f ca="1">IFERROR(__xludf.DUMMYFUNCTION("""COMPUTED_VALUE"""),"3798-B")</f>
        <v>3798-B</v>
      </c>
      <c r="B629" s="5" t="str">
        <f ca="1">IFERROR(__xludf.DUMMYFUNCTION("""COMPUTED_VALUE"""),"الاسكندرية")</f>
        <v>الاسكندرية</v>
      </c>
      <c r="C629" s="5" t="str">
        <f ca="1">IFERROR(__xludf.DUMMYFUNCTION("""COMPUTED_VALUE"""),"العطارين")</f>
        <v>العطارين</v>
      </c>
      <c r="D629" s="5" t="str">
        <f ca="1">IFERROR(__xludf.DUMMYFUNCTION("""COMPUTED_VALUE"""),"معمل")</f>
        <v>معمل</v>
      </c>
      <c r="E629" s="5" t="str">
        <f ca="1">IFERROR(__xludf.DUMMYFUNCTION("""COMPUTED_VALUE"""),"معمل")</f>
        <v>معمل</v>
      </c>
      <c r="F629" s="5" t="str">
        <f ca="1">IFERROR(__xludf.DUMMYFUNCTION("""COMPUTED_VALUE"""),"معمل التحاليل الطبية")</f>
        <v>معمل التحاليل الطبية</v>
      </c>
      <c r="G629" s="5" t="str">
        <f ca="1">IFERROR(__xludf.DUMMYFUNCTION("""COMPUTED_VALUE"""),"معمل الدكتورة/ أمينة حساب")</f>
        <v>معمل الدكتورة/ أمينة حساب</v>
      </c>
      <c r="H629" s="5" t="str">
        <f ca="1">IFERROR(__xludf.DUMMYFUNCTION("""COMPUTED_VALUE"""),"8 طريق الحرية(شارع فؤاد)- العطارين-الاسكندرية")</f>
        <v>8 طريق الحرية(شارع فؤاد)- العطارين-الاسكندرية</v>
      </c>
      <c r="I629" s="6" t="str">
        <f ca="1">IFERROR(__xludf.DUMMYFUNCTION("""COMPUTED_VALUE"""),"201100904087")</f>
        <v>201100904087</v>
      </c>
      <c r="J629" s="6" t="str">
        <f ca="1">IFERROR(__xludf.DUMMYFUNCTION("""COMPUTED_VALUE"""),"16987")</f>
        <v>16987</v>
      </c>
      <c r="K629" s="6" t="str">
        <f ca="1">IFERROR(__xludf.DUMMYFUNCTION("""COMPUTED_VALUE"""),"30% على جميع الخدمات         ")</f>
        <v xml:space="preserve">30% على جميع الخدمات         </v>
      </c>
    </row>
    <row r="630" spans="1:11" x14ac:dyDescent="0.25">
      <c r="A630" s="4" t="str">
        <f ca="1">IFERROR(__xludf.DUMMYFUNCTION("""COMPUTED_VALUE"""),"1897-B")</f>
        <v>1897-B</v>
      </c>
      <c r="B630" s="5" t="str">
        <f ca="1">IFERROR(__xludf.DUMMYFUNCTION("""COMPUTED_VALUE"""),"الاسكندرية")</f>
        <v>الاسكندرية</v>
      </c>
      <c r="C630" s="5" t="str">
        <f ca="1">IFERROR(__xludf.DUMMYFUNCTION("""COMPUTED_VALUE"""),"المندرة")</f>
        <v>المندرة</v>
      </c>
      <c r="D630" s="5" t="str">
        <f ca="1">IFERROR(__xludf.DUMMYFUNCTION("""COMPUTED_VALUE"""),"معمل")</f>
        <v>معمل</v>
      </c>
      <c r="E630" s="5" t="str">
        <f ca="1">IFERROR(__xludf.DUMMYFUNCTION("""COMPUTED_VALUE"""),"معمل")</f>
        <v>معمل</v>
      </c>
      <c r="F630" s="5" t="str">
        <f ca="1">IFERROR(__xludf.DUMMYFUNCTION("""COMPUTED_VALUE"""),"معمل التحاليل الطبية")</f>
        <v>معمل التحاليل الطبية</v>
      </c>
      <c r="G630" s="5" t="str">
        <f ca="1">IFERROR(__xludf.DUMMYFUNCTION("""COMPUTED_VALUE"""),"معمل المختبر (د. مؤمنة كامل)")</f>
        <v>معمل المختبر (د. مؤمنة كامل)</v>
      </c>
      <c r="H630" s="5" t="str">
        <f ca="1">IFERROR(__xludf.DUMMYFUNCTION("""COMPUTED_VALUE"""),"شارع جمال عبد الناصر - ميدان المندرة - أعلى مطعم قدورة-الاسكندرية")</f>
        <v>شارع جمال عبد الناصر - ميدان المندرة - أعلى مطعم قدورة-الاسكندرية</v>
      </c>
      <c r="I630" s="6" t="str">
        <f ca="1">IFERROR(__xludf.DUMMYFUNCTION("""COMPUTED_VALUE"""),"01002147713")</f>
        <v>01002147713</v>
      </c>
      <c r="J630" s="6" t="str">
        <f ca="1">IFERROR(__xludf.DUMMYFUNCTION("""COMPUTED_VALUE"""),"19014")</f>
        <v>19014</v>
      </c>
      <c r="K630" s="6" t="str">
        <f ca="1">IFERROR(__xludf.DUMMYFUNCTION("""COMPUTED_VALUE"""),"خصم 20% علي جميع التحاليل")</f>
        <v>خصم 20% علي جميع التحاليل</v>
      </c>
    </row>
    <row r="631" spans="1:11" x14ac:dyDescent="0.25">
      <c r="A631" s="4" t="str">
        <f ca="1">IFERROR(__xludf.DUMMYFUNCTION("""COMPUTED_VALUE"""),"3798-B")</f>
        <v>3798-B</v>
      </c>
      <c r="B631" s="5" t="str">
        <f ca="1">IFERROR(__xludf.DUMMYFUNCTION("""COMPUTED_VALUE"""),"الاسكندرية")</f>
        <v>الاسكندرية</v>
      </c>
      <c r="C631" s="5" t="str">
        <f ca="1">IFERROR(__xludf.DUMMYFUNCTION("""COMPUTED_VALUE"""),"باكوس")</f>
        <v>باكوس</v>
      </c>
      <c r="D631" s="5" t="str">
        <f ca="1">IFERROR(__xludf.DUMMYFUNCTION("""COMPUTED_VALUE"""),"معمل")</f>
        <v>معمل</v>
      </c>
      <c r="E631" s="5" t="str">
        <f ca="1">IFERROR(__xludf.DUMMYFUNCTION("""COMPUTED_VALUE"""),"معمل")</f>
        <v>معمل</v>
      </c>
      <c r="F631" s="5" t="str">
        <f ca="1">IFERROR(__xludf.DUMMYFUNCTION("""COMPUTED_VALUE"""),"معمل التحاليل الطبية")</f>
        <v>معمل التحاليل الطبية</v>
      </c>
      <c r="G631" s="5" t="str">
        <f ca="1">IFERROR(__xludf.DUMMYFUNCTION("""COMPUTED_VALUE"""),"معمل الدكتورة/ أمينة حساب")</f>
        <v>معمل الدكتورة/ أمينة حساب</v>
      </c>
      <c r="H631" s="5" t="str">
        <f ca="1">IFERROR(__xludf.DUMMYFUNCTION("""COMPUTED_VALUE"""),"86 ش الفتح – محطة ترام باكوس – امام النساجون – برج الطارق – دور الاول
")</f>
        <v xml:space="preserve">86 ش الفتح – محطة ترام باكوس – امام النساجون – برج الطارق – دور الاول
</v>
      </c>
      <c r="I631" s="6"/>
      <c r="J631" s="6" t="str">
        <f ca="1">IFERROR(__xludf.DUMMYFUNCTION("""COMPUTED_VALUE"""),"16987")</f>
        <v>16987</v>
      </c>
      <c r="K631" s="6" t="str">
        <f ca="1">IFERROR(__xludf.DUMMYFUNCTION("""COMPUTED_VALUE"""),"30% على جميع الخدمات         ")</f>
        <v xml:space="preserve">30% على جميع الخدمات         </v>
      </c>
    </row>
    <row r="632" spans="1:11" x14ac:dyDescent="0.25">
      <c r="A632" s="4" t="str">
        <f ca="1">IFERROR(__xludf.DUMMYFUNCTION("""COMPUTED_VALUE"""),"103962")</f>
        <v>103962</v>
      </c>
      <c r="B632" s="5" t="str">
        <f ca="1">IFERROR(__xludf.DUMMYFUNCTION("""COMPUTED_VALUE"""),"الاسكندرية")</f>
        <v>الاسكندرية</v>
      </c>
      <c r="C632" s="5" t="str">
        <f ca="1">IFERROR(__xludf.DUMMYFUNCTION("""COMPUTED_VALUE"""),"برج العرب")</f>
        <v>برج العرب</v>
      </c>
      <c r="D632" s="5" t="str">
        <f ca="1">IFERROR(__xludf.DUMMYFUNCTION("""COMPUTED_VALUE"""),"معمل")</f>
        <v>معمل</v>
      </c>
      <c r="E632" s="5" t="str">
        <f ca="1">IFERROR(__xludf.DUMMYFUNCTION("""COMPUTED_VALUE"""),"معمل")</f>
        <v>معمل</v>
      </c>
      <c r="F632" s="5" t="str">
        <f ca="1">IFERROR(__xludf.DUMMYFUNCTION("""COMPUTED_VALUE"""),"معمل التحاليل الطبية")</f>
        <v>معمل التحاليل الطبية</v>
      </c>
      <c r="G632" s="5" t="str">
        <f ca="1">IFERROR(__xludf.DUMMYFUNCTION("""COMPUTED_VALUE"""),"معمل برج العرب")</f>
        <v>معمل برج العرب</v>
      </c>
      <c r="H632" s="5" t="str">
        <f ca="1">IFERROR(__xludf.DUMMYFUNCTION("""COMPUTED_VALUE"""),"برج العرب الجديد امام مستشفى برج العرب بجوار قسم الشرطة اعلى فرن الشركسى")</f>
        <v>برج العرب الجديد امام مستشفى برج العرب بجوار قسم الشرطة اعلى فرن الشركسى</v>
      </c>
      <c r="I632" s="6" t="str">
        <f ca="1">IFERROR(__xludf.DUMMYFUNCTION("""COMPUTED_VALUE"""),"2034590616")</f>
        <v>2034590616</v>
      </c>
      <c r="J632" s="6"/>
      <c r="K632" s="6" t="str">
        <f ca="1">IFERROR(__xludf.DUMMYFUNCTION("""COMPUTED_VALUE"""),"خصم 25% علي الأسعار النقدي المعلنة")</f>
        <v>خصم 25% علي الأسعار النقدي المعلنة</v>
      </c>
    </row>
    <row r="633" spans="1:11" x14ac:dyDescent="0.25">
      <c r="A633" s="4" t="str">
        <f ca="1">IFERROR(__xludf.DUMMYFUNCTION("""COMPUTED_VALUE"""),"3798-B")</f>
        <v>3798-B</v>
      </c>
      <c r="B633" s="5" t="str">
        <f ca="1">IFERROR(__xludf.DUMMYFUNCTION("""COMPUTED_VALUE"""),"الاسكندرية")</f>
        <v>الاسكندرية</v>
      </c>
      <c r="C633" s="5" t="str">
        <f ca="1">IFERROR(__xludf.DUMMYFUNCTION("""COMPUTED_VALUE"""),"ثروت")</f>
        <v>ثروت</v>
      </c>
      <c r="D633" s="5" t="str">
        <f ca="1">IFERROR(__xludf.DUMMYFUNCTION("""COMPUTED_VALUE"""),"معمل")</f>
        <v>معمل</v>
      </c>
      <c r="E633" s="5" t="str">
        <f ca="1">IFERROR(__xludf.DUMMYFUNCTION("""COMPUTED_VALUE"""),"معمل")</f>
        <v>معمل</v>
      </c>
      <c r="F633" s="5" t="str">
        <f ca="1">IFERROR(__xludf.DUMMYFUNCTION("""COMPUTED_VALUE"""),"معمل التحاليل الطبية")</f>
        <v>معمل التحاليل الطبية</v>
      </c>
      <c r="G633" s="5" t="str">
        <f ca="1">IFERROR(__xludf.DUMMYFUNCTION("""COMPUTED_VALUE"""),"معمل الدكتورة/ أمينة حساب")</f>
        <v>معمل الدكتورة/ أمينة حساب</v>
      </c>
      <c r="H633" s="5" t="str">
        <f ca="1">IFERROR(__xludf.DUMMYFUNCTION("""COMPUTED_VALUE"""),"20شارع محمد سعيد من عبد الحميد الديب، ثروت-الاسكندرية")</f>
        <v>20شارع محمد سعيد من عبد الحميد الديب، ثروت-الاسكندرية</v>
      </c>
      <c r="I633" s="6" t="str">
        <f ca="1">IFERROR(__xludf.DUMMYFUNCTION("""COMPUTED_VALUE"""),"2035843699")</f>
        <v>2035843699</v>
      </c>
      <c r="J633" s="6" t="str">
        <f ca="1">IFERROR(__xludf.DUMMYFUNCTION("""COMPUTED_VALUE"""),"16987")</f>
        <v>16987</v>
      </c>
      <c r="K633" s="6" t="str">
        <f ca="1">IFERROR(__xludf.DUMMYFUNCTION("""COMPUTED_VALUE"""),"30% على جميع الخدمات         ")</f>
        <v xml:space="preserve">30% على جميع الخدمات         </v>
      </c>
    </row>
    <row r="634" spans="1:11" x14ac:dyDescent="0.25">
      <c r="A634" s="4" t="str">
        <f ca="1">IFERROR(__xludf.DUMMYFUNCTION("""COMPUTED_VALUE"""),"3798-B")</f>
        <v>3798-B</v>
      </c>
      <c r="B634" s="5" t="str">
        <f ca="1">IFERROR(__xludf.DUMMYFUNCTION("""COMPUTED_VALUE"""),"الاسكندرية")</f>
        <v>الاسكندرية</v>
      </c>
      <c r="C634" s="5" t="str">
        <f ca="1">IFERROR(__xludf.DUMMYFUNCTION("""COMPUTED_VALUE"""),"رشدي")</f>
        <v>رشدي</v>
      </c>
      <c r="D634" s="5" t="str">
        <f ca="1">IFERROR(__xludf.DUMMYFUNCTION("""COMPUTED_VALUE"""),"معمل")</f>
        <v>معمل</v>
      </c>
      <c r="E634" s="5" t="str">
        <f ca="1">IFERROR(__xludf.DUMMYFUNCTION("""COMPUTED_VALUE"""),"معمل")</f>
        <v>معمل</v>
      </c>
      <c r="F634" s="5" t="str">
        <f ca="1">IFERROR(__xludf.DUMMYFUNCTION("""COMPUTED_VALUE"""),"معمل التحاليل الطبية")</f>
        <v>معمل التحاليل الطبية</v>
      </c>
      <c r="G634" s="5" t="str">
        <f ca="1">IFERROR(__xludf.DUMMYFUNCTION("""COMPUTED_VALUE"""),"معمل الدكتورة/ أمينة حساب")</f>
        <v>معمل الدكتورة/ أمينة حساب</v>
      </c>
      <c r="H634" s="5" t="str">
        <f ca="1">IFERROR(__xludf.DUMMYFUNCTION("""COMPUTED_VALUE"""),"405طريق الحرية-رشدي-الاسكندرية")</f>
        <v>405طريق الحرية-رشدي-الاسكندرية</v>
      </c>
      <c r="I634" s="6" t="str">
        <f ca="1">IFERROR(__xludf.DUMMYFUNCTION("""COMPUTED_VALUE"""),"201154458020")</f>
        <v>201154458020</v>
      </c>
      <c r="J634" s="6" t="str">
        <f ca="1">IFERROR(__xludf.DUMMYFUNCTION("""COMPUTED_VALUE"""),"16987")</f>
        <v>16987</v>
      </c>
      <c r="K634" s="6" t="str">
        <f ca="1">IFERROR(__xludf.DUMMYFUNCTION("""COMPUTED_VALUE"""),"30% على جميع الخدمات         ")</f>
        <v xml:space="preserve">30% على جميع الخدمات         </v>
      </c>
    </row>
    <row r="635" spans="1:11" x14ac:dyDescent="0.25">
      <c r="A635" s="4" t="str">
        <f ca="1">IFERROR(__xludf.DUMMYFUNCTION("""COMPUTED_VALUE"""),"1897-B")</f>
        <v>1897-B</v>
      </c>
      <c r="B635" s="5" t="str">
        <f ca="1">IFERROR(__xludf.DUMMYFUNCTION("""COMPUTED_VALUE"""),"الاسكندرية")</f>
        <v>الاسكندرية</v>
      </c>
      <c r="C635" s="5" t="str">
        <f ca="1">IFERROR(__xludf.DUMMYFUNCTION("""COMPUTED_VALUE"""),"رشدي")</f>
        <v>رشدي</v>
      </c>
      <c r="D635" s="5" t="str">
        <f ca="1">IFERROR(__xludf.DUMMYFUNCTION("""COMPUTED_VALUE"""),"معمل")</f>
        <v>معمل</v>
      </c>
      <c r="E635" s="5" t="str">
        <f ca="1">IFERROR(__xludf.DUMMYFUNCTION("""COMPUTED_VALUE"""),"معمل")</f>
        <v>معمل</v>
      </c>
      <c r="F635" s="5" t="str">
        <f ca="1">IFERROR(__xludf.DUMMYFUNCTION("""COMPUTED_VALUE"""),"معمل التحاليل الطبية")</f>
        <v>معمل التحاليل الطبية</v>
      </c>
      <c r="G635" s="5" t="str">
        <f ca="1">IFERROR(__xludf.DUMMYFUNCTION("""COMPUTED_VALUE"""),"معمل المختبر (د. مؤمنة كامل)")</f>
        <v>معمل المختبر (د. مؤمنة كامل)</v>
      </c>
      <c r="H635" s="5" t="str">
        <f ca="1">IFERROR(__xludf.DUMMYFUNCTION("""COMPUTED_VALUE"""),"452 طريق الحرية رشدى أعلى صيدلية صبرى -سيدي جابر-رشدي-الاسكندرية")</f>
        <v>452 طريق الحرية رشدى أعلى صيدلية صبرى -سيدي جابر-رشدي-الاسكندرية</v>
      </c>
      <c r="I635" s="6" t="str">
        <f ca="1">IFERROR(__xludf.DUMMYFUNCTION("""COMPUTED_VALUE"""),"01090011246")</f>
        <v>01090011246</v>
      </c>
      <c r="J635" s="6" t="str">
        <f ca="1">IFERROR(__xludf.DUMMYFUNCTION("""COMPUTED_VALUE"""),"19014")</f>
        <v>19014</v>
      </c>
      <c r="K635" s="6" t="str">
        <f ca="1">IFERROR(__xludf.DUMMYFUNCTION("""COMPUTED_VALUE"""),"خصم 20% علي جميع التحاليل")</f>
        <v>خصم 20% علي جميع التحاليل</v>
      </c>
    </row>
    <row r="636" spans="1:11" x14ac:dyDescent="0.25">
      <c r="A636" s="4" t="str">
        <f ca="1">IFERROR(__xludf.DUMMYFUNCTION("""COMPUTED_VALUE"""),"3798-B")</f>
        <v>3798-B</v>
      </c>
      <c r="B636" s="5" t="str">
        <f ca="1">IFERROR(__xludf.DUMMYFUNCTION("""COMPUTED_VALUE"""),"الاسكندرية")</f>
        <v>الاسكندرية</v>
      </c>
      <c r="C636" s="5" t="str">
        <f ca="1">IFERROR(__xludf.DUMMYFUNCTION("""COMPUTED_VALUE"""),"سموحة")</f>
        <v>سموحة</v>
      </c>
      <c r="D636" s="5" t="str">
        <f ca="1">IFERROR(__xludf.DUMMYFUNCTION("""COMPUTED_VALUE"""),"معمل")</f>
        <v>معمل</v>
      </c>
      <c r="E636" s="5" t="str">
        <f ca="1">IFERROR(__xludf.DUMMYFUNCTION("""COMPUTED_VALUE"""),"معمل")</f>
        <v>معمل</v>
      </c>
      <c r="F636" s="5" t="str">
        <f ca="1">IFERROR(__xludf.DUMMYFUNCTION("""COMPUTED_VALUE"""),"معمل التحاليل الطبية")</f>
        <v>معمل التحاليل الطبية</v>
      </c>
      <c r="G636" s="5" t="str">
        <f ca="1">IFERROR(__xludf.DUMMYFUNCTION("""COMPUTED_VALUE"""),"معمل الدكتورة/ أمينة حساب")</f>
        <v>معمل الدكتورة/ أمينة حساب</v>
      </c>
      <c r="H636" s="5" t="str">
        <f ca="1">IFERROR(__xludf.DUMMYFUNCTION("""COMPUTED_VALUE"""),"ميدان فيكتور عمانويل-ابراج القطن- عمارة ج- مدخل 1-سموحة-الاسكندرية")</f>
        <v>ميدان فيكتور عمانويل-ابراج القطن- عمارة ج- مدخل 1-سموحة-الاسكندرية</v>
      </c>
      <c r="I636" s="6" t="str">
        <f ca="1">IFERROR(__xludf.DUMMYFUNCTION("""COMPUTED_VALUE"""),"201142422288")</f>
        <v>201142422288</v>
      </c>
      <c r="J636" s="6" t="str">
        <f ca="1">IFERROR(__xludf.DUMMYFUNCTION("""COMPUTED_VALUE"""),"16987")</f>
        <v>16987</v>
      </c>
      <c r="K636" s="6" t="str">
        <f ca="1">IFERROR(__xludf.DUMMYFUNCTION("""COMPUTED_VALUE"""),"30% على جميع الخدمات         ")</f>
        <v xml:space="preserve">30% على جميع الخدمات         </v>
      </c>
    </row>
    <row r="637" spans="1:11" x14ac:dyDescent="0.25">
      <c r="A637" s="4" t="str">
        <f ca="1">IFERROR(__xludf.DUMMYFUNCTION("""COMPUTED_VALUE"""),"1897-B")</f>
        <v>1897-B</v>
      </c>
      <c r="B637" s="5" t="str">
        <f ca="1">IFERROR(__xludf.DUMMYFUNCTION("""COMPUTED_VALUE"""),"الاسكندرية")</f>
        <v>الاسكندرية</v>
      </c>
      <c r="C637" s="5" t="str">
        <f ca="1">IFERROR(__xludf.DUMMYFUNCTION("""COMPUTED_VALUE"""),"سموحة")</f>
        <v>سموحة</v>
      </c>
      <c r="D637" s="5" t="str">
        <f ca="1">IFERROR(__xludf.DUMMYFUNCTION("""COMPUTED_VALUE"""),"معمل")</f>
        <v>معمل</v>
      </c>
      <c r="E637" s="5" t="str">
        <f ca="1">IFERROR(__xludf.DUMMYFUNCTION("""COMPUTED_VALUE"""),"معمل")</f>
        <v>معمل</v>
      </c>
      <c r="F637" s="5" t="str">
        <f ca="1">IFERROR(__xludf.DUMMYFUNCTION("""COMPUTED_VALUE"""),"معمل التحاليل الطبية")</f>
        <v>معمل التحاليل الطبية</v>
      </c>
      <c r="G637" s="5" t="str">
        <f ca="1">IFERROR(__xludf.DUMMYFUNCTION("""COMPUTED_VALUE"""),"معمل المختبر (د. مؤمنة كامل)")</f>
        <v>معمل المختبر (د. مؤمنة كامل)</v>
      </c>
      <c r="H637" s="5" t="str">
        <f ca="1">IFERROR(__xludf.DUMMYFUNCTION("""COMPUTED_VALUE"""),"27ميدان فيكتور عمانويل، سموحة-الاسكندرية")</f>
        <v>27ميدان فيكتور عمانويل، سموحة-الاسكندرية</v>
      </c>
      <c r="I637" s="6" t="str">
        <f ca="1">IFERROR(__xludf.DUMMYFUNCTION("""COMPUTED_VALUE"""),"01090011239")</f>
        <v>01090011239</v>
      </c>
      <c r="J637" s="6" t="str">
        <f ca="1">IFERROR(__xludf.DUMMYFUNCTION("""COMPUTED_VALUE"""),"19014")</f>
        <v>19014</v>
      </c>
      <c r="K637" s="6" t="str">
        <f ca="1">IFERROR(__xludf.DUMMYFUNCTION("""COMPUTED_VALUE"""),"خصم 20% علي جميع التحاليل")</f>
        <v>خصم 20% علي جميع التحاليل</v>
      </c>
    </row>
    <row r="638" spans="1:11" x14ac:dyDescent="0.25">
      <c r="A638" s="4" t="str">
        <f ca="1">IFERROR(__xludf.DUMMYFUNCTION("""COMPUTED_VALUE"""),"3798-B")</f>
        <v>3798-B</v>
      </c>
      <c r="B638" s="5" t="str">
        <f ca="1">IFERROR(__xludf.DUMMYFUNCTION("""COMPUTED_VALUE"""),"الاسكندرية")</f>
        <v>الاسكندرية</v>
      </c>
      <c r="C638" s="5" t="str">
        <f ca="1">IFERROR(__xludf.DUMMYFUNCTION("""COMPUTED_VALUE"""),"سيدي بشر")</f>
        <v>سيدي بشر</v>
      </c>
      <c r="D638" s="5" t="str">
        <f ca="1">IFERROR(__xludf.DUMMYFUNCTION("""COMPUTED_VALUE"""),"معمل")</f>
        <v>معمل</v>
      </c>
      <c r="E638" s="5" t="str">
        <f ca="1">IFERROR(__xludf.DUMMYFUNCTION("""COMPUTED_VALUE"""),"معمل")</f>
        <v>معمل</v>
      </c>
      <c r="F638" s="5" t="str">
        <f ca="1">IFERROR(__xludf.DUMMYFUNCTION("""COMPUTED_VALUE"""),"معمل التحاليل الطبية")</f>
        <v>معمل التحاليل الطبية</v>
      </c>
      <c r="G638" s="5" t="str">
        <f ca="1">IFERROR(__xludf.DUMMYFUNCTION("""COMPUTED_VALUE"""),"معمل الدكتورة/ أمينة حساب")</f>
        <v>معمل الدكتورة/ أمينة حساب</v>
      </c>
      <c r="H638" s="5" t="str">
        <f ca="1">IFERROR(__xludf.DUMMYFUNCTION("""COMPUTED_VALUE"""),"برج ريتاج - شارع مسجد سيدي بشر - الاسكندرية")</f>
        <v>برج ريتاج - شارع مسجد سيدي بشر - الاسكندرية</v>
      </c>
      <c r="I638" s="6"/>
      <c r="J638" s="6" t="str">
        <f ca="1">IFERROR(__xludf.DUMMYFUNCTION("""COMPUTED_VALUE"""),"16987")</f>
        <v>16987</v>
      </c>
      <c r="K638" s="6" t="str">
        <f ca="1">IFERROR(__xludf.DUMMYFUNCTION("""COMPUTED_VALUE"""),"30% على جميع الخدمات         ")</f>
        <v xml:space="preserve">30% على جميع الخدمات         </v>
      </c>
    </row>
    <row r="639" spans="1:11" x14ac:dyDescent="0.25">
      <c r="A639" s="4" t="str">
        <f ca="1">IFERROR(__xludf.DUMMYFUNCTION("""COMPUTED_VALUE"""),"1897-B")</f>
        <v>1897-B</v>
      </c>
      <c r="B639" s="5" t="str">
        <f ca="1">IFERROR(__xludf.DUMMYFUNCTION("""COMPUTED_VALUE"""),"الاسكندرية")</f>
        <v>الاسكندرية</v>
      </c>
      <c r="C639" s="5" t="str">
        <f ca="1">IFERROR(__xludf.DUMMYFUNCTION("""COMPUTED_VALUE"""),"سيدي بشر")</f>
        <v>سيدي بشر</v>
      </c>
      <c r="D639" s="5" t="str">
        <f ca="1">IFERROR(__xludf.DUMMYFUNCTION("""COMPUTED_VALUE"""),"معمل")</f>
        <v>معمل</v>
      </c>
      <c r="E639" s="5" t="str">
        <f ca="1">IFERROR(__xludf.DUMMYFUNCTION("""COMPUTED_VALUE"""),"معمل")</f>
        <v>معمل</v>
      </c>
      <c r="F639" s="5" t="str">
        <f ca="1">IFERROR(__xludf.DUMMYFUNCTION("""COMPUTED_VALUE"""),"معمل التحاليل الطبية")</f>
        <v>معمل التحاليل الطبية</v>
      </c>
      <c r="G639" s="5" t="str">
        <f ca="1">IFERROR(__xludf.DUMMYFUNCTION("""COMPUTED_VALUE"""),"معمل المختبر (د. مؤمنة كامل)")</f>
        <v>معمل المختبر (د. مؤمنة كامل)</v>
      </c>
      <c r="H639" s="5" t="str">
        <f ca="1">IFERROR(__xludf.DUMMYFUNCTION("""COMPUTED_VALUE"""),"ش جمال عبدالناصر - ميدان جيهان - سيدي بشر الاسكندرية.")</f>
        <v>ش جمال عبدالناصر - ميدان جيهان - سيدي بشر الاسكندرية.</v>
      </c>
      <c r="I639" s="6" t="str">
        <f ca="1">IFERROR(__xludf.DUMMYFUNCTION("""COMPUTED_VALUE"""),"01021118634")</f>
        <v>01021118634</v>
      </c>
      <c r="J639" s="6" t="str">
        <f ca="1">IFERROR(__xludf.DUMMYFUNCTION("""COMPUTED_VALUE"""),"19014")</f>
        <v>19014</v>
      </c>
      <c r="K639" s="6" t="str">
        <f ca="1">IFERROR(__xludf.DUMMYFUNCTION("""COMPUTED_VALUE"""),"خصم 20% علي جميع التحاليل")</f>
        <v>خصم 20% علي جميع التحاليل</v>
      </c>
    </row>
    <row r="640" spans="1:11" x14ac:dyDescent="0.25">
      <c r="A640" s="4" t="str">
        <f ca="1">IFERROR(__xludf.DUMMYFUNCTION("""COMPUTED_VALUE"""),"3798-B")</f>
        <v>3798-B</v>
      </c>
      <c r="B640" s="5" t="str">
        <f ca="1">IFERROR(__xludf.DUMMYFUNCTION("""COMPUTED_VALUE"""),"الاسكندرية")</f>
        <v>الاسكندرية</v>
      </c>
      <c r="C640" s="5" t="str">
        <f ca="1">IFERROR(__xludf.DUMMYFUNCTION("""COMPUTED_VALUE"""),"فيكتوريا")</f>
        <v>فيكتوريا</v>
      </c>
      <c r="D640" s="5" t="str">
        <f ca="1">IFERROR(__xludf.DUMMYFUNCTION("""COMPUTED_VALUE"""),"معمل")</f>
        <v>معمل</v>
      </c>
      <c r="E640" s="5" t="str">
        <f ca="1">IFERROR(__xludf.DUMMYFUNCTION("""COMPUTED_VALUE"""),"معمل")</f>
        <v>معمل</v>
      </c>
      <c r="F640" s="5" t="str">
        <f ca="1">IFERROR(__xludf.DUMMYFUNCTION("""COMPUTED_VALUE"""),"معمل التحاليل الطبية")</f>
        <v>معمل التحاليل الطبية</v>
      </c>
      <c r="G640" s="5" t="str">
        <f ca="1">IFERROR(__xludf.DUMMYFUNCTION("""COMPUTED_VALUE"""),"معمل الدكتورة/ أمينة حساب")</f>
        <v>معمل الدكتورة/ أمينة حساب</v>
      </c>
      <c r="H640" s="5" t="str">
        <f ca="1">IFERROR(__xludf.DUMMYFUNCTION("""COMPUTED_VALUE"""),"12شارع الجلاء- فيكتوريا-الاسكندرية")</f>
        <v>12شارع الجلاء- فيكتوريا-الاسكندرية</v>
      </c>
      <c r="I640" s="6" t="str">
        <f ca="1">IFERROR(__xludf.DUMMYFUNCTION("""COMPUTED_VALUE"""),"2035275242")</f>
        <v>2035275242</v>
      </c>
      <c r="J640" s="6" t="str">
        <f ca="1">IFERROR(__xludf.DUMMYFUNCTION("""COMPUTED_VALUE"""),"16987")</f>
        <v>16987</v>
      </c>
      <c r="K640" s="6" t="str">
        <f ca="1">IFERROR(__xludf.DUMMYFUNCTION("""COMPUTED_VALUE"""),"30% على جميع الخدمات         ")</f>
        <v xml:space="preserve">30% على جميع الخدمات         </v>
      </c>
    </row>
    <row r="641" spans="1:11" x14ac:dyDescent="0.25">
      <c r="A641" s="4" t="str">
        <f ca="1">IFERROR(__xludf.DUMMYFUNCTION("""COMPUTED_VALUE"""),"1897-B")</f>
        <v>1897-B</v>
      </c>
      <c r="B641" s="5" t="str">
        <f ca="1">IFERROR(__xludf.DUMMYFUNCTION("""COMPUTED_VALUE"""),"الاسكندرية")</f>
        <v>الاسكندرية</v>
      </c>
      <c r="C641" s="5" t="str">
        <f ca="1">IFERROR(__xludf.DUMMYFUNCTION("""COMPUTED_VALUE"""),"فيكتوريا")</f>
        <v>فيكتوريا</v>
      </c>
      <c r="D641" s="5" t="str">
        <f ca="1">IFERROR(__xludf.DUMMYFUNCTION("""COMPUTED_VALUE"""),"معمل")</f>
        <v>معمل</v>
      </c>
      <c r="E641" s="5" t="str">
        <f ca="1">IFERROR(__xludf.DUMMYFUNCTION("""COMPUTED_VALUE"""),"معمل")</f>
        <v>معمل</v>
      </c>
      <c r="F641" s="5" t="str">
        <f ca="1">IFERROR(__xludf.DUMMYFUNCTION("""COMPUTED_VALUE"""),"معمل التحاليل الطبية")</f>
        <v>معمل التحاليل الطبية</v>
      </c>
      <c r="G641" s="5" t="str">
        <f ca="1">IFERROR(__xludf.DUMMYFUNCTION("""COMPUTED_VALUE"""),"معمل المختبر (د. مؤمنة كامل)")</f>
        <v>معمل المختبر (د. مؤمنة كامل)</v>
      </c>
      <c r="H641" s="5" t="str">
        <f ca="1">IFERROR(__xludf.DUMMYFUNCTION("""COMPUTED_VALUE"""),"43شارع الجلاء ، بجوار قسم المنتزة - فيكتوريا-الاسكندرية")</f>
        <v>43شارع الجلاء ، بجوار قسم المنتزة - فيكتوريا-الاسكندرية</v>
      </c>
      <c r="I641" s="6" t="str">
        <f ca="1">IFERROR(__xludf.DUMMYFUNCTION("""COMPUTED_VALUE"""),"01090011240")</f>
        <v>01090011240</v>
      </c>
      <c r="J641" s="6" t="str">
        <f ca="1">IFERROR(__xludf.DUMMYFUNCTION("""COMPUTED_VALUE"""),"19014")</f>
        <v>19014</v>
      </c>
      <c r="K641" s="6" t="str">
        <f ca="1">IFERROR(__xludf.DUMMYFUNCTION("""COMPUTED_VALUE"""),"خصم 20% علي جميع التحاليل")</f>
        <v>خصم 20% علي جميع التحاليل</v>
      </c>
    </row>
    <row r="642" spans="1:11" x14ac:dyDescent="0.25">
      <c r="A642" s="4" t="str">
        <f ca="1">IFERROR(__xludf.DUMMYFUNCTION("""COMPUTED_VALUE"""),"3798-B")</f>
        <v>3798-B</v>
      </c>
      <c r="B642" s="5" t="str">
        <f ca="1">IFERROR(__xludf.DUMMYFUNCTION("""COMPUTED_VALUE"""),"الاسكندرية")</f>
        <v>الاسكندرية</v>
      </c>
      <c r="C642" s="5" t="str">
        <f ca="1">IFERROR(__xludf.DUMMYFUNCTION("""COMPUTED_VALUE"""),"محرم بيك")</f>
        <v>محرم بيك</v>
      </c>
      <c r="D642" s="5" t="str">
        <f ca="1">IFERROR(__xludf.DUMMYFUNCTION("""COMPUTED_VALUE"""),"معمل")</f>
        <v>معمل</v>
      </c>
      <c r="E642" s="5" t="str">
        <f ca="1">IFERROR(__xludf.DUMMYFUNCTION("""COMPUTED_VALUE"""),"معمل")</f>
        <v>معمل</v>
      </c>
      <c r="F642" s="5" t="str">
        <f ca="1">IFERROR(__xludf.DUMMYFUNCTION("""COMPUTED_VALUE"""),"معمل التحاليل الطبية")</f>
        <v>معمل التحاليل الطبية</v>
      </c>
      <c r="G642" s="5" t="str">
        <f ca="1">IFERROR(__xludf.DUMMYFUNCTION("""COMPUTED_VALUE"""),"معمل الدكتورة/ أمينة حساب")</f>
        <v>معمل الدكتورة/ أمينة حساب</v>
      </c>
      <c r="H642" s="5" t="str">
        <f ca="1">IFERROR(__xludf.DUMMYFUNCTION("""COMPUTED_VALUE"""),"68 شارع محرم بك الرئيسي - أمام مكتب بريد محرم بك")</f>
        <v>68 شارع محرم بك الرئيسي - أمام مكتب بريد محرم بك</v>
      </c>
      <c r="I642" s="6"/>
      <c r="J642" s="6" t="str">
        <f ca="1">IFERROR(__xludf.DUMMYFUNCTION("""COMPUTED_VALUE"""),"16987")</f>
        <v>16987</v>
      </c>
      <c r="K642" s="6" t="str">
        <f ca="1">IFERROR(__xludf.DUMMYFUNCTION("""COMPUTED_VALUE"""),"30% على جميع الخدمات         ")</f>
        <v xml:space="preserve">30% على جميع الخدمات         </v>
      </c>
    </row>
    <row r="643" spans="1:11" x14ac:dyDescent="0.25">
      <c r="A643" s="4" t="str">
        <f ca="1">IFERROR(__xludf.DUMMYFUNCTION("""COMPUTED_VALUE"""),"1897-B")</f>
        <v>1897-B</v>
      </c>
      <c r="B643" s="5" t="str">
        <f ca="1">IFERROR(__xludf.DUMMYFUNCTION("""COMPUTED_VALUE"""),"الاسكندرية")</f>
        <v>الاسكندرية</v>
      </c>
      <c r="C643" s="5" t="str">
        <f ca="1">IFERROR(__xludf.DUMMYFUNCTION("""COMPUTED_VALUE"""),"محرم بيك")</f>
        <v>محرم بيك</v>
      </c>
      <c r="D643" s="5" t="str">
        <f ca="1">IFERROR(__xludf.DUMMYFUNCTION("""COMPUTED_VALUE"""),"معمل")</f>
        <v>معمل</v>
      </c>
      <c r="E643" s="5" t="str">
        <f ca="1">IFERROR(__xludf.DUMMYFUNCTION("""COMPUTED_VALUE"""),"معمل")</f>
        <v>معمل</v>
      </c>
      <c r="F643" s="5" t="str">
        <f ca="1">IFERROR(__xludf.DUMMYFUNCTION("""COMPUTED_VALUE"""),"معمل التحاليل الطبية")</f>
        <v>معمل التحاليل الطبية</v>
      </c>
      <c r="G643" s="5" t="str">
        <f ca="1">IFERROR(__xludf.DUMMYFUNCTION("""COMPUTED_VALUE"""),"معمل المختبر (د. مؤمنة كامل)")</f>
        <v>معمل المختبر (د. مؤمنة كامل)</v>
      </c>
      <c r="H643" s="5" t="str">
        <f ca="1">IFERROR(__xludf.DUMMYFUNCTION("""COMPUTED_VALUE"""),"66ش محرم بيك - برج محرم بلازا بجوار فودافون - محرم بيك - الاسكندرية .")</f>
        <v>66ش محرم بيك - برج محرم بلازا بجوار فودافون - محرم بيك - الاسكندرية .</v>
      </c>
      <c r="I643" s="6" t="str">
        <f ca="1">IFERROR(__xludf.DUMMYFUNCTION("""COMPUTED_VALUE"""),"01026649950")</f>
        <v>01026649950</v>
      </c>
      <c r="J643" s="6" t="str">
        <f ca="1">IFERROR(__xludf.DUMMYFUNCTION("""COMPUTED_VALUE"""),"19014")</f>
        <v>19014</v>
      </c>
      <c r="K643" s="6" t="str">
        <f ca="1">IFERROR(__xludf.DUMMYFUNCTION("""COMPUTED_VALUE"""),"خصم 20% علي جميع التحاليل")</f>
        <v>خصم 20% علي جميع التحاليل</v>
      </c>
    </row>
    <row r="644" spans="1:11" x14ac:dyDescent="0.25">
      <c r="A644" s="4" t="str">
        <f ca="1">IFERROR(__xludf.DUMMYFUNCTION("""COMPUTED_VALUE"""),"3798-B")</f>
        <v>3798-B</v>
      </c>
      <c r="B644" s="5" t="str">
        <f ca="1">IFERROR(__xludf.DUMMYFUNCTION("""COMPUTED_VALUE"""),"الاسكندرية")</f>
        <v>الاسكندرية</v>
      </c>
      <c r="C644" s="5" t="str">
        <f ca="1">IFERROR(__xludf.DUMMYFUNCTION("""COMPUTED_VALUE"""),"محطة الرمل")</f>
        <v>محطة الرمل</v>
      </c>
      <c r="D644" s="5" t="str">
        <f ca="1">IFERROR(__xludf.DUMMYFUNCTION("""COMPUTED_VALUE"""),"معمل")</f>
        <v>معمل</v>
      </c>
      <c r="E644" s="5" t="str">
        <f ca="1">IFERROR(__xludf.DUMMYFUNCTION("""COMPUTED_VALUE"""),"معمل")</f>
        <v>معمل</v>
      </c>
      <c r="F644" s="5" t="str">
        <f ca="1">IFERROR(__xludf.DUMMYFUNCTION("""COMPUTED_VALUE"""),"معمل التحاليل الطبية")</f>
        <v>معمل التحاليل الطبية</v>
      </c>
      <c r="G644" s="5" t="str">
        <f ca="1">IFERROR(__xludf.DUMMYFUNCTION("""COMPUTED_VALUE"""),"معمل الدكتورة/ أمينة حساب")</f>
        <v>معمل الدكتورة/ أمينة حساب</v>
      </c>
      <c r="H644" s="5" t="str">
        <f ca="1">IFERROR(__xludf.DUMMYFUNCTION("""COMPUTED_VALUE"""),"182 ش عمر لطفي- سبورتنج الترام-محطة الرمل-الاسكندرية")</f>
        <v>182 ش عمر لطفي- سبورتنج الترام-محطة الرمل-الاسكندرية</v>
      </c>
      <c r="I644" s="6" t="str">
        <f ca="1">IFERROR(__xludf.DUMMYFUNCTION("""COMPUTED_VALUE"""),"2035921330")</f>
        <v>2035921330</v>
      </c>
      <c r="J644" s="6" t="str">
        <f ca="1">IFERROR(__xludf.DUMMYFUNCTION("""COMPUTED_VALUE"""),"16987")</f>
        <v>16987</v>
      </c>
      <c r="K644" s="6" t="str">
        <f ca="1">IFERROR(__xludf.DUMMYFUNCTION("""COMPUTED_VALUE"""),"30% على جميع الخدمات         ")</f>
        <v xml:space="preserve">30% على جميع الخدمات         </v>
      </c>
    </row>
    <row r="645" spans="1:11" x14ac:dyDescent="0.25">
      <c r="A645" s="4" t="str">
        <f ca="1">IFERROR(__xludf.DUMMYFUNCTION("""COMPUTED_VALUE"""),"3798-B")</f>
        <v>3798-B</v>
      </c>
      <c r="B645" s="5" t="str">
        <f ca="1">IFERROR(__xludf.DUMMYFUNCTION("""COMPUTED_VALUE"""),"الاسكندرية")</f>
        <v>الاسكندرية</v>
      </c>
      <c r="C645" s="5" t="str">
        <f ca="1">IFERROR(__xludf.DUMMYFUNCTION("""COMPUTED_VALUE"""),"محطة الرمل")</f>
        <v>محطة الرمل</v>
      </c>
      <c r="D645" s="5" t="str">
        <f ca="1">IFERROR(__xludf.DUMMYFUNCTION("""COMPUTED_VALUE"""),"معمل")</f>
        <v>معمل</v>
      </c>
      <c r="E645" s="5" t="str">
        <f ca="1">IFERROR(__xludf.DUMMYFUNCTION("""COMPUTED_VALUE"""),"معمل")</f>
        <v>معمل</v>
      </c>
      <c r="F645" s="5" t="str">
        <f ca="1">IFERROR(__xludf.DUMMYFUNCTION("""COMPUTED_VALUE"""),"معمل التحاليل الطبية")</f>
        <v>معمل التحاليل الطبية</v>
      </c>
      <c r="G645" s="5" t="str">
        <f ca="1">IFERROR(__xludf.DUMMYFUNCTION("""COMPUTED_VALUE"""),"معمل الدكتورة/ أمينة حساب")</f>
        <v>معمل الدكتورة/ أمينة حساب</v>
      </c>
      <c r="H645" s="5" t="str">
        <f ca="1">IFERROR(__xludf.DUMMYFUNCTION("""COMPUTED_VALUE"""),"18شارع كلية الطب -محطة الرمل-الاسكندرية")</f>
        <v>18شارع كلية الطب -محطة الرمل-الاسكندرية</v>
      </c>
      <c r="I645" s="6" t="str">
        <f ca="1">IFERROR(__xludf.DUMMYFUNCTION("""COMPUTED_VALUE"""),"2034815824")</f>
        <v>2034815824</v>
      </c>
      <c r="J645" s="6" t="str">
        <f ca="1">IFERROR(__xludf.DUMMYFUNCTION("""COMPUTED_VALUE"""),"16987")</f>
        <v>16987</v>
      </c>
      <c r="K645" s="6" t="str">
        <f ca="1">IFERROR(__xludf.DUMMYFUNCTION("""COMPUTED_VALUE"""),"30% على جميع الخدمات         ")</f>
        <v xml:space="preserve">30% على جميع الخدمات         </v>
      </c>
    </row>
    <row r="646" spans="1:11" x14ac:dyDescent="0.25">
      <c r="A646" s="4" t="str">
        <f ca="1">IFERROR(__xludf.DUMMYFUNCTION("""COMPUTED_VALUE"""),"3798")</f>
        <v>3798</v>
      </c>
      <c r="B646" s="5" t="str">
        <f ca="1">IFERROR(__xludf.DUMMYFUNCTION("""COMPUTED_VALUE"""),"الاسكندرية")</f>
        <v>الاسكندرية</v>
      </c>
      <c r="C646" s="5" t="str">
        <f ca="1">IFERROR(__xludf.DUMMYFUNCTION("""COMPUTED_VALUE"""),"محطة الرمل")</f>
        <v>محطة الرمل</v>
      </c>
      <c r="D646" s="5" t="str">
        <f ca="1">IFERROR(__xludf.DUMMYFUNCTION("""COMPUTED_VALUE"""),"معمل")</f>
        <v>معمل</v>
      </c>
      <c r="E646" s="5" t="str">
        <f ca="1">IFERROR(__xludf.DUMMYFUNCTION("""COMPUTED_VALUE"""),"معمل")</f>
        <v>معمل</v>
      </c>
      <c r="F646" s="5" t="str">
        <f ca="1">IFERROR(__xludf.DUMMYFUNCTION("""COMPUTED_VALUE"""),"معمل التحاليل الطبية")</f>
        <v>معمل التحاليل الطبية</v>
      </c>
      <c r="G646" s="5" t="str">
        <f ca="1">IFERROR(__xludf.DUMMYFUNCTION("""COMPUTED_VALUE"""),"معمل الدكتورة/ أمينة حساب")</f>
        <v>معمل الدكتورة/ أمينة حساب</v>
      </c>
      <c r="H646" s="5" t="str">
        <f ca="1">IFERROR(__xludf.DUMMYFUNCTION("""COMPUTED_VALUE"""),"21شارع أمين فكري-محطة الرمل-الاسكندرية")</f>
        <v>21شارع أمين فكري-محطة الرمل-الاسكندرية</v>
      </c>
      <c r="I646" s="6"/>
      <c r="J646" s="6" t="str">
        <f ca="1">IFERROR(__xludf.DUMMYFUNCTION("""COMPUTED_VALUE"""),"16987")</f>
        <v>16987</v>
      </c>
      <c r="K646" s="6" t="str">
        <f ca="1">IFERROR(__xludf.DUMMYFUNCTION("""COMPUTED_VALUE"""),"30% على جميع الخدمات         ")</f>
        <v xml:space="preserve">30% على جميع الخدمات         </v>
      </c>
    </row>
    <row r="647" spans="1:11" x14ac:dyDescent="0.25">
      <c r="A647" s="4" t="str">
        <f ca="1">IFERROR(__xludf.DUMMYFUNCTION("""COMPUTED_VALUE"""),"1897-B")</f>
        <v>1897-B</v>
      </c>
      <c r="B647" s="5" t="str">
        <f ca="1">IFERROR(__xludf.DUMMYFUNCTION("""COMPUTED_VALUE"""),"الاسكندرية")</f>
        <v>الاسكندرية</v>
      </c>
      <c r="C647" s="5" t="str">
        <f ca="1">IFERROR(__xludf.DUMMYFUNCTION("""COMPUTED_VALUE"""),"محطة الرمل")</f>
        <v>محطة الرمل</v>
      </c>
      <c r="D647" s="5" t="str">
        <f ca="1">IFERROR(__xludf.DUMMYFUNCTION("""COMPUTED_VALUE"""),"معمل")</f>
        <v>معمل</v>
      </c>
      <c r="E647" s="5" t="str">
        <f ca="1">IFERROR(__xludf.DUMMYFUNCTION("""COMPUTED_VALUE"""),"معمل")</f>
        <v>معمل</v>
      </c>
      <c r="F647" s="5" t="str">
        <f ca="1">IFERROR(__xludf.DUMMYFUNCTION("""COMPUTED_VALUE"""),"معمل التحاليل الطبية")</f>
        <v>معمل التحاليل الطبية</v>
      </c>
      <c r="G647" s="5" t="str">
        <f ca="1">IFERROR(__xludf.DUMMYFUNCTION("""COMPUTED_VALUE"""),"معمل المختبر (د. مؤمنة كامل)")</f>
        <v>معمل المختبر (د. مؤمنة كامل)</v>
      </c>
      <c r="H647" s="5" t="str">
        <f ca="1">IFERROR(__xludf.DUMMYFUNCTION("""COMPUTED_VALUE"""),"21شارع أمين فكرى -  محطة الرمل - قسم العطارين-محطة الرمل-الاسكندرية")</f>
        <v>21شارع أمين فكرى -  محطة الرمل - قسم العطارين-محطة الرمل-الاسكندرية</v>
      </c>
      <c r="I647" s="6" t="str">
        <f ca="1">IFERROR(__xludf.DUMMYFUNCTION("""COMPUTED_VALUE"""),"01090011218")</f>
        <v>01090011218</v>
      </c>
      <c r="J647" s="6" t="str">
        <f ca="1">IFERROR(__xludf.DUMMYFUNCTION("""COMPUTED_VALUE"""),"19014")</f>
        <v>19014</v>
      </c>
      <c r="K647" s="6" t="str">
        <f ca="1">IFERROR(__xludf.DUMMYFUNCTION("""COMPUTED_VALUE"""),"خصم 20% علي جميع التحاليل")</f>
        <v>خصم 20% علي جميع التحاليل</v>
      </c>
    </row>
    <row r="648" spans="1:11" x14ac:dyDescent="0.25">
      <c r="A648" s="4" t="str">
        <f ca="1">IFERROR(__xludf.DUMMYFUNCTION("""COMPUTED_VALUE"""),"3798-B")</f>
        <v>3798-B</v>
      </c>
      <c r="B648" s="5" t="str">
        <f ca="1">IFERROR(__xludf.DUMMYFUNCTION("""COMPUTED_VALUE"""),"الاسكندرية")</f>
        <v>الاسكندرية</v>
      </c>
      <c r="C648" s="5" t="str">
        <f ca="1">IFERROR(__xludf.DUMMYFUNCTION("""COMPUTED_VALUE"""),"ميامي")</f>
        <v>ميامي</v>
      </c>
      <c r="D648" s="5" t="str">
        <f ca="1">IFERROR(__xludf.DUMMYFUNCTION("""COMPUTED_VALUE"""),"معمل")</f>
        <v>معمل</v>
      </c>
      <c r="E648" s="5" t="str">
        <f ca="1">IFERROR(__xludf.DUMMYFUNCTION("""COMPUTED_VALUE"""),"معمل")</f>
        <v>معمل</v>
      </c>
      <c r="F648" s="5" t="str">
        <f ca="1">IFERROR(__xludf.DUMMYFUNCTION("""COMPUTED_VALUE"""),"معمل التحاليل الطبية")</f>
        <v>معمل التحاليل الطبية</v>
      </c>
      <c r="G648" s="5" t="str">
        <f ca="1">IFERROR(__xludf.DUMMYFUNCTION("""COMPUTED_VALUE"""),"معمل الدكتورة/ أمينة حساب")</f>
        <v>معمل الدكتورة/ أمينة حساب</v>
      </c>
      <c r="H648" s="5" t="str">
        <f ca="1">IFERROR(__xludf.DUMMYFUNCTION("""COMPUTED_VALUE"""),"350شارع جمال عبد الناصر - أمام أسواق شريف-ميامي-الاسكندرية")</f>
        <v>350شارع جمال عبد الناصر - أمام أسواق شريف-ميامي-الاسكندرية</v>
      </c>
      <c r="I648" s="6" t="str">
        <f ca="1">IFERROR(__xludf.DUMMYFUNCTION("""COMPUTED_VALUE"""),"2035568708")</f>
        <v>2035568708</v>
      </c>
      <c r="J648" s="6" t="str">
        <f ca="1">IFERROR(__xludf.DUMMYFUNCTION("""COMPUTED_VALUE"""),"16987")</f>
        <v>16987</v>
      </c>
      <c r="K648" s="6" t="str">
        <f ca="1">IFERROR(__xludf.DUMMYFUNCTION("""COMPUTED_VALUE"""),"30% على جميع الخدمات         ")</f>
        <v xml:space="preserve">30% على جميع الخدمات         </v>
      </c>
    </row>
    <row r="649" spans="1:11" x14ac:dyDescent="0.25">
      <c r="A649" s="4" t="str">
        <f ca="1">IFERROR(__xludf.DUMMYFUNCTION("""COMPUTED_VALUE"""),"1897-B")</f>
        <v>1897-B</v>
      </c>
      <c r="B649" s="5" t="str">
        <f ca="1">IFERROR(__xludf.DUMMYFUNCTION("""COMPUTED_VALUE"""),"الأقصر")</f>
        <v>الأقصر</v>
      </c>
      <c r="C649" s="5" t="str">
        <f ca="1">IFERROR(__xludf.DUMMYFUNCTION("""COMPUTED_VALUE"""),"اسنا")</f>
        <v>اسنا</v>
      </c>
      <c r="D649" s="5" t="str">
        <f ca="1">IFERROR(__xludf.DUMMYFUNCTION("""COMPUTED_VALUE"""),"معمل")</f>
        <v>معمل</v>
      </c>
      <c r="E649" s="5" t="str">
        <f ca="1">IFERROR(__xludf.DUMMYFUNCTION("""COMPUTED_VALUE"""),"معمل")</f>
        <v>معمل</v>
      </c>
      <c r="F649" s="5" t="str">
        <f ca="1">IFERROR(__xludf.DUMMYFUNCTION("""COMPUTED_VALUE"""),"معمل التحاليل الطبية")</f>
        <v>معمل التحاليل الطبية</v>
      </c>
      <c r="G649" s="5" t="str">
        <f ca="1">IFERROR(__xludf.DUMMYFUNCTION("""COMPUTED_VALUE"""),"معمل المختبر (د. مؤمنة كامل)")</f>
        <v>معمل المختبر (د. مؤمنة كامل)</v>
      </c>
      <c r="H649" s="5" t="str">
        <f ca="1">IFERROR(__xludf.DUMMYFUNCTION("""COMPUTED_VALUE"""),"ش البحر بجوار بنك الاسكندرية - مركز اسنا - الأقصر")</f>
        <v>ش البحر بجوار بنك الاسكندرية - مركز اسنا - الأقصر</v>
      </c>
      <c r="I649" s="6" t="str">
        <f ca="1">IFERROR(__xludf.DUMMYFUNCTION("""COMPUTED_VALUE"""),"01024643612")</f>
        <v>01024643612</v>
      </c>
      <c r="J649" s="6" t="str">
        <f ca="1">IFERROR(__xludf.DUMMYFUNCTION("""COMPUTED_VALUE"""),"19014")</f>
        <v>19014</v>
      </c>
      <c r="K649" s="6" t="str">
        <f ca="1">IFERROR(__xludf.DUMMYFUNCTION("""COMPUTED_VALUE"""),"خصم 20% علي جميع التحاليل")</f>
        <v>خصم 20% علي جميع التحاليل</v>
      </c>
    </row>
    <row r="650" spans="1:11" x14ac:dyDescent="0.25">
      <c r="A650" s="4" t="str">
        <f ca="1">IFERROR(__xludf.DUMMYFUNCTION("""COMPUTED_VALUE"""),"1897-B")</f>
        <v>1897-B</v>
      </c>
      <c r="B650" s="5" t="str">
        <f ca="1">IFERROR(__xludf.DUMMYFUNCTION("""COMPUTED_VALUE"""),"الأقصر")</f>
        <v>الأقصر</v>
      </c>
      <c r="C650" s="5" t="str">
        <f ca="1">IFERROR(__xludf.DUMMYFUNCTION("""COMPUTED_VALUE"""),"الأقصر")</f>
        <v>الأقصر</v>
      </c>
      <c r="D650" s="5" t="str">
        <f ca="1">IFERROR(__xludf.DUMMYFUNCTION("""COMPUTED_VALUE"""),"معمل")</f>
        <v>معمل</v>
      </c>
      <c r="E650" s="5" t="str">
        <f ca="1">IFERROR(__xludf.DUMMYFUNCTION("""COMPUTED_VALUE"""),"معمل")</f>
        <v>معمل</v>
      </c>
      <c r="F650" s="5" t="str">
        <f ca="1">IFERROR(__xludf.DUMMYFUNCTION("""COMPUTED_VALUE"""),"معمل التحاليل الطبية")</f>
        <v>معمل التحاليل الطبية</v>
      </c>
      <c r="G650" s="5" t="str">
        <f ca="1">IFERROR(__xludf.DUMMYFUNCTION("""COMPUTED_VALUE"""),"معمل المختبر (د. مؤمنة كامل)")</f>
        <v>معمل المختبر (د. مؤمنة كامل)</v>
      </c>
      <c r="H650" s="5" t="str">
        <f ca="1">IFERROR(__xludf.DUMMYFUNCTION("""COMPUTED_VALUE"""),"شارع التليفزيون- بجوار فندق شادي -الأقصر")</f>
        <v>شارع التليفزيون- بجوار فندق شادي -الأقصر</v>
      </c>
      <c r="I650" s="6" t="str">
        <f ca="1">IFERROR(__xludf.DUMMYFUNCTION("""COMPUTED_VALUE"""),"01090011259")</f>
        <v>01090011259</v>
      </c>
      <c r="J650" s="6" t="str">
        <f ca="1">IFERROR(__xludf.DUMMYFUNCTION("""COMPUTED_VALUE"""),"19014")</f>
        <v>19014</v>
      </c>
      <c r="K650" s="6" t="str">
        <f ca="1">IFERROR(__xludf.DUMMYFUNCTION("""COMPUTED_VALUE"""),"خصم 20% علي جميع التحاليل")</f>
        <v>خصم 20% علي جميع التحاليل</v>
      </c>
    </row>
    <row r="651" spans="1:11" x14ac:dyDescent="0.25">
      <c r="A651" s="4" t="str">
        <f ca="1">IFERROR(__xludf.DUMMYFUNCTION("""COMPUTED_VALUE"""),"1816-B")</f>
        <v>1816-B</v>
      </c>
      <c r="B651" s="5" t="str">
        <f ca="1">IFERROR(__xludf.DUMMYFUNCTION("""COMPUTED_VALUE"""),"الإسماعيلية")</f>
        <v>الإسماعيلية</v>
      </c>
      <c r="C651" s="5" t="str">
        <f ca="1">IFERROR(__xludf.DUMMYFUNCTION("""COMPUTED_VALUE"""),"الإسماعيلية")</f>
        <v>الإسماعيلية</v>
      </c>
      <c r="D651" s="5" t="str">
        <f ca="1">IFERROR(__xludf.DUMMYFUNCTION("""COMPUTED_VALUE"""),"معمل")</f>
        <v>معمل</v>
      </c>
      <c r="E651" s="5" t="str">
        <f ca="1">IFERROR(__xludf.DUMMYFUNCTION("""COMPUTED_VALUE"""),"معمل")</f>
        <v>معمل</v>
      </c>
      <c r="F651" s="5" t="str">
        <f ca="1">IFERROR(__xludf.DUMMYFUNCTION("""COMPUTED_VALUE"""),"معمل التحاليل الطبية")</f>
        <v>معمل التحاليل الطبية</v>
      </c>
      <c r="G651" s="5" t="str">
        <f ca="1">IFERROR(__xludf.DUMMYFUNCTION("""COMPUTED_VALUE"""),"معامل ميترا")</f>
        <v>معامل ميترا</v>
      </c>
      <c r="H651" s="5" t="str">
        <f ca="1">IFERROR(__xludf.DUMMYFUNCTION("""COMPUTED_VALUE"""),"حي الزهور - العمارة 18 - الدور الأول - خلف نادي المنتزه")</f>
        <v>حي الزهور - العمارة 18 - الدور الأول - خلف نادي المنتزه</v>
      </c>
      <c r="I651" s="6" t="str">
        <f ca="1">IFERROR(__xludf.DUMMYFUNCTION("""COMPUTED_VALUE"""),"201060766635")</f>
        <v>201060766635</v>
      </c>
      <c r="J651" s="6" t="str">
        <f ca="1">IFERROR(__xludf.DUMMYFUNCTION("""COMPUTED_VALUE"""),"15232")</f>
        <v>15232</v>
      </c>
      <c r="K651" s="6" t="str">
        <f ca="1">IFERROR(__xludf.DUMMYFUNCTION("""COMPUTED_VALUE"""),"خصم 40% علي الاسعار النقدي")</f>
        <v>خصم 40% علي الاسعار النقدي</v>
      </c>
    </row>
    <row r="652" spans="1:11" x14ac:dyDescent="0.25">
      <c r="A652" s="4" t="str">
        <f ca="1">IFERROR(__xludf.DUMMYFUNCTION("""COMPUTED_VALUE"""),"1816-B")</f>
        <v>1816-B</v>
      </c>
      <c r="B652" s="5" t="str">
        <f ca="1">IFERROR(__xludf.DUMMYFUNCTION("""COMPUTED_VALUE"""),"الإسماعيلية")</f>
        <v>الإسماعيلية</v>
      </c>
      <c r="C652" s="5" t="str">
        <f ca="1">IFERROR(__xludf.DUMMYFUNCTION("""COMPUTED_VALUE"""),"الإسماعيلية")</f>
        <v>الإسماعيلية</v>
      </c>
      <c r="D652" s="5" t="str">
        <f ca="1">IFERROR(__xludf.DUMMYFUNCTION("""COMPUTED_VALUE"""),"معمل")</f>
        <v>معمل</v>
      </c>
      <c r="E652" s="5" t="str">
        <f ca="1">IFERROR(__xludf.DUMMYFUNCTION("""COMPUTED_VALUE"""),"معمل")</f>
        <v>معمل</v>
      </c>
      <c r="F652" s="5" t="str">
        <f ca="1">IFERROR(__xludf.DUMMYFUNCTION("""COMPUTED_VALUE"""),"معمل التحاليل الطبية")</f>
        <v>معمل التحاليل الطبية</v>
      </c>
      <c r="G652" s="5" t="str">
        <f ca="1">IFERROR(__xludf.DUMMYFUNCTION("""COMPUTED_VALUE"""),"معامل ميترا")</f>
        <v>معامل ميترا</v>
      </c>
      <c r="H652" s="5" t="str">
        <f ca="1">IFERROR(__xludf.DUMMYFUNCTION("""COMPUTED_VALUE"""),"شارع شبين الكوم أمام مجمع المحاكم - العمارة 7 - الدور الثاني - الاسماعيلية")</f>
        <v>شارع شبين الكوم أمام مجمع المحاكم - العمارة 7 - الدور الثاني - الاسماعيلية</v>
      </c>
      <c r="I652" s="6" t="str">
        <f ca="1">IFERROR(__xludf.DUMMYFUNCTION("""COMPUTED_VALUE"""),"201069665066")</f>
        <v>201069665066</v>
      </c>
      <c r="J652" s="6" t="str">
        <f ca="1">IFERROR(__xludf.DUMMYFUNCTION("""COMPUTED_VALUE"""),"15232")</f>
        <v>15232</v>
      </c>
      <c r="K652" s="6" t="str">
        <f ca="1">IFERROR(__xludf.DUMMYFUNCTION("""COMPUTED_VALUE"""),"خصم 40% علي الاسعار النقدي")</f>
        <v>خصم 40% علي الاسعار النقدي</v>
      </c>
    </row>
    <row r="653" spans="1:11" x14ac:dyDescent="0.25">
      <c r="A653" s="4" t="str">
        <f ca="1">IFERROR(__xludf.DUMMYFUNCTION("""COMPUTED_VALUE"""),"1816-B")</f>
        <v>1816-B</v>
      </c>
      <c r="B653" s="5" t="str">
        <f ca="1">IFERROR(__xludf.DUMMYFUNCTION("""COMPUTED_VALUE"""),"الإسماعيلية")</f>
        <v>الإسماعيلية</v>
      </c>
      <c r="C653" s="5" t="str">
        <f ca="1">IFERROR(__xludf.DUMMYFUNCTION("""COMPUTED_VALUE"""),"الإسماعيلية")</f>
        <v>الإسماعيلية</v>
      </c>
      <c r="D653" s="5" t="str">
        <f ca="1">IFERROR(__xludf.DUMMYFUNCTION("""COMPUTED_VALUE"""),"معمل")</f>
        <v>معمل</v>
      </c>
      <c r="E653" s="5" t="str">
        <f ca="1">IFERROR(__xludf.DUMMYFUNCTION("""COMPUTED_VALUE"""),"معمل")</f>
        <v>معمل</v>
      </c>
      <c r="F653" s="5" t="str">
        <f ca="1">IFERROR(__xludf.DUMMYFUNCTION("""COMPUTED_VALUE"""),"معمل التحاليل الطبية")</f>
        <v>معمل التحاليل الطبية</v>
      </c>
      <c r="G653" s="5" t="str">
        <f ca="1">IFERROR(__xludf.DUMMYFUNCTION("""COMPUTED_VALUE"""),"معامل ميترا")</f>
        <v>معامل ميترا</v>
      </c>
      <c r="H653" s="5" t="str">
        <f ca="1">IFERROR(__xludf.DUMMYFUNCTION("""COMPUTED_VALUE"""),"ميدان عرابي - شارع شريف خلف بي تك - العمارة 4- الدور الأول - الاسماعيلية")</f>
        <v>ميدان عرابي - شارع شريف خلف بي تك - العمارة 4- الدور الأول - الاسماعيلية</v>
      </c>
      <c r="I653" s="6" t="str">
        <f ca="1">IFERROR(__xludf.DUMMYFUNCTION("""COMPUTED_VALUE"""),"201069888144")</f>
        <v>201069888144</v>
      </c>
      <c r="J653" s="6" t="str">
        <f ca="1">IFERROR(__xludf.DUMMYFUNCTION("""COMPUTED_VALUE"""),"15232")</f>
        <v>15232</v>
      </c>
      <c r="K653" s="6" t="str">
        <f ca="1">IFERROR(__xludf.DUMMYFUNCTION("""COMPUTED_VALUE"""),"خصم 40% علي الاسعار النقدي")</f>
        <v>خصم 40% علي الاسعار النقدي</v>
      </c>
    </row>
    <row r="654" spans="1:11" x14ac:dyDescent="0.25">
      <c r="A654" s="4" t="str">
        <f ca="1">IFERROR(__xludf.DUMMYFUNCTION("""COMPUTED_VALUE"""),"1897-B")</f>
        <v>1897-B</v>
      </c>
      <c r="B654" s="5" t="str">
        <f ca="1">IFERROR(__xludf.DUMMYFUNCTION("""COMPUTED_VALUE"""),"الإسماعيلية")</f>
        <v>الإسماعيلية</v>
      </c>
      <c r="C654" s="5" t="str">
        <f ca="1">IFERROR(__xludf.DUMMYFUNCTION("""COMPUTED_VALUE"""),"الإسماعيلية")</f>
        <v>الإسماعيلية</v>
      </c>
      <c r="D654" s="5" t="str">
        <f ca="1">IFERROR(__xludf.DUMMYFUNCTION("""COMPUTED_VALUE"""),"معمل")</f>
        <v>معمل</v>
      </c>
      <c r="E654" s="5" t="str">
        <f ca="1">IFERROR(__xludf.DUMMYFUNCTION("""COMPUTED_VALUE"""),"معمل")</f>
        <v>معمل</v>
      </c>
      <c r="F654" s="5" t="str">
        <f ca="1">IFERROR(__xludf.DUMMYFUNCTION("""COMPUTED_VALUE"""),"معمل التحاليل الطبية")</f>
        <v>معمل التحاليل الطبية</v>
      </c>
      <c r="G654" s="5" t="str">
        <f ca="1">IFERROR(__xludf.DUMMYFUNCTION("""COMPUTED_VALUE"""),"معمل المختبر (د. مؤمنة كامل)")</f>
        <v>معمل المختبر (د. مؤمنة كامل)</v>
      </c>
      <c r="H654" s="5" t="str">
        <f ca="1">IFERROR(__xludf.DUMMYFUNCTION("""COMPUTED_VALUE"""),"41شارع الجمهورية – الثلاثيني  سابقاً-الاسماعيلية")</f>
        <v>41شارع الجمهورية – الثلاثيني  سابقاً-الاسماعيلية</v>
      </c>
      <c r="I654" s="6" t="str">
        <f ca="1">IFERROR(__xludf.DUMMYFUNCTION("""COMPUTED_VALUE"""),"01090011231")</f>
        <v>01090011231</v>
      </c>
      <c r="J654" s="6" t="str">
        <f ca="1">IFERROR(__xludf.DUMMYFUNCTION("""COMPUTED_VALUE"""),"19014")</f>
        <v>19014</v>
      </c>
      <c r="K654" s="6" t="str">
        <f ca="1">IFERROR(__xludf.DUMMYFUNCTION("""COMPUTED_VALUE"""),"خصم 20% علي جميع التحاليل")</f>
        <v>خصم 20% علي جميع التحاليل</v>
      </c>
    </row>
    <row r="655" spans="1:11" x14ac:dyDescent="0.25">
      <c r="A655" s="4" t="str">
        <f ca="1">IFERROR(__xludf.DUMMYFUNCTION("""COMPUTED_VALUE"""),"1897-B")</f>
        <v>1897-B</v>
      </c>
      <c r="B655" s="5" t="str">
        <f ca="1">IFERROR(__xludf.DUMMYFUNCTION("""COMPUTED_VALUE"""),"الإسماعيلية")</f>
        <v>الإسماعيلية</v>
      </c>
      <c r="C655" s="5" t="str">
        <f ca="1">IFERROR(__xludf.DUMMYFUNCTION("""COMPUTED_VALUE"""),"الإسماعيلية")</f>
        <v>الإسماعيلية</v>
      </c>
      <c r="D655" s="5" t="str">
        <f ca="1">IFERROR(__xludf.DUMMYFUNCTION("""COMPUTED_VALUE"""),"معمل")</f>
        <v>معمل</v>
      </c>
      <c r="E655" s="5" t="str">
        <f ca="1">IFERROR(__xludf.DUMMYFUNCTION("""COMPUTED_VALUE"""),"معمل")</f>
        <v>معمل</v>
      </c>
      <c r="F655" s="5" t="str">
        <f ca="1">IFERROR(__xludf.DUMMYFUNCTION("""COMPUTED_VALUE"""),"معمل التحاليل الطبية")</f>
        <v>معمل التحاليل الطبية</v>
      </c>
      <c r="G655" s="5" t="str">
        <f ca="1">IFERROR(__xludf.DUMMYFUNCTION("""COMPUTED_VALUE"""),"معمل المختبر (د. مؤمنة كامل)")</f>
        <v>معمل المختبر (د. مؤمنة كامل)</v>
      </c>
      <c r="H655" s="5" t="str">
        <f ca="1">IFERROR(__xludf.DUMMYFUNCTION("""COMPUTED_VALUE"""),"القطعة 10 و13 مربع 10د حى السلام ش جمال عبدالناصر - حى السلام - الاسماعيلية .")</f>
        <v>القطعة 10 و13 مربع 10د حى السلام ش جمال عبدالناصر - حى السلام - الاسماعيلية .</v>
      </c>
      <c r="I655" s="6" t="str">
        <f ca="1">IFERROR(__xludf.DUMMYFUNCTION("""COMPUTED_VALUE"""),"01028833729")</f>
        <v>01028833729</v>
      </c>
      <c r="J655" s="6" t="str">
        <f ca="1">IFERROR(__xludf.DUMMYFUNCTION("""COMPUTED_VALUE"""),"19014")</f>
        <v>19014</v>
      </c>
      <c r="K655" s="6" t="str">
        <f ca="1">IFERROR(__xludf.DUMMYFUNCTION("""COMPUTED_VALUE"""),"خصم 20% علي جميع التحاليل")</f>
        <v>خصم 20% علي جميع التحاليل</v>
      </c>
    </row>
    <row r="656" spans="1:11" x14ac:dyDescent="0.25">
      <c r="A656" s="4" t="str">
        <f ca="1">IFERROR(__xludf.DUMMYFUNCTION("""COMPUTED_VALUE"""),"1897-B")</f>
        <v>1897-B</v>
      </c>
      <c r="B656" s="5" t="str">
        <f ca="1">IFERROR(__xludf.DUMMYFUNCTION("""COMPUTED_VALUE"""),"الإسماعيلية")</f>
        <v>الإسماعيلية</v>
      </c>
      <c r="C656" s="5" t="str">
        <f ca="1">IFERROR(__xludf.DUMMYFUNCTION("""COMPUTED_VALUE"""),"الإسماعيلية")</f>
        <v>الإسماعيلية</v>
      </c>
      <c r="D656" s="5" t="str">
        <f ca="1">IFERROR(__xludf.DUMMYFUNCTION("""COMPUTED_VALUE"""),"معمل")</f>
        <v>معمل</v>
      </c>
      <c r="E656" s="5" t="str">
        <f ca="1">IFERROR(__xludf.DUMMYFUNCTION("""COMPUTED_VALUE"""),"معمل")</f>
        <v>معمل</v>
      </c>
      <c r="F656" s="5" t="str">
        <f ca="1">IFERROR(__xludf.DUMMYFUNCTION("""COMPUTED_VALUE"""),"معمل التحاليل الطبية")</f>
        <v>معمل التحاليل الطبية</v>
      </c>
      <c r="G656" s="5" t="str">
        <f ca="1">IFERROR(__xludf.DUMMYFUNCTION("""COMPUTED_VALUE"""),"معمل المختبر (د. مؤمنة كامل)")</f>
        <v>معمل المختبر (د. مؤمنة كامل)</v>
      </c>
      <c r="H656" s="5" t="str">
        <f ca="1">IFERROR(__xludf.DUMMYFUNCTION("""COMPUTED_VALUE"""),"القنطرة غرب، شارع التحرير، القنطرة - امام موقف البيجوي-الاسماعيلية")</f>
        <v>القنطرة غرب، شارع التحرير، القنطرة - امام موقف البيجوي-الاسماعيلية</v>
      </c>
      <c r="I656" s="6" t="str">
        <f ca="1">IFERROR(__xludf.DUMMYFUNCTION("""COMPUTED_VALUE"""),"01002182359")</f>
        <v>01002182359</v>
      </c>
      <c r="J656" s="6" t="str">
        <f ca="1">IFERROR(__xludf.DUMMYFUNCTION("""COMPUTED_VALUE"""),"19014")</f>
        <v>19014</v>
      </c>
      <c r="K656" s="6" t="str">
        <f ca="1">IFERROR(__xludf.DUMMYFUNCTION("""COMPUTED_VALUE"""),"خصم 20% علي جميع التحاليل")</f>
        <v>خصم 20% علي جميع التحاليل</v>
      </c>
    </row>
    <row r="657" spans="1:11" x14ac:dyDescent="0.25">
      <c r="A657" s="4" t="str">
        <f ca="1">IFERROR(__xludf.DUMMYFUNCTION("""COMPUTED_VALUE"""),"1897-B")</f>
        <v>1897-B</v>
      </c>
      <c r="B657" s="5" t="str">
        <f ca="1">IFERROR(__xludf.DUMMYFUNCTION("""COMPUTED_VALUE"""),"البحر الاحمر")</f>
        <v>البحر الاحمر</v>
      </c>
      <c r="C657" s="5" t="str">
        <f ca="1">IFERROR(__xludf.DUMMYFUNCTION("""COMPUTED_VALUE"""),"الغردقة")</f>
        <v>الغردقة</v>
      </c>
      <c r="D657" s="5" t="str">
        <f ca="1">IFERROR(__xludf.DUMMYFUNCTION("""COMPUTED_VALUE"""),"معمل")</f>
        <v>معمل</v>
      </c>
      <c r="E657" s="5" t="str">
        <f ca="1">IFERROR(__xludf.DUMMYFUNCTION("""COMPUTED_VALUE"""),"معمل")</f>
        <v>معمل</v>
      </c>
      <c r="F657" s="5" t="str">
        <f ca="1">IFERROR(__xludf.DUMMYFUNCTION("""COMPUTED_VALUE"""),"معمل التحاليل الطبية")</f>
        <v>معمل التحاليل الطبية</v>
      </c>
      <c r="G657" s="5" t="str">
        <f ca="1">IFERROR(__xludf.DUMMYFUNCTION("""COMPUTED_VALUE"""),"معمل المختبر (د. مؤمنة كامل)")</f>
        <v>معمل المختبر (د. مؤمنة كامل)</v>
      </c>
      <c r="H657" s="5" t="str">
        <f ca="1">IFERROR(__xludf.DUMMYFUNCTION("""COMPUTED_VALUE"""),"215 شارع النصر – أمام مكتب البريد-الغردقة-البحر الاحمر")</f>
        <v>215 شارع النصر – أمام مكتب البريد-الغردقة-البحر الاحمر</v>
      </c>
      <c r="I657" s="6" t="str">
        <f ca="1">IFERROR(__xludf.DUMMYFUNCTION("""COMPUTED_VALUE"""),"01090011261")</f>
        <v>01090011261</v>
      </c>
      <c r="J657" s="6" t="str">
        <f ca="1">IFERROR(__xludf.DUMMYFUNCTION("""COMPUTED_VALUE"""),"19014")</f>
        <v>19014</v>
      </c>
      <c r="K657" s="6" t="str">
        <f ca="1">IFERROR(__xludf.DUMMYFUNCTION("""COMPUTED_VALUE"""),"خصم 20% علي جميع التحاليل")</f>
        <v>خصم 20% علي جميع التحاليل</v>
      </c>
    </row>
    <row r="658" spans="1:11" x14ac:dyDescent="0.25">
      <c r="A658" s="4" t="str">
        <f ca="1">IFERROR(__xludf.DUMMYFUNCTION("""COMPUTED_VALUE"""),"1897-B")</f>
        <v>1897-B</v>
      </c>
      <c r="B658" s="5" t="str">
        <f ca="1">IFERROR(__xludf.DUMMYFUNCTION("""COMPUTED_VALUE"""),"البحر الاحمر")</f>
        <v>البحر الاحمر</v>
      </c>
      <c r="C658" s="5" t="str">
        <f ca="1">IFERROR(__xludf.DUMMYFUNCTION("""COMPUTED_VALUE"""),"رأس غارب")</f>
        <v>رأس غارب</v>
      </c>
      <c r="D658" s="5" t="str">
        <f ca="1">IFERROR(__xludf.DUMMYFUNCTION("""COMPUTED_VALUE"""),"معمل")</f>
        <v>معمل</v>
      </c>
      <c r="E658" s="5" t="str">
        <f ca="1">IFERROR(__xludf.DUMMYFUNCTION("""COMPUTED_VALUE"""),"معمل")</f>
        <v>معمل</v>
      </c>
      <c r="F658" s="5" t="str">
        <f ca="1">IFERROR(__xludf.DUMMYFUNCTION("""COMPUTED_VALUE"""),"معمل التحاليل الطبية")</f>
        <v>معمل التحاليل الطبية</v>
      </c>
      <c r="G658" s="5" t="str">
        <f ca="1">IFERROR(__xludf.DUMMYFUNCTION("""COMPUTED_VALUE"""),"معمل المختبر (د. مؤمنة كامل)")</f>
        <v>معمل المختبر (د. مؤمنة كامل)</v>
      </c>
      <c r="H658" s="5" t="str">
        <f ca="1">IFERROR(__xludf.DUMMYFUNCTION("""COMPUTED_VALUE"""),"شارع الجنينة - تقاطع شارع الاذاعة -رأس غارب-البحر الاحمر")</f>
        <v>شارع الجنينة - تقاطع شارع الاذاعة -رأس غارب-البحر الاحمر</v>
      </c>
      <c r="I658" s="6" t="str">
        <f ca="1">IFERROR(__xludf.DUMMYFUNCTION("""COMPUTED_VALUE"""),"01012205922")</f>
        <v>01012205922</v>
      </c>
      <c r="J658" s="6" t="str">
        <f ca="1">IFERROR(__xludf.DUMMYFUNCTION("""COMPUTED_VALUE"""),"19014")</f>
        <v>19014</v>
      </c>
      <c r="K658" s="6" t="str">
        <f ca="1">IFERROR(__xludf.DUMMYFUNCTION("""COMPUTED_VALUE"""),"خصم 20% علي جميع التحاليل")</f>
        <v>خصم 20% علي جميع التحاليل</v>
      </c>
    </row>
    <row r="659" spans="1:11" x14ac:dyDescent="0.25">
      <c r="A659" s="4" t="str">
        <f ca="1">IFERROR(__xludf.DUMMYFUNCTION("""COMPUTED_VALUE"""),"103322")</f>
        <v>103322</v>
      </c>
      <c r="B659" s="5" t="str">
        <f ca="1">IFERROR(__xludf.DUMMYFUNCTION("""COMPUTED_VALUE"""),"البحر الاحمر")</f>
        <v>البحر الاحمر</v>
      </c>
      <c r="C659" s="5" t="str">
        <f ca="1">IFERROR(__xludf.DUMMYFUNCTION("""COMPUTED_VALUE"""),"سفاجا")</f>
        <v>سفاجا</v>
      </c>
      <c r="D659" s="5" t="str">
        <f ca="1">IFERROR(__xludf.DUMMYFUNCTION("""COMPUTED_VALUE"""),"معمل")</f>
        <v>معمل</v>
      </c>
      <c r="E659" s="5" t="str">
        <f ca="1">IFERROR(__xludf.DUMMYFUNCTION("""COMPUTED_VALUE"""),"معمل")</f>
        <v>معمل</v>
      </c>
      <c r="F659" s="5" t="str">
        <f ca="1">IFERROR(__xludf.DUMMYFUNCTION("""COMPUTED_VALUE"""),"معمل التحاليل الطبية")</f>
        <v>معمل التحاليل الطبية</v>
      </c>
      <c r="G659" s="5" t="str">
        <f ca="1">IFERROR(__xludf.DUMMYFUNCTION("""COMPUTED_VALUE"""),"معمل النور")</f>
        <v>معمل النور</v>
      </c>
      <c r="H659" s="5" t="str">
        <f ca="1">IFERROR(__xludf.DUMMYFUNCTION("""COMPUTED_VALUE"""),"عمارات الاسكان الشرقي-سفاجا-البحر الاحمر")</f>
        <v>عمارات الاسكان الشرقي-سفاجا-البحر الاحمر</v>
      </c>
      <c r="I659" s="6" t="str">
        <f ca="1">IFERROR(__xludf.DUMMYFUNCTION("""COMPUTED_VALUE"""),"20653250052")</f>
        <v>20653250052</v>
      </c>
      <c r="J659" s="6"/>
      <c r="K659" s="6" t="str">
        <f ca="1">IFERROR(__xludf.DUMMYFUNCTION("""COMPUTED_VALUE"""),"20% علي الاسعار النقدي المعلنه")</f>
        <v>20% علي الاسعار النقدي المعلنه</v>
      </c>
    </row>
    <row r="660" spans="1:11" x14ac:dyDescent="0.25">
      <c r="A660" s="4" t="str">
        <f ca="1">IFERROR(__xludf.DUMMYFUNCTION("""COMPUTED_VALUE"""),"3798-B")</f>
        <v>3798-B</v>
      </c>
      <c r="B660" s="5" t="str">
        <f ca="1">IFERROR(__xludf.DUMMYFUNCTION("""COMPUTED_VALUE"""),"البحيرة")</f>
        <v>البحيرة</v>
      </c>
      <c r="C660" s="5" t="str">
        <f ca="1">IFERROR(__xludf.DUMMYFUNCTION("""COMPUTED_VALUE"""),"ايتاي البارود")</f>
        <v>ايتاي البارود</v>
      </c>
      <c r="D660" s="5" t="str">
        <f ca="1">IFERROR(__xludf.DUMMYFUNCTION("""COMPUTED_VALUE"""),"معمل")</f>
        <v>معمل</v>
      </c>
      <c r="E660" s="5" t="str">
        <f ca="1">IFERROR(__xludf.DUMMYFUNCTION("""COMPUTED_VALUE"""),"معمل")</f>
        <v>معمل</v>
      </c>
      <c r="F660" s="5" t="str">
        <f ca="1">IFERROR(__xludf.DUMMYFUNCTION("""COMPUTED_VALUE"""),"معمل التحاليل الطبية")</f>
        <v>معمل التحاليل الطبية</v>
      </c>
      <c r="G660" s="5" t="str">
        <f ca="1">IFERROR(__xludf.DUMMYFUNCTION("""COMPUTED_VALUE"""),"معمل الدكتورة/ أمينة حساب")</f>
        <v>معمل الدكتورة/ أمينة حساب</v>
      </c>
      <c r="H660" s="5" t="str">
        <f ca="1">IFERROR(__xludf.DUMMYFUNCTION("""COMPUTED_VALUE"""),"شارع رمسيس - بجوار صيدلية النجار- ميدان الجامعة - عمارة الجمعية رقم (3) - ايتاي البارود-البحيرة")</f>
        <v>شارع رمسيس - بجوار صيدلية النجار- ميدان الجامعة - عمارة الجمعية رقم (3) - ايتاي البارود-البحيرة</v>
      </c>
      <c r="I660" s="6" t="str">
        <f ca="1">IFERROR(__xludf.DUMMYFUNCTION("""COMPUTED_VALUE"""),"20453433099")</f>
        <v>20453433099</v>
      </c>
      <c r="J660" s="6" t="str">
        <f ca="1">IFERROR(__xludf.DUMMYFUNCTION("""COMPUTED_VALUE"""),"16987")</f>
        <v>16987</v>
      </c>
      <c r="K660" s="6" t="str">
        <f ca="1">IFERROR(__xludf.DUMMYFUNCTION("""COMPUTED_VALUE"""),"30% على جميع الخدمات         ")</f>
        <v xml:space="preserve">30% على جميع الخدمات         </v>
      </c>
    </row>
    <row r="661" spans="1:11" x14ac:dyDescent="0.25">
      <c r="A661" s="4" t="str">
        <f ca="1">IFERROR(__xludf.DUMMYFUNCTION("""COMPUTED_VALUE"""),"1897-B")</f>
        <v>1897-B</v>
      </c>
      <c r="B661" s="5" t="str">
        <f ca="1">IFERROR(__xludf.DUMMYFUNCTION("""COMPUTED_VALUE"""),"البحيرة")</f>
        <v>البحيرة</v>
      </c>
      <c r="C661" s="5" t="str">
        <f ca="1">IFERROR(__xludf.DUMMYFUNCTION("""COMPUTED_VALUE"""),"ايتاي البارود")</f>
        <v>ايتاي البارود</v>
      </c>
      <c r="D661" s="5" t="str">
        <f ca="1">IFERROR(__xludf.DUMMYFUNCTION("""COMPUTED_VALUE"""),"معمل")</f>
        <v>معمل</v>
      </c>
      <c r="E661" s="5" t="str">
        <f ca="1">IFERROR(__xludf.DUMMYFUNCTION("""COMPUTED_VALUE"""),"معمل")</f>
        <v>معمل</v>
      </c>
      <c r="F661" s="5" t="str">
        <f ca="1">IFERROR(__xludf.DUMMYFUNCTION("""COMPUTED_VALUE"""),"معمل التحاليل الطبية")</f>
        <v>معمل التحاليل الطبية</v>
      </c>
      <c r="G661" s="5" t="str">
        <f ca="1">IFERROR(__xludf.DUMMYFUNCTION("""COMPUTED_VALUE"""),"معمل المختبر (د. مؤمنة كامل)")</f>
        <v>معمل المختبر (د. مؤمنة كامل)</v>
      </c>
      <c r="H661" s="5" t="str">
        <f ca="1">IFERROR(__xludf.DUMMYFUNCTION("""COMPUTED_VALUE"""),"شارع مجلس المدينة تقاطع المركز الاسلامي-ايتاي البارود-البحيرة")</f>
        <v>شارع مجلس المدينة تقاطع المركز الاسلامي-ايتاي البارود-البحيرة</v>
      </c>
      <c r="I661" s="6" t="str">
        <f ca="1">IFERROR(__xludf.DUMMYFUNCTION("""COMPUTED_VALUE"""),"01002151483")</f>
        <v>01002151483</v>
      </c>
      <c r="J661" s="6" t="str">
        <f ca="1">IFERROR(__xludf.DUMMYFUNCTION("""COMPUTED_VALUE"""),"19014")</f>
        <v>19014</v>
      </c>
      <c r="K661" s="6" t="str">
        <f ca="1">IFERROR(__xludf.DUMMYFUNCTION("""COMPUTED_VALUE"""),"خصم 20% علي جميع التحاليل")</f>
        <v>خصم 20% علي جميع التحاليل</v>
      </c>
    </row>
    <row r="662" spans="1:11" x14ac:dyDescent="0.25">
      <c r="A662" s="4" t="str">
        <f ca="1">IFERROR(__xludf.DUMMYFUNCTION("""COMPUTED_VALUE"""),"3798-B")</f>
        <v>3798-B</v>
      </c>
      <c r="B662" s="5" t="str">
        <f ca="1">IFERROR(__xludf.DUMMYFUNCTION("""COMPUTED_VALUE"""),"البحيرة")</f>
        <v>البحيرة</v>
      </c>
      <c r="C662" s="5" t="str">
        <f ca="1">IFERROR(__xludf.DUMMYFUNCTION("""COMPUTED_VALUE"""),"دمنهور")</f>
        <v>دمنهور</v>
      </c>
      <c r="D662" s="5" t="str">
        <f ca="1">IFERROR(__xludf.DUMMYFUNCTION("""COMPUTED_VALUE"""),"معمل")</f>
        <v>معمل</v>
      </c>
      <c r="E662" s="5" t="str">
        <f ca="1">IFERROR(__xludf.DUMMYFUNCTION("""COMPUTED_VALUE"""),"معمل")</f>
        <v>معمل</v>
      </c>
      <c r="F662" s="5" t="str">
        <f ca="1">IFERROR(__xludf.DUMMYFUNCTION("""COMPUTED_VALUE"""),"معمل التحاليل الطبية")</f>
        <v>معمل التحاليل الطبية</v>
      </c>
      <c r="G662" s="5" t="str">
        <f ca="1">IFERROR(__xludf.DUMMYFUNCTION("""COMPUTED_VALUE"""),"معمل الدكتورة/ أمينة حساب")</f>
        <v>معمل الدكتورة/ أمينة حساب</v>
      </c>
      <c r="H662" s="5" t="str">
        <f ca="1">IFERROR(__xludf.DUMMYFUNCTION("""COMPUTED_VALUE"""),"أرض الميرى برج الأطباء-دمنهور-البحيرة")</f>
        <v>أرض الميرى برج الأطباء-دمنهور-البحيرة</v>
      </c>
      <c r="I662" s="6" t="str">
        <f ca="1">IFERROR(__xludf.DUMMYFUNCTION("""COMPUTED_VALUE"""),"20453293091")</f>
        <v>20453293091</v>
      </c>
      <c r="J662" s="6" t="str">
        <f ca="1">IFERROR(__xludf.DUMMYFUNCTION("""COMPUTED_VALUE"""),"16987")</f>
        <v>16987</v>
      </c>
      <c r="K662" s="6" t="str">
        <f ca="1">IFERROR(__xludf.DUMMYFUNCTION("""COMPUTED_VALUE"""),"30% على جميع الخدمات         ")</f>
        <v xml:space="preserve">30% على جميع الخدمات         </v>
      </c>
    </row>
    <row r="663" spans="1:11" x14ac:dyDescent="0.25">
      <c r="A663" s="4" t="str">
        <f ca="1">IFERROR(__xludf.DUMMYFUNCTION("""COMPUTED_VALUE"""),"1897-B")</f>
        <v>1897-B</v>
      </c>
      <c r="B663" s="5" t="str">
        <f ca="1">IFERROR(__xludf.DUMMYFUNCTION("""COMPUTED_VALUE"""),"البحيرة")</f>
        <v>البحيرة</v>
      </c>
      <c r="C663" s="5" t="str">
        <f ca="1">IFERROR(__xludf.DUMMYFUNCTION("""COMPUTED_VALUE"""),"دمنهور")</f>
        <v>دمنهور</v>
      </c>
      <c r="D663" s="5" t="str">
        <f ca="1">IFERROR(__xludf.DUMMYFUNCTION("""COMPUTED_VALUE"""),"معمل")</f>
        <v>معمل</v>
      </c>
      <c r="E663" s="5" t="str">
        <f ca="1">IFERROR(__xludf.DUMMYFUNCTION("""COMPUTED_VALUE"""),"معمل")</f>
        <v>معمل</v>
      </c>
      <c r="F663" s="5" t="str">
        <f ca="1">IFERROR(__xludf.DUMMYFUNCTION("""COMPUTED_VALUE"""),"معمل التحاليل الطبية")</f>
        <v>معمل التحاليل الطبية</v>
      </c>
      <c r="G663" s="5" t="str">
        <f ca="1">IFERROR(__xludf.DUMMYFUNCTION("""COMPUTED_VALUE"""),"معمل المختبر (د. مؤمنة كامل)")</f>
        <v>معمل المختبر (د. مؤمنة كامل)</v>
      </c>
      <c r="H663" s="5" t="str">
        <f ca="1">IFERROR(__xludf.DUMMYFUNCTION("""COMPUTED_VALUE"""),"شارع أحمد محرم، برج السرج - امام مباحث امن الدولة، دمنهور - البحيرة.")</f>
        <v>شارع أحمد محرم، برج السرج - امام مباحث امن الدولة، دمنهور - البحيرة.</v>
      </c>
      <c r="I663" s="6" t="str">
        <f ca="1">IFERROR(__xludf.DUMMYFUNCTION("""COMPUTED_VALUE"""),"01090011243")</f>
        <v>01090011243</v>
      </c>
      <c r="J663" s="6" t="str">
        <f ca="1">IFERROR(__xludf.DUMMYFUNCTION("""COMPUTED_VALUE"""),"19014")</f>
        <v>19014</v>
      </c>
      <c r="K663" s="6" t="str">
        <f ca="1">IFERROR(__xludf.DUMMYFUNCTION("""COMPUTED_VALUE"""),"خصم 20% علي جميع التحاليل")</f>
        <v>خصم 20% علي جميع التحاليل</v>
      </c>
    </row>
    <row r="664" spans="1:11" x14ac:dyDescent="0.25">
      <c r="A664" s="4" t="str">
        <f ca="1">IFERROR(__xludf.DUMMYFUNCTION("""COMPUTED_VALUE"""),"3798-B")</f>
        <v>3798-B</v>
      </c>
      <c r="B664" s="5" t="str">
        <f ca="1">IFERROR(__xludf.DUMMYFUNCTION("""COMPUTED_VALUE"""),"البحيرة")</f>
        <v>البحيرة</v>
      </c>
      <c r="C664" s="5" t="str">
        <f ca="1">IFERROR(__xludf.DUMMYFUNCTION("""COMPUTED_VALUE"""),"كفر الدوار")</f>
        <v>كفر الدوار</v>
      </c>
      <c r="D664" s="5" t="str">
        <f ca="1">IFERROR(__xludf.DUMMYFUNCTION("""COMPUTED_VALUE"""),"معمل")</f>
        <v>معمل</v>
      </c>
      <c r="E664" s="5" t="str">
        <f ca="1">IFERROR(__xludf.DUMMYFUNCTION("""COMPUTED_VALUE"""),"معمل")</f>
        <v>معمل</v>
      </c>
      <c r="F664" s="5" t="str">
        <f ca="1">IFERROR(__xludf.DUMMYFUNCTION("""COMPUTED_VALUE"""),"معمل التحاليل الطبية")</f>
        <v>معمل التحاليل الطبية</v>
      </c>
      <c r="G664" s="5" t="str">
        <f ca="1">IFERROR(__xludf.DUMMYFUNCTION("""COMPUTED_VALUE"""),"معمل الدكتورة/ أمينة حساب")</f>
        <v>معمل الدكتورة/ أمينة حساب</v>
      </c>
      <c r="H664" s="5" t="str">
        <f ca="1">IFERROR(__xludf.DUMMYFUNCTION("""COMPUTED_VALUE"""),"برج الصفا أعلى عمر أفندى-كفر الدوار-البحيرة")</f>
        <v>برج الصفا أعلى عمر أفندى-كفر الدوار-البحيرة</v>
      </c>
      <c r="I664" s="6" t="str">
        <f ca="1">IFERROR(__xludf.DUMMYFUNCTION("""COMPUTED_VALUE"""),"20452222844")</f>
        <v>20452222844</v>
      </c>
      <c r="J664" s="6" t="str">
        <f ca="1">IFERROR(__xludf.DUMMYFUNCTION("""COMPUTED_VALUE"""),"16987")</f>
        <v>16987</v>
      </c>
      <c r="K664" s="6" t="str">
        <f ca="1">IFERROR(__xludf.DUMMYFUNCTION("""COMPUTED_VALUE"""),"30% على جميع الخدمات         ")</f>
        <v xml:space="preserve">30% على جميع الخدمات         </v>
      </c>
    </row>
    <row r="665" spans="1:11" x14ac:dyDescent="0.25">
      <c r="A665" s="4" t="str">
        <f ca="1">IFERROR(__xludf.DUMMYFUNCTION("""COMPUTED_VALUE"""),"1897-B")</f>
        <v>1897-B</v>
      </c>
      <c r="B665" s="5" t="str">
        <f ca="1">IFERROR(__xludf.DUMMYFUNCTION("""COMPUTED_VALUE"""),"البحيرة")</f>
        <v>البحيرة</v>
      </c>
      <c r="C665" s="5" t="str">
        <f ca="1">IFERROR(__xludf.DUMMYFUNCTION("""COMPUTED_VALUE"""),"كفر الدوار")</f>
        <v>كفر الدوار</v>
      </c>
      <c r="D665" s="5" t="str">
        <f ca="1">IFERROR(__xludf.DUMMYFUNCTION("""COMPUTED_VALUE"""),"معمل")</f>
        <v>معمل</v>
      </c>
      <c r="E665" s="5" t="str">
        <f ca="1">IFERROR(__xludf.DUMMYFUNCTION("""COMPUTED_VALUE"""),"معمل")</f>
        <v>معمل</v>
      </c>
      <c r="F665" s="5" t="str">
        <f ca="1">IFERROR(__xludf.DUMMYFUNCTION("""COMPUTED_VALUE"""),"معمل التحاليل الطبية")</f>
        <v>معمل التحاليل الطبية</v>
      </c>
      <c r="G665" s="5" t="str">
        <f ca="1">IFERROR(__xludf.DUMMYFUNCTION("""COMPUTED_VALUE"""),"معمل المختبر (د. مؤمنة كامل)")</f>
        <v>معمل المختبر (د. مؤمنة كامل)</v>
      </c>
      <c r="H665" s="5" t="str">
        <f ca="1">IFERROR(__xludf.DUMMYFUNCTION("""COMPUTED_VALUE"""),"برج زمزم - شارع أحمد عرابي-كفر الدوار-البحيرة")</f>
        <v>برج زمزم - شارع أحمد عرابي-كفر الدوار-البحيرة</v>
      </c>
      <c r="I665" s="6" t="str">
        <f ca="1">IFERROR(__xludf.DUMMYFUNCTION("""COMPUTED_VALUE"""),"01002147710")</f>
        <v>01002147710</v>
      </c>
      <c r="J665" s="6" t="str">
        <f ca="1">IFERROR(__xludf.DUMMYFUNCTION("""COMPUTED_VALUE"""),"19014")</f>
        <v>19014</v>
      </c>
      <c r="K665" s="6" t="str">
        <f ca="1">IFERROR(__xludf.DUMMYFUNCTION("""COMPUTED_VALUE"""),"خصم 20% علي جميع التحاليل")</f>
        <v>خصم 20% علي جميع التحاليل</v>
      </c>
    </row>
    <row r="666" spans="1:11" x14ac:dyDescent="0.25">
      <c r="A666" s="4" t="str">
        <f ca="1">IFERROR(__xludf.DUMMYFUNCTION("""COMPUTED_VALUE"""),"103271")</f>
        <v>103271</v>
      </c>
      <c r="B666" s="5" t="str">
        <f ca="1">IFERROR(__xludf.DUMMYFUNCTION("""COMPUTED_VALUE"""),"البحيرة")</f>
        <v>البحيرة</v>
      </c>
      <c r="C666" s="5" t="str">
        <f ca="1">IFERROR(__xludf.DUMMYFUNCTION("""COMPUTED_VALUE"""),"كوم حمادة")</f>
        <v>كوم حمادة</v>
      </c>
      <c r="D666" s="5" t="str">
        <f ca="1">IFERROR(__xludf.DUMMYFUNCTION("""COMPUTED_VALUE"""),"معمل")</f>
        <v>معمل</v>
      </c>
      <c r="E666" s="5" t="str">
        <f ca="1">IFERROR(__xludf.DUMMYFUNCTION("""COMPUTED_VALUE"""),"معمل")</f>
        <v>معمل</v>
      </c>
      <c r="F666" s="5" t="str">
        <f ca="1">IFERROR(__xludf.DUMMYFUNCTION("""COMPUTED_VALUE"""),"معمل التحاليل الطبية")</f>
        <v>معمل التحاليل الطبية</v>
      </c>
      <c r="G666" s="5" t="str">
        <f ca="1">IFERROR(__xludf.DUMMYFUNCTION("""COMPUTED_VALUE"""),"معمل المختبر المركزي")</f>
        <v>معمل المختبر المركزي</v>
      </c>
      <c r="H666" s="5" t="str">
        <f ca="1">IFERROR(__xludf.DUMMYFUNCTION("""COMPUTED_VALUE"""),"شارع التحريربجوار بنك مصراعلى ستوديو الصياد-كوم حمادة-البحيرة")</f>
        <v>شارع التحريربجوار بنك مصراعلى ستوديو الصياد-كوم حمادة-البحيرة</v>
      </c>
      <c r="I666" s="6" t="str">
        <f ca="1">IFERROR(__xludf.DUMMYFUNCTION("""COMPUTED_VALUE"""),"20459111960")</f>
        <v>20459111960</v>
      </c>
      <c r="J666" s="6"/>
      <c r="K666" s="6" t="str">
        <f ca="1">IFERROR(__xludf.DUMMYFUNCTION("""COMPUTED_VALUE"""),"نقابه 2016")</f>
        <v>نقابه 2016</v>
      </c>
    </row>
    <row r="667" spans="1:11" x14ac:dyDescent="0.25">
      <c r="A667" s="4" t="str">
        <f ca="1">IFERROR(__xludf.DUMMYFUNCTION("""COMPUTED_VALUE"""),"1897-B")</f>
        <v>1897-B</v>
      </c>
      <c r="B667" s="5" t="str">
        <f ca="1">IFERROR(__xludf.DUMMYFUNCTION("""COMPUTED_VALUE"""),"الجيزة")</f>
        <v>الجيزة</v>
      </c>
      <c r="C667" s="5" t="str">
        <f ca="1">IFERROR(__xludf.DUMMYFUNCTION("""COMPUTED_VALUE"""),"العياط")</f>
        <v>العياط</v>
      </c>
      <c r="D667" s="5" t="str">
        <f ca="1">IFERROR(__xludf.DUMMYFUNCTION("""COMPUTED_VALUE"""),"معمل")</f>
        <v>معمل</v>
      </c>
      <c r="E667" s="5" t="str">
        <f ca="1">IFERROR(__xludf.DUMMYFUNCTION("""COMPUTED_VALUE"""),"معمل")</f>
        <v>معمل</v>
      </c>
      <c r="F667" s="5" t="str">
        <f ca="1">IFERROR(__xludf.DUMMYFUNCTION("""COMPUTED_VALUE"""),"معمل التحاليل الطبية")</f>
        <v>معمل التحاليل الطبية</v>
      </c>
      <c r="G667" s="5" t="str">
        <f ca="1">IFERROR(__xludf.DUMMYFUNCTION("""COMPUTED_VALUE"""),"معمل المختبر (د. مؤمنة كامل)")</f>
        <v>معمل المختبر (د. مؤمنة كامل)</v>
      </c>
      <c r="H667" s="5" t="str">
        <f ca="1">IFERROR(__xludf.DUMMYFUNCTION("""COMPUTED_VALUE"""),"7ش المنتزه من ش الجيش بجوار شرطة العياط -العياط - الجيزة")</f>
        <v>7ش المنتزه من ش الجيش بجوار شرطة العياط -العياط - الجيزة</v>
      </c>
      <c r="I667" s="6" t="str">
        <f ca="1">IFERROR(__xludf.DUMMYFUNCTION("""COMPUTED_VALUE"""),"01015003371
")</f>
        <v xml:space="preserve">01015003371
</v>
      </c>
      <c r="J667" s="6" t="str">
        <f ca="1">IFERROR(__xludf.DUMMYFUNCTION("""COMPUTED_VALUE"""),"19014")</f>
        <v>19014</v>
      </c>
      <c r="K667" s="6" t="str">
        <f ca="1">IFERROR(__xludf.DUMMYFUNCTION("""COMPUTED_VALUE"""),"خصم 20% علي جميع التحاليل")</f>
        <v>خصم 20% علي جميع التحاليل</v>
      </c>
    </row>
    <row r="668" spans="1:11" x14ac:dyDescent="0.25">
      <c r="A668" s="4" t="str">
        <f ca="1">IFERROR(__xludf.DUMMYFUNCTION("""COMPUTED_VALUE"""),"1897-B")</f>
        <v>1897-B</v>
      </c>
      <c r="B668" s="5" t="str">
        <f ca="1">IFERROR(__xludf.DUMMYFUNCTION("""COMPUTED_VALUE"""),"الدقهلية")</f>
        <v>الدقهلية</v>
      </c>
      <c r="C668" s="5" t="str">
        <f ca="1">IFERROR(__xludf.DUMMYFUNCTION("""COMPUTED_VALUE"""),"السنبلاوين")</f>
        <v>السنبلاوين</v>
      </c>
      <c r="D668" s="5" t="str">
        <f ca="1">IFERROR(__xludf.DUMMYFUNCTION("""COMPUTED_VALUE"""),"معمل")</f>
        <v>معمل</v>
      </c>
      <c r="E668" s="5" t="str">
        <f ca="1">IFERROR(__xludf.DUMMYFUNCTION("""COMPUTED_VALUE"""),"معمل")</f>
        <v>معمل</v>
      </c>
      <c r="F668" s="5" t="str">
        <f ca="1">IFERROR(__xludf.DUMMYFUNCTION("""COMPUTED_VALUE"""),"معمل التحاليل الطبية")</f>
        <v>معمل التحاليل الطبية</v>
      </c>
      <c r="G668" s="5" t="str">
        <f ca="1">IFERROR(__xludf.DUMMYFUNCTION("""COMPUTED_VALUE"""),"معمل المختبر (د. مؤمنة كامل)")</f>
        <v>معمل المختبر (د. مؤمنة كامل)</v>
      </c>
      <c r="H668" s="5" t="str">
        <f ca="1">IFERROR(__xludf.DUMMYFUNCTION("""COMPUTED_VALUE"""),"تقاطع ش الشهيد احمد عبدالعزيز وش الجيش المصرى - السنبلاوين - الدقهلية")</f>
        <v>تقاطع ش الشهيد احمد عبدالعزيز وش الجيش المصرى - السنبلاوين - الدقهلية</v>
      </c>
      <c r="I668" s="6" t="str">
        <f ca="1">IFERROR(__xludf.DUMMYFUNCTION("""COMPUTED_VALUE"""),"01020900897")</f>
        <v>01020900897</v>
      </c>
      <c r="J668" s="6" t="str">
        <f ca="1">IFERROR(__xludf.DUMMYFUNCTION("""COMPUTED_VALUE"""),"19014")</f>
        <v>19014</v>
      </c>
      <c r="K668" s="6" t="str">
        <f ca="1">IFERROR(__xludf.DUMMYFUNCTION("""COMPUTED_VALUE"""),"خصم 20% علي جميع التحاليل")</f>
        <v>خصم 20% علي جميع التحاليل</v>
      </c>
    </row>
    <row r="669" spans="1:11" x14ac:dyDescent="0.25">
      <c r="A669" s="4" t="str">
        <f ca="1">IFERROR(__xludf.DUMMYFUNCTION("""COMPUTED_VALUE"""),"1897-B")</f>
        <v>1897-B</v>
      </c>
      <c r="B669" s="5" t="str">
        <f ca="1">IFERROR(__xludf.DUMMYFUNCTION("""COMPUTED_VALUE"""),"الدقهلية")</f>
        <v>الدقهلية</v>
      </c>
      <c r="C669" s="5" t="str">
        <f ca="1">IFERROR(__xludf.DUMMYFUNCTION("""COMPUTED_VALUE"""),"المنصورة")</f>
        <v>المنصورة</v>
      </c>
      <c r="D669" s="5" t="str">
        <f ca="1">IFERROR(__xludf.DUMMYFUNCTION("""COMPUTED_VALUE"""),"معمل")</f>
        <v>معمل</v>
      </c>
      <c r="E669" s="5" t="str">
        <f ca="1">IFERROR(__xludf.DUMMYFUNCTION("""COMPUTED_VALUE"""),"معمل")</f>
        <v>معمل</v>
      </c>
      <c r="F669" s="5" t="str">
        <f ca="1">IFERROR(__xludf.DUMMYFUNCTION("""COMPUTED_VALUE"""),"معمل التحاليل الطبية")</f>
        <v>معمل التحاليل الطبية</v>
      </c>
      <c r="G669" s="5" t="str">
        <f ca="1">IFERROR(__xludf.DUMMYFUNCTION("""COMPUTED_VALUE"""),"معمل المختبر (د. مؤمنة كامل)")</f>
        <v>معمل المختبر (د. مؤمنة كامل)</v>
      </c>
      <c r="H669" s="5" t="str">
        <f ca="1">IFERROR(__xludf.DUMMYFUNCTION("""COMPUTED_VALUE"""),"5شارع عاطف المنجى من شارع الجمهورية امام السلاب-المنصورة-الدقهلية")</f>
        <v>5شارع عاطف المنجى من شارع الجمهورية امام السلاب-المنصورة-الدقهلية</v>
      </c>
      <c r="I669" s="6" t="str">
        <f ca="1">IFERROR(__xludf.DUMMYFUNCTION("""COMPUTED_VALUE"""),"01090011298")</f>
        <v>01090011298</v>
      </c>
      <c r="J669" s="6" t="str">
        <f ca="1">IFERROR(__xludf.DUMMYFUNCTION("""COMPUTED_VALUE"""),"19014")</f>
        <v>19014</v>
      </c>
      <c r="K669" s="6" t="str">
        <f ca="1">IFERROR(__xludf.DUMMYFUNCTION("""COMPUTED_VALUE"""),"خصم 20% علي جميع التحاليل")</f>
        <v>خصم 20% علي جميع التحاليل</v>
      </c>
    </row>
    <row r="670" spans="1:11" x14ac:dyDescent="0.25">
      <c r="A670" s="4" t="str">
        <f ca="1">IFERROR(__xludf.DUMMYFUNCTION("""COMPUTED_VALUE"""),"1897-B")</f>
        <v>1897-B</v>
      </c>
      <c r="B670" s="5" t="str">
        <f ca="1">IFERROR(__xludf.DUMMYFUNCTION("""COMPUTED_VALUE"""),"الدقهلية")</f>
        <v>الدقهلية</v>
      </c>
      <c r="C670" s="5" t="str">
        <f ca="1">IFERROR(__xludf.DUMMYFUNCTION("""COMPUTED_VALUE"""),"المنصورة")</f>
        <v>المنصورة</v>
      </c>
      <c r="D670" s="5" t="str">
        <f ca="1">IFERROR(__xludf.DUMMYFUNCTION("""COMPUTED_VALUE"""),"معمل")</f>
        <v>معمل</v>
      </c>
      <c r="E670" s="5" t="str">
        <f ca="1">IFERROR(__xludf.DUMMYFUNCTION("""COMPUTED_VALUE"""),"معمل")</f>
        <v>معمل</v>
      </c>
      <c r="F670" s="5" t="str">
        <f ca="1">IFERROR(__xludf.DUMMYFUNCTION("""COMPUTED_VALUE"""),"معمل التحاليل الطبية")</f>
        <v>معمل التحاليل الطبية</v>
      </c>
      <c r="G670" s="5" t="str">
        <f ca="1">IFERROR(__xludf.DUMMYFUNCTION("""COMPUTED_VALUE"""),"معمل المختبر (د. مؤمنة كامل)")</f>
        <v>معمل المختبر (د. مؤمنة كامل)</v>
      </c>
      <c r="H670" s="5" t="str">
        <f ca="1">IFERROR(__xludf.DUMMYFUNCTION("""COMPUTED_VALUE"""),"شارع الجمهورية - عمارة النادى اليونانى - بجوار بنك مصر-المنصورة-الدقهلية")</f>
        <v>شارع الجمهورية - عمارة النادى اليونانى - بجوار بنك مصر-المنصورة-الدقهلية</v>
      </c>
      <c r="I670" s="6" t="str">
        <f ca="1">IFERROR(__xludf.DUMMYFUNCTION("""COMPUTED_VALUE"""),"01090011206")</f>
        <v>01090011206</v>
      </c>
      <c r="J670" s="6" t="str">
        <f ca="1">IFERROR(__xludf.DUMMYFUNCTION("""COMPUTED_VALUE"""),"19014")</f>
        <v>19014</v>
      </c>
      <c r="K670" s="6" t="str">
        <f ca="1">IFERROR(__xludf.DUMMYFUNCTION("""COMPUTED_VALUE"""),"خصم 20% علي جميع التحاليل")</f>
        <v>خصم 20% علي جميع التحاليل</v>
      </c>
    </row>
    <row r="671" spans="1:11" x14ac:dyDescent="0.25">
      <c r="A671" s="4" t="str">
        <f ca="1">IFERROR(__xludf.DUMMYFUNCTION("""COMPUTED_VALUE"""),"1897-B")</f>
        <v>1897-B</v>
      </c>
      <c r="B671" s="5" t="str">
        <f ca="1">IFERROR(__xludf.DUMMYFUNCTION("""COMPUTED_VALUE"""),"الدقهلية")</f>
        <v>الدقهلية</v>
      </c>
      <c r="C671" s="5" t="str">
        <f ca="1">IFERROR(__xludf.DUMMYFUNCTION("""COMPUTED_VALUE"""),"المنصورة")</f>
        <v>المنصورة</v>
      </c>
      <c r="D671" s="5" t="str">
        <f ca="1">IFERROR(__xludf.DUMMYFUNCTION("""COMPUTED_VALUE"""),"معمل")</f>
        <v>معمل</v>
      </c>
      <c r="E671" s="5" t="str">
        <f ca="1">IFERROR(__xludf.DUMMYFUNCTION("""COMPUTED_VALUE"""),"معمل")</f>
        <v>معمل</v>
      </c>
      <c r="F671" s="5" t="str">
        <f ca="1">IFERROR(__xludf.DUMMYFUNCTION("""COMPUTED_VALUE"""),"معمل التحاليل الطبية")</f>
        <v>معمل التحاليل الطبية</v>
      </c>
      <c r="G671" s="5" t="str">
        <f ca="1">IFERROR(__xludf.DUMMYFUNCTION("""COMPUTED_VALUE"""),"معمل المختبر (د. مؤمنة كامل)")</f>
        <v>معمل المختبر (د. مؤمنة كامل)</v>
      </c>
      <c r="H671" s="5" t="str">
        <f ca="1">IFERROR(__xludf.DUMMYFUNCTION("""COMPUTED_VALUE"""),"شارع الجيش أعلي بنك أبو ظبي الوطني - برج المحافظة-المنصورة-الدقهلية")</f>
        <v>شارع الجيش أعلي بنك أبو ظبي الوطني - برج المحافظة-المنصورة-الدقهلية</v>
      </c>
      <c r="I671" s="6" t="str">
        <f ca="1">IFERROR(__xludf.DUMMYFUNCTION("""COMPUTED_VALUE"""),"01090011227")</f>
        <v>01090011227</v>
      </c>
      <c r="J671" s="6" t="str">
        <f ca="1">IFERROR(__xludf.DUMMYFUNCTION("""COMPUTED_VALUE"""),"19014")</f>
        <v>19014</v>
      </c>
      <c r="K671" s="6" t="str">
        <f ca="1">IFERROR(__xludf.DUMMYFUNCTION("""COMPUTED_VALUE"""),"خصم 20% علي جميع التحاليل")</f>
        <v>خصم 20% علي جميع التحاليل</v>
      </c>
    </row>
    <row r="672" spans="1:11" x14ac:dyDescent="0.25">
      <c r="A672" s="4" t="str">
        <f ca="1">IFERROR(__xludf.DUMMYFUNCTION("""COMPUTED_VALUE"""),"1897-B")</f>
        <v>1897-B</v>
      </c>
      <c r="B672" s="5" t="str">
        <f ca="1">IFERROR(__xludf.DUMMYFUNCTION("""COMPUTED_VALUE"""),"الدقهلية")</f>
        <v>الدقهلية</v>
      </c>
      <c r="C672" s="5" t="str">
        <f ca="1">IFERROR(__xludf.DUMMYFUNCTION("""COMPUTED_VALUE"""),"بلقاس")</f>
        <v>بلقاس</v>
      </c>
      <c r="D672" s="5" t="str">
        <f ca="1">IFERROR(__xludf.DUMMYFUNCTION("""COMPUTED_VALUE"""),"معمل")</f>
        <v>معمل</v>
      </c>
      <c r="E672" s="5" t="str">
        <f ca="1">IFERROR(__xludf.DUMMYFUNCTION("""COMPUTED_VALUE"""),"معمل")</f>
        <v>معمل</v>
      </c>
      <c r="F672" s="5" t="str">
        <f ca="1">IFERROR(__xludf.DUMMYFUNCTION("""COMPUTED_VALUE"""),"معمل التحاليل الطبية")</f>
        <v>معمل التحاليل الطبية</v>
      </c>
      <c r="G672" s="5" t="str">
        <f ca="1">IFERROR(__xludf.DUMMYFUNCTION("""COMPUTED_VALUE"""),"معمل المختبر (د. مؤمنة كامل)")</f>
        <v>معمل المختبر (د. مؤمنة كامل)</v>
      </c>
      <c r="H672" s="5" t="str">
        <f ca="1">IFERROR(__xludf.DUMMYFUNCTION("""COMPUTED_VALUE"""),"شارع الحرية طريق ابو رجيلة برج ابو سالم - امام المصرف المتحد وبنك مصر - الدقهلية")</f>
        <v>شارع الحرية طريق ابو رجيلة برج ابو سالم - امام المصرف المتحد وبنك مصر - الدقهلية</v>
      </c>
      <c r="I672" s="6" t="str">
        <f ca="1">IFERROR(__xludf.DUMMYFUNCTION("""COMPUTED_VALUE"""),"01012225273")</f>
        <v>01012225273</v>
      </c>
      <c r="J672" s="6" t="str">
        <f ca="1">IFERROR(__xludf.DUMMYFUNCTION("""COMPUTED_VALUE"""),"19014")</f>
        <v>19014</v>
      </c>
      <c r="K672" s="6" t="str">
        <f ca="1">IFERROR(__xludf.DUMMYFUNCTION("""COMPUTED_VALUE"""),"خصم 20% علي جميع التحاليل")</f>
        <v>خصم 20% علي جميع التحاليل</v>
      </c>
    </row>
    <row r="673" spans="1:11" x14ac:dyDescent="0.25">
      <c r="A673" s="4" t="str">
        <f ca="1">IFERROR(__xludf.DUMMYFUNCTION("""COMPUTED_VALUE"""),"1897-B")</f>
        <v>1897-B</v>
      </c>
      <c r="B673" s="5" t="str">
        <f ca="1">IFERROR(__xludf.DUMMYFUNCTION("""COMPUTED_VALUE"""),"الدقهلية")</f>
        <v>الدقهلية</v>
      </c>
      <c r="C673" s="5" t="str">
        <f ca="1">IFERROR(__xludf.DUMMYFUNCTION("""COMPUTED_VALUE"""),"دكرنس")</f>
        <v>دكرنس</v>
      </c>
      <c r="D673" s="5" t="str">
        <f ca="1">IFERROR(__xludf.DUMMYFUNCTION("""COMPUTED_VALUE"""),"معمل")</f>
        <v>معمل</v>
      </c>
      <c r="E673" s="5" t="str">
        <f ca="1">IFERROR(__xludf.DUMMYFUNCTION("""COMPUTED_VALUE"""),"معمل")</f>
        <v>معمل</v>
      </c>
      <c r="F673" s="5" t="str">
        <f ca="1">IFERROR(__xludf.DUMMYFUNCTION("""COMPUTED_VALUE"""),"معمل التحاليل الطبية")</f>
        <v>معمل التحاليل الطبية</v>
      </c>
      <c r="G673" s="5" t="str">
        <f ca="1">IFERROR(__xludf.DUMMYFUNCTION("""COMPUTED_VALUE"""),"معمل المختبر (د. مؤمنة كامل)")</f>
        <v>معمل المختبر (د. مؤمنة كامل)</v>
      </c>
      <c r="H673" s="5" t="str">
        <f ca="1">IFERROR(__xludf.DUMMYFUNCTION("""COMPUTED_VALUE"""),"برج الامراء - دكرنس - بجوار البنك الاهلي-دكرنس-الدقهلية")</f>
        <v>برج الامراء - دكرنس - بجوار البنك الاهلي-دكرنس-الدقهلية</v>
      </c>
      <c r="I673" s="6" t="str">
        <f ca="1">IFERROR(__xludf.DUMMYFUNCTION("""COMPUTED_VALUE"""),"01090011280")</f>
        <v>01090011280</v>
      </c>
      <c r="J673" s="6" t="str">
        <f ca="1">IFERROR(__xludf.DUMMYFUNCTION("""COMPUTED_VALUE"""),"19014")</f>
        <v>19014</v>
      </c>
      <c r="K673" s="6" t="str">
        <f ca="1">IFERROR(__xludf.DUMMYFUNCTION("""COMPUTED_VALUE"""),"خصم 20% علي جميع التحاليل")</f>
        <v>خصم 20% علي جميع التحاليل</v>
      </c>
    </row>
    <row r="674" spans="1:11" x14ac:dyDescent="0.25">
      <c r="A674" s="4" t="str">
        <f ca="1">IFERROR(__xludf.DUMMYFUNCTION("""COMPUTED_VALUE"""),"1897-B")</f>
        <v>1897-B</v>
      </c>
      <c r="B674" s="5" t="str">
        <f ca="1">IFERROR(__xludf.DUMMYFUNCTION("""COMPUTED_VALUE"""),"الدقهلية")</f>
        <v>الدقهلية</v>
      </c>
      <c r="C674" s="5" t="str">
        <f ca="1">IFERROR(__xludf.DUMMYFUNCTION("""COMPUTED_VALUE"""),"شربين")</f>
        <v>شربين</v>
      </c>
      <c r="D674" s="5" t="str">
        <f ca="1">IFERROR(__xludf.DUMMYFUNCTION("""COMPUTED_VALUE"""),"معمل")</f>
        <v>معمل</v>
      </c>
      <c r="E674" s="5" t="str">
        <f ca="1">IFERROR(__xludf.DUMMYFUNCTION("""COMPUTED_VALUE"""),"معمل")</f>
        <v>معمل</v>
      </c>
      <c r="F674" s="5" t="str">
        <f ca="1">IFERROR(__xludf.DUMMYFUNCTION("""COMPUTED_VALUE"""),"معمل التحاليل الطبية")</f>
        <v>معمل التحاليل الطبية</v>
      </c>
      <c r="G674" s="5" t="str">
        <f ca="1">IFERROR(__xludf.DUMMYFUNCTION("""COMPUTED_VALUE"""),"معمل المختبر (د. مؤمنة كامل)")</f>
        <v>معمل المختبر (د. مؤمنة كامل)</v>
      </c>
      <c r="H674" s="5" t="str">
        <f ca="1">IFERROR(__xludf.DUMMYFUNCTION("""COMPUTED_VALUE"""),"8شارع مصر والسودان تقاطع شارع الثورة فوق جواهرجى الحاج محمد العدوى - مركز شربين - الدقهلية")</f>
        <v>8شارع مصر والسودان تقاطع شارع الثورة فوق جواهرجى الحاج محمد العدوى - مركز شربين - الدقهلية</v>
      </c>
      <c r="I674" s="6" t="str">
        <f ca="1">IFERROR(__xludf.DUMMYFUNCTION("""COMPUTED_VALUE"""),"01026649898")</f>
        <v>01026649898</v>
      </c>
      <c r="J674" s="6" t="str">
        <f ca="1">IFERROR(__xludf.DUMMYFUNCTION("""COMPUTED_VALUE"""),"19014")</f>
        <v>19014</v>
      </c>
      <c r="K674" s="6" t="str">
        <f ca="1">IFERROR(__xludf.DUMMYFUNCTION("""COMPUTED_VALUE"""),"خصم 20% علي جميع التحاليل")</f>
        <v>خصم 20% علي جميع التحاليل</v>
      </c>
    </row>
    <row r="675" spans="1:11" x14ac:dyDescent="0.25">
      <c r="A675" s="4" t="str">
        <f ca="1">IFERROR(__xludf.DUMMYFUNCTION("""COMPUTED_VALUE"""),"1897-B")</f>
        <v>1897-B</v>
      </c>
      <c r="B675" s="5" t="str">
        <f ca="1">IFERROR(__xludf.DUMMYFUNCTION("""COMPUTED_VALUE"""),"الدقهلية")</f>
        <v>الدقهلية</v>
      </c>
      <c r="C675" s="5" t="str">
        <f ca="1">IFERROR(__xludf.DUMMYFUNCTION("""COMPUTED_VALUE"""),"ميت غمر")</f>
        <v>ميت غمر</v>
      </c>
      <c r="D675" s="5" t="str">
        <f ca="1">IFERROR(__xludf.DUMMYFUNCTION("""COMPUTED_VALUE"""),"معمل")</f>
        <v>معمل</v>
      </c>
      <c r="E675" s="5" t="str">
        <f ca="1">IFERROR(__xludf.DUMMYFUNCTION("""COMPUTED_VALUE"""),"معمل")</f>
        <v>معمل</v>
      </c>
      <c r="F675" s="5" t="str">
        <f ca="1">IFERROR(__xludf.DUMMYFUNCTION("""COMPUTED_VALUE"""),"معمل التحاليل الطبية")</f>
        <v>معمل التحاليل الطبية</v>
      </c>
      <c r="G675" s="5" t="str">
        <f ca="1">IFERROR(__xludf.DUMMYFUNCTION("""COMPUTED_VALUE"""),"معمل المختبر (د. مؤمنة كامل)")</f>
        <v>معمل المختبر (د. مؤمنة كامل)</v>
      </c>
      <c r="H675" s="5" t="str">
        <f ca="1">IFERROR(__xludf.DUMMYFUNCTION("""COMPUTED_VALUE"""),"7 شارع الجيش-ميت غمر-الدقهلية")</f>
        <v>7 شارع الجيش-ميت غمر-الدقهلية</v>
      </c>
      <c r="I675" s="6" t="str">
        <f ca="1">IFERROR(__xludf.DUMMYFUNCTION("""COMPUTED_VALUE"""),"01090011230")</f>
        <v>01090011230</v>
      </c>
      <c r="J675" s="6" t="str">
        <f ca="1">IFERROR(__xludf.DUMMYFUNCTION("""COMPUTED_VALUE"""),"19014")</f>
        <v>19014</v>
      </c>
      <c r="K675" s="6" t="str">
        <f ca="1">IFERROR(__xludf.DUMMYFUNCTION("""COMPUTED_VALUE"""),"خصم 20% علي جميع التحاليل")</f>
        <v>خصم 20% علي جميع التحاليل</v>
      </c>
    </row>
    <row r="676" spans="1:11" x14ac:dyDescent="0.25">
      <c r="A676" s="4" t="str">
        <f ca="1">IFERROR(__xludf.DUMMYFUNCTION("""COMPUTED_VALUE"""),"3798-B")</f>
        <v>3798-B</v>
      </c>
      <c r="B676" s="5" t="str">
        <f ca="1">IFERROR(__xludf.DUMMYFUNCTION("""COMPUTED_VALUE"""),"الدقهلية")</f>
        <v>الدقهلية</v>
      </c>
      <c r="C676" s="5" t="str">
        <f ca="1">IFERROR(__xludf.DUMMYFUNCTION("""COMPUTED_VALUE"""),"المنصورة")</f>
        <v>المنصورة</v>
      </c>
      <c r="D676" s="5" t="str">
        <f ca="1">IFERROR(__xludf.DUMMYFUNCTION("""COMPUTED_VALUE"""),"معمل")</f>
        <v>معمل</v>
      </c>
      <c r="E676" s="5" t="str">
        <f ca="1">IFERROR(__xludf.DUMMYFUNCTION("""COMPUTED_VALUE"""),"معمل")</f>
        <v>معمل</v>
      </c>
      <c r="F676" s="5" t="str">
        <f ca="1">IFERROR(__xludf.DUMMYFUNCTION("""COMPUTED_VALUE"""),"معمل التحاليل الطبية")</f>
        <v>معمل التحاليل الطبية</v>
      </c>
      <c r="G676" s="5" t="str">
        <f ca="1">IFERROR(__xludf.DUMMYFUNCTION("""COMPUTED_VALUE"""),"معمل الدكتورة/ أمينة حساب")</f>
        <v>معمل الدكتورة/ أمينة حساب</v>
      </c>
      <c r="H676" s="5" t="str">
        <f ca="1">IFERROR(__xludf.DUMMYFUNCTION("""COMPUTED_VALUE"""),"شارع جيهان - امام مستشفى الرمد - المنصورة  - الدقهلية")</f>
        <v>شارع جيهان - امام مستشفى الرمد - المنصورة  - الدقهلية</v>
      </c>
      <c r="I676" s="6"/>
      <c r="J676" s="6" t="str">
        <f ca="1">IFERROR(__xludf.DUMMYFUNCTION("""COMPUTED_VALUE"""),"16987")</f>
        <v>16987</v>
      </c>
      <c r="K676" s="6" t="str">
        <f ca="1">IFERROR(__xludf.DUMMYFUNCTION("""COMPUTED_VALUE"""),"30% على جميع الخدمات         ")</f>
        <v xml:space="preserve">30% على جميع الخدمات         </v>
      </c>
    </row>
    <row r="677" spans="1:11" x14ac:dyDescent="0.25">
      <c r="A677" s="4" t="str">
        <f ca="1">IFERROR(__xludf.DUMMYFUNCTION("""COMPUTED_VALUE"""),"4705")</f>
        <v>4705</v>
      </c>
      <c r="B677" s="5" t="str">
        <f ca="1">IFERROR(__xludf.DUMMYFUNCTION("""COMPUTED_VALUE"""),"السويس")</f>
        <v>السويس</v>
      </c>
      <c r="C677" s="5" t="str">
        <f ca="1">IFERROR(__xludf.DUMMYFUNCTION("""COMPUTED_VALUE"""),"السويس")</f>
        <v>السويس</v>
      </c>
      <c r="D677" s="5" t="str">
        <f ca="1">IFERROR(__xludf.DUMMYFUNCTION("""COMPUTED_VALUE"""),"معمل")</f>
        <v>معمل</v>
      </c>
      <c r="E677" s="5" t="str">
        <f ca="1">IFERROR(__xludf.DUMMYFUNCTION("""COMPUTED_VALUE"""),"معمل")</f>
        <v>معمل</v>
      </c>
      <c r="F677" s="5" t="str">
        <f ca="1">IFERROR(__xludf.DUMMYFUNCTION("""COMPUTED_VALUE"""),"معمل التحاليل الطبية")</f>
        <v>معمل التحاليل الطبية</v>
      </c>
      <c r="G677" s="5" t="str">
        <f ca="1">IFERROR(__xludf.DUMMYFUNCTION("""COMPUTED_VALUE"""),"أحمد محمد أحمد زكي و شركاه (معامل بيو لاب للتحاليل الطبية)")</f>
        <v>أحمد محمد أحمد زكي و شركاه (معامل بيو لاب للتحاليل الطبية)</v>
      </c>
      <c r="H677" s="5" t="str">
        <f ca="1">IFERROR(__xludf.DUMMYFUNCTION("""COMPUTED_VALUE"""),"الاربعين 106شارع أحمد عرابى برج الأطباء امام ستوديو الدمرانى-السويس")</f>
        <v>الاربعين 106شارع أحمد عرابى برج الأطباء امام ستوديو الدمرانى-السويس</v>
      </c>
      <c r="I677" s="6" t="str">
        <f ca="1">IFERROR(__xludf.DUMMYFUNCTION("""COMPUTED_VALUE"""),"20623301650")</f>
        <v>20623301650</v>
      </c>
      <c r="J677" s="6"/>
      <c r="K677" s="6" t="str">
        <f ca="1">IFERROR(__xludf.DUMMYFUNCTION("""COMPUTED_VALUE"""),"25% علي الاسعار النقدي ")</f>
        <v xml:space="preserve">25% علي الاسعار النقدي </v>
      </c>
    </row>
    <row r="678" spans="1:11" x14ac:dyDescent="0.25">
      <c r="A678" s="4" t="str">
        <f ca="1">IFERROR(__xludf.DUMMYFUNCTION("""COMPUTED_VALUE"""),"4705-B")</f>
        <v>4705-B</v>
      </c>
      <c r="B678" s="5" t="str">
        <f ca="1">IFERROR(__xludf.DUMMYFUNCTION("""COMPUTED_VALUE"""),"السويس")</f>
        <v>السويس</v>
      </c>
      <c r="C678" s="5" t="str">
        <f ca="1">IFERROR(__xludf.DUMMYFUNCTION("""COMPUTED_VALUE"""),"السويس")</f>
        <v>السويس</v>
      </c>
      <c r="D678" s="5" t="str">
        <f ca="1">IFERROR(__xludf.DUMMYFUNCTION("""COMPUTED_VALUE"""),"معمل")</f>
        <v>معمل</v>
      </c>
      <c r="E678" s="5" t="str">
        <f ca="1">IFERROR(__xludf.DUMMYFUNCTION("""COMPUTED_VALUE"""),"معمل")</f>
        <v>معمل</v>
      </c>
      <c r="F678" s="5" t="str">
        <f ca="1">IFERROR(__xludf.DUMMYFUNCTION("""COMPUTED_VALUE"""),"معمل التحاليل الطبية")</f>
        <v>معمل التحاليل الطبية</v>
      </c>
      <c r="G678" s="5" t="str">
        <f ca="1">IFERROR(__xludf.DUMMYFUNCTION("""COMPUTED_VALUE"""),"أحمد محمد أحمد زكي و شركاه (معامل بيو لاب للتحاليل الطبية)")</f>
        <v>أحمد محمد أحمد زكي و شركاه (معامل بيو لاب للتحاليل الطبية)</v>
      </c>
      <c r="H678" s="5" t="str">
        <f ca="1">IFERROR(__xludf.DUMMYFUNCTION("""COMPUTED_VALUE"""),"الاربعين اول السور - اعلى جمعية جهينة-السويس")</f>
        <v>الاربعين اول السور - اعلى جمعية جهينة-السويس</v>
      </c>
      <c r="I678" s="6" t="str">
        <f ca="1">IFERROR(__xludf.DUMMYFUNCTION("""COMPUTED_VALUE"""),"201015071225")</f>
        <v>201015071225</v>
      </c>
      <c r="J678" s="6"/>
      <c r="K678" s="6" t="str">
        <f ca="1">IFERROR(__xludf.DUMMYFUNCTION("""COMPUTED_VALUE"""),"25% علي الاسعار النقدي ")</f>
        <v xml:space="preserve">25% علي الاسعار النقدي </v>
      </c>
    </row>
    <row r="679" spans="1:11" x14ac:dyDescent="0.25">
      <c r="A679" s="4" t="str">
        <f ca="1">IFERROR(__xludf.DUMMYFUNCTION("""COMPUTED_VALUE"""),"4705-B")</f>
        <v>4705-B</v>
      </c>
      <c r="B679" s="5" t="str">
        <f ca="1">IFERROR(__xludf.DUMMYFUNCTION("""COMPUTED_VALUE"""),"السويس")</f>
        <v>السويس</v>
      </c>
      <c r="C679" s="5" t="str">
        <f ca="1">IFERROR(__xludf.DUMMYFUNCTION("""COMPUTED_VALUE"""),"السويس")</f>
        <v>السويس</v>
      </c>
      <c r="D679" s="5" t="str">
        <f ca="1">IFERROR(__xludf.DUMMYFUNCTION("""COMPUTED_VALUE"""),"معمل")</f>
        <v>معمل</v>
      </c>
      <c r="E679" s="5" t="str">
        <f ca="1">IFERROR(__xludf.DUMMYFUNCTION("""COMPUTED_VALUE"""),"معمل")</f>
        <v>معمل</v>
      </c>
      <c r="F679" s="5" t="str">
        <f ca="1">IFERROR(__xludf.DUMMYFUNCTION("""COMPUTED_VALUE"""),"معمل التحاليل الطبية")</f>
        <v>معمل التحاليل الطبية</v>
      </c>
      <c r="G679" s="5" t="str">
        <f ca="1">IFERROR(__xludf.DUMMYFUNCTION("""COMPUTED_VALUE"""),"أحمد محمد أحمد زكي و شركاه (معامل بيو لاب للتحاليل الطبية)")</f>
        <v>أحمد محمد أحمد زكي و شركاه (معامل بيو لاب للتحاليل الطبية)</v>
      </c>
      <c r="H679" s="5" t="str">
        <f ca="1">IFERROR(__xludf.DUMMYFUNCTION("""COMPUTED_VALUE"""),"برج بلير - شارع سعد زغلول-السويس")</f>
        <v>برج بلير - شارع سعد زغلول-السويس</v>
      </c>
      <c r="I679" s="6" t="str">
        <f ca="1">IFERROR(__xludf.DUMMYFUNCTION("""COMPUTED_VALUE"""),"201015071224")</f>
        <v>201015071224</v>
      </c>
      <c r="J679" s="6"/>
      <c r="K679" s="6" t="str">
        <f ca="1">IFERROR(__xludf.DUMMYFUNCTION("""COMPUTED_VALUE"""),"25% علي الاسعار النقدي ")</f>
        <v xml:space="preserve">25% علي الاسعار النقدي </v>
      </c>
    </row>
    <row r="680" spans="1:11" x14ac:dyDescent="0.25">
      <c r="A680" s="4" t="str">
        <f ca="1">IFERROR(__xludf.DUMMYFUNCTION("""COMPUTED_VALUE"""),"1816-B")</f>
        <v>1816-B</v>
      </c>
      <c r="B680" s="5" t="str">
        <f ca="1">IFERROR(__xludf.DUMMYFUNCTION("""COMPUTED_VALUE"""),"السويس")</f>
        <v>السويس</v>
      </c>
      <c r="C680" s="5" t="str">
        <f ca="1">IFERROR(__xludf.DUMMYFUNCTION("""COMPUTED_VALUE"""),"السويس")</f>
        <v>السويس</v>
      </c>
      <c r="D680" s="5" t="str">
        <f ca="1">IFERROR(__xludf.DUMMYFUNCTION("""COMPUTED_VALUE"""),"معمل")</f>
        <v>معمل</v>
      </c>
      <c r="E680" s="5" t="str">
        <f ca="1">IFERROR(__xludf.DUMMYFUNCTION("""COMPUTED_VALUE"""),"معمل")</f>
        <v>معمل</v>
      </c>
      <c r="F680" s="5" t="str">
        <f ca="1">IFERROR(__xludf.DUMMYFUNCTION("""COMPUTED_VALUE"""),"معمل التحاليل الطبية")</f>
        <v>معمل التحاليل الطبية</v>
      </c>
      <c r="G680" s="5" t="str">
        <f ca="1">IFERROR(__xludf.DUMMYFUNCTION("""COMPUTED_VALUE"""),"معامل ميترا")</f>
        <v>معامل ميترا</v>
      </c>
      <c r="H680" s="5" t="str">
        <f ca="1">IFERROR(__xludf.DUMMYFUNCTION("""COMPUTED_VALUE"""),"شارع 23يوليو - عمارة 405- الدور الأول علوي - بجوار كنتاكي - السويس")</f>
        <v>شارع 23يوليو - عمارة 405- الدور الأول علوي - بجوار كنتاكي - السويس</v>
      </c>
      <c r="I680" s="6" t="str">
        <f ca="1">IFERROR(__xludf.DUMMYFUNCTION("""COMPUTED_VALUE"""),"20623333414")</f>
        <v>20623333414</v>
      </c>
      <c r="J680" s="6" t="str">
        <f ca="1">IFERROR(__xludf.DUMMYFUNCTION("""COMPUTED_VALUE"""),"15232")</f>
        <v>15232</v>
      </c>
      <c r="K680" s="6" t="str">
        <f ca="1">IFERROR(__xludf.DUMMYFUNCTION("""COMPUTED_VALUE"""),"خصم 40% علي الاسعار النقدي")</f>
        <v>خصم 40% علي الاسعار النقدي</v>
      </c>
    </row>
    <row r="681" spans="1:11" x14ac:dyDescent="0.25">
      <c r="A681" s="4" t="str">
        <f ca="1">IFERROR(__xludf.DUMMYFUNCTION("""COMPUTED_VALUE"""),"1897-B")</f>
        <v>1897-B</v>
      </c>
      <c r="B681" s="5" t="str">
        <f ca="1">IFERROR(__xludf.DUMMYFUNCTION("""COMPUTED_VALUE"""),"السويس")</f>
        <v>السويس</v>
      </c>
      <c r="C681" s="5" t="str">
        <f ca="1">IFERROR(__xludf.DUMMYFUNCTION("""COMPUTED_VALUE"""),"السويس")</f>
        <v>السويس</v>
      </c>
      <c r="D681" s="5" t="str">
        <f ca="1">IFERROR(__xludf.DUMMYFUNCTION("""COMPUTED_VALUE"""),"معمل")</f>
        <v>معمل</v>
      </c>
      <c r="E681" s="5" t="str">
        <f ca="1">IFERROR(__xludf.DUMMYFUNCTION("""COMPUTED_VALUE"""),"معمل")</f>
        <v>معمل</v>
      </c>
      <c r="F681" s="5" t="str">
        <f ca="1">IFERROR(__xludf.DUMMYFUNCTION("""COMPUTED_VALUE"""),"معمل التحاليل الطبية")</f>
        <v>معمل التحاليل الطبية</v>
      </c>
      <c r="G681" s="5" t="str">
        <f ca="1">IFERROR(__xludf.DUMMYFUNCTION("""COMPUTED_VALUE"""),"معمل المختبر (د. مؤمنة كامل)")</f>
        <v>معمل المختبر (د. مؤمنة كامل)</v>
      </c>
      <c r="H681" s="5" t="str">
        <f ca="1">IFERROR(__xludf.DUMMYFUNCTION("""COMPUTED_VALUE"""),"300شارع الجيش - قسم السويس-السويس")</f>
        <v>300شارع الجيش - قسم السويس-السويس</v>
      </c>
      <c r="I681" s="6" t="str">
        <f ca="1">IFERROR(__xludf.DUMMYFUNCTION("""COMPUTED_VALUE"""),"01090011224")</f>
        <v>01090011224</v>
      </c>
      <c r="J681" s="6" t="str">
        <f ca="1">IFERROR(__xludf.DUMMYFUNCTION("""COMPUTED_VALUE"""),"19014")</f>
        <v>19014</v>
      </c>
      <c r="K681" s="6" t="str">
        <f ca="1">IFERROR(__xludf.DUMMYFUNCTION("""COMPUTED_VALUE"""),"خصم 20% علي جميع التحاليل")</f>
        <v>خصم 20% علي جميع التحاليل</v>
      </c>
    </row>
    <row r="682" spans="1:11" x14ac:dyDescent="0.25">
      <c r="A682" s="4" t="str">
        <f ca="1">IFERROR(__xludf.DUMMYFUNCTION("""COMPUTED_VALUE"""),"1897-B")</f>
        <v>1897-B</v>
      </c>
      <c r="B682" s="5" t="str">
        <f ca="1">IFERROR(__xludf.DUMMYFUNCTION("""COMPUTED_VALUE"""),"السويس")</f>
        <v>السويس</v>
      </c>
      <c r="C682" s="5" t="str">
        <f ca="1">IFERROR(__xludf.DUMMYFUNCTION("""COMPUTED_VALUE"""),"السويس")</f>
        <v>السويس</v>
      </c>
      <c r="D682" s="5" t="str">
        <f ca="1">IFERROR(__xludf.DUMMYFUNCTION("""COMPUTED_VALUE"""),"معمل")</f>
        <v>معمل</v>
      </c>
      <c r="E682" s="5" t="str">
        <f ca="1">IFERROR(__xludf.DUMMYFUNCTION("""COMPUTED_VALUE"""),"معمل")</f>
        <v>معمل</v>
      </c>
      <c r="F682" s="5" t="str">
        <f ca="1">IFERROR(__xludf.DUMMYFUNCTION("""COMPUTED_VALUE"""),"معمل التحاليل الطبية")</f>
        <v>معمل التحاليل الطبية</v>
      </c>
      <c r="G682" s="5" t="str">
        <f ca="1">IFERROR(__xludf.DUMMYFUNCTION("""COMPUTED_VALUE"""),"معمل المختبر (د. مؤمنة كامل)")</f>
        <v>معمل المختبر (د. مؤمنة كامل)</v>
      </c>
      <c r="H682" s="5" t="str">
        <f ca="1">IFERROR(__xludf.DUMMYFUNCTION("""COMPUTED_VALUE"""),"2 حارة عزام متفرع من ش أحمد عرابى - الاربعين - السويس")</f>
        <v>2 حارة عزام متفرع من ش أحمد عرابى - الاربعين - السويس</v>
      </c>
      <c r="I682" s="6" t="str">
        <f ca="1">IFERROR(__xludf.DUMMYFUNCTION("""COMPUTED_VALUE"""),"01017583777")</f>
        <v>01017583777</v>
      </c>
      <c r="J682" s="6" t="str">
        <f ca="1">IFERROR(__xludf.DUMMYFUNCTION("""COMPUTED_VALUE"""),"19014")</f>
        <v>19014</v>
      </c>
      <c r="K682" s="6" t="str">
        <f ca="1">IFERROR(__xludf.DUMMYFUNCTION("""COMPUTED_VALUE"""),"خصم 20% علي جميع التحاليل")</f>
        <v>خصم 20% علي جميع التحاليل</v>
      </c>
    </row>
    <row r="683" spans="1:11" x14ac:dyDescent="0.25">
      <c r="A683" s="4" t="str">
        <f ca="1">IFERROR(__xludf.DUMMYFUNCTION("""COMPUTED_VALUE"""),"1897-B")</f>
        <v>1897-B</v>
      </c>
      <c r="B683" s="5" t="str">
        <f ca="1">IFERROR(__xludf.DUMMYFUNCTION("""COMPUTED_VALUE"""),"الشرقية")</f>
        <v>الشرقية</v>
      </c>
      <c r="C683" s="5" t="str">
        <f ca="1">IFERROR(__xludf.DUMMYFUNCTION("""COMPUTED_VALUE"""),"الزقازيق")</f>
        <v>الزقازيق</v>
      </c>
      <c r="D683" s="5" t="str">
        <f ca="1">IFERROR(__xludf.DUMMYFUNCTION("""COMPUTED_VALUE"""),"معمل")</f>
        <v>معمل</v>
      </c>
      <c r="E683" s="5" t="str">
        <f ca="1">IFERROR(__xludf.DUMMYFUNCTION("""COMPUTED_VALUE"""),"معمل")</f>
        <v>معمل</v>
      </c>
      <c r="F683" s="5" t="str">
        <f ca="1">IFERROR(__xludf.DUMMYFUNCTION("""COMPUTED_VALUE"""),"معمل التحاليل الطبية")</f>
        <v>معمل التحاليل الطبية</v>
      </c>
      <c r="G683" s="5" t="str">
        <f ca="1">IFERROR(__xludf.DUMMYFUNCTION("""COMPUTED_VALUE"""),"معمل المختبر (د. مؤمنة كامل)")</f>
        <v>معمل المختبر (د. مؤمنة كامل)</v>
      </c>
      <c r="H683" s="5" t="str">
        <f ca="1">IFERROR(__xludf.DUMMYFUNCTION("""COMPUTED_VALUE"""),"30ش القومية بجوار م. السلام - الزقازيق - الشرقية")</f>
        <v>30ش القومية بجوار م. السلام - الزقازيق - الشرقية</v>
      </c>
      <c r="I683" s="6" t="str">
        <f ca="1">IFERROR(__xludf.DUMMYFUNCTION("""COMPUTED_VALUE"""),"01015004654")</f>
        <v>01015004654</v>
      </c>
      <c r="J683" s="6" t="str">
        <f ca="1">IFERROR(__xludf.DUMMYFUNCTION("""COMPUTED_VALUE"""),"19014")</f>
        <v>19014</v>
      </c>
      <c r="K683" s="6" t="str">
        <f ca="1">IFERROR(__xludf.DUMMYFUNCTION("""COMPUTED_VALUE"""),"خصم 20% علي جميع التحاليل")</f>
        <v>خصم 20% علي جميع التحاليل</v>
      </c>
    </row>
    <row r="684" spans="1:11" x14ac:dyDescent="0.25">
      <c r="A684" s="4" t="str">
        <f ca="1">IFERROR(__xludf.DUMMYFUNCTION("""COMPUTED_VALUE"""),"1897-B")</f>
        <v>1897-B</v>
      </c>
      <c r="B684" s="5" t="str">
        <f ca="1">IFERROR(__xludf.DUMMYFUNCTION("""COMPUTED_VALUE"""),"الشرقية")</f>
        <v>الشرقية</v>
      </c>
      <c r="C684" s="5" t="str">
        <f ca="1">IFERROR(__xludf.DUMMYFUNCTION("""COMPUTED_VALUE"""),"الزقازيق")</f>
        <v>الزقازيق</v>
      </c>
      <c r="D684" s="5" t="str">
        <f ca="1">IFERROR(__xludf.DUMMYFUNCTION("""COMPUTED_VALUE"""),"معمل")</f>
        <v>معمل</v>
      </c>
      <c r="E684" s="5" t="str">
        <f ca="1">IFERROR(__xludf.DUMMYFUNCTION("""COMPUTED_VALUE"""),"معمل")</f>
        <v>معمل</v>
      </c>
      <c r="F684" s="5" t="str">
        <f ca="1">IFERROR(__xludf.DUMMYFUNCTION("""COMPUTED_VALUE"""),"معمل التحاليل الطبية")</f>
        <v>معمل التحاليل الطبية</v>
      </c>
      <c r="G684" s="5" t="str">
        <f ca="1">IFERROR(__xludf.DUMMYFUNCTION("""COMPUTED_VALUE"""),"معمل المختبر (د. مؤمنة كامل)")</f>
        <v>معمل المختبر (د. مؤمنة كامل)</v>
      </c>
      <c r="H684" s="5" t="str">
        <f ca="1">IFERROR(__xludf.DUMMYFUNCTION("""COMPUTED_VALUE"""),"تقاطع ش الجلاء و ش الزيات - حي المنتزة -الزقازيق-الشرقية")</f>
        <v>تقاطع ش الجلاء و ش الزيات - حي المنتزة -الزقازيق-الشرقية</v>
      </c>
      <c r="I684" s="6" t="str">
        <f ca="1">IFERROR(__xludf.DUMMYFUNCTION("""COMPUTED_VALUE"""),"01090011262")</f>
        <v>01090011262</v>
      </c>
      <c r="J684" s="6" t="str">
        <f ca="1">IFERROR(__xludf.DUMMYFUNCTION("""COMPUTED_VALUE"""),"19014")</f>
        <v>19014</v>
      </c>
      <c r="K684" s="6" t="str">
        <f ca="1">IFERROR(__xludf.DUMMYFUNCTION("""COMPUTED_VALUE"""),"خصم 20% علي جميع التحاليل")</f>
        <v>خصم 20% علي جميع التحاليل</v>
      </c>
    </row>
    <row r="685" spans="1:11" x14ac:dyDescent="0.25">
      <c r="A685" s="4" t="str">
        <f ca="1">IFERROR(__xludf.DUMMYFUNCTION("""COMPUTED_VALUE"""),"1897-B")</f>
        <v>1897-B</v>
      </c>
      <c r="B685" s="5" t="str">
        <f ca="1">IFERROR(__xludf.DUMMYFUNCTION("""COMPUTED_VALUE"""),"الشرقية")</f>
        <v>الشرقية</v>
      </c>
      <c r="C685" s="5" t="str">
        <f ca="1">IFERROR(__xludf.DUMMYFUNCTION("""COMPUTED_VALUE"""),"العاشر من رمضان")</f>
        <v>العاشر من رمضان</v>
      </c>
      <c r="D685" s="5" t="str">
        <f ca="1">IFERROR(__xludf.DUMMYFUNCTION("""COMPUTED_VALUE"""),"معمل")</f>
        <v>معمل</v>
      </c>
      <c r="E685" s="5" t="str">
        <f ca="1">IFERROR(__xludf.DUMMYFUNCTION("""COMPUTED_VALUE"""),"معمل")</f>
        <v>معمل</v>
      </c>
      <c r="F685" s="5" t="str">
        <f ca="1">IFERROR(__xludf.DUMMYFUNCTION("""COMPUTED_VALUE"""),"معمل التحاليل الطبية")</f>
        <v>معمل التحاليل الطبية</v>
      </c>
      <c r="G685" s="5" t="str">
        <f ca="1">IFERROR(__xludf.DUMMYFUNCTION("""COMPUTED_VALUE"""),"معمل المختبر (د. مؤمنة كامل)")</f>
        <v>معمل المختبر (د. مؤمنة كامل)</v>
      </c>
      <c r="H685" s="5" t="str">
        <f ca="1">IFERROR(__xludf.DUMMYFUNCTION("""COMPUTED_VALUE"""),"مشروع دوحة العاشر، عمارة ب ، وحدة 28، الدور الثاني-العاشر من رمضان-الشرقية")</f>
        <v>مشروع دوحة العاشر، عمارة ب ، وحدة 28، الدور الثاني-العاشر من رمضان-الشرقية</v>
      </c>
      <c r="I685" s="6" t="str">
        <f ca="1">IFERROR(__xludf.DUMMYFUNCTION("""COMPUTED_VALUE"""),"01090011237")</f>
        <v>01090011237</v>
      </c>
      <c r="J685" s="6" t="str">
        <f ca="1">IFERROR(__xludf.DUMMYFUNCTION("""COMPUTED_VALUE"""),"19014")</f>
        <v>19014</v>
      </c>
      <c r="K685" s="6" t="str">
        <f ca="1">IFERROR(__xludf.DUMMYFUNCTION("""COMPUTED_VALUE"""),"خصم 20% علي جميع التحاليل")</f>
        <v>خصم 20% علي جميع التحاليل</v>
      </c>
    </row>
    <row r="686" spans="1:11" x14ac:dyDescent="0.25">
      <c r="A686" s="4" t="str">
        <f ca="1">IFERROR(__xludf.DUMMYFUNCTION("""COMPUTED_VALUE"""),"3354-B")</f>
        <v>3354-B</v>
      </c>
      <c r="B686" s="5" t="str">
        <f ca="1">IFERROR(__xludf.DUMMYFUNCTION("""COMPUTED_VALUE"""),"الشرقية")</f>
        <v>الشرقية</v>
      </c>
      <c r="C686" s="5" t="str">
        <f ca="1">IFERROR(__xludf.DUMMYFUNCTION("""COMPUTED_VALUE"""),"العاشر من رمضان")</f>
        <v>العاشر من رمضان</v>
      </c>
      <c r="D686" s="5" t="str">
        <f ca="1">IFERROR(__xludf.DUMMYFUNCTION("""COMPUTED_VALUE"""),"معمل")</f>
        <v>معمل</v>
      </c>
      <c r="E686" s="5" t="str">
        <f ca="1">IFERROR(__xludf.DUMMYFUNCTION("""COMPUTED_VALUE"""),"معمل")</f>
        <v>معمل</v>
      </c>
      <c r="F686" s="5" t="str">
        <f ca="1">IFERROR(__xludf.DUMMYFUNCTION("""COMPUTED_VALUE"""),"معمل التحاليل الطبية")</f>
        <v>معمل التحاليل الطبية</v>
      </c>
      <c r="G686" s="5" t="str">
        <f ca="1">IFERROR(__xludf.DUMMYFUNCTION("""COMPUTED_VALUE"""),"معمل د/ سمير شاكر بدوي")</f>
        <v>معمل د/ سمير شاكر بدوي</v>
      </c>
      <c r="H686" s="5" t="str">
        <f ca="1">IFERROR(__xludf.DUMMYFUNCTION("""COMPUTED_VALUE"""),"شقة 5 عمارة 5 الاردنية بجوار محطة الاتوبيس-العاشر من رمضان-الشرقية")</f>
        <v>شقة 5 عمارة 5 الاردنية بجوار محطة الاتوبيس-العاشر من رمضان-الشرقية</v>
      </c>
      <c r="I686" s="6" t="str">
        <f ca="1">IFERROR(__xludf.DUMMYFUNCTION("""COMPUTED_VALUE"""),"201285950718")</f>
        <v>201285950718</v>
      </c>
      <c r="J686" s="6"/>
      <c r="K686" s="6" t="str">
        <f ca="1">IFERROR(__xludf.DUMMYFUNCTION("""COMPUTED_VALUE"""),"-خصم 30% علي الأسعار النقدي المعلنة")</f>
        <v>-خصم 30% علي الأسعار النقدي المعلنة</v>
      </c>
    </row>
    <row r="687" spans="1:11" x14ac:dyDescent="0.25">
      <c r="A687" s="4" t="str">
        <f ca="1">IFERROR(__xludf.DUMMYFUNCTION("""COMPUTED_VALUE"""),"1897-B")</f>
        <v>1897-B</v>
      </c>
      <c r="B687" s="5" t="str">
        <f ca="1">IFERROR(__xludf.DUMMYFUNCTION("""COMPUTED_VALUE"""),"الشرقية")</f>
        <v>الشرقية</v>
      </c>
      <c r="C687" s="5" t="str">
        <f ca="1">IFERROR(__xludf.DUMMYFUNCTION("""COMPUTED_VALUE"""),"أبو حماد")</f>
        <v>أبو حماد</v>
      </c>
      <c r="D687" s="5" t="str">
        <f ca="1">IFERROR(__xludf.DUMMYFUNCTION("""COMPUTED_VALUE"""),"معمل")</f>
        <v>معمل</v>
      </c>
      <c r="E687" s="5" t="str">
        <f ca="1">IFERROR(__xludf.DUMMYFUNCTION("""COMPUTED_VALUE"""),"معمل")</f>
        <v>معمل</v>
      </c>
      <c r="F687" s="5" t="str">
        <f ca="1">IFERROR(__xludf.DUMMYFUNCTION("""COMPUTED_VALUE"""),"معمل التحاليل الطبية")</f>
        <v>معمل التحاليل الطبية</v>
      </c>
      <c r="G687" s="5" t="str">
        <f ca="1">IFERROR(__xludf.DUMMYFUNCTION("""COMPUTED_VALUE"""),"معمل المختبر (د. مؤمنة كامل)")</f>
        <v>معمل المختبر (د. مؤمنة كامل)</v>
      </c>
      <c r="H687" s="5" t="str">
        <f ca="1">IFERROR(__xludf.DUMMYFUNCTION("""COMPUTED_VALUE"""),"1ش عبد السلام عارف من ش بورسعيد امام سنترال سيراميك الأعصر  -أبوحماد - الشرقية .")</f>
        <v>1ش عبد السلام عارف من ش بورسعيد امام سنترال سيراميك الأعصر  -أبوحماد - الشرقية .</v>
      </c>
      <c r="I687" s="6" t="str">
        <f ca="1">IFERROR(__xludf.DUMMYFUNCTION("""COMPUTED_VALUE"""),"01028229135")</f>
        <v>01028229135</v>
      </c>
      <c r="J687" s="6" t="str">
        <f ca="1">IFERROR(__xludf.DUMMYFUNCTION("""COMPUTED_VALUE"""),"19014")</f>
        <v>19014</v>
      </c>
      <c r="K687" s="6" t="str">
        <f ca="1">IFERROR(__xludf.DUMMYFUNCTION("""COMPUTED_VALUE"""),"خصم 20% علي جميع التحاليل")</f>
        <v>خصم 20% علي جميع التحاليل</v>
      </c>
    </row>
    <row r="688" spans="1:11" x14ac:dyDescent="0.25">
      <c r="A688" s="4" t="str">
        <f ca="1">IFERROR(__xludf.DUMMYFUNCTION("""COMPUTED_VALUE"""),"1897-B")</f>
        <v>1897-B</v>
      </c>
      <c r="B688" s="5" t="str">
        <f ca="1">IFERROR(__xludf.DUMMYFUNCTION("""COMPUTED_VALUE"""),"الشرقية")</f>
        <v>الشرقية</v>
      </c>
      <c r="C688" s="5" t="str">
        <f ca="1">IFERROR(__xludf.DUMMYFUNCTION("""COMPUTED_VALUE"""),"أبو كبير")</f>
        <v>أبو كبير</v>
      </c>
      <c r="D688" s="5" t="str">
        <f ca="1">IFERROR(__xludf.DUMMYFUNCTION("""COMPUTED_VALUE"""),"معمل")</f>
        <v>معمل</v>
      </c>
      <c r="E688" s="5" t="str">
        <f ca="1">IFERROR(__xludf.DUMMYFUNCTION("""COMPUTED_VALUE"""),"معمل")</f>
        <v>معمل</v>
      </c>
      <c r="F688" s="5" t="str">
        <f ca="1">IFERROR(__xludf.DUMMYFUNCTION("""COMPUTED_VALUE"""),"معمل التحاليل الطبية")</f>
        <v>معمل التحاليل الطبية</v>
      </c>
      <c r="G688" s="5" t="str">
        <f ca="1">IFERROR(__xludf.DUMMYFUNCTION("""COMPUTED_VALUE"""),"معمل المختبر (د. مؤمنة كامل)")</f>
        <v>معمل المختبر (د. مؤمنة كامل)</v>
      </c>
      <c r="H688" s="5" t="str">
        <f ca="1">IFERROR(__xludf.DUMMYFUNCTION("""COMPUTED_VALUE"""),"الدور الأول - بجوار السنترال القديم - ميدان المحطة - أبو كبير -الشرقية")</f>
        <v>الدور الأول - بجوار السنترال القديم - ميدان المحطة - أبو كبير -الشرقية</v>
      </c>
      <c r="I688" s="6" t="str">
        <f ca="1">IFERROR(__xludf.DUMMYFUNCTION("""COMPUTED_VALUE"""),"01013008868")</f>
        <v>01013008868</v>
      </c>
      <c r="J688" s="6" t="str">
        <f ca="1">IFERROR(__xludf.DUMMYFUNCTION("""COMPUTED_VALUE"""),"19014")</f>
        <v>19014</v>
      </c>
      <c r="K688" s="6" t="str">
        <f ca="1">IFERROR(__xludf.DUMMYFUNCTION("""COMPUTED_VALUE"""),"خصم 20% علي جميع التحاليل")</f>
        <v>خصم 20% علي جميع التحاليل</v>
      </c>
    </row>
    <row r="689" spans="1:11" x14ac:dyDescent="0.25">
      <c r="A689" s="4" t="str">
        <f ca="1">IFERROR(__xludf.DUMMYFUNCTION("""COMPUTED_VALUE"""),"1897-B")</f>
        <v>1897-B</v>
      </c>
      <c r="B689" s="5" t="str">
        <f ca="1">IFERROR(__xludf.DUMMYFUNCTION("""COMPUTED_VALUE"""),"الشرقية")</f>
        <v>الشرقية</v>
      </c>
      <c r="C689" s="5" t="str">
        <f ca="1">IFERROR(__xludf.DUMMYFUNCTION("""COMPUTED_VALUE"""),"بلبيس")</f>
        <v>بلبيس</v>
      </c>
      <c r="D689" s="5" t="str">
        <f ca="1">IFERROR(__xludf.DUMMYFUNCTION("""COMPUTED_VALUE"""),"معمل")</f>
        <v>معمل</v>
      </c>
      <c r="E689" s="5" t="str">
        <f ca="1">IFERROR(__xludf.DUMMYFUNCTION("""COMPUTED_VALUE"""),"معمل")</f>
        <v>معمل</v>
      </c>
      <c r="F689" s="5" t="str">
        <f ca="1">IFERROR(__xludf.DUMMYFUNCTION("""COMPUTED_VALUE"""),"معمل التحاليل الطبية")</f>
        <v>معمل التحاليل الطبية</v>
      </c>
      <c r="G689" s="5" t="str">
        <f ca="1">IFERROR(__xludf.DUMMYFUNCTION("""COMPUTED_VALUE"""),"معمل المختبر (د. مؤمنة كامل)")</f>
        <v>معمل المختبر (د. مؤمنة كامل)</v>
      </c>
      <c r="H689" s="5" t="str">
        <f ca="1">IFERROR(__xludf.DUMMYFUNCTION("""COMPUTED_VALUE"""),"أول شارع جمال عبد الناصر بجوار مسجد ابو عيسى ميدان باتا مركز بلبيس-بلبيس-الشرقية")</f>
        <v>أول شارع جمال عبد الناصر بجوار مسجد ابو عيسى ميدان باتا مركز بلبيس-بلبيس-الشرقية</v>
      </c>
      <c r="I689" s="6" t="str">
        <f ca="1">IFERROR(__xludf.DUMMYFUNCTION("""COMPUTED_VALUE"""),"01090011277")</f>
        <v>01090011277</v>
      </c>
      <c r="J689" s="6" t="str">
        <f ca="1">IFERROR(__xludf.DUMMYFUNCTION("""COMPUTED_VALUE"""),"19014")</f>
        <v>19014</v>
      </c>
      <c r="K689" s="6" t="str">
        <f ca="1">IFERROR(__xludf.DUMMYFUNCTION("""COMPUTED_VALUE"""),"خصم 20% علي جميع التحاليل")</f>
        <v>خصم 20% علي جميع التحاليل</v>
      </c>
    </row>
    <row r="690" spans="1:11" x14ac:dyDescent="0.25">
      <c r="A690" s="4" t="str">
        <f ca="1">IFERROR(__xludf.DUMMYFUNCTION("""COMPUTED_VALUE"""),"1897-B")</f>
        <v>1897-B</v>
      </c>
      <c r="B690" s="5" t="str">
        <f ca="1">IFERROR(__xludf.DUMMYFUNCTION("""COMPUTED_VALUE"""),"الشرقية")</f>
        <v>الشرقية</v>
      </c>
      <c r="C690" s="5" t="str">
        <f ca="1">IFERROR(__xludf.DUMMYFUNCTION("""COMPUTED_VALUE"""),"ديرب نجم")</f>
        <v>ديرب نجم</v>
      </c>
      <c r="D690" s="5" t="str">
        <f ca="1">IFERROR(__xludf.DUMMYFUNCTION("""COMPUTED_VALUE"""),"معمل")</f>
        <v>معمل</v>
      </c>
      <c r="E690" s="5" t="str">
        <f ca="1">IFERROR(__xludf.DUMMYFUNCTION("""COMPUTED_VALUE"""),"معمل")</f>
        <v>معمل</v>
      </c>
      <c r="F690" s="5" t="str">
        <f ca="1">IFERROR(__xludf.DUMMYFUNCTION("""COMPUTED_VALUE"""),"معمل التحاليل الطبية")</f>
        <v>معمل التحاليل الطبية</v>
      </c>
      <c r="G690" s="5" t="str">
        <f ca="1">IFERROR(__xludf.DUMMYFUNCTION("""COMPUTED_VALUE"""),"معمل المختبر (د. مؤمنة كامل)")</f>
        <v>معمل المختبر (د. مؤمنة كامل)</v>
      </c>
      <c r="H690" s="5" t="str">
        <f ca="1">IFERROR(__xludf.DUMMYFUNCTION("""COMPUTED_VALUE"""),"برج البنا -ش النصر مركز ديرب نجم  - الشرقية .")</f>
        <v>برج البنا -ش النصر مركز ديرب نجم  - الشرقية .</v>
      </c>
      <c r="I690" s="6" t="str">
        <f ca="1">IFERROR(__xludf.DUMMYFUNCTION("""COMPUTED_VALUE"""),"01017580800")</f>
        <v>01017580800</v>
      </c>
      <c r="J690" s="6" t="str">
        <f ca="1">IFERROR(__xludf.DUMMYFUNCTION("""COMPUTED_VALUE"""),"19014")</f>
        <v>19014</v>
      </c>
      <c r="K690" s="6" t="str">
        <f ca="1">IFERROR(__xludf.DUMMYFUNCTION("""COMPUTED_VALUE"""),"خصم 20% علي جميع التحاليل")</f>
        <v>خصم 20% علي جميع التحاليل</v>
      </c>
    </row>
    <row r="691" spans="1:11" x14ac:dyDescent="0.25">
      <c r="A691" s="4" t="str">
        <f ca="1">IFERROR(__xludf.DUMMYFUNCTION("""COMPUTED_VALUE"""),"1897-B")</f>
        <v>1897-B</v>
      </c>
      <c r="B691" s="5" t="str">
        <f ca="1">IFERROR(__xludf.DUMMYFUNCTION("""COMPUTED_VALUE"""),"الشرقية")</f>
        <v>الشرقية</v>
      </c>
      <c r="C691" s="5" t="str">
        <f ca="1">IFERROR(__xludf.DUMMYFUNCTION("""COMPUTED_VALUE"""),"فاقوس")</f>
        <v>فاقوس</v>
      </c>
      <c r="D691" s="5" t="str">
        <f ca="1">IFERROR(__xludf.DUMMYFUNCTION("""COMPUTED_VALUE"""),"معمل")</f>
        <v>معمل</v>
      </c>
      <c r="E691" s="5" t="str">
        <f ca="1">IFERROR(__xludf.DUMMYFUNCTION("""COMPUTED_VALUE"""),"معمل")</f>
        <v>معمل</v>
      </c>
      <c r="F691" s="5" t="str">
        <f ca="1">IFERROR(__xludf.DUMMYFUNCTION("""COMPUTED_VALUE"""),"معمل التحاليل الطبية")</f>
        <v>معمل التحاليل الطبية</v>
      </c>
      <c r="G691" s="5" t="str">
        <f ca="1">IFERROR(__xludf.DUMMYFUNCTION("""COMPUTED_VALUE"""),"معمل المختبر (د. مؤمنة كامل)")</f>
        <v>معمل المختبر (د. مؤمنة كامل)</v>
      </c>
      <c r="H691" s="5" t="str">
        <f ca="1">IFERROR(__xludf.DUMMYFUNCTION("""COMPUTED_VALUE"""),"برج البطران - شارع ترعة المنيا - بعد سنتر التجاري-فاقوس-الشرقية")</f>
        <v>برج البطران - شارع ترعة المنيا - بعد سنتر التجاري-فاقوس-الشرقية</v>
      </c>
      <c r="I691" s="6" t="str">
        <f ca="1">IFERROR(__xludf.DUMMYFUNCTION("""COMPUTED_VALUE"""),"01000103058")</f>
        <v>01000103058</v>
      </c>
      <c r="J691" s="6" t="str">
        <f ca="1">IFERROR(__xludf.DUMMYFUNCTION("""COMPUTED_VALUE"""),"19014")</f>
        <v>19014</v>
      </c>
      <c r="K691" s="6" t="str">
        <f ca="1">IFERROR(__xludf.DUMMYFUNCTION("""COMPUTED_VALUE"""),"خصم 20% علي جميع التحاليل")</f>
        <v>خصم 20% علي جميع التحاليل</v>
      </c>
    </row>
    <row r="692" spans="1:11" x14ac:dyDescent="0.25">
      <c r="A692" s="4" t="str">
        <f ca="1">IFERROR(__xludf.DUMMYFUNCTION("""COMPUTED_VALUE"""),"1897-B")</f>
        <v>1897-B</v>
      </c>
      <c r="B692" s="5" t="str">
        <f ca="1">IFERROR(__xludf.DUMMYFUNCTION("""COMPUTED_VALUE"""),"الشرقية")</f>
        <v>الشرقية</v>
      </c>
      <c r="C692" s="5" t="str">
        <f ca="1">IFERROR(__xludf.DUMMYFUNCTION("""COMPUTED_VALUE"""),"منيا القمح")</f>
        <v>منيا القمح</v>
      </c>
      <c r="D692" s="5" t="str">
        <f ca="1">IFERROR(__xludf.DUMMYFUNCTION("""COMPUTED_VALUE"""),"معمل")</f>
        <v>معمل</v>
      </c>
      <c r="E692" s="5" t="str">
        <f ca="1">IFERROR(__xludf.DUMMYFUNCTION("""COMPUTED_VALUE"""),"معمل")</f>
        <v>معمل</v>
      </c>
      <c r="F692" s="5" t="str">
        <f ca="1">IFERROR(__xludf.DUMMYFUNCTION("""COMPUTED_VALUE"""),"معمل التحاليل الطبية")</f>
        <v>معمل التحاليل الطبية</v>
      </c>
      <c r="G692" s="5" t="str">
        <f ca="1">IFERROR(__xludf.DUMMYFUNCTION("""COMPUTED_VALUE"""),"معمل المختبر (د. مؤمنة كامل)")</f>
        <v>معمل المختبر (د. مؤمنة كامل)</v>
      </c>
      <c r="H692" s="5" t="str">
        <f ca="1">IFERROR(__xludf.DUMMYFUNCTION("""COMPUTED_VALUE"""),"2 شارع أحمد عرابي متفرع من شارع سعد زغلول - عمارة الإيكيابي.-منيا القمح-الشرقية")</f>
        <v>2 شارع أحمد عرابي متفرع من شارع سعد زغلول - عمارة الإيكيابي.-منيا القمح-الشرقية</v>
      </c>
      <c r="I692" s="6" t="str">
        <f ca="1">IFERROR(__xludf.DUMMYFUNCTION("""COMPUTED_VALUE"""),"01090011279")</f>
        <v>01090011279</v>
      </c>
      <c r="J692" s="6" t="str">
        <f ca="1">IFERROR(__xludf.DUMMYFUNCTION("""COMPUTED_VALUE"""),"19014")</f>
        <v>19014</v>
      </c>
      <c r="K692" s="6" t="str">
        <f ca="1">IFERROR(__xludf.DUMMYFUNCTION("""COMPUTED_VALUE"""),"خصم 20% علي جميع التحاليل")</f>
        <v>خصم 20% علي جميع التحاليل</v>
      </c>
    </row>
    <row r="693" spans="1:11" x14ac:dyDescent="0.25">
      <c r="A693" s="4" t="str">
        <f ca="1">IFERROR(__xludf.DUMMYFUNCTION("""COMPUTED_VALUE"""),"3798-B")</f>
        <v>3798-B</v>
      </c>
      <c r="B693" s="5" t="str">
        <f ca="1">IFERROR(__xludf.DUMMYFUNCTION("""COMPUTED_VALUE"""),"الغربية")</f>
        <v>الغربية</v>
      </c>
      <c r="C693" s="5" t="str">
        <f ca="1">IFERROR(__xludf.DUMMYFUNCTION("""COMPUTED_VALUE"""),"المحلة الكبرى")</f>
        <v>المحلة الكبرى</v>
      </c>
      <c r="D693" s="5" t="str">
        <f ca="1">IFERROR(__xludf.DUMMYFUNCTION("""COMPUTED_VALUE"""),"معمل")</f>
        <v>معمل</v>
      </c>
      <c r="E693" s="5" t="str">
        <f ca="1">IFERROR(__xludf.DUMMYFUNCTION("""COMPUTED_VALUE"""),"معمل")</f>
        <v>معمل</v>
      </c>
      <c r="F693" s="5" t="str">
        <f ca="1">IFERROR(__xludf.DUMMYFUNCTION("""COMPUTED_VALUE"""),"معمل التحاليل الطبية")</f>
        <v>معمل التحاليل الطبية</v>
      </c>
      <c r="G693" s="5" t="str">
        <f ca="1">IFERROR(__xludf.DUMMYFUNCTION("""COMPUTED_VALUE"""),"معمل الدكتورة/ أمينة حساب")</f>
        <v>معمل الدكتورة/ أمينة حساب</v>
      </c>
      <c r="H693" s="5" t="str">
        <f ca="1">IFERROR(__xludf.DUMMYFUNCTION("""COMPUTED_VALUE"""),"شارع محطة الدلتا - امام السنترال الجديد - المحلة الكبرى - الغربية")</f>
        <v>شارع محطة الدلتا - امام السنترال الجديد - المحلة الكبرى - الغربية</v>
      </c>
      <c r="I693" s="6"/>
      <c r="J693" s="6" t="str">
        <f ca="1">IFERROR(__xludf.DUMMYFUNCTION("""COMPUTED_VALUE"""),"16987")</f>
        <v>16987</v>
      </c>
      <c r="K693" s="6" t="str">
        <f ca="1">IFERROR(__xludf.DUMMYFUNCTION("""COMPUTED_VALUE"""),"30% على جميع الخدمات         ")</f>
        <v xml:space="preserve">30% على جميع الخدمات         </v>
      </c>
    </row>
    <row r="694" spans="1:11" x14ac:dyDescent="0.25">
      <c r="A694" s="4" t="str">
        <f ca="1">IFERROR(__xludf.DUMMYFUNCTION("""COMPUTED_VALUE"""),"1897-B")</f>
        <v>1897-B</v>
      </c>
      <c r="B694" s="5" t="str">
        <f ca="1">IFERROR(__xludf.DUMMYFUNCTION("""COMPUTED_VALUE"""),"الغربية")</f>
        <v>الغربية</v>
      </c>
      <c r="C694" s="5" t="str">
        <f ca="1">IFERROR(__xludf.DUMMYFUNCTION("""COMPUTED_VALUE"""),"المحلة الكبرى")</f>
        <v>المحلة الكبرى</v>
      </c>
      <c r="D694" s="5" t="str">
        <f ca="1">IFERROR(__xludf.DUMMYFUNCTION("""COMPUTED_VALUE"""),"معمل")</f>
        <v>معمل</v>
      </c>
      <c r="E694" s="5" t="str">
        <f ca="1">IFERROR(__xludf.DUMMYFUNCTION("""COMPUTED_VALUE"""),"معمل")</f>
        <v>معمل</v>
      </c>
      <c r="F694" s="5" t="str">
        <f ca="1">IFERROR(__xludf.DUMMYFUNCTION("""COMPUTED_VALUE"""),"معمل التحاليل الطبية")</f>
        <v>معمل التحاليل الطبية</v>
      </c>
      <c r="G694" s="5" t="str">
        <f ca="1">IFERROR(__xludf.DUMMYFUNCTION("""COMPUTED_VALUE"""),"معمل المختبر (د. مؤمنة كامل)")</f>
        <v>معمل المختبر (د. مؤمنة كامل)</v>
      </c>
      <c r="H694" s="5" t="str">
        <f ca="1">IFERROR(__xludf.DUMMYFUNCTION("""COMPUTED_VALUE"""),"13 شارع 23 يوليو-بجوار بنك الإسكندرية.-المحلة الكبرى-الغربية")</f>
        <v>13 شارع 23 يوليو-بجوار بنك الإسكندرية.-المحلة الكبرى-الغربية</v>
      </c>
      <c r="I694" s="6" t="str">
        <f ca="1">IFERROR(__xludf.DUMMYFUNCTION("""COMPUTED_VALUE"""),"01090011222")</f>
        <v>01090011222</v>
      </c>
      <c r="J694" s="6" t="str">
        <f ca="1">IFERROR(__xludf.DUMMYFUNCTION("""COMPUTED_VALUE"""),"19014")</f>
        <v>19014</v>
      </c>
      <c r="K694" s="6" t="str">
        <f ca="1">IFERROR(__xludf.DUMMYFUNCTION("""COMPUTED_VALUE"""),"خصم 20% علي جميع التحاليل")</f>
        <v>خصم 20% علي جميع التحاليل</v>
      </c>
    </row>
    <row r="695" spans="1:11" x14ac:dyDescent="0.25">
      <c r="A695" s="4" t="str">
        <f ca="1">IFERROR(__xludf.DUMMYFUNCTION("""COMPUTED_VALUE"""),"1897-B")</f>
        <v>1897-B</v>
      </c>
      <c r="B695" s="5" t="str">
        <f ca="1">IFERROR(__xludf.DUMMYFUNCTION("""COMPUTED_VALUE"""),"الغربية")</f>
        <v>الغربية</v>
      </c>
      <c r="C695" s="5" t="str">
        <f ca="1">IFERROR(__xludf.DUMMYFUNCTION("""COMPUTED_VALUE"""),"سمنود")</f>
        <v>سمنود</v>
      </c>
      <c r="D695" s="5" t="str">
        <f ca="1">IFERROR(__xludf.DUMMYFUNCTION("""COMPUTED_VALUE"""),"معمل")</f>
        <v>معمل</v>
      </c>
      <c r="E695" s="5" t="str">
        <f ca="1">IFERROR(__xludf.DUMMYFUNCTION("""COMPUTED_VALUE"""),"معمل")</f>
        <v>معمل</v>
      </c>
      <c r="F695" s="5" t="str">
        <f ca="1">IFERROR(__xludf.DUMMYFUNCTION("""COMPUTED_VALUE"""),"معمل التحاليل الطبية")</f>
        <v>معمل التحاليل الطبية</v>
      </c>
      <c r="G695" s="5" t="str">
        <f ca="1">IFERROR(__xludf.DUMMYFUNCTION("""COMPUTED_VALUE"""),"معمل المختبر (د. مؤمنة كامل)")</f>
        <v>معمل المختبر (د. مؤمنة كامل)</v>
      </c>
      <c r="H695" s="5" t="str">
        <f ca="1">IFERROR(__xludf.DUMMYFUNCTION("""COMPUTED_VALUE"""),"ش المستشفى العام - منزل الدكتور محمد خليل امام مستشفى سمنود العام - د2 علوى -ش6 - سمنود - الغربية .")</f>
        <v>ش المستشفى العام - منزل الدكتور محمد خليل امام مستشفى سمنود العام - د2 علوى -ش6 - سمنود - الغربية .</v>
      </c>
      <c r="I695" s="6" t="str">
        <f ca="1">IFERROR(__xludf.DUMMYFUNCTION("""COMPUTED_VALUE"""),"01013009144")</f>
        <v>01013009144</v>
      </c>
      <c r="J695" s="6" t="str">
        <f ca="1">IFERROR(__xludf.DUMMYFUNCTION("""COMPUTED_VALUE"""),"19014")</f>
        <v>19014</v>
      </c>
      <c r="K695" s="6" t="str">
        <f ca="1">IFERROR(__xludf.DUMMYFUNCTION("""COMPUTED_VALUE"""),"خصم 20% علي جميع التحاليل")</f>
        <v>خصم 20% علي جميع التحاليل</v>
      </c>
    </row>
    <row r="696" spans="1:11" x14ac:dyDescent="0.25">
      <c r="A696" s="4" t="str">
        <f ca="1">IFERROR(__xludf.DUMMYFUNCTION("""COMPUTED_VALUE"""),"3798-B")</f>
        <v>3798-B</v>
      </c>
      <c r="B696" s="5" t="str">
        <f ca="1">IFERROR(__xludf.DUMMYFUNCTION("""COMPUTED_VALUE"""),"الغربية")</f>
        <v>الغربية</v>
      </c>
      <c r="C696" s="5" t="str">
        <f ca="1">IFERROR(__xludf.DUMMYFUNCTION("""COMPUTED_VALUE"""),"طنطا")</f>
        <v>طنطا</v>
      </c>
      <c r="D696" s="5" t="str">
        <f ca="1">IFERROR(__xludf.DUMMYFUNCTION("""COMPUTED_VALUE"""),"معمل")</f>
        <v>معمل</v>
      </c>
      <c r="E696" s="5" t="str">
        <f ca="1">IFERROR(__xludf.DUMMYFUNCTION("""COMPUTED_VALUE"""),"معمل")</f>
        <v>معمل</v>
      </c>
      <c r="F696" s="5" t="str">
        <f ca="1">IFERROR(__xludf.DUMMYFUNCTION("""COMPUTED_VALUE"""),"معمل التحاليل الطبية")</f>
        <v>معمل التحاليل الطبية</v>
      </c>
      <c r="G696" s="5" t="str">
        <f ca="1">IFERROR(__xludf.DUMMYFUNCTION("""COMPUTED_VALUE"""),"معمل الدكتورة/ أمينة حساب")</f>
        <v>معمل الدكتورة/ أمينة حساب</v>
      </c>
      <c r="H696" s="5" t="str">
        <f ca="1">IFERROR(__xludf.DUMMYFUNCTION("""COMPUTED_VALUE"""),"5 شارع المديرية ناصية شارع الجورن- امام محطة بنزين التعاون-طنطا-الغربية")</f>
        <v>5 شارع المديرية ناصية شارع الجورن- امام محطة بنزين التعاون-طنطا-الغربية</v>
      </c>
      <c r="I696" s="6" t="str">
        <f ca="1">IFERROR(__xludf.DUMMYFUNCTION("""COMPUTED_VALUE"""),"20403421345")</f>
        <v>20403421345</v>
      </c>
      <c r="J696" s="6" t="str">
        <f ca="1">IFERROR(__xludf.DUMMYFUNCTION("""COMPUTED_VALUE"""),"16987")</f>
        <v>16987</v>
      </c>
      <c r="K696" s="6" t="str">
        <f ca="1">IFERROR(__xludf.DUMMYFUNCTION("""COMPUTED_VALUE"""),"30% على جميع الخدمات         ")</f>
        <v xml:space="preserve">30% على جميع الخدمات         </v>
      </c>
    </row>
    <row r="697" spans="1:11" x14ac:dyDescent="0.25">
      <c r="A697" s="4" t="str">
        <f ca="1">IFERROR(__xludf.DUMMYFUNCTION("""COMPUTED_VALUE"""),"1897-B")</f>
        <v>1897-B</v>
      </c>
      <c r="B697" s="5" t="str">
        <f ca="1">IFERROR(__xludf.DUMMYFUNCTION("""COMPUTED_VALUE"""),"الغربية")</f>
        <v>الغربية</v>
      </c>
      <c r="C697" s="5" t="str">
        <f ca="1">IFERROR(__xludf.DUMMYFUNCTION("""COMPUTED_VALUE"""),"طنطا")</f>
        <v>طنطا</v>
      </c>
      <c r="D697" s="5" t="str">
        <f ca="1">IFERROR(__xludf.DUMMYFUNCTION("""COMPUTED_VALUE"""),"معمل")</f>
        <v>معمل</v>
      </c>
      <c r="E697" s="5" t="str">
        <f ca="1">IFERROR(__xludf.DUMMYFUNCTION("""COMPUTED_VALUE"""),"معمل")</f>
        <v>معمل</v>
      </c>
      <c r="F697" s="5" t="str">
        <f ca="1">IFERROR(__xludf.DUMMYFUNCTION("""COMPUTED_VALUE"""),"معمل التحاليل الطبية")</f>
        <v>معمل التحاليل الطبية</v>
      </c>
      <c r="G697" s="5" t="str">
        <f ca="1">IFERROR(__xludf.DUMMYFUNCTION("""COMPUTED_VALUE"""),"معمل المختبر (د. مؤمنة كامل)")</f>
        <v>معمل المختبر (د. مؤمنة كامل)</v>
      </c>
      <c r="H697" s="5" t="str">
        <f ca="1">IFERROR(__xludf.DUMMYFUNCTION("""COMPUTED_VALUE"""),"104 شارع عبد القادر حلمي (درب الابشهي سابقا) – شقة 105 - طنــطـا  - الغربية.-طنطا-الغربية")</f>
        <v>104 شارع عبد القادر حلمي (درب الابشهي سابقا) – شقة 105 - طنــطـا  - الغربية.-طنطا-الغربية</v>
      </c>
      <c r="I697" s="6" t="str">
        <f ca="1">IFERROR(__xludf.DUMMYFUNCTION("""COMPUTED_VALUE"""),"01090011247")</f>
        <v>01090011247</v>
      </c>
      <c r="J697" s="6" t="str">
        <f ca="1">IFERROR(__xludf.DUMMYFUNCTION("""COMPUTED_VALUE"""),"19014")</f>
        <v>19014</v>
      </c>
      <c r="K697" s="6" t="str">
        <f ca="1">IFERROR(__xludf.DUMMYFUNCTION("""COMPUTED_VALUE"""),"خصم 20% علي جميع التحاليل")</f>
        <v>خصم 20% علي جميع التحاليل</v>
      </c>
    </row>
    <row r="698" spans="1:11" x14ac:dyDescent="0.25">
      <c r="A698" s="4" t="str">
        <f ca="1">IFERROR(__xludf.DUMMYFUNCTION("""COMPUTED_VALUE"""),"1897-B")</f>
        <v>1897-B</v>
      </c>
      <c r="B698" s="5" t="str">
        <f ca="1">IFERROR(__xludf.DUMMYFUNCTION("""COMPUTED_VALUE"""),"الغربية")</f>
        <v>الغربية</v>
      </c>
      <c r="C698" s="5" t="str">
        <f ca="1">IFERROR(__xludf.DUMMYFUNCTION("""COMPUTED_VALUE"""),"طنطا")</f>
        <v>طنطا</v>
      </c>
      <c r="D698" s="5" t="str">
        <f ca="1">IFERROR(__xludf.DUMMYFUNCTION("""COMPUTED_VALUE"""),"معمل")</f>
        <v>معمل</v>
      </c>
      <c r="E698" s="5" t="str">
        <f ca="1">IFERROR(__xludf.DUMMYFUNCTION("""COMPUTED_VALUE"""),"معمل")</f>
        <v>معمل</v>
      </c>
      <c r="F698" s="5" t="str">
        <f ca="1">IFERROR(__xludf.DUMMYFUNCTION("""COMPUTED_VALUE"""),"معمل التحاليل الطبية")</f>
        <v>معمل التحاليل الطبية</v>
      </c>
      <c r="G698" s="5" t="str">
        <f ca="1">IFERROR(__xludf.DUMMYFUNCTION("""COMPUTED_VALUE"""),"معمل المختبر (د. مؤمنة كامل)")</f>
        <v>معمل المختبر (د. مؤمنة كامل)</v>
      </c>
      <c r="H698" s="5" t="str">
        <f ca="1">IFERROR(__xludf.DUMMYFUNCTION("""COMPUTED_VALUE"""),"71شارع الجـيش - أمـــــــام مستشــفـى الجـــامــعــــة-طنطا-الغربية")</f>
        <v>71شارع الجـيش - أمـــــــام مستشــفـى الجـــامــعــــة-طنطا-الغربية</v>
      </c>
      <c r="I698" s="6" t="str">
        <f ca="1">IFERROR(__xludf.DUMMYFUNCTION("""COMPUTED_VALUE"""),"01090011213")</f>
        <v>01090011213</v>
      </c>
      <c r="J698" s="6" t="str">
        <f ca="1">IFERROR(__xludf.DUMMYFUNCTION("""COMPUTED_VALUE"""),"19014")</f>
        <v>19014</v>
      </c>
      <c r="K698" s="6" t="str">
        <f ca="1">IFERROR(__xludf.DUMMYFUNCTION("""COMPUTED_VALUE"""),"خصم 20% علي جميع التحاليل")</f>
        <v>خصم 20% علي جميع التحاليل</v>
      </c>
    </row>
    <row r="699" spans="1:11" x14ac:dyDescent="0.25">
      <c r="A699" s="4" t="str">
        <f ca="1">IFERROR(__xludf.DUMMYFUNCTION("""COMPUTED_VALUE"""),"1897-B")</f>
        <v>1897-B</v>
      </c>
      <c r="B699" s="5" t="str">
        <f ca="1">IFERROR(__xludf.DUMMYFUNCTION("""COMPUTED_VALUE"""),"الغربية")</f>
        <v>الغربية</v>
      </c>
      <c r="C699" s="5" t="str">
        <f ca="1">IFERROR(__xludf.DUMMYFUNCTION("""COMPUTED_VALUE"""),"كفر الزيات")</f>
        <v>كفر الزيات</v>
      </c>
      <c r="D699" s="5" t="str">
        <f ca="1">IFERROR(__xludf.DUMMYFUNCTION("""COMPUTED_VALUE"""),"معمل")</f>
        <v>معمل</v>
      </c>
      <c r="E699" s="5" t="str">
        <f ca="1">IFERROR(__xludf.DUMMYFUNCTION("""COMPUTED_VALUE"""),"معمل")</f>
        <v>معمل</v>
      </c>
      <c r="F699" s="5" t="str">
        <f ca="1">IFERROR(__xludf.DUMMYFUNCTION("""COMPUTED_VALUE"""),"معمل التحاليل الطبية")</f>
        <v>معمل التحاليل الطبية</v>
      </c>
      <c r="G699" s="5" t="str">
        <f ca="1">IFERROR(__xludf.DUMMYFUNCTION("""COMPUTED_VALUE"""),"معمل المختبر (د. مؤمنة كامل)")</f>
        <v>معمل المختبر (د. مؤمنة كامل)</v>
      </c>
      <c r="H699" s="5" t="str">
        <f ca="1">IFERROR(__xludf.DUMMYFUNCTION("""COMPUTED_VALUE"""),"تقاطع شارع الجيش مع سعد زغلول - ميدان التحرير-كفر الزيات-الغربية")</f>
        <v>تقاطع شارع الجيش مع سعد زغلول - ميدان التحرير-كفر الزيات-الغربية</v>
      </c>
      <c r="I699" s="6" t="str">
        <f ca="1">IFERROR(__xludf.DUMMYFUNCTION("""COMPUTED_VALUE"""),"01090011250")</f>
        <v>01090011250</v>
      </c>
      <c r="J699" s="6" t="str">
        <f ca="1">IFERROR(__xludf.DUMMYFUNCTION("""COMPUTED_VALUE"""),"19014")</f>
        <v>19014</v>
      </c>
      <c r="K699" s="6" t="str">
        <f ca="1">IFERROR(__xludf.DUMMYFUNCTION("""COMPUTED_VALUE"""),"خصم 20% علي جميع التحاليل")</f>
        <v>خصم 20% علي جميع التحاليل</v>
      </c>
    </row>
    <row r="700" spans="1:11" x14ac:dyDescent="0.25">
      <c r="A700" s="4" t="str">
        <f ca="1">IFERROR(__xludf.DUMMYFUNCTION("""COMPUTED_VALUE"""),"3860")</f>
        <v>3860</v>
      </c>
      <c r="B700" s="5" t="str">
        <f ca="1">IFERROR(__xludf.DUMMYFUNCTION("""COMPUTED_VALUE"""),"الغربية")</f>
        <v>الغربية</v>
      </c>
      <c r="C700" s="5" t="str">
        <f ca="1">IFERROR(__xludf.DUMMYFUNCTION("""COMPUTED_VALUE"""),"كفر الزيات")</f>
        <v>كفر الزيات</v>
      </c>
      <c r="D700" s="5" t="str">
        <f ca="1">IFERROR(__xludf.DUMMYFUNCTION("""COMPUTED_VALUE"""),"معمل")</f>
        <v>معمل</v>
      </c>
      <c r="E700" s="5" t="str">
        <f ca="1">IFERROR(__xludf.DUMMYFUNCTION("""COMPUTED_VALUE"""),"معمل")</f>
        <v>معمل</v>
      </c>
      <c r="F700" s="5" t="str">
        <f ca="1">IFERROR(__xludf.DUMMYFUNCTION("""COMPUTED_VALUE"""),"معمل التحاليل الطبية")</f>
        <v>معمل التحاليل الطبية</v>
      </c>
      <c r="G700" s="5" t="str">
        <f ca="1">IFERROR(__xludf.DUMMYFUNCTION("""COMPUTED_VALUE"""),"معمل د/ ابراهيم ناجي الشهاوى")</f>
        <v>معمل د/ ابراهيم ناجي الشهاوى</v>
      </c>
      <c r="H700" s="5" t="str">
        <f ca="1">IFERROR(__xludf.DUMMYFUNCTION("""COMPUTED_VALUE"""),"مشروع ناصر أمام الضرائب العامة-كفر الزيات-الغربية")</f>
        <v>مشروع ناصر أمام الضرائب العامة-كفر الزيات-الغربية</v>
      </c>
      <c r="I700" s="6" t="str">
        <f ca="1">IFERROR(__xludf.DUMMYFUNCTION("""COMPUTED_VALUE"""),"20402546793")</f>
        <v>20402546793</v>
      </c>
      <c r="J700" s="6"/>
      <c r="K700" s="6" t="str">
        <f ca="1">IFERROR(__xludf.DUMMYFUNCTION("""COMPUTED_VALUE"""),"30% علي الأسعار التقدي المعلنة")</f>
        <v>30% علي الأسعار التقدي المعلنة</v>
      </c>
    </row>
    <row r="701" spans="1:11" x14ac:dyDescent="0.25">
      <c r="A701" s="4" t="str">
        <f ca="1">IFERROR(__xludf.DUMMYFUNCTION("""COMPUTED_VALUE"""),"1897-B")</f>
        <v>1897-B</v>
      </c>
      <c r="B701" s="5" t="str">
        <f ca="1">IFERROR(__xludf.DUMMYFUNCTION("""COMPUTED_VALUE"""),"الفيوم")</f>
        <v>الفيوم</v>
      </c>
      <c r="C701" s="5" t="str">
        <f ca="1">IFERROR(__xludf.DUMMYFUNCTION("""COMPUTED_VALUE"""),"الفيوم")</f>
        <v>الفيوم</v>
      </c>
      <c r="D701" s="5" t="str">
        <f ca="1">IFERROR(__xludf.DUMMYFUNCTION("""COMPUTED_VALUE"""),"معمل")</f>
        <v>معمل</v>
      </c>
      <c r="E701" s="5" t="str">
        <f ca="1">IFERROR(__xludf.DUMMYFUNCTION("""COMPUTED_VALUE"""),"معمل")</f>
        <v>معمل</v>
      </c>
      <c r="F701" s="5" t="str">
        <f ca="1">IFERROR(__xludf.DUMMYFUNCTION("""COMPUTED_VALUE"""),"معمل التحاليل الطبية")</f>
        <v>معمل التحاليل الطبية</v>
      </c>
      <c r="G701" s="5" t="str">
        <f ca="1">IFERROR(__xludf.DUMMYFUNCTION("""COMPUTED_VALUE"""),"معمل المختبر (د. مؤمنة كامل)")</f>
        <v>معمل المختبر (د. مؤمنة كامل)</v>
      </c>
      <c r="H701" s="5" t="str">
        <f ca="1">IFERROR(__xludf.DUMMYFUNCTION("""COMPUTED_VALUE"""),"شارع الحرية – عمارة النساجون الشرقيون-الفيوم")</f>
        <v>شارع الحرية – عمارة النساجون الشرقيون-الفيوم</v>
      </c>
      <c r="I701" s="6" t="str">
        <f ca="1">IFERROR(__xludf.DUMMYFUNCTION("""COMPUTED_VALUE"""),"01090011215")</f>
        <v>01090011215</v>
      </c>
      <c r="J701" s="6" t="str">
        <f ca="1">IFERROR(__xludf.DUMMYFUNCTION("""COMPUTED_VALUE"""),"19014")</f>
        <v>19014</v>
      </c>
      <c r="K701" s="6" t="str">
        <f ca="1">IFERROR(__xludf.DUMMYFUNCTION("""COMPUTED_VALUE"""),"خصم 20% علي جميع التحاليل")</f>
        <v>خصم 20% علي جميع التحاليل</v>
      </c>
    </row>
    <row r="702" spans="1:11" x14ac:dyDescent="0.25">
      <c r="A702" s="4" t="str">
        <f ca="1">IFERROR(__xludf.DUMMYFUNCTION("""COMPUTED_VALUE"""),"1897-B")</f>
        <v>1897-B</v>
      </c>
      <c r="B702" s="5" t="str">
        <f ca="1">IFERROR(__xludf.DUMMYFUNCTION("""COMPUTED_VALUE"""),"الفيوم")</f>
        <v>الفيوم</v>
      </c>
      <c r="C702" s="5" t="str">
        <f ca="1">IFERROR(__xludf.DUMMYFUNCTION("""COMPUTED_VALUE"""),"سنورس")</f>
        <v>سنورس</v>
      </c>
      <c r="D702" s="5" t="str">
        <f ca="1">IFERROR(__xludf.DUMMYFUNCTION("""COMPUTED_VALUE"""),"معمل")</f>
        <v>معمل</v>
      </c>
      <c r="E702" s="5" t="str">
        <f ca="1">IFERROR(__xludf.DUMMYFUNCTION("""COMPUTED_VALUE"""),"معمل")</f>
        <v>معمل</v>
      </c>
      <c r="F702" s="5" t="str">
        <f ca="1">IFERROR(__xludf.DUMMYFUNCTION("""COMPUTED_VALUE"""),"معمل التحاليل الطبية")</f>
        <v>معمل التحاليل الطبية</v>
      </c>
      <c r="G702" s="5" t="str">
        <f ca="1">IFERROR(__xludf.DUMMYFUNCTION("""COMPUTED_VALUE"""),"معمل المختبر (د. مؤمنة كامل)")</f>
        <v>معمل المختبر (د. مؤمنة كامل)</v>
      </c>
      <c r="H702" s="5" t="str">
        <f ca="1">IFERROR(__xludf.DUMMYFUNCTION("""COMPUTED_VALUE"""),"شارع مبارك بجوار فودافون امام مركز سنوس  ( مستشفى النيل التخصصي ) الدور الثاني - الفيوم")</f>
        <v>شارع مبارك بجوار فودافون امام مركز سنوس  ( مستشفى النيل التخصصي ) الدور الثاني - الفيوم</v>
      </c>
      <c r="I702" s="6" t="str">
        <f ca="1">IFERROR(__xludf.DUMMYFUNCTION("""COMPUTED_VALUE"""),"01012224975")</f>
        <v>01012224975</v>
      </c>
      <c r="J702" s="6" t="str">
        <f ca="1">IFERROR(__xludf.DUMMYFUNCTION("""COMPUTED_VALUE"""),"19014")</f>
        <v>19014</v>
      </c>
      <c r="K702" s="6" t="str">
        <f ca="1">IFERROR(__xludf.DUMMYFUNCTION("""COMPUTED_VALUE"""),"خصم 20% علي جميع التحاليل")</f>
        <v>خصم 20% علي جميع التحاليل</v>
      </c>
    </row>
    <row r="703" spans="1:11" x14ac:dyDescent="0.25">
      <c r="A703" s="4" t="str">
        <f ca="1">IFERROR(__xludf.DUMMYFUNCTION("""COMPUTED_VALUE"""),"104199-B")</f>
        <v>104199-B</v>
      </c>
      <c r="B703" s="5" t="str">
        <f ca="1">IFERROR(__xludf.DUMMYFUNCTION("""COMPUTED_VALUE"""),"الجيزة")</f>
        <v>الجيزة</v>
      </c>
      <c r="C703" s="5" t="str">
        <f ca="1">IFERROR(__xludf.DUMMYFUNCTION("""COMPUTED_VALUE"""),"الجيزة")</f>
        <v>الجيزة</v>
      </c>
      <c r="D703" s="5" t="str">
        <f ca="1">IFERROR(__xludf.DUMMYFUNCTION("""COMPUTED_VALUE"""),"معمل")</f>
        <v>معمل</v>
      </c>
      <c r="E703" s="5" t="str">
        <f ca="1">IFERROR(__xludf.DUMMYFUNCTION("""COMPUTED_VALUE"""),"معمل")</f>
        <v>معمل</v>
      </c>
      <c r="F703" s="5" t="str">
        <f ca="1">IFERROR(__xludf.DUMMYFUNCTION("""COMPUTED_VALUE"""),"معمل التحاليل الطبية")</f>
        <v>معمل التحاليل الطبية</v>
      </c>
      <c r="G703" s="5" t="str">
        <f ca="1">IFERROR(__xludf.DUMMYFUNCTION("""COMPUTED_VALUE"""),"معامل ترست")</f>
        <v>معامل ترست</v>
      </c>
      <c r="H703" s="5" t="str">
        <f ca="1">IFERROR(__xludf.DUMMYFUNCTION("""COMPUTED_VALUE"""),"5شارع مراد - الجيزة .")</f>
        <v>5شارع مراد - الجيزة .</v>
      </c>
      <c r="I703" s="6" t="str">
        <f ca="1">IFERROR(__xludf.DUMMYFUNCTION("""COMPUTED_VALUE"""),"20235684568")</f>
        <v>20235684568</v>
      </c>
      <c r="J703" s="6" t="str">
        <f ca="1">IFERROR(__xludf.DUMMYFUNCTION("""COMPUTED_VALUE"""),"16183")</f>
        <v>16183</v>
      </c>
      <c r="K703" s="6" t="str">
        <f ca="1">IFERROR(__xludf.DUMMYFUNCTION("""COMPUTED_VALUE"""),"خصم 30% علي الاسعار المعلنة")</f>
        <v>خصم 30% علي الاسعار المعلنة</v>
      </c>
    </row>
    <row r="704" spans="1:11" x14ac:dyDescent="0.25">
      <c r="A704" s="4" t="str">
        <f ca="1">IFERROR(__xludf.DUMMYFUNCTION("""COMPUTED_VALUE"""),"1897-B")</f>
        <v>1897-B</v>
      </c>
      <c r="B704" s="5" t="str">
        <f ca="1">IFERROR(__xludf.DUMMYFUNCTION("""COMPUTED_VALUE"""),"الجيزة")</f>
        <v>الجيزة</v>
      </c>
      <c r="C704" s="5" t="str">
        <f ca="1">IFERROR(__xludf.DUMMYFUNCTION("""COMPUTED_VALUE"""),"الجيزة")</f>
        <v>الجيزة</v>
      </c>
      <c r="D704" s="5" t="str">
        <f ca="1">IFERROR(__xludf.DUMMYFUNCTION("""COMPUTED_VALUE"""),"معمل")</f>
        <v>معمل</v>
      </c>
      <c r="E704" s="5" t="str">
        <f ca="1">IFERROR(__xludf.DUMMYFUNCTION("""COMPUTED_VALUE"""),"معمل")</f>
        <v>معمل</v>
      </c>
      <c r="F704" s="5" t="str">
        <f ca="1">IFERROR(__xludf.DUMMYFUNCTION("""COMPUTED_VALUE"""),"معمل التحاليل الطبية")</f>
        <v>معمل التحاليل الطبية</v>
      </c>
      <c r="G704" s="5" t="str">
        <f ca="1">IFERROR(__xludf.DUMMYFUNCTION("""COMPUTED_VALUE"""),"معمل المختبر (د. مؤمنة كامل)")</f>
        <v>معمل المختبر (د. مؤمنة كامل)</v>
      </c>
      <c r="H704" s="5" t="str">
        <f ca="1">IFERROR(__xludf.DUMMYFUNCTION("""COMPUTED_VALUE"""),"112شارع البحر الأعظم بجوار التوحيد و النور- الجيزة")</f>
        <v>112شارع البحر الأعظم بجوار التوحيد و النور- الجيزة</v>
      </c>
      <c r="I704" s="6" t="str">
        <f ca="1">IFERROR(__xludf.DUMMYFUNCTION("""COMPUTED_VALUE"""),"01010508778")</f>
        <v>01010508778</v>
      </c>
      <c r="J704" s="6" t="str">
        <f ca="1">IFERROR(__xludf.DUMMYFUNCTION("""COMPUTED_VALUE"""),"19014")</f>
        <v>19014</v>
      </c>
      <c r="K704" s="6" t="str">
        <f ca="1">IFERROR(__xludf.DUMMYFUNCTION("""COMPUTED_VALUE"""),"خصم 20% علي جميع التحاليل")</f>
        <v>خصم 20% علي جميع التحاليل</v>
      </c>
    </row>
    <row r="705" spans="1:11" x14ac:dyDescent="0.25">
      <c r="A705" s="4" t="str">
        <f ca="1">IFERROR(__xludf.DUMMYFUNCTION("""COMPUTED_VALUE"""),"1897-B")</f>
        <v>1897-B</v>
      </c>
      <c r="B705" s="5" t="str">
        <f ca="1">IFERROR(__xludf.DUMMYFUNCTION("""COMPUTED_VALUE"""),"الجيزة")</f>
        <v>الجيزة</v>
      </c>
      <c r="C705" s="5" t="str">
        <f ca="1">IFERROR(__xludf.DUMMYFUNCTION("""COMPUTED_VALUE"""),"الجيزة")</f>
        <v>الجيزة</v>
      </c>
      <c r="D705" s="5" t="str">
        <f ca="1">IFERROR(__xludf.DUMMYFUNCTION("""COMPUTED_VALUE"""),"معمل")</f>
        <v>معمل</v>
      </c>
      <c r="E705" s="5" t="str">
        <f ca="1">IFERROR(__xludf.DUMMYFUNCTION("""COMPUTED_VALUE"""),"معمل")</f>
        <v>معمل</v>
      </c>
      <c r="F705" s="5" t="str">
        <f ca="1">IFERROR(__xludf.DUMMYFUNCTION("""COMPUTED_VALUE"""),"معمل التحاليل الطبية")</f>
        <v>معمل التحاليل الطبية</v>
      </c>
      <c r="G705" s="5" t="str">
        <f ca="1">IFERROR(__xludf.DUMMYFUNCTION("""COMPUTED_VALUE"""),"معمل المختبر (د. مؤمنة كامل)")</f>
        <v>معمل المختبر (د. مؤمنة كامل)</v>
      </c>
      <c r="H705" s="5" t="str">
        <f ca="1">IFERROR(__xludf.DUMMYFUNCTION("""COMPUTED_VALUE"""),"22أ شارع مراد بجوار عمر افندي- الجيزة")</f>
        <v>22أ شارع مراد بجوار عمر افندي- الجيزة</v>
      </c>
      <c r="I705" s="6" t="str">
        <f ca="1">IFERROR(__xludf.DUMMYFUNCTION("""COMPUTED_VALUE"""),"01090011286")</f>
        <v>01090011286</v>
      </c>
      <c r="J705" s="6" t="str">
        <f ca="1">IFERROR(__xludf.DUMMYFUNCTION("""COMPUTED_VALUE"""),"19014")</f>
        <v>19014</v>
      </c>
      <c r="K705" s="6" t="str">
        <f ca="1">IFERROR(__xludf.DUMMYFUNCTION("""COMPUTED_VALUE"""),"خصم 20% علي جميع التحاليل")</f>
        <v>خصم 20% علي جميع التحاليل</v>
      </c>
    </row>
    <row r="706" spans="1:11" x14ac:dyDescent="0.25">
      <c r="A706" s="4" t="str">
        <f ca="1">IFERROR(__xludf.DUMMYFUNCTION("""COMPUTED_VALUE"""),"1897-B")</f>
        <v>1897-B</v>
      </c>
      <c r="B706" s="5" t="str">
        <f ca="1">IFERROR(__xludf.DUMMYFUNCTION("""COMPUTED_VALUE"""),"الجيزة")</f>
        <v>الجيزة</v>
      </c>
      <c r="C706" s="5" t="str">
        <f ca="1">IFERROR(__xludf.DUMMYFUNCTION("""COMPUTED_VALUE"""),"البدرشين")</f>
        <v>البدرشين</v>
      </c>
      <c r="D706" s="5" t="str">
        <f ca="1">IFERROR(__xludf.DUMMYFUNCTION("""COMPUTED_VALUE"""),"معمل")</f>
        <v>معمل</v>
      </c>
      <c r="E706" s="5" t="str">
        <f ca="1">IFERROR(__xludf.DUMMYFUNCTION("""COMPUTED_VALUE"""),"معمل")</f>
        <v>معمل</v>
      </c>
      <c r="F706" s="5" t="str">
        <f ca="1">IFERROR(__xludf.DUMMYFUNCTION("""COMPUTED_VALUE"""),"معمل التحاليل الطبية")</f>
        <v>معمل التحاليل الطبية</v>
      </c>
      <c r="G706" s="5" t="str">
        <f ca="1">IFERROR(__xludf.DUMMYFUNCTION("""COMPUTED_VALUE"""),"معمل المختبر (د. مؤمنة كامل)")</f>
        <v>معمل المختبر (د. مؤمنة كامل)</v>
      </c>
      <c r="H706" s="5" t="str">
        <f ca="1">IFERROR(__xludf.DUMMYFUNCTION("""COMPUTED_VALUE"""),"شارع النيل السعيد - البدرشين - الجيزة")</f>
        <v>شارع النيل السعيد - البدرشين - الجيزة</v>
      </c>
      <c r="I706" s="6" t="str">
        <f ca="1">IFERROR(__xludf.DUMMYFUNCTION("""COMPUTED_VALUE"""),"01090011283
")</f>
        <v xml:space="preserve">01090011283
</v>
      </c>
      <c r="J706" s="6" t="str">
        <f ca="1">IFERROR(__xludf.DUMMYFUNCTION("""COMPUTED_VALUE"""),"19014")</f>
        <v>19014</v>
      </c>
      <c r="K706" s="6" t="str">
        <f ca="1">IFERROR(__xludf.DUMMYFUNCTION("""COMPUTED_VALUE"""),"خصم 20% علي جميع التحاليل")</f>
        <v>خصم 20% علي جميع التحاليل</v>
      </c>
    </row>
    <row r="707" spans="1:11" x14ac:dyDescent="0.25">
      <c r="A707" s="4" t="str">
        <f ca="1">IFERROR(__xludf.DUMMYFUNCTION("""COMPUTED_VALUE"""),"104199-B")</f>
        <v>104199-B</v>
      </c>
      <c r="B707" s="5" t="str">
        <f ca="1">IFERROR(__xludf.DUMMYFUNCTION("""COMPUTED_VALUE"""),"الجيزة")</f>
        <v>الجيزة</v>
      </c>
      <c r="C707" s="5" t="str">
        <f ca="1">IFERROR(__xludf.DUMMYFUNCTION("""COMPUTED_VALUE"""),"الدقي")</f>
        <v>الدقي</v>
      </c>
      <c r="D707" s="5" t="str">
        <f ca="1">IFERROR(__xludf.DUMMYFUNCTION("""COMPUTED_VALUE"""),"معمل")</f>
        <v>معمل</v>
      </c>
      <c r="E707" s="5" t="str">
        <f ca="1">IFERROR(__xludf.DUMMYFUNCTION("""COMPUTED_VALUE"""),"معمل")</f>
        <v>معمل</v>
      </c>
      <c r="F707" s="5" t="str">
        <f ca="1">IFERROR(__xludf.DUMMYFUNCTION("""COMPUTED_VALUE"""),"معمل التحاليل الطبية")</f>
        <v>معمل التحاليل الطبية</v>
      </c>
      <c r="G707" s="5" t="str">
        <f ca="1">IFERROR(__xludf.DUMMYFUNCTION("""COMPUTED_VALUE"""),"معامل ترست")</f>
        <v>معامل ترست</v>
      </c>
      <c r="H707" s="5" t="str">
        <f ca="1">IFERROR(__xludf.DUMMYFUNCTION("""COMPUTED_VALUE"""),"97 شارع التحرير - الدور الخامس - الدقي - الجيزة .")</f>
        <v>97 شارع التحرير - الدور الخامس - الدقي - الجيزة .</v>
      </c>
      <c r="I707" s="6" t="str">
        <f ca="1">IFERROR(__xludf.DUMMYFUNCTION("""COMPUTED_VALUE"""),"20237498649")</f>
        <v>20237498649</v>
      </c>
      <c r="J707" s="6" t="str">
        <f ca="1">IFERROR(__xludf.DUMMYFUNCTION("""COMPUTED_VALUE"""),"16183")</f>
        <v>16183</v>
      </c>
      <c r="K707" s="6" t="str">
        <f ca="1">IFERROR(__xludf.DUMMYFUNCTION("""COMPUTED_VALUE"""),"خصم 30% علي الاسعار المعلنة")</f>
        <v>خصم 30% علي الاسعار المعلنة</v>
      </c>
    </row>
    <row r="708" spans="1:11" x14ac:dyDescent="0.25">
      <c r="A708" s="4" t="str">
        <f ca="1">IFERROR(__xludf.DUMMYFUNCTION("""COMPUTED_VALUE"""),"1897-B")</f>
        <v>1897-B</v>
      </c>
      <c r="B708" s="5" t="str">
        <f ca="1">IFERROR(__xludf.DUMMYFUNCTION("""COMPUTED_VALUE"""),"الجيزة")</f>
        <v>الجيزة</v>
      </c>
      <c r="C708" s="5" t="str">
        <f ca="1">IFERROR(__xludf.DUMMYFUNCTION("""COMPUTED_VALUE"""),"الدقي")</f>
        <v>الدقي</v>
      </c>
      <c r="D708" s="5" t="str">
        <f ca="1">IFERROR(__xludf.DUMMYFUNCTION("""COMPUTED_VALUE"""),"معمل")</f>
        <v>معمل</v>
      </c>
      <c r="E708" s="5" t="str">
        <f ca="1">IFERROR(__xludf.DUMMYFUNCTION("""COMPUTED_VALUE"""),"معمل")</f>
        <v>معمل</v>
      </c>
      <c r="F708" s="5" t="str">
        <f ca="1">IFERROR(__xludf.DUMMYFUNCTION("""COMPUTED_VALUE"""),"معمل التحاليل الطبية")</f>
        <v>معمل التحاليل الطبية</v>
      </c>
      <c r="G708" s="5" t="str">
        <f ca="1">IFERROR(__xludf.DUMMYFUNCTION("""COMPUTED_VALUE"""),"معمل المختبر (د. مؤمنة كامل)")</f>
        <v>معمل المختبر (د. مؤمنة كامل)</v>
      </c>
      <c r="H708" s="5" t="str">
        <f ca="1">IFERROR(__xludf.DUMMYFUNCTION("""COMPUTED_VALUE"""),"104شارع التحرير - الدور الثانى-الدقي- الجيزة")</f>
        <v>104شارع التحرير - الدور الثانى-الدقي- الجيزة</v>
      </c>
      <c r="I708" s="6" t="str">
        <f ca="1">IFERROR(__xludf.DUMMYFUNCTION("""COMPUTED_VALUE"""),"201090011272")</f>
        <v>201090011272</v>
      </c>
      <c r="J708" s="6" t="str">
        <f ca="1">IFERROR(__xludf.DUMMYFUNCTION("""COMPUTED_VALUE"""),"19014")</f>
        <v>19014</v>
      </c>
      <c r="K708" s="6" t="str">
        <f ca="1">IFERROR(__xludf.DUMMYFUNCTION("""COMPUTED_VALUE"""),"خصم 20% علي جميع التحاليل")</f>
        <v>خصم 20% علي جميع التحاليل</v>
      </c>
    </row>
    <row r="709" spans="1:11" x14ac:dyDescent="0.25">
      <c r="A709" s="4" t="str">
        <f ca="1">IFERROR(__xludf.DUMMYFUNCTION("""COMPUTED_VALUE"""),"1897-B")</f>
        <v>1897-B</v>
      </c>
      <c r="B709" s="5" t="str">
        <f ca="1">IFERROR(__xludf.DUMMYFUNCTION("""COMPUTED_VALUE"""),"القاهرة")</f>
        <v>القاهرة</v>
      </c>
      <c r="C709" s="5" t="str">
        <f ca="1">IFERROR(__xludf.DUMMYFUNCTION("""COMPUTED_VALUE"""),"الزمالك")</f>
        <v>الزمالك</v>
      </c>
      <c r="D709" s="5" t="str">
        <f ca="1">IFERROR(__xludf.DUMMYFUNCTION("""COMPUTED_VALUE"""),"معمل")</f>
        <v>معمل</v>
      </c>
      <c r="E709" s="5" t="str">
        <f ca="1">IFERROR(__xludf.DUMMYFUNCTION("""COMPUTED_VALUE"""),"معمل")</f>
        <v>معمل</v>
      </c>
      <c r="F709" s="5" t="str">
        <f ca="1">IFERROR(__xludf.DUMMYFUNCTION("""COMPUTED_VALUE"""),"معمل التحاليل الطبية")</f>
        <v>معمل التحاليل الطبية</v>
      </c>
      <c r="G709" s="5" t="str">
        <f ca="1">IFERROR(__xludf.DUMMYFUNCTION("""COMPUTED_VALUE"""),"معمل المختبر (د. مؤمنة كامل)")</f>
        <v>معمل المختبر (د. مؤمنة كامل)</v>
      </c>
      <c r="H709" s="5" t="str">
        <f ca="1">IFERROR(__xludf.DUMMYFUNCTION("""COMPUTED_VALUE"""),"140 شارع 26 يوليو - امام سنترال الزمالك-الزمالك-القاهرة")</f>
        <v>140 شارع 26 يوليو - امام سنترال الزمالك-الزمالك-القاهرة</v>
      </c>
      <c r="I709" s="6" t="str">
        <f ca="1">IFERROR(__xludf.DUMMYFUNCTION("""COMPUTED_VALUE"""),"01090011273")</f>
        <v>01090011273</v>
      </c>
      <c r="J709" s="6" t="str">
        <f ca="1">IFERROR(__xludf.DUMMYFUNCTION("""COMPUTED_VALUE"""),"19014")</f>
        <v>19014</v>
      </c>
      <c r="K709" s="6" t="str">
        <f ca="1">IFERROR(__xludf.DUMMYFUNCTION("""COMPUTED_VALUE"""),"خصم 20% علي جميع التحاليل")</f>
        <v>خصم 20% علي جميع التحاليل</v>
      </c>
    </row>
    <row r="710" spans="1:11" x14ac:dyDescent="0.25">
      <c r="A710" s="4" t="str">
        <f ca="1">IFERROR(__xludf.DUMMYFUNCTION("""COMPUTED_VALUE"""),"3241-B")</f>
        <v>3241-B</v>
      </c>
      <c r="B710" s="5" t="str">
        <f ca="1">IFERROR(__xludf.DUMMYFUNCTION("""COMPUTED_VALUE"""),"الجيزة")</f>
        <v>الجيزة</v>
      </c>
      <c r="C710" s="5" t="str">
        <f ca="1">IFERROR(__xludf.DUMMYFUNCTION("""COMPUTED_VALUE"""),"السادس من اكتوبر")</f>
        <v>السادس من اكتوبر</v>
      </c>
      <c r="D710" s="5" t="str">
        <f ca="1">IFERROR(__xludf.DUMMYFUNCTION("""COMPUTED_VALUE"""),"معمل")</f>
        <v>معمل</v>
      </c>
      <c r="E710" s="5" t="str">
        <f ca="1">IFERROR(__xludf.DUMMYFUNCTION("""COMPUTED_VALUE"""),"معمل")</f>
        <v>معمل</v>
      </c>
      <c r="F710" s="5" t="str">
        <f ca="1">IFERROR(__xludf.DUMMYFUNCTION("""COMPUTED_VALUE"""),"معمل التحاليل الطبية")</f>
        <v>معمل التحاليل الطبية</v>
      </c>
      <c r="G710" s="5" t="str">
        <f ca="1">IFERROR(__xludf.DUMMYFUNCTION("""COMPUTED_VALUE"""),"شركة معامل الحياة للتحاليل الطبية")</f>
        <v>شركة معامل الحياة للتحاليل الطبية</v>
      </c>
      <c r="H710" s="5" t="str">
        <f ca="1">IFERROR(__xludf.DUMMYFUNCTION("""COMPUTED_VALUE"""),"5 مركز هنيده التجاري - امام مسجد الحصري-6 أكتوبر - الجيزة")</f>
        <v>5 مركز هنيده التجاري - امام مسجد الحصري-6 أكتوبر - الجيزة</v>
      </c>
      <c r="I710" s="6" t="str">
        <f ca="1">IFERROR(__xludf.DUMMYFUNCTION("""COMPUTED_VALUE"""),"20238377762")</f>
        <v>20238377762</v>
      </c>
      <c r="J710" s="6"/>
      <c r="K710" s="6" t="str">
        <f ca="1">IFERROR(__xludf.DUMMYFUNCTION("""COMPUTED_VALUE"""),"خصم 40% علي جميع التحاليل ما عدا تحليل بزل النخاع 20%.")</f>
        <v>خصم 40% علي جميع التحاليل ما عدا تحليل بزل النخاع 20%.</v>
      </c>
    </row>
    <row r="711" spans="1:11" x14ac:dyDescent="0.25">
      <c r="A711" s="4" t="str">
        <f ca="1">IFERROR(__xludf.DUMMYFUNCTION("""COMPUTED_VALUE"""),"1897-B")</f>
        <v>1897-B</v>
      </c>
      <c r="B711" s="5" t="str">
        <f ca="1">IFERROR(__xludf.DUMMYFUNCTION("""COMPUTED_VALUE"""),"الجيزة")</f>
        <v>الجيزة</v>
      </c>
      <c r="C711" s="5" t="str">
        <f ca="1">IFERROR(__xludf.DUMMYFUNCTION("""COMPUTED_VALUE"""),"السادس من اكتوبر")</f>
        <v>السادس من اكتوبر</v>
      </c>
      <c r="D711" s="5" t="str">
        <f ca="1">IFERROR(__xludf.DUMMYFUNCTION("""COMPUTED_VALUE"""),"معمل")</f>
        <v>معمل</v>
      </c>
      <c r="E711" s="5" t="str">
        <f ca="1">IFERROR(__xludf.DUMMYFUNCTION("""COMPUTED_VALUE"""),"معمل")</f>
        <v>معمل</v>
      </c>
      <c r="F711" s="5" t="str">
        <f ca="1">IFERROR(__xludf.DUMMYFUNCTION("""COMPUTED_VALUE"""),"معمل التحاليل الطبية")</f>
        <v>معمل التحاليل الطبية</v>
      </c>
      <c r="G711" s="5" t="str">
        <f ca="1">IFERROR(__xludf.DUMMYFUNCTION("""COMPUTED_VALUE"""),"معمل المختبر (د. مؤمنة كامل)")</f>
        <v>معمل المختبر (د. مؤمنة كامل)</v>
      </c>
      <c r="H711" s="5" t="str">
        <f ca="1">IFERROR(__xludf.DUMMYFUNCTION("""COMPUTED_VALUE"""),"شقة 12 الدور الثاني المحور المركزي - مشروع برعي بلازا بجوار مسجد الحصري-6 أكتوبر - الجيزة")</f>
        <v>شقة 12 الدور الثاني المحور المركزي - مشروع برعي بلازا بجوار مسجد الحصري-6 أكتوبر - الجيزة</v>
      </c>
      <c r="I711" s="6" t="str">
        <f ca="1">IFERROR(__xludf.DUMMYFUNCTION("""COMPUTED_VALUE"""),"01090011234")</f>
        <v>01090011234</v>
      </c>
      <c r="J711" s="6" t="str">
        <f ca="1">IFERROR(__xludf.DUMMYFUNCTION("""COMPUTED_VALUE"""),"19014")</f>
        <v>19014</v>
      </c>
      <c r="K711" s="6" t="str">
        <f ca="1">IFERROR(__xludf.DUMMYFUNCTION("""COMPUTED_VALUE"""),"خصم 20% علي جميع التحاليل")</f>
        <v>خصم 20% علي جميع التحاليل</v>
      </c>
    </row>
    <row r="712" spans="1:11" x14ac:dyDescent="0.25">
      <c r="A712" s="4" t="str">
        <f ca="1">IFERROR(__xludf.DUMMYFUNCTION("""COMPUTED_VALUE"""),"1897-B")</f>
        <v>1897-B</v>
      </c>
      <c r="B712" s="5" t="str">
        <f ca="1">IFERROR(__xludf.DUMMYFUNCTION("""COMPUTED_VALUE"""),"الجيزة")</f>
        <v>الجيزة</v>
      </c>
      <c r="C712" s="5" t="str">
        <f ca="1">IFERROR(__xludf.DUMMYFUNCTION("""COMPUTED_VALUE"""),"السادس من اكتوبر")</f>
        <v>السادس من اكتوبر</v>
      </c>
      <c r="D712" s="5" t="str">
        <f ca="1">IFERROR(__xludf.DUMMYFUNCTION("""COMPUTED_VALUE"""),"معمل")</f>
        <v>معمل</v>
      </c>
      <c r="E712" s="5" t="str">
        <f ca="1">IFERROR(__xludf.DUMMYFUNCTION("""COMPUTED_VALUE"""),"معمل")</f>
        <v>معمل</v>
      </c>
      <c r="F712" s="5" t="str">
        <f ca="1">IFERROR(__xludf.DUMMYFUNCTION("""COMPUTED_VALUE"""),"معمل التحاليل الطبية")</f>
        <v>معمل التحاليل الطبية</v>
      </c>
      <c r="G712" s="5" t="str">
        <f ca="1">IFERROR(__xludf.DUMMYFUNCTION("""COMPUTED_VALUE"""),"معمل المختبر (د. مؤمنة كامل)")</f>
        <v>معمل المختبر (د. مؤمنة كامل)</v>
      </c>
      <c r="H712" s="5" t="str">
        <f ca="1">IFERROR(__xludf.DUMMYFUNCTION("""COMPUTED_VALUE"""),"مدينة 6 أكتوبر - الحى السادس - أمام قصر الثقافة-6 أكتوبر - الجيزة")</f>
        <v>مدينة 6 أكتوبر - الحى السادس - أمام قصر الثقافة-6 أكتوبر - الجيزة</v>
      </c>
      <c r="I712" s="6" t="str">
        <f ca="1">IFERROR(__xludf.DUMMYFUNCTION("""COMPUTED_VALUE"""),"01090011205")</f>
        <v>01090011205</v>
      </c>
      <c r="J712" s="6" t="str">
        <f ca="1">IFERROR(__xludf.DUMMYFUNCTION("""COMPUTED_VALUE"""),"19014")</f>
        <v>19014</v>
      </c>
      <c r="K712" s="6" t="str">
        <f ca="1">IFERROR(__xludf.DUMMYFUNCTION("""COMPUTED_VALUE"""),"خصم 20% علي جميع التحاليل")</f>
        <v>خصم 20% علي جميع التحاليل</v>
      </c>
    </row>
    <row r="713" spans="1:11" x14ac:dyDescent="0.25">
      <c r="A713" s="4" t="str">
        <f ca="1">IFERROR(__xludf.DUMMYFUNCTION("""COMPUTED_VALUE"""),"1897-B")</f>
        <v>1897-B</v>
      </c>
      <c r="B713" s="5" t="str">
        <f ca="1">IFERROR(__xludf.DUMMYFUNCTION("""COMPUTED_VALUE"""),"القاهرة")</f>
        <v>القاهرة</v>
      </c>
      <c r="C713" s="5" t="str">
        <f ca="1">IFERROR(__xludf.DUMMYFUNCTION("""COMPUTED_VALUE"""),"السيدة زينب")</f>
        <v>السيدة زينب</v>
      </c>
      <c r="D713" s="5" t="str">
        <f ca="1">IFERROR(__xludf.DUMMYFUNCTION("""COMPUTED_VALUE"""),"معمل")</f>
        <v>معمل</v>
      </c>
      <c r="E713" s="5" t="str">
        <f ca="1">IFERROR(__xludf.DUMMYFUNCTION("""COMPUTED_VALUE"""),"معمل")</f>
        <v>معمل</v>
      </c>
      <c r="F713" s="5" t="str">
        <f ca="1">IFERROR(__xludf.DUMMYFUNCTION("""COMPUTED_VALUE"""),"معمل التحاليل الطبية")</f>
        <v>معمل التحاليل الطبية</v>
      </c>
      <c r="G713" s="5" t="str">
        <f ca="1">IFERROR(__xludf.DUMMYFUNCTION("""COMPUTED_VALUE"""),"معمل المختبر (د. مؤمنة كامل)")</f>
        <v>معمل المختبر (د. مؤمنة كامل)</v>
      </c>
      <c r="H713" s="5" t="str">
        <f ca="1">IFERROR(__xludf.DUMMYFUNCTION("""COMPUTED_VALUE"""),"306 شارع بورسعيد – أمام مستشفى أحمد ماهر - قسم الدرب الاحمر–السيدة زينب-القاهرة")</f>
        <v>306 شارع بورسعيد – أمام مستشفى أحمد ماهر - قسم الدرب الاحمر–السيدة زينب-القاهرة</v>
      </c>
      <c r="I713" s="6" t="str">
        <f ca="1">IFERROR(__xludf.DUMMYFUNCTION("""COMPUTED_VALUE"""),"01090011219")</f>
        <v>01090011219</v>
      </c>
      <c r="J713" s="6" t="str">
        <f ca="1">IFERROR(__xludf.DUMMYFUNCTION("""COMPUTED_VALUE"""),"19014")</f>
        <v>19014</v>
      </c>
      <c r="K713" s="6" t="str">
        <f ca="1">IFERROR(__xludf.DUMMYFUNCTION("""COMPUTED_VALUE"""),"خصم 20% علي جميع التحاليل")</f>
        <v>خصم 20% علي جميع التحاليل</v>
      </c>
    </row>
    <row r="714" spans="1:11" x14ac:dyDescent="0.25">
      <c r="A714" s="4" t="str">
        <f ca="1">IFERROR(__xludf.DUMMYFUNCTION("""COMPUTED_VALUE"""),"104199-B")</f>
        <v>104199-B</v>
      </c>
      <c r="B714" s="5" t="str">
        <f ca="1">IFERROR(__xludf.DUMMYFUNCTION("""COMPUTED_VALUE"""),"الجيزة")</f>
        <v>الجيزة</v>
      </c>
      <c r="C714" s="5" t="str">
        <f ca="1">IFERROR(__xludf.DUMMYFUNCTION("""COMPUTED_VALUE"""),"الشيخ زايد")</f>
        <v>الشيخ زايد</v>
      </c>
      <c r="D714" s="5" t="str">
        <f ca="1">IFERROR(__xludf.DUMMYFUNCTION("""COMPUTED_VALUE"""),"معمل")</f>
        <v>معمل</v>
      </c>
      <c r="E714" s="5" t="str">
        <f ca="1">IFERROR(__xludf.DUMMYFUNCTION("""COMPUTED_VALUE"""),"معمل")</f>
        <v>معمل</v>
      </c>
      <c r="F714" s="5" t="str">
        <f ca="1">IFERROR(__xludf.DUMMYFUNCTION("""COMPUTED_VALUE"""),"معمل التحاليل الطبية")</f>
        <v>معمل التحاليل الطبية</v>
      </c>
      <c r="G714" s="5" t="str">
        <f ca="1">IFERROR(__xludf.DUMMYFUNCTION("""COMPUTED_VALUE"""),"معامل ترست")</f>
        <v>معامل ترست</v>
      </c>
      <c r="H714" s="5" t="str">
        <f ca="1">IFERROR(__xludf.DUMMYFUNCTION("""COMPUTED_VALUE"""),"الحى الثالث– مركزعنايةالطبي – امام مستشفي زايد التخصصي  - الجيزة .")</f>
        <v>الحى الثالث– مركزعنايةالطبي – امام مستشفي زايد التخصصي  - الجيزة .</v>
      </c>
      <c r="I714" s="6" t="str">
        <f ca="1">IFERROR(__xludf.DUMMYFUNCTION("""COMPUTED_VALUE"""),"201210040066")</f>
        <v>201210040066</v>
      </c>
      <c r="J714" s="6" t="str">
        <f ca="1">IFERROR(__xludf.DUMMYFUNCTION("""COMPUTED_VALUE"""),"16183")</f>
        <v>16183</v>
      </c>
      <c r="K714" s="6" t="str">
        <f ca="1">IFERROR(__xludf.DUMMYFUNCTION("""COMPUTED_VALUE"""),"خصم 30% علي الاسعار المعلنة")</f>
        <v>خصم 30% علي الاسعار المعلنة</v>
      </c>
    </row>
    <row r="715" spans="1:11" x14ac:dyDescent="0.25">
      <c r="A715" s="4" t="str">
        <f ca="1">IFERROR(__xludf.DUMMYFUNCTION("""COMPUTED_VALUE"""),"1897-B")</f>
        <v>1897-B</v>
      </c>
      <c r="B715" s="5" t="str">
        <f ca="1">IFERROR(__xludf.DUMMYFUNCTION("""COMPUTED_VALUE"""),"الجيزة")</f>
        <v>الجيزة</v>
      </c>
      <c r="C715" s="5" t="str">
        <f ca="1">IFERROR(__xludf.DUMMYFUNCTION("""COMPUTED_VALUE"""),"الشيخ زايد")</f>
        <v>الشيخ زايد</v>
      </c>
      <c r="D715" s="5" t="str">
        <f ca="1">IFERROR(__xludf.DUMMYFUNCTION("""COMPUTED_VALUE"""),"معمل")</f>
        <v>معمل</v>
      </c>
      <c r="E715" s="5" t="str">
        <f ca="1">IFERROR(__xludf.DUMMYFUNCTION("""COMPUTED_VALUE"""),"معمل")</f>
        <v>معمل</v>
      </c>
      <c r="F715" s="5" t="str">
        <f ca="1">IFERROR(__xludf.DUMMYFUNCTION("""COMPUTED_VALUE"""),"معمل التحاليل الطبية")</f>
        <v>معمل التحاليل الطبية</v>
      </c>
      <c r="G715" s="5" t="str">
        <f ca="1">IFERROR(__xludf.DUMMYFUNCTION("""COMPUTED_VALUE"""),"معمل المختبر (د. مؤمنة كامل)")</f>
        <v>معمل المختبر (د. مؤمنة كامل)</v>
      </c>
      <c r="H715" s="5" t="str">
        <f ca="1">IFERROR(__xludf.DUMMYFUNCTION("""COMPUTED_VALUE"""),"شارع عبد العزيز فهمى قطعه 3 وحدة 12 و 11د فوق الارضى الكائن بمستشفى مجمع الندى الطبى  - الشيخ زايد - الجيزة .")</f>
        <v>شارع عبد العزيز فهمى قطعه 3 وحدة 12 و 11د فوق الارضى الكائن بمستشفى مجمع الندى الطبى  - الشيخ زايد - الجيزة .</v>
      </c>
      <c r="I715" s="6" t="str">
        <f ca="1">IFERROR(__xludf.DUMMYFUNCTION("""COMPUTED_VALUE"""),"01013009233")</f>
        <v>01013009233</v>
      </c>
      <c r="J715" s="6" t="str">
        <f ca="1">IFERROR(__xludf.DUMMYFUNCTION("""COMPUTED_VALUE"""),"19014")</f>
        <v>19014</v>
      </c>
      <c r="K715" s="6" t="str">
        <f ca="1">IFERROR(__xludf.DUMMYFUNCTION("""COMPUTED_VALUE"""),"خصم 20% علي جميع التحاليل")</f>
        <v>خصم 20% علي جميع التحاليل</v>
      </c>
    </row>
    <row r="716" spans="1:11" x14ac:dyDescent="0.25">
      <c r="A716" s="4" t="str">
        <f ca="1">IFERROR(__xludf.DUMMYFUNCTION("""COMPUTED_VALUE"""),"1897-B")</f>
        <v>1897-B</v>
      </c>
      <c r="B716" s="5" t="str">
        <f ca="1">IFERROR(__xludf.DUMMYFUNCTION("""COMPUTED_VALUE"""),"الجيزة")</f>
        <v>الجيزة</v>
      </c>
      <c r="C716" s="5" t="str">
        <f ca="1">IFERROR(__xludf.DUMMYFUNCTION("""COMPUTED_VALUE"""),"الشيخ زايد")</f>
        <v>الشيخ زايد</v>
      </c>
      <c r="D716" s="5" t="str">
        <f ca="1">IFERROR(__xludf.DUMMYFUNCTION("""COMPUTED_VALUE"""),"معمل")</f>
        <v>معمل</v>
      </c>
      <c r="E716" s="5" t="str">
        <f ca="1">IFERROR(__xludf.DUMMYFUNCTION("""COMPUTED_VALUE"""),"معمل")</f>
        <v>معمل</v>
      </c>
      <c r="F716" s="5" t="str">
        <f ca="1">IFERROR(__xludf.DUMMYFUNCTION("""COMPUTED_VALUE"""),"معمل التحاليل الطبية")</f>
        <v>معمل التحاليل الطبية</v>
      </c>
      <c r="G716" s="5" t="str">
        <f ca="1">IFERROR(__xludf.DUMMYFUNCTION("""COMPUTED_VALUE"""),"معمل المختبر (د. مؤمنة كامل)")</f>
        <v>معمل المختبر (د. مؤمنة كامل)</v>
      </c>
      <c r="H716" s="5" t="str">
        <f ca="1">IFERROR(__xludf.DUMMYFUNCTION("""COMPUTED_VALUE"""),"مركز خدمات الحى الثالث - الزياد مول اعلى مطعم الشبراوى امام مستشفى الشيخ زايد التخصصى - الشيخ زايد-الشيخ زايد - الجيزة")</f>
        <v>مركز خدمات الحى الثالث - الزياد مول اعلى مطعم الشبراوى امام مستشفى الشيخ زايد التخصصى - الشيخ زايد-الشيخ زايد - الجيزة</v>
      </c>
      <c r="I716" s="6" t="str">
        <f ca="1">IFERROR(__xludf.DUMMYFUNCTION("""COMPUTED_VALUE"""),"01028028616")</f>
        <v>01028028616</v>
      </c>
      <c r="J716" s="6" t="str">
        <f ca="1">IFERROR(__xludf.DUMMYFUNCTION("""COMPUTED_VALUE"""),"19014")</f>
        <v>19014</v>
      </c>
      <c r="K716" s="6" t="str">
        <f ca="1">IFERROR(__xludf.DUMMYFUNCTION("""COMPUTED_VALUE"""),"خصم 20% علي جميع التحاليل")</f>
        <v>خصم 20% علي جميع التحاليل</v>
      </c>
    </row>
    <row r="717" spans="1:11" x14ac:dyDescent="0.25">
      <c r="A717" s="4" t="str">
        <f ca="1">IFERROR(__xludf.DUMMYFUNCTION("""COMPUTED_VALUE"""),"1897-B")</f>
        <v>1897-B</v>
      </c>
      <c r="B717" s="5" t="str">
        <f ca="1">IFERROR(__xludf.DUMMYFUNCTION("""COMPUTED_VALUE"""),"القاهرة")</f>
        <v>القاهرة</v>
      </c>
      <c r="C717" s="5" t="str">
        <f ca="1">IFERROR(__xludf.DUMMYFUNCTION("""COMPUTED_VALUE"""),"العباسية")</f>
        <v>العباسية</v>
      </c>
      <c r="D717" s="5" t="str">
        <f ca="1">IFERROR(__xludf.DUMMYFUNCTION("""COMPUTED_VALUE"""),"معمل")</f>
        <v>معمل</v>
      </c>
      <c r="E717" s="5" t="str">
        <f ca="1">IFERROR(__xludf.DUMMYFUNCTION("""COMPUTED_VALUE"""),"معمل")</f>
        <v>معمل</v>
      </c>
      <c r="F717" s="5" t="str">
        <f ca="1">IFERROR(__xludf.DUMMYFUNCTION("""COMPUTED_VALUE"""),"معمل التحاليل الطبية")</f>
        <v>معمل التحاليل الطبية</v>
      </c>
      <c r="G717" s="5" t="str">
        <f ca="1">IFERROR(__xludf.DUMMYFUNCTION("""COMPUTED_VALUE"""),"معمل المختبر (د. مؤمنة كامل)")</f>
        <v>معمل المختبر (د. مؤمنة كامل)</v>
      </c>
      <c r="H717" s="5" t="str">
        <f ca="1">IFERROR(__xludf.DUMMYFUNCTION("""COMPUTED_VALUE"""),"599شارع بور سعيد - باب الشعرية -الظاهر-العباسية-القاهرة")</f>
        <v>599شارع بور سعيد - باب الشعرية -الظاهر-العباسية-القاهرة</v>
      </c>
      <c r="I717" s="6" t="str">
        <f ca="1">IFERROR(__xludf.DUMMYFUNCTION("""COMPUTED_VALUE"""),"01002180538")</f>
        <v>01002180538</v>
      </c>
      <c r="J717" s="6" t="str">
        <f ca="1">IFERROR(__xludf.DUMMYFUNCTION("""COMPUTED_VALUE"""),"19014")</f>
        <v>19014</v>
      </c>
      <c r="K717" s="6" t="str">
        <f ca="1">IFERROR(__xludf.DUMMYFUNCTION("""COMPUTED_VALUE"""),"خصم 20% علي جميع التحاليل")</f>
        <v>خصم 20% علي جميع التحاليل</v>
      </c>
    </row>
    <row r="718" spans="1:11" x14ac:dyDescent="0.25">
      <c r="A718" s="4" t="str">
        <f ca="1">IFERROR(__xludf.DUMMYFUNCTION("""COMPUTED_VALUE"""),"1897-B")</f>
        <v>1897-B</v>
      </c>
      <c r="B718" s="5" t="str">
        <f ca="1">IFERROR(__xludf.DUMMYFUNCTION("""COMPUTED_VALUE"""),"القاهرة")</f>
        <v>القاهرة</v>
      </c>
      <c r="C718" s="5" t="str">
        <f ca="1">IFERROR(__xludf.DUMMYFUNCTION("""COMPUTED_VALUE"""),"العباسية")</f>
        <v>العباسية</v>
      </c>
      <c r="D718" s="5" t="str">
        <f ca="1">IFERROR(__xludf.DUMMYFUNCTION("""COMPUTED_VALUE"""),"معمل")</f>
        <v>معمل</v>
      </c>
      <c r="E718" s="5" t="str">
        <f ca="1">IFERROR(__xludf.DUMMYFUNCTION("""COMPUTED_VALUE"""),"معمل")</f>
        <v>معمل</v>
      </c>
      <c r="F718" s="5" t="str">
        <f ca="1">IFERROR(__xludf.DUMMYFUNCTION("""COMPUTED_VALUE"""),"معمل التحاليل الطبية")</f>
        <v>معمل التحاليل الطبية</v>
      </c>
      <c r="G718" s="5" t="str">
        <f ca="1">IFERROR(__xludf.DUMMYFUNCTION("""COMPUTED_VALUE"""),"معمل المختبر (د. مؤمنة كامل)")</f>
        <v>معمل المختبر (د. مؤمنة كامل)</v>
      </c>
      <c r="H718" s="5" t="str">
        <f ca="1">IFERROR(__xludf.DUMMYFUNCTION("""COMPUTED_VALUE"""),"385شارع رمسيس - أمام مستشفى الدمرداش-العباسية-القاهرة")</f>
        <v>385شارع رمسيس - أمام مستشفى الدمرداش-العباسية-القاهرة</v>
      </c>
      <c r="I718" s="6" t="str">
        <f ca="1">IFERROR(__xludf.DUMMYFUNCTION("""COMPUTED_VALUE"""),"01002182360")</f>
        <v>01002182360</v>
      </c>
      <c r="J718" s="6" t="str">
        <f ca="1">IFERROR(__xludf.DUMMYFUNCTION("""COMPUTED_VALUE"""),"19014")</f>
        <v>19014</v>
      </c>
      <c r="K718" s="6" t="str">
        <f ca="1">IFERROR(__xludf.DUMMYFUNCTION("""COMPUTED_VALUE"""),"خصم 20% علي جميع التحاليل")</f>
        <v>خصم 20% علي جميع التحاليل</v>
      </c>
    </row>
    <row r="719" spans="1:11" x14ac:dyDescent="0.25">
      <c r="A719" s="4" t="str">
        <f ca="1">IFERROR(__xludf.DUMMYFUNCTION("""COMPUTED_VALUE"""),"1897-B")</f>
        <v>1897-B</v>
      </c>
      <c r="B719" s="5" t="str">
        <f ca="1">IFERROR(__xludf.DUMMYFUNCTION("""COMPUTED_VALUE"""),"القاهرة")</f>
        <v>القاهرة</v>
      </c>
      <c r="C719" s="5" t="str">
        <f ca="1">IFERROR(__xludf.DUMMYFUNCTION("""COMPUTED_VALUE"""),"العباسية")</f>
        <v>العباسية</v>
      </c>
      <c r="D719" s="5" t="str">
        <f ca="1">IFERROR(__xludf.DUMMYFUNCTION("""COMPUTED_VALUE"""),"معمل")</f>
        <v>معمل</v>
      </c>
      <c r="E719" s="5" t="str">
        <f ca="1">IFERROR(__xludf.DUMMYFUNCTION("""COMPUTED_VALUE"""),"معمل")</f>
        <v>معمل</v>
      </c>
      <c r="F719" s="5" t="str">
        <f ca="1">IFERROR(__xludf.DUMMYFUNCTION("""COMPUTED_VALUE"""),"معمل التحاليل الطبية")</f>
        <v>معمل التحاليل الطبية</v>
      </c>
      <c r="G719" s="5" t="str">
        <f ca="1">IFERROR(__xludf.DUMMYFUNCTION("""COMPUTED_VALUE"""),"معمل المختبر (د. مؤمنة كامل)")</f>
        <v>معمل المختبر (د. مؤمنة كامل)</v>
      </c>
      <c r="H719" s="5" t="str">
        <f ca="1">IFERROR(__xludf.DUMMYFUNCTION("""COMPUTED_VALUE"""),"72شارع العباسية ميدان عبده باشا - قسم الوايلي-العباسية-القاهرة")</f>
        <v>72شارع العباسية ميدان عبده باشا - قسم الوايلي-العباسية-القاهرة</v>
      </c>
      <c r="I719" s="6" t="str">
        <f ca="1">IFERROR(__xludf.DUMMYFUNCTION("""COMPUTED_VALUE"""),"01090011221")</f>
        <v>01090011221</v>
      </c>
      <c r="J719" s="6" t="str">
        <f ca="1">IFERROR(__xludf.DUMMYFUNCTION("""COMPUTED_VALUE"""),"19014")</f>
        <v>19014</v>
      </c>
      <c r="K719" s="6" t="str">
        <f ca="1">IFERROR(__xludf.DUMMYFUNCTION("""COMPUTED_VALUE"""),"خصم 20% علي جميع التحاليل")</f>
        <v>خصم 20% علي جميع التحاليل</v>
      </c>
    </row>
    <row r="720" spans="1:11" x14ac:dyDescent="0.25">
      <c r="A720" s="4" t="str">
        <f ca="1">IFERROR(__xludf.DUMMYFUNCTION("""COMPUTED_VALUE"""),"1897-B")</f>
        <v>1897-B</v>
      </c>
      <c r="B720" s="5" t="str">
        <f ca="1">IFERROR(__xludf.DUMMYFUNCTION("""COMPUTED_VALUE"""),"القاهرة")</f>
        <v>القاهرة</v>
      </c>
      <c r="C720" s="5" t="str">
        <f ca="1">IFERROR(__xludf.DUMMYFUNCTION("""COMPUTED_VALUE"""),"الرحاب")</f>
        <v>الرحاب</v>
      </c>
      <c r="D720" s="5" t="str">
        <f ca="1">IFERROR(__xludf.DUMMYFUNCTION("""COMPUTED_VALUE"""),"معمل")</f>
        <v>معمل</v>
      </c>
      <c r="E720" s="5" t="str">
        <f ca="1">IFERROR(__xludf.DUMMYFUNCTION("""COMPUTED_VALUE"""),"معمل")</f>
        <v>معمل</v>
      </c>
      <c r="F720" s="5" t="str">
        <f ca="1">IFERROR(__xludf.DUMMYFUNCTION("""COMPUTED_VALUE"""),"معمل التحاليل الطبية")</f>
        <v>معمل التحاليل الطبية</v>
      </c>
      <c r="G720" s="5" t="str">
        <f ca="1">IFERROR(__xludf.DUMMYFUNCTION("""COMPUTED_VALUE"""),"معمل المختبر (د. مؤمنة كامل)")</f>
        <v>معمل المختبر (د. مؤمنة كامل)</v>
      </c>
      <c r="H720" s="5" t="str">
        <f ca="1">IFERROR(__xludf.DUMMYFUNCTION("""COMPUTED_VALUE"""),"الرحاب ، المركز الطبي الاول الدور الاول علوي-الرحاب-القاهرة")</f>
        <v>الرحاب ، المركز الطبي الاول الدور الاول علوي-الرحاب-القاهرة</v>
      </c>
      <c r="I720" s="6" t="str">
        <f ca="1">IFERROR(__xludf.DUMMYFUNCTION("""COMPUTED_VALUE"""),"01090011255")</f>
        <v>01090011255</v>
      </c>
      <c r="J720" s="6" t="str">
        <f ca="1">IFERROR(__xludf.DUMMYFUNCTION("""COMPUTED_VALUE"""),"19014")</f>
        <v>19014</v>
      </c>
      <c r="K720" s="6" t="str">
        <f ca="1">IFERROR(__xludf.DUMMYFUNCTION("""COMPUTED_VALUE"""),"خصم 20% علي جميع التحاليل")</f>
        <v>خصم 20% علي جميع التحاليل</v>
      </c>
    </row>
    <row r="721" spans="1:11" x14ac:dyDescent="0.25">
      <c r="A721" s="4" t="str">
        <f ca="1">IFERROR(__xludf.DUMMYFUNCTION("""COMPUTED_VALUE"""),"1897-B")</f>
        <v>1897-B</v>
      </c>
      <c r="B721" s="5" t="str">
        <f ca="1">IFERROR(__xludf.DUMMYFUNCTION("""COMPUTED_VALUE"""),"القاهرة")</f>
        <v>القاهرة</v>
      </c>
      <c r="C721" s="5" t="str">
        <f ca="1">IFERROR(__xludf.DUMMYFUNCTION("""COMPUTED_VALUE"""),"القاهرة الجديدة")</f>
        <v>القاهرة الجديدة</v>
      </c>
      <c r="D721" s="5" t="str">
        <f ca="1">IFERROR(__xludf.DUMMYFUNCTION("""COMPUTED_VALUE"""),"معمل")</f>
        <v>معمل</v>
      </c>
      <c r="E721" s="5" t="str">
        <f ca="1">IFERROR(__xludf.DUMMYFUNCTION("""COMPUTED_VALUE"""),"معمل")</f>
        <v>معمل</v>
      </c>
      <c r="F721" s="5" t="str">
        <f ca="1">IFERROR(__xludf.DUMMYFUNCTION("""COMPUTED_VALUE"""),"معمل التحاليل الطبية")</f>
        <v>معمل التحاليل الطبية</v>
      </c>
      <c r="G721" s="5" t="str">
        <f ca="1">IFERROR(__xludf.DUMMYFUNCTION("""COMPUTED_VALUE"""),"معمل المختبر (د. مؤمنة كامل)")</f>
        <v>معمل المختبر (د. مؤمنة كامل)</v>
      </c>
      <c r="H721" s="5" t="str">
        <f ca="1">IFERROR(__xludf.DUMMYFUNCTION("""COMPUTED_VALUE"""),"مارينا مول قطعة 39 بجوار سفن ستارز مول-القاهرة الجديدة-القاهرة")</f>
        <v>مارينا مول قطعة 39 بجوار سفن ستارز مول-القاهرة الجديدة-القاهرة</v>
      </c>
      <c r="I721" s="6" t="str">
        <f ca="1">IFERROR(__xludf.DUMMYFUNCTION("""COMPUTED_VALUE"""),"01002182385")</f>
        <v>01002182385</v>
      </c>
      <c r="J721" s="6" t="str">
        <f ca="1">IFERROR(__xludf.DUMMYFUNCTION("""COMPUTED_VALUE"""),"19014")</f>
        <v>19014</v>
      </c>
      <c r="K721" s="6" t="str">
        <f ca="1">IFERROR(__xludf.DUMMYFUNCTION("""COMPUTED_VALUE"""),"خصم 20% علي جميع التحاليل")</f>
        <v>خصم 20% علي جميع التحاليل</v>
      </c>
    </row>
    <row r="722" spans="1:11" x14ac:dyDescent="0.25">
      <c r="A722" s="4" t="str">
        <f ca="1">IFERROR(__xludf.DUMMYFUNCTION("""COMPUTED_VALUE"""),"1897-B")</f>
        <v>1897-B</v>
      </c>
      <c r="B722" s="5" t="str">
        <f ca="1">IFERROR(__xludf.DUMMYFUNCTION("""COMPUTED_VALUE"""),"القاهرة")</f>
        <v>القاهرة</v>
      </c>
      <c r="C722" s="5" t="str">
        <f ca="1">IFERROR(__xludf.DUMMYFUNCTION("""COMPUTED_VALUE"""),"القاهرة الجديدة")</f>
        <v>القاهرة الجديدة</v>
      </c>
      <c r="D722" s="5" t="str">
        <f ca="1">IFERROR(__xludf.DUMMYFUNCTION("""COMPUTED_VALUE"""),"معمل")</f>
        <v>معمل</v>
      </c>
      <c r="E722" s="5" t="str">
        <f ca="1">IFERROR(__xludf.DUMMYFUNCTION("""COMPUTED_VALUE"""),"معمل")</f>
        <v>معمل</v>
      </c>
      <c r="F722" s="5" t="str">
        <f ca="1">IFERROR(__xludf.DUMMYFUNCTION("""COMPUTED_VALUE"""),"معمل التحاليل الطبية")</f>
        <v>معمل التحاليل الطبية</v>
      </c>
      <c r="G722" s="5" t="str">
        <f ca="1">IFERROR(__xludf.DUMMYFUNCTION("""COMPUTED_VALUE"""),"معمل المختبر (د. مؤمنة كامل)")</f>
        <v>معمل المختبر (د. مؤمنة كامل)</v>
      </c>
      <c r="H722" s="5" t="str">
        <f ca="1">IFERROR(__xludf.DUMMYFUNCTION("""COMPUTED_VALUE"""),"ميديكال بارك 2 خلف محكمة التجمع الخامس بجوار صيدلية الصحة - منطقة الخدمات - مستشفى نسائم")</f>
        <v>ميديكال بارك 2 خلف محكمة التجمع الخامس بجوار صيدلية الصحة - منطقة الخدمات - مستشفى نسائم</v>
      </c>
      <c r="I722" s="6" t="str">
        <f ca="1">IFERROR(__xludf.DUMMYFUNCTION("""COMPUTED_VALUE"""),"01009228992")</f>
        <v>01009228992</v>
      </c>
      <c r="J722" s="6" t="str">
        <f ca="1">IFERROR(__xludf.DUMMYFUNCTION("""COMPUTED_VALUE"""),"19014")</f>
        <v>19014</v>
      </c>
      <c r="K722" s="6" t="str">
        <f ca="1">IFERROR(__xludf.DUMMYFUNCTION("""COMPUTED_VALUE"""),"خصم 20% علي جميع التحاليل")</f>
        <v>خصم 20% علي جميع التحاليل</v>
      </c>
    </row>
    <row r="723" spans="1:11" x14ac:dyDescent="0.25">
      <c r="A723" s="4" t="str">
        <f ca="1">IFERROR(__xludf.DUMMYFUNCTION("""COMPUTED_VALUE"""),"3354-B")</f>
        <v>3354-B</v>
      </c>
      <c r="B723" s="5" t="str">
        <f ca="1">IFERROR(__xludf.DUMMYFUNCTION("""COMPUTED_VALUE"""),"القاهرة")</f>
        <v>القاهرة</v>
      </c>
      <c r="C723" s="5" t="str">
        <f ca="1">IFERROR(__xludf.DUMMYFUNCTION("""COMPUTED_VALUE"""),"المطرية")</f>
        <v>المطرية</v>
      </c>
      <c r="D723" s="5" t="str">
        <f ca="1">IFERROR(__xludf.DUMMYFUNCTION("""COMPUTED_VALUE"""),"معمل")</f>
        <v>معمل</v>
      </c>
      <c r="E723" s="5" t="str">
        <f ca="1">IFERROR(__xludf.DUMMYFUNCTION("""COMPUTED_VALUE"""),"معمل")</f>
        <v>معمل</v>
      </c>
      <c r="F723" s="5" t="str">
        <f ca="1">IFERROR(__xludf.DUMMYFUNCTION("""COMPUTED_VALUE"""),"معمل التحاليل الطبية")</f>
        <v>معمل التحاليل الطبية</v>
      </c>
      <c r="G723" s="5" t="str">
        <f ca="1">IFERROR(__xludf.DUMMYFUNCTION("""COMPUTED_VALUE"""),"معمل د/ سمير شاكر بدوي")</f>
        <v>معمل د/ سمير شاكر بدوي</v>
      </c>
      <c r="H723" s="5" t="str">
        <f ca="1">IFERROR(__xludf.DUMMYFUNCTION("""COMPUTED_VALUE"""),"عمارات بيت العز 2 - مبنى أ - شقة 116 - المطرية - القاهرة")</f>
        <v>عمارات بيت العز 2 - مبنى أ - شقة 116 - المطرية - القاهرة</v>
      </c>
      <c r="I723" s="6" t="str">
        <f ca="1">IFERROR(__xludf.DUMMYFUNCTION("""COMPUTED_VALUE"""),"201278197134")</f>
        <v>201278197134</v>
      </c>
      <c r="J723" s="6"/>
      <c r="K723" s="6" t="str">
        <f ca="1">IFERROR(__xludf.DUMMYFUNCTION("""COMPUTED_VALUE"""),"-خصم 30% علي الأسعار النقدي المعلنة")</f>
        <v>-خصم 30% علي الأسعار النقدي المعلنة</v>
      </c>
    </row>
    <row r="724" spans="1:11" x14ac:dyDescent="0.25">
      <c r="A724" s="4" t="str">
        <f ca="1">IFERROR(__xludf.DUMMYFUNCTION("""COMPUTED_VALUE"""),"1897-B")</f>
        <v>1897-B</v>
      </c>
      <c r="B724" s="5" t="str">
        <f ca="1">IFERROR(__xludf.DUMMYFUNCTION("""COMPUTED_VALUE"""),"القاهرة")</f>
        <v>القاهرة</v>
      </c>
      <c r="C724" s="5" t="str">
        <f ca="1">IFERROR(__xludf.DUMMYFUNCTION("""COMPUTED_VALUE"""),"المعادى")</f>
        <v>المعادى</v>
      </c>
      <c r="D724" s="5" t="str">
        <f ca="1">IFERROR(__xludf.DUMMYFUNCTION("""COMPUTED_VALUE"""),"معمل")</f>
        <v>معمل</v>
      </c>
      <c r="E724" s="5" t="str">
        <f ca="1">IFERROR(__xludf.DUMMYFUNCTION("""COMPUTED_VALUE"""),"معمل")</f>
        <v>معمل</v>
      </c>
      <c r="F724" s="5" t="str">
        <f ca="1">IFERROR(__xludf.DUMMYFUNCTION("""COMPUTED_VALUE"""),"معمل التحاليل الطبية")</f>
        <v>معمل التحاليل الطبية</v>
      </c>
      <c r="G724" s="5" t="str">
        <f ca="1">IFERROR(__xludf.DUMMYFUNCTION("""COMPUTED_VALUE"""),"معمل المختبر (د. مؤمنة كامل)")</f>
        <v>معمل المختبر (د. مؤمنة كامل)</v>
      </c>
      <c r="H724" s="5" t="str">
        <f ca="1">IFERROR(__xludf.DUMMYFUNCTION("""COMPUTED_VALUE"""),"2/9 شارع النصر - الدور الأرضى - المعادي")</f>
        <v>2/9 شارع النصر - الدور الأرضى - المعادي</v>
      </c>
      <c r="I724" s="6" t="str">
        <f ca="1">IFERROR(__xludf.DUMMYFUNCTION("""COMPUTED_VALUE"""),"01090011256")</f>
        <v>01090011256</v>
      </c>
      <c r="J724" s="6" t="str">
        <f ca="1">IFERROR(__xludf.DUMMYFUNCTION("""COMPUTED_VALUE"""),"19014")</f>
        <v>19014</v>
      </c>
      <c r="K724" s="6" t="str">
        <f ca="1">IFERROR(__xludf.DUMMYFUNCTION("""COMPUTED_VALUE"""),"خصم 20% علي جميع التحاليل")</f>
        <v>خصم 20% علي جميع التحاليل</v>
      </c>
    </row>
    <row r="725" spans="1:11" x14ac:dyDescent="0.25">
      <c r="A725" s="4" t="str">
        <f ca="1">IFERROR(__xludf.DUMMYFUNCTION("""COMPUTED_VALUE"""),"1897-B")</f>
        <v>1897-B</v>
      </c>
      <c r="B725" s="5" t="str">
        <f ca="1">IFERROR(__xludf.DUMMYFUNCTION("""COMPUTED_VALUE"""),"القاهرة")</f>
        <v>القاهرة</v>
      </c>
      <c r="C725" s="5" t="str">
        <f ca="1">IFERROR(__xludf.DUMMYFUNCTION("""COMPUTED_VALUE"""),"المعادى")</f>
        <v>المعادى</v>
      </c>
      <c r="D725" s="5" t="str">
        <f ca="1">IFERROR(__xludf.DUMMYFUNCTION("""COMPUTED_VALUE"""),"معمل")</f>
        <v>معمل</v>
      </c>
      <c r="E725" s="5" t="str">
        <f ca="1">IFERROR(__xludf.DUMMYFUNCTION("""COMPUTED_VALUE"""),"معمل")</f>
        <v>معمل</v>
      </c>
      <c r="F725" s="5" t="str">
        <f ca="1">IFERROR(__xludf.DUMMYFUNCTION("""COMPUTED_VALUE"""),"معمل التحاليل الطبية")</f>
        <v>معمل التحاليل الطبية</v>
      </c>
      <c r="G725" s="5" t="str">
        <f ca="1">IFERROR(__xludf.DUMMYFUNCTION("""COMPUTED_VALUE"""),"معمل المختبر (د. مؤمنة كامل)")</f>
        <v>معمل المختبر (د. مؤمنة كامل)</v>
      </c>
      <c r="H725" s="5" t="str">
        <f ca="1">IFERROR(__xludf.DUMMYFUNCTION("""COMPUTED_VALUE"""),"4شارع 151 -  بجوار محطة بنزين موبيل من ميدان الحرية-المعادي-القاهرة")</f>
        <v>4شارع 151 -  بجوار محطة بنزين موبيل من ميدان الحرية-المعادي-القاهرة</v>
      </c>
      <c r="I725" s="6" t="str">
        <f ca="1">IFERROR(__xludf.DUMMYFUNCTION("""COMPUTED_VALUE"""),"01090011204")</f>
        <v>01090011204</v>
      </c>
      <c r="J725" s="6" t="str">
        <f ca="1">IFERROR(__xludf.DUMMYFUNCTION("""COMPUTED_VALUE"""),"19014")</f>
        <v>19014</v>
      </c>
      <c r="K725" s="6" t="str">
        <f ca="1">IFERROR(__xludf.DUMMYFUNCTION("""COMPUTED_VALUE"""),"خصم 20% علي جميع التحاليل")</f>
        <v>خصم 20% علي جميع التحاليل</v>
      </c>
    </row>
    <row r="726" spans="1:11" x14ac:dyDescent="0.25">
      <c r="A726" s="4" t="str">
        <f ca="1">IFERROR(__xludf.DUMMYFUNCTION("""COMPUTED_VALUE"""),"1897-B")</f>
        <v>1897-B</v>
      </c>
      <c r="B726" s="5" t="str">
        <f ca="1">IFERROR(__xludf.DUMMYFUNCTION("""COMPUTED_VALUE"""),"القاهرة")</f>
        <v>القاهرة</v>
      </c>
      <c r="C726" s="5" t="str">
        <f ca="1">IFERROR(__xludf.DUMMYFUNCTION("""COMPUTED_VALUE"""),"المقطم")</f>
        <v>المقطم</v>
      </c>
      <c r="D726" s="5" t="str">
        <f ca="1">IFERROR(__xludf.DUMMYFUNCTION("""COMPUTED_VALUE"""),"معمل")</f>
        <v>معمل</v>
      </c>
      <c r="E726" s="5" t="str">
        <f ca="1">IFERROR(__xludf.DUMMYFUNCTION("""COMPUTED_VALUE"""),"معمل")</f>
        <v>معمل</v>
      </c>
      <c r="F726" s="5" t="str">
        <f ca="1">IFERROR(__xludf.DUMMYFUNCTION("""COMPUTED_VALUE"""),"معمل التحاليل الطبية")</f>
        <v>معمل التحاليل الطبية</v>
      </c>
      <c r="G726" s="5" t="str">
        <f ca="1">IFERROR(__xludf.DUMMYFUNCTION("""COMPUTED_VALUE"""),"معمل المختبر (د. مؤمنة كامل)")</f>
        <v>معمل المختبر (د. مؤمنة كامل)</v>
      </c>
      <c r="H726" s="5" t="str">
        <f ca="1">IFERROR(__xludf.DUMMYFUNCTION("""COMPUTED_VALUE"""),"رقم 377- منطقة د- الهضبة العليا-المقطم-القاهرة")</f>
        <v>رقم 377- منطقة د- الهضبة العليا-المقطم-القاهرة</v>
      </c>
      <c r="I726" s="6" t="str">
        <f ca="1">IFERROR(__xludf.DUMMYFUNCTION("""COMPUTED_VALUE"""),"01090011235")</f>
        <v>01090011235</v>
      </c>
      <c r="J726" s="6" t="str">
        <f ca="1">IFERROR(__xludf.DUMMYFUNCTION("""COMPUTED_VALUE"""),"19014")</f>
        <v>19014</v>
      </c>
      <c r="K726" s="6" t="str">
        <f ca="1">IFERROR(__xludf.DUMMYFUNCTION("""COMPUTED_VALUE"""),"خصم 20% علي جميع التحاليل")</f>
        <v>خصم 20% علي جميع التحاليل</v>
      </c>
    </row>
    <row r="727" spans="1:11" x14ac:dyDescent="0.25">
      <c r="A727" s="4" t="str">
        <f ca="1">IFERROR(__xludf.DUMMYFUNCTION("""COMPUTED_VALUE"""),"1897-B")</f>
        <v>1897-B</v>
      </c>
      <c r="B727" s="5" t="str">
        <f ca="1">IFERROR(__xludf.DUMMYFUNCTION("""COMPUTED_VALUE"""),"القاهرة")</f>
        <v>القاهرة</v>
      </c>
      <c r="C727" s="5" t="str">
        <f ca="1">IFERROR(__xludf.DUMMYFUNCTION("""COMPUTED_VALUE"""),"المنيل")</f>
        <v>المنيل</v>
      </c>
      <c r="D727" s="5" t="str">
        <f ca="1">IFERROR(__xludf.DUMMYFUNCTION("""COMPUTED_VALUE"""),"معمل")</f>
        <v>معمل</v>
      </c>
      <c r="E727" s="5" t="str">
        <f ca="1">IFERROR(__xludf.DUMMYFUNCTION("""COMPUTED_VALUE"""),"معمل")</f>
        <v>معمل</v>
      </c>
      <c r="F727" s="5" t="str">
        <f ca="1">IFERROR(__xludf.DUMMYFUNCTION("""COMPUTED_VALUE"""),"معمل التحاليل الطبية")</f>
        <v>معمل التحاليل الطبية</v>
      </c>
      <c r="G727" s="5" t="str">
        <f ca="1">IFERROR(__xludf.DUMMYFUNCTION("""COMPUTED_VALUE"""),"معمل المختبر (د. مؤمنة كامل)")</f>
        <v>معمل المختبر (د. مؤمنة كامل)</v>
      </c>
      <c r="H727" s="5" t="str">
        <f ca="1">IFERROR(__xludf.DUMMYFUNCTION("""COMPUTED_VALUE"""),"87شارع المنيل الدور الأول شقة 1-المنيل-القاهرة")</f>
        <v>87شارع المنيل الدور الأول شقة 1-المنيل-القاهرة</v>
      </c>
      <c r="I727" s="6" t="str">
        <f ca="1">IFERROR(__xludf.DUMMYFUNCTION("""COMPUTED_VALUE"""),"01090011242")</f>
        <v>01090011242</v>
      </c>
      <c r="J727" s="6" t="str">
        <f ca="1">IFERROR(__xludf.DUMMYFUNCTION("""COMPUTED_VALUE"""),"19014")</f>
        <v>19014</v>
      </c>
      <c r="K727" s="6" t="str">
        <f ca="1">IFERROR(__xludf.DUMMYFUNCTION("""COMPUTED_VALUE"""),"خصم 20% علي جميع التحاليل")</f>
        <v>خصم 20% علي جميع التحاليل</v>
      </c>
    </row>
    <row r="728" spans="1:11" x14ac:dyDescent="0.25">
      <c r="A728" s="4" t="str">
        <f ca="1">IFERROR(__xludf.DUMMYFUNCTION("""COMPUTED_VALUE"""),"3798-B")</f>
        <v>3798-B</v>
      </c>
      <c r="B728" s="5" t="str">
        <f ca="1">IFERROR(__xludf.DUMMYFUNCTION("""COMPUTED_VALUE"""),"الجيزة")</f>
        <v>الجيزة</v>
      </c>
      <c r="C728" s="5" t="str">
        <f ca="1">IFERROR(__xludf.DUMMYFUNCTION("""COMPUTED_VALUE"""),"المهندسين")</f>
        <v>المهندسين</v>
      </c>
      <c r="D728" s="5" t="str">
        <f ca="1">IFERROR(__xludf.DUMMYFUNCTION("""COMPUTED_VALUE"""),"معمل")</f>
        <v>معمل</v>
      </c>
      <c r="E728" s="5" t="str">
        <f ca="1">IFERROR(__xludf.DUMMYFUNCTION("""COMPUTED_VALUE"""),"معمل")</f>
        <v>معمل</v>
      </c>
      <c r="F728" s="5" t="str">
        <f ca="1">IFERROR(__xludf.DUMMYFUNCTION("""COMPUTED_VALUE"""),"معمل التحاليل الطبية")</f>
        <v>معمل التحاليل الطبية</v>
      </c>
      <c r="G728" s="5" t="str">
        <f ca="1">IFERROR(__xludf.DUMMYFUNCTION("""COMPUTED_VALUE"""),"معمل الدكتورة/ أمينة حساب")</f>
        <v>معمل الدكتورة/ أمينة حساب</v>
      </c>
      <c r="H728" s="5" t="str">
        <f ca="1">IFERROR(__xludf.DUMMYFUNCTION("""COMPUTED_VALUE"""),"19شارع البطل احمد عبد العزيز -العجوزه الجيزه -امام برج الحكمه الطبى -ناصيه عبد المنعم رياض
")</f>
        <v xml:space="preserve">19شارع البطل احمد عبد العزيز -العجوزه الجيزه -امام برج الحكمه الطبى -ناصيه عبد المنعم رياض
</v>
      </c>
      <c r="I728" s="6"/>
      <c r="J728" s="6" t="str">
        <f ca="1">IFERROR(__xludf.DUMMYFUNCTION("""COMPUTED_VALUE"""),"16987")</f>
        <v>16987</v>
      </c>
      <c r="K728" s="6" t="str">
        <f ca="1">IFERROR(__xludf.DUMMYFUNCTION("""COMPUTED_VALUE"""),"30% على جميع الخدمات         ")</f>
        <v xml:space="preserve">30% على جميع الخدمات         </v>
      </c>
    </row>
    <row r="729" spans="1:11" x14ac:dyDescent="0.25">
      <c r="A729" s="4" t="str">
        <f ca="1">IFERROR(__xludf.DUMMYFUNCTION("""COMPUTED_VALUE"""),"1897-B")</f>
        <v>1897-B</v>
      </c>
      <c r="B729" s="5" t="str">
        <f ca="1">IFERROR(__xludf.DUMMYFUNCTION("""COMPUTED_VALUE"""),"الجيزة")</f>
        <v>الجيزة</v>
      </c>
      <c r="C729" s="5" t="str">
        <f ca="1">IFERROR(__xludf.DUMMYFUNCTION("""COMPUTED_VALUE"""),"المهندسين")</f>
        <v>المهندسين</v>
      </c>
      <c r="D729" s="5" t="str">
        <f ca="1">IFERROR(__xludf.DUMMYFUNCTION("""COMPUTED_VALUE"""),"معمل")</f>
        <v>معمل</v>
      </c>
      <c r="E729" s="5" t="str">
        <f ca="1">IFERROR(__xludf.DUMMYFUNCTION("""COMPUTED_VALUE"""),"معمل")</f>
        <v>معمل</v>
      </c>
      <c r="F729" s="5" t="str">
        <f ca="1">IFERROR(__xludf.DUMMYFUNCTION("""COMPUTED_VALUE"""),"معمل التحاليل الطبية")</f>
        <v>معمل التحاليل الطبية</v>
      </c>
      <c r="G729" s="5" t="str">
        <f ca="1">IFERROR(__xludf.DUMMYFUNCTION("""COMPUTED_VALUE"""),"معمل المختبر (د. مؤمنة كامل)")</f>
        <v>معمل المختبر (د. مؤمنة كامل)</v>
      </c>
      <c r="H729" s="5" t="str">
        <f ca="1">IFERROR(__xludf.DUMMYFUNCTION("""COMPUTED_VALUE"""),"33 شارع احمد عرابى - المهندسين.-المهندسين- الجيزة")</f>
        <v>33 شارع احمد عرابى - المهندسين.-المهندسين- الجيزة</v>
      </c>
      <c r="I729" s="6" t="str">
        <f ca="1">IFERROR(__xludf.DUMMYFUNCTION("""COMPUTED_VALUE"""),"01090011274
")</f>
        <v xml:space="preserve">01090011274
</v>
      </c>
      <c r="J729" s="6" t="str">
        <f ca="1">IFERROR(__xludf.DUMMYFUNCTION("""COMPUTED_VALUE"""),"19014")</f>
        <v>19014</v>
      </c>
      <c r="K729" s="6" t="str">
        <f ca="1">IFERROR(__xludf.DUMMYFUNCTION("""COMPUTED_VALUE"""),"خصم 20% علي جميع التحاليل")</f>
        <v>خصم 20% علي جميع التحاليل</v>
      </c>
    </row>
    <row r="730" spans="1:11" x14ac:dyDescent="0.25">
      <c r="A730" s="4" t="str">
        <f ca="1">IFERROR(__xludf.DUMMYFUNCTION("""COMPUTED_VALUE"""),"1897")</f>
        <v>1897</v>
      </c>
      <c r="B730" s="5" t="str">
        <f ca="1">IFERROR(__xludf.DUMMYFUNCTION("""COMPUTED_VALUE"""),"الجيزة")</f>
        <v>الجيزة</v>
      </c>
      <c r="C730" s="5" t="str">
        <f ca="1">IFERROR(__xludf.DUMMYFUNCTION("""COMPUTED_VALUE"""),"المهندسين")</f>
        <v>المهندسين</v>
      </c>
      <c r="D730" s="5" t="str">
        <f ca="1">IFERROR(__xludf.DUMMYFUNCTION("""COMPUTED_VALUE"""),"معمل")</f>
        <v>معمل</v>
      </c>
      <c r="E730" s="5" t="str">
        <f ca="1">IFERROR(__xludf.DUMMYFUNCTION("""COMPUTED_VALUE"""),"معمل")</f>
        <v>معمل</v>
      </c>
      <c r="F730" s="5" t="str">
        <f ca="1">IFERROR(__xludf.DUMMYFUNCTION("""COMPUTED_VALUE"""),"معمل التحاليل الطبية")</f>
        <v>معمل التحاليل الطبية</v>
      </c>
      <c r="G730" s="5" t="str">
        <f ca="1">IFERROR(__xludf.DUMMYFUNCTION("""COMPUTED_VALUE"""),"معمل المختبر (د. مؤمنة كامل)")</f>
        <v>معمل المختبر (د. مؤمنة كامل)</v>
      </c>
      <c r="H730" s="5" t="str">
        <f ca="1">IFERROR(__xludf.DUMMYFUNCTION("""COMPUTED_VALUE"""),"51شارع الشهيد عبدالمنعم رياض - بجوار برج الأطباء - أمام سفارة السنغال-المهندسين- الجيزة")</f>
        <v>51شارع الشهيد عبدالمنعم رياض - بجوار برج الأطباء - أمام سفارة السنغال-المهندسين- الجيزة</v>
      </c>
      <c r="I730" s="6" t="str">
        <f ca="1">IFERROR(__xludf.DUMMYFUNCTION("""COMPUTED_VALUE"""),"20233040355")</f>
        <v>20233040355</v>
      </c>
      <c r="J730" s="6" t="str">
        <f ca="1">IFERROR(__xludf.DUMMYFUNCTION("""COMPUTED_VALUE"""),"19014")</f>
        <v>19014</v>
      </c>
      <c r="K730" s="6" t="str">
        <f ca="1">IFERROR(__xludf.DUMMYFUNCTION("""COMPUTED_VALUE"""),"خصم 20% علي جميع التحاليل")</f>
        <v>خصم 20% علي جميع التحاليل</v>
      </c>
    </row>
    <row r="731" spans="1:11" x14ac:dyDescent="0.25">
      <c r="A731" s="4" t="str">
        <f ca="1">IFERROR(__xludf.DUMMYFUNCTION("""COMPUTED_VALUE"""),"1897-B")</f>
        <v>1897-B</v>
      </c>
      <c r="B731" s="5" t="str">
        <f ca="1">IFERROR(__xludf.DUMMYFUNCTION("""COMPUTED_VALUE"""),"الجيزة")</f>
        <v>الجيزة</v>
      </c>
      <c r="C731" s="5" t="str">
        <f ca="1">IFERROR(__xludf.DUMMYFUNCTION("""COMPUTED_VALUE"""),"المهندسين")</f>
        <v>المهندسين</v>
      </c>
      <c r="D731" s="5" t="str">
        <f ca="1">IFERROR(__xludf.DUMMYFUNCTION("""COMPUTED_VALUE"""),"معمل")</f>
        <v>معمل</v>
      </c>
      <c r="E731" s="5" t="str">
        <f ca="1">IFERROR(__xludf.DUMMYFUNCTION("""COMPUTED_VALUE"""),"معمل")</f>
        <v>معمل</v>
      </c>
      <c r="F731" s="5" t="str">
        <f ca="1">IFERROR(__xludf.DUMMYFUNCTION("""COMPUTED_VALUE"""),"معمل التحاليل الطبية")</f>
        <v>معمل التحاليل الطبية</v>
      </c>
      <c r="G731" s="5" t="str">
        <f ca="1">IFERROR(__xludf.DUMMYFUNCTION("""COMPUTED_VALUE"""),"معمل المختبر (د. مؤمنة كامل)")</f>
        <v>معمل المختبر (د. مؤمنة كامل)</v>
      </c>
      <c r="H731" s="5" t="str">
        <f ca="1">IFERROR(__xludf.DUMMYFUNCTION("""COMPUTED_VALUE"""),"60 شارع لبنان - اعلى بنك عودة - المهندسين.-المهندسين- الجيزة")</f>
        <v>60 شارع لبنان - اعلى بنك عودة - المهندسين.-المهندسين- الجيزة</v>
      </c>
      <c r="I731" s="6" t="str">
        <f ca="1">IFERROR(__xludf.DUMMYFUNCTION("""COMPUTED_VALUE"""),"01090011269")</f>
        <v>01090011269</v>
      </c>
      <c r="J731" s="6" t="str">
        <f ca="1">IFERROR(__xludf.DUMMYFUNCTION("""COMPUTED_VALUE"""),"19014")</f>
        <v>19014</v>
      </c>
      <c r="K731" s="6" t="str">
        <f ca="1">IFERROR(__xludf.DUMMYFUNCTION("""COMPUTED_VALUE"""),"خصم 20% علي جميع التحاليل")</f>
        <v>خصم 20% علي جميع التحاليل</v>
      </c>
    </row>
    <row r="732" spans="1:11" x14ac:dyDescent="0.25">
      <c r="A732" s="4" t="str">
        <f ca="1">IFERROR(__xludf.DUMMYFUNCTION("""COMPUTED_VALUE"""),"1897-B")</f>
        <v>1897-B</v>
      </c>
      <c r="B732" s="5" t="str">
        <f ca="1">IFERROR(__xludf.DUMMYFUNCTION("""COMPUTED_VALUE"""),"الجيزة")</f>
        <v>الجيزة</v>
      </c>
      <c r="C732" s="5" t="str">
        <f ca="1">IFERROR(__xludf.DUMMYFUNCTION("""COMPUTED_VALUE"""),"المهندسين")</f>
        <v>المهندسين</v>
      </c>
      <c r="D732" s="5" t="str">
        <f ca="1">IFERROR(__xludf.DUMMYFUNCTION("""COMPUTED_VALUE"""),"معمل")</f>
        <v>معمل</v>
      </c>
      <c r="E732" s="5" t="str">
        <f ca="1">IFERROR(__xludf.DUMMYFUNCTION("""COMPUTED_VALUE"""),"معمل")</f>
        <v>معمل</v>
      </c>
      <c r="F732" s="5" t="str">
        <f ca="1">IFERROR(__xludf.DUMMYFUNCTION("""COMPUTED_VALUE"""),"معمل التحاليل الطبية")</f>
        <v>معمل التحاليل الطبية</v>
      </c>
      <c r="G732" s="5" t="str">
        <f ca="1">IFERROR(__xludf.DUMMYFUNCTION("""COMPUTED_VALUE"""),"معمل المختبر (د. مؤمنة كامل)")</f>
        <v>معمل المختبر (د. مؤمنة كامل)</v>
      </c>
      <c r="H732" s="5" t="str">
        <f ca="1">IFERROR(__xludf.DUMMYFUNCTION("""COMPUTED_VALUE"""),"64شارع جامعة الدول-المهندسين- الجيزة")</f>
        <v>64شارع جامعة الدول-المهندسين- الجيزة</v>
      </c>
      <c r="I732" s="6" t="str">
        <f ca="1">IFERROR(__xludf.DUMMYFUNCTION("""COMPUTED_VALUE"""),"01090011201")</f>
        <v>01090011201</v>
      </c>
      <c r="J732" s="6" t="str">
        <f ca="1">IFERROR(__xludf.DUMMYFUNCTION("""COMPUTED_VALUE"""),"19014")</f>
        <v>19014</v>
      </c>
      <c r="K732" s="6" t="str">
        <f ca="1">IFERROR(__xludf.DUMMYFUNCTION("""COMPUTED_VALUE"""),"خصم 20% علي جميع التحاليل")</f>
        <v>خصم 20% علي جميع التحاليل</v>
      </c>
    </row>
    <row r="733" spans="1:11" x14ac:dyDescent="0.25">
      <c r="A733" s="4" t="str">
        <f ca="1">IFERROR(__xludf.DUMMYFUNCTION("""COMPUTED_VALUE"""),"1897-B")</f>
        <v>1897-B</v>
      </c>
      <c r="B733" s="5" t="str">
        <f ca="1">IFERROR(__xludf.DUMMYFUNCTION("""COMPUTED_VALUE"""),"الجيزة")</f>
        <v>الجيزة</v>
      </c>
      <c r="C733" s="5" t="str">
        <f ca="1">IFERROR(__xludf.DUMMYFUNCTION("""COMPUTED_VALUE"""),"الهرم")</f>
        <v>الهرم</v>
      </c>
      <c r="D733" s="5" t="str">
        <f ca="1">IFERROR(__xludf.DUMMYFUNCTION("""COMPUTED_VALUE"""),"معمل")</f>
        <v>معمل</v>
      </c>
      <c r="E733" s="5" t="str">
        <f ca="1">IFERROR(__xludf.DUMMYFUNCTION("""COMPUTED_VALUE"""),"معمل")</f>
        <v>معمل</v>
      </c>
      <c r="F733" s="5" t="str">
        <f ca="1">IFERROR(__xludf.DUMMYFUNCTION("""COMPUTED_VALUE"""),"معمل التحاليل الطبية")</f>
        <v>معمل التحاليل الطبية</v>
      </c>
      <c r="G733" s="5" t="str">
        <f ca="1">IFERROR(__xludf.DUMMYFUNCTION("""COMPUTED_VALUE"""),"معمل المختبر (د. مؤمنة كامل)")</f>
        <v>معمل المختبر (د. مؤمنة كامل)</v>
      </c>
      <c r="H733" s="5" t="str">
        <f ca="1">IFERROR(__xludf.DUMMYFUNCTION("""COMPUTED_VALUE"""),"132 مكرر شارع الهرم - اعلى البنك الاهلى المتحد - الهرم - الجيزة.-الهرم- الجيزة")</f>
        <v>132 مكرر شارع الهرم - اعلى البنك الاهلى المتحد - الهرم - الجيزة.-الهرم- الجيزة</v>
      </c>
      <c r="I733" s="6" t="str">
        <f ca="1">IFERROR(__xludf.DUMMYFUNCTION("""COMPUTED_VALUE"""),"01090011268")</f>
        <v>01090011268</v>
      </c>
      <c r="J733" s="6" t="str">
        <f ca="1">IFERROR(__xludf.DUMMYFUNCTION("""COMPUTED_VALUE"""),"19014")</f>
        <v>19014</v>
      </c>
      <c r="K733" s="6" t="str">
        <f ca="1">IFERROR(__xludf.DUMMYFUNCTION("""COMPUTED_VALUE"""),"خصم 20% علي جميع التحاليل")</f>
        <v>خصم 20% علي جميع التحاليل</v>
      </c>
    </row>
    <row r="734" spans="1:11" x14ac:dyDescent="0.25">
      <c r="A734" s="4" t="str">
        <f ca="1">IFERROR(__xludf.DUMMYFUNCTION("""COMPUTED_VALUE"""),"1897-B")</f>
        <v>1897-B</v>
      </c>
      <c r="B734" s="5" t="str">
        <f ca="1">IFERROR(__xludf.DUMMYFUNCTION("""COMPUTED_VALUE"""),"الجيزة")</f>
        <v>الجيزة</v>
      </c>
      <c r="C734" s="5" t="str">
        <f ca="1">IFERROR(__xludf.DUMMYFUNCTION("""COMPUTED_VALUE"""),"الهرم")</f>
        <v>الهرم</v>
      </c>
      <c r="D734" s="5" t="str">
        <f ca="1">IFERROR(__xludf.DUMMYFUNCTION("""COMPUTED_VALUE"""),"معمل")</f>
        <v>معمل</v>
      </c>
      <c r="E734" s="5" t="str">
        <f ca="1">IFERROR(__xludf.DUMMYFUNCTION("""COMPUTED_VALUE"""),"معمل")</f>
        <v>معمل</v>
      </c>
      <c r="F734" s="5" t="str">
        <f ca="1">IFERROR(__xludf.DUMMYFUNCTION("""COMPUTED_VALUE"""),"معمل التحاليل الطبية")</f>
        <v>معمل التحاليل الطبية</v>
      </c>
      <c r="G734" s="5" t="str">
        <f ca="1">IFERROR(__xludf.DUMMYFUNCTION("""COMPUTED_VALUE"""),"معمل المختبر (د. مؤمنة كامل)")</f>
        <v>معمل المختبر (د. مؤمنة كامل)</v>
      </c>
      <c r="H734" s="5" t="str">
        <f ca="1">IFERROR(__xludf.DUMMYFUNCTION("""COMPUTED_VALUE"""),"307أ شارع الهرم - أمام فندق اوروبا -الطالبية- الجيزة")</f>
        <v>307أ شارع الهرم - أمام فندق اوروبا -الطالبية- الجيزة</v>
      </c>
      <c r="I734" s="6" t="str">
        <f ca="1">IFERROR(__xludf.DUMMYFUNCTION("""COMPUTED_VALUE"""),"01066639664")</f>
        <v>01066639664</v>
      </c>
      <c r="J734" s="6" t="str">
        <f ca="1">IFERROR(__xludf.DUMMYFUNCTION("""COMPUTED_VALUE"""),"19014")</f>
        <v>19014</v>
      </c>
      <c r="K734" s="6" t="str">
        <f ca="1">IFERROR(__xludf.DUMMYFUNCTION("""COMPUTED_VALUE"""),"خصم 20% علي جميع التحاليل")</f>
        <v>خصم 20% علي جميع التحاليل</v>
      </c>
    </row>
    <row r="735" spans="1:11" x14ac:dyDescent="0.25">
      <c r="A735" s="4" t="str">
        <f ca="1">IFERROR(__xludf.DUMMYFUNCTION("""COMPUTED_VALUE"""),"1897-B")</f>
        <v>1897-B</v>
      </c>
      <c r="B735" s="5" t="str">
        <f ca="1">IFERROR(__xludf.DUMMYFUNCTION("""COMPUTED_VALUE"""),"الجيزة")</f>
        <v>الجيزة</v>
      </c>
      <c r="C735" s="5" t="str">
        <f ca="1">IFERROR(__xludf.DUMMYFUNCTION("""COMPUTED_VALUE"""),"الهرم")</f>
        <v>الهرم</v>
      </c>
      <c r="D735" s="5" t="str">
        <f ca="1">IFERROR(__xludf.DUMMYFUNCTION("""COMPUTED_VALUE"""),"معمل")</f>
        <v>معمل</v>
      </c>
      <c r="E735" s="5" t="str">
        <f ca="1">IFERROR(__xludf.DUMMYFUNCTION("""COMPUTED_VALUE"""),"معمل")</f>
        <v>معمل</v>
      </c>
      <c r="F735" s="5" t="str">
        <f ca="1">IFERROR(__xludf.DUMMYFUNCTION("""COMPUTED_VALUE"""),"معمل التحاليل الطبية")</f>
        <v>معمل التحاليل الطبية</v>
      </c>
      <c r="G735" s="5" t="str">
        <f ca="1">IFERROR(__xludf.DUMMYFUNCTION("""COMPUTED_VALUE"""),"معمل المختبر (د. مؤمنة كامل)")</f>
        <v>معمل المختبر (د. مؤمنة كامل)</v>
      </c>
      <c r="H735" s="5" t="str">
        <f ca="1">IFERROR(__xludf.DUMMYFUNCTION("""COMPUTED_VALUE"""),"360 شارع الهرم - برج سعد بن ابي وقاص-  بجوار خزان المياه-الهرم- الجيزة")</f>
        <v>360 شارع الهرم - برج سعد بن ابي وقاص-  بجوار خزان المياه-الهرم- الجيزة</v>
      </c>
      <c r="I735" s="6" t="str">
        <f ca="1">IFERROR(__xludf.DUMMYFUNCTION("""COMPUTED_VALUE"""),"01090011220")</f>
        <v>01090011220</v>
      </c>
      <c r="J735" s="6" t="str">
        <f ca="1">IFERROR(__xludf.DUMMYFUNCTION("""COMPUTED_VALUE"""),"19014")</f>
        <v>19014</v>
      </c>
      <c r="K735" s="6" t="str">
        <f ca="1">IFERROR(__xludf.DUMMYFUNCTION("""COMPUTED_VALUE"""),"خصم 20% علي جميع التحاليل")</f>
        <v>خصم 20% علي جميع التحاليل</v>
      </c>
    </row>
    <row r="736" spans="1:11" x14ac:dyDescent="0.25">
      <c r="A736" s="4" t="str">
        <f ca="1">IFERROR(__xludf.DUMMYFUNCTION("""COMPUTED_VALUE"""),"1897-B")</f>
        <v>1897-B</v>
      </c>
      <c r="B736" s="5" t="str">
        <f ca="1">IFERROR(__xludf.DUMMYFUNCTION("""COMPUTED_VALUE"""),"الجيزة")</f>
        <v>الجيزة</v>
      </c>
      <c r="C736" s="5" t="str">
        <f ca="1">IFERROR(__xludf.DUMMYFUNCTION("""COMPUTED_VALUE"""),"الوراق")</f>
        <v>الوراق</v>
      </c>
      <c r="D736" s="5" t="str">
        <f ca="1">IFERROR(__xludf.DUMMYFUNCTION("""COMPUTED_VALUE"""),"معمل")</f>
        <v>معمل</v>
      </c>
      <c r="E736" s="5" t="str">
        <f ca="1">IFERROR(__xludf.DUMMYFUNCTION("""COMPUTED_VALUE"""),"معمل")</f>
        <v>معمل</v>
      </c>
      <c r="F736" s="5" t="str">
        <f ca="1">IFERROR(__xludf.DUMMYFUNCTION("""COMPUTED_VALUE"""),"معمل التحاليل الطبية")</f>
        <v>معمل التحاليل الطبية</v>
      </c>
      <c r="G736" s="5" t="str">
        <f ca="1">IFERROR(__xludf.DUMMYFUNCTION("""COMPUTED_VALUE"""),"معمل المختبر (د. مؤمنة كامل)")</f>
        <v>معمل المختبر (د. مؤمنة كامل)</v>
      </c>
      <c r="H736" s="5" t="str">
        <f ca="1">IFERROR(__xludf.DUMMYFUNCTION("""COMPUTED_VALUE"""),"1ش عبدالسلام عبدالشافى متفرع من تراعة السواحل- وراق العرب - الجيزة .")</f>
        <v>1ش عبدالسلام عبدالشافى متفرع من تراعة السواحل- وراق العرب - الجيزة .</v>
      </c>
      <c r="I736" s="6" t="str">
        <f ca="1">IFERROR(__xludf.DUMMYFUNCTION("""COMPUTED_VALUE"""),"01090100753")</f>
        <v>01090100753</v>
      </c>
      <c r="J736" s="6" t="str">
        <f ca="1">IFERROR(__xludf.DUMMYFUNCTION("""COMPUTED_VALUE"""),"19014")</f>
        <v>19014</v>
      </c>
      <c r="K736" s="6" t="str">
        <f ca="1">IFERROR(__xludf.DUMMYFUNCTION("""COMPUTED_VALUE"""),"خصم 20% علي جميع التحاليل")</f>
        <v>خصم 20% علي جميع التحاليل</v>
      </c>
    </row>
    <row r="737" spans="1:11" x14ac:dyDescent="0.25">
      <c r="A737" s="4" t="str">
        <f ca="1">IFERROR(__xludf.DUMMYFUNCTION("""COMPUTED_VALUE"""),"1897-B")</f>
        <v>1897-B</v>
      </c>
      <c r="B737" s="5" t="str">
        <f ca="1">IFERROR(__xludf.DUMMYFUNCTION("""COMPUTED_VALUE"""),"الجيزة")</f>
        <v>الجيزة</v>
      </c>
      <c r="C737" s="5" t="str">
        <f ca="1">IFERROR(__xludf.DUMMYFUNCTION("""COMPUTED_VALUE"""),"امبابة")</f>
        <v>امبابة</v>
      </c>
      <c r="D737" s="5" t="str">
        <f ca="1">IFERROR(__xludf.DUMMYFUNCTION("""COMPUTED_VALUE"""),"معمل")</f>
        <v>معمل</v>
      </c>
      <c r="E737" s="5" t="str">
        <f ca="1">IFERROR(__xludf.DUMMYFUNCTION("""COMPUTED_VALUE"""),"معمل")</f>
        <v>معمل</v>
      </c>
      <c r="F737" s="5" t="str">
        <f ca="1">IFERROR(__xludf.DUMMYFUNCTION("""COMPUTED_VALUE"""),"معمل التحاليل الطبية")</f>
        <v>معمل التحاليل الطبية</v>
      </c>
      <c r="G737" s="5" t="str">
        <f ca="1">IFERROR(__xludf.DUMMYFUNCTION("""COMPUTED_VALUE"""),"معمل المختبر (د. مؤمنة كامل)")</f>
        <v>معمل المختبر (د. مؤمنة كامل)</v>
      </c>
      <c r="H737" s="5" t="str">
        <f ca="1">IFERROR(__xludf.DUMMYFUNCTION("""COMPUTED_VALUE"""),"123شارع الوحدة-امبابة- الجيزة")</f>
        <v>123شارع الوحدة-امبابة- الجيزة</v>
      </c>
      <c r="I737" s="6" t="str">
        <f ca="1">IFERROR(__xludf.DUMMYFUNCTION("""COMPUTED_VALUE"""),"01090011236")</f>
        <v>01090011236</v>
      </c>
      <c r="J737" s="6" t="str">
        <f ca="1">IFERROR(__xludf.DUMMYFUNCTION("""COMPUTED_VALUE"""),"19014")</f>
        <v>19014</v>
      </c>
      <c r="K737" s="6" t="str">
        <f ca="1">IFERROR(__xludf.DUMMYFUNCTION("""COMPUTED_VALUE"""),"خصم 20% علي جميع التحاليل")</f>
        <v>خصم 20% علي جميع التحاليل</v>
      </c>
    </row>
    <row r="738" spans="1:11" x14ac:dyDescent="0.25">
      <c r="A738" s="4" t="str">
        <f ca="1">IFERROR(__xludf.DUMMYFUNCTION("""COMPUTED_VALUE"""),"1897-B")</f>
        <v>1897-B</v>
      </c>
      <c r="B738" s="5" t="str">
        <f ca="1">IFERROR(__xludf.DUMMYFUNCTION("""COMPUTED_VALUE"""),"الجيزة")</f>
        <v>الجيزة</v>
      </c>
      <c r="C738" s="5" t="str">
        <f ca="1">IFERROR(__xludf.DUMMYFUNCTION("""COMPUTED_VALUE"""),"بولاق الدكرور")</f>
        <v>بولاق الدكرور</v>
      </c>
      <c r="D738" s="5" t="str">
        <f ca="1">IFERROR(__xludf.DUMMYFUNCTION("""COMPUTED_VALUE"""),"معمل")</f>
        <v>معمل</v>
      </c>
      <c r="E738" s="5" t="str">
        <f ca="1">IFERROR(__xludf.DUMMYFUNCTION("""COMPUTED_VALUE"""),"معمل")</f>
        <v>معمل</v>
      </c>
      <c r="F738" s="5" t="str">
        <f ca="1">IFERROR(__xludf.DUMMYFUNCTION("""COMPUTED_VALUE"""),"معمل التحاليل الطبية")</f>
        <v>معمل التحاليل الطبية</v>
      </c>
      <c r="G738" s="5" t="str">
        <f ca="1">IFERROR(__xludf.DUMMYFUNCTION("""COMPUTED_VALUE"""),"معمل المختبر (د. مؤمنة كامل)")</f>
        <v>معمل المختبر (د. مؤمنة كامل)</v>
      </c>
      <c r="H738" s="5" t="str">
        <f ca="1">IFERROR(__xludf.DUMMYFUNCTION("""COMPUTED_VALUE"""),"170شارع ناهيا - اعلي الشبراوي بولاق الدكرور - الجيزة")</f>
        <v>170شارع ناهيا - اعلي الشبراوي بولاق الدكرور - الجيزة</v>
      </c>
      <c r="I738" s="6" t="str">
        <f ca="1">IFERROR(__xludf.DUMMYFUNCTION("""COMPUTED_VALUE"""),"01001811981")</f>
        <v>01001811981</v>
      </c>
      <c r="J738" s="6" t="str">
        <f ca="1">IFERROR(__xludf.DUMMYFUNCTION("""COMPUTED_VALUE"""),"19014")</f>
        <v>19014</v>
      </c>
      <c r="K738" s="6" t="str">
        <f ca="1">IFERROR(__xludf.DUMMYFUNCTION("""COMPUTED_VALUE"""),"خصم 20% علي جميع التحاليل")</f>
        <v>خصم 20% علي جميع التحاليل</v>
      </c>
    </row>
    <row r="739" spans="1:11" x14ac:dyDescent="0.25">
      <c r="A739" s="4" t="str">
        <f ca="1">IFERROR(__xludf.DUMMYFUNCTION("""COMPUTED_VALUE"""),"1897-B")</f>
        <v>1897-B</v>
      </c>
      <c r="B739" s="5" t="str">
        <f ca="1">IFERROR(__xludf.DUMMYFUNCTION("""COMPUTED_VALUE"""),"الجيزة")</f>
        <v>الجيزة</v>
      </c>
      <c r="C739" s="5" t="str">
        <f ca="1">IFERROR(__xludf.DUMMYFUNCTION("""COMPUTED_VALUE"""),"بولاق الدكرور")</f>
        <v>بولاق الدكرور</v>
      </c>
      <c r="D739" s="5" t="str">
        <f ca="1">IFERROR(__xludf.DUMMYFUNCTION("""COMPUTED_VALUE"""),"معمل")</f>
        <v>معمل</v>
      </c>
      <c r="E739" s="5" t="str">
        <f ca="1">IFERROR(__xludf.DUMMYFUNCTION("""COMPUTED_VALUE"""),"معمل")</f>
        <v>معمل</v>
      </c>
      <c r="F739" s="5" t="str">
        <f ca="1">IFERROR(__xludf.DUMMYFUNCTION("""COMPUTED_VALUE"""),"معمل التحاليل الطبية")</f>
        <v>معمل التحاليل الطبية</v>
      </c>
      <c r="G739" s="5" t="str">
        <f ca="1">IFERROR(__xludf.DUMMYFUNCTION("""COMPUTED_VALUE"""),"معمل المختبر (د. مؤمنة كامل)")</f>
        <v>معمل المختبر (د. مؤمنة كامل)</v>
      </c>
      <c r="H739" s="5" t="str">
        <f ca="1">IFERROR(__xludf.DUMMYFUNCTION("""COMPUTED_VALUE"""),"شارع ناهيا ، برج الإسراء – بولاق الدكرور- الجيزة")</f>
        <v>شارع ناهيا ، برج الإسراء – بولاق الدكرور- الجيزة</v>
      </c>
      <c r="I739" s="6" t="str">
        <f ca="1">IFERROR(__xludf.DUMMYFUNCTION("""COMPUTED_VALUE"""),"01090011241")</f>
        <v>01090011241</v>
      </c>
      <c r="J739" s="6" t="str">
        <f ca="1">IFERROR(__xludf.DUMMYFUNCTION("""COMPUTED_VALUE"""),"19014")</f>
        <v>19014</v>
      </c>
      <c r="K739" s="6" t="str">
        <f ca="1">IFERROR(__xludf.DUMMYFUNCTION("""COMPUTED_VALUE"""),"خصم 20% علي جميع التحاليل")</f>
        <v>خصم 20% علي جميع التحاليل</v>
      </c>
    </row>
    <row r="740" spans="1:11" x14ac:dyDescent="0.25">
      <c r="A740" s="4" t="str">
        <f ca="1">IFERROR(__xludf.DUMMYFUNCTION("""COMPUTED_VALUE"""),"1897-B")</f>
        <v>1897-B</v>
      </c>
      <c r="B740" s="5" t="str">
        <f ca="1">IFERROR(__xludf.DUMMYFUNCTION("""COMPUTED_VALUE"""),"القاهرة")</f>
        <v>القاهرة</v>
      </c>
      <c r="C740" s="5" t="str">
        <f ca="1">IFERROR(__xludf.DUMMYFUNCTION("""COMPUTED_VALUE"""),"جسر السويس")</f>
        <v>جسر السويس</v>
      </c>
      <c r="D740" s="5" t="str">
        <f ca="1">IFERROR(__xludf.DUMMYFUNCTION("""COMPUTED_VALUE"""),"معمل")</f>
        <v>معمل</v>
      </c>
      <c r="E740" s="5" t="str">
        <f ca="1">IFERROR(__xludf.DUMMYFUNCTION("""COMPUTED_VALUE"""),"معمل")</f>
        <v>معمل</v>
      </c>
      <c r="F740" s="5" t="str">
        <f ca="1">IFERROR(__xludf.DUMMYFUNCTION("""COMPUTED_VALUE"""),"معمل التحاليل الطبية")</f>
        <v>معمل التحاليل الطبية</v>
      </c>
      <c r="G740" s="5" t="str">
        <f ca="1">IFERROR(__xludf.DUMMYFUNCTION("""COMPUTED_VALUE"""),"معمل المختبر (د. مؤمنة كامل)")</f>
        <v>معمل المختبر (د. مؤمنة كامل)</v>
      </c>
      <c r="H740" s="5" t="str">
        <f ca="1">IFERROR(__xludf.DUMMYFUNCTION("""COMPUTED_VALUE"""),"100 شارع جسر السويس - ميدان الف مسكن - امام موقف رابعة")</f>
        <v>100 شارع جسر السويس - ميدان الف مسكن - امام موقف رابعة</v>
      </c>
      <c r="I740" s="6" t="str">
        <f ca="1">IFERROR(__xludf.DUMMYFUNCTION("""COMPUTED_VALUE"""),"01090281113")</f>
        <v>01090281113</v>
      </c>
      <c r="J740" s="6" t="str">
        <f ca="1">IFERROR(__xludf.DUMMYFUNCTION("""COMPUTED_VALUE"""),"19014")</f>
        <v>19014</v>
      </c>
      <c r="K740" s="6" t="str">
        <f ca="1">IFERROR(__xludf.DUMMYFUNCTION("""COMPUTED_VALUE"""),"خصم 20% علي جميع التحاليل")</f>
        <v>خصم 20% علي جميع التحاليل</v>
      </c>
    </row>
    <row r="741" spans="1:11" x14ac:dyDescent="0.25">
      <c r="A741" s="4" t="str">
        <f ca="1">IFERROR(__xludf.DUMMYFUNCTION("""COMPUTED_VALUE"""),"1897-B")</f>
        <v>1897-B</v>
      </c>
      <c r="B741" s="5" t="str">
        <f ca="1">IFERROR(__xludf.DUMMYFUNCTION("""COMPUTED_VALUE"""),"القاهرة")</f>
        <v>القاهرة</v>
      </c>
      <c r="C741" s="5" t="str">
        <f ca="1">IFERROR(__xludf.DUMMYFUNCTION("""COMPUTED_VALUE"""),"جسر السويس")</f>
        <v>جسر السويس</v>
      </c>
      <c r="D741" s="5" t="str">
        <f ca="1">IFERROR(__xludf.DUMMYFUNCTION("""COMPUTED_VALUE"""),"معمل")</f>
        <v>معمل</v>
      </c>
      <c r="E741" s="5" t="str">
        <f ca="1">IFERROR(__xludf.DUMMYFUNCTION("""COMPUTED_VALUE"""),"معمل")</f>
        <v>معمل</v>
      </c>
      <c r="F741" s="5" t="str">
        <f ca="1">IFERROR(__xludf.DUMMYFUNCTION("""COMPUTED_VALUE"""),"معمل التحاليل الطبية")</f>
        <v>معمل التحاليل الطبية</v>
      </c>
      <c r="G741" s="5" t="str">
        <f ca="1">IFERROR(__xludf.DUMMYFUNCTION("""COMPUTED_VALUE"""),"معمل المختبر (د. مؤمنة كامل)")</f>
        <v>معمل المختبر (د. مؤمنة كامل)</v>
      </c>
      <c r="H741" s="5" t="str">
        <f ca="1">IFERROR(__xludf.DUMMYFUNCTION("""COMPUTED_VALUE"""),"25  شارع جسر السويس تقسيم عمر بن الخطاب - اول جمال عبد الناصر")</f>
        <v>25  شارع جسر السويس تقسيم عمر بن الخطاب - اول جمال عبد الناصر</v>
      </c>
      <c r="I741" s="6" t="str">
        <f ca="1">IFERROR(__xludf.DUMMYFUNCTION("""COMPUTED_VALUE"""),"01090011267")</f>
        <v>01090011267</v>
      </c>
      <c r="J741" s="6" t="str">
        <f ca="1">IFERROR(__xludf.DUMMYFUNCTION("""COMPUTED_VALUE"""),"19014")</f>
        <v>19014</v>
      </c>
      <c r="K741" s="6" t="str">
        <f ca="1">IFERROR(__xludf.DUMMYFUNCTION("""COMPUTED_VALUE"""),"خصم 20% علي جميع التحاليل")</f>
        <v>خصم 20% علي جميع التحاليل</v>
      </c>
    </row>
    <row r="742" spans="1:11" x14ac:dyDescent="0.25">
      <c r="A742" s="4" t="str">
        <f ca="1">IFERROR(__xludf.DUMMYFUNCTION("""COMPUTED_VALUE"""),"1897-B")</f>
        <v>1897-B</v>
      </c>
      <c r="B742" s="5" t="str">
        <f ca="1">IFERROR(__xludf.DUMMYFUNCTION("""COMPUTED_VALUE"""),"الجيزة")</f>
        <v>الجيزة</v>
      </c>
      <c r="C742" s="5" t="str">
        <f ca="1">IFERROR(__xludf.DUMMYFUNCTION("""COMPUTED_VALUE"""),"حدائق الاهرام")</f>
        <v>حدائق الاهرام</v>
      </c>
      <c r="D742" s="5" t="str">
        <f ca="1">IFERROR(__xludf.DUMMYFUNCTION("""COMPUTED_VALUE"""),"معمل")</f>
        <v>معمل</v>
      </c>
      <c r="E742" s="5" t="str">
        <f ca="1">IFERROR(__xludf.DUMMYFUNCTION("""COMPUTED_VALUE"""),"معمل")</f>
        <v>معمل</v>
      </c>
      <c r="F742" s="5" t="str">
        <f ca="1">IFERROR(__xludf.DUMMYFUNCTION("""COMPUTED_VALUE"""),"معمل التحاليل الطبية")</f>
        <v>معمل التحاليل الطبية</v>
      </c>
      <c r="G742" s="5" t="str">
        <f ca="1">IFERROR(__xludf.DUMMYFUNCTION("""COMPUTED_VALUE"""),"معمل المختبر (د. مؤمنة كامل)")</f>
        <v>معمل المختبر (د. مؤمنة كامل)</v>
      </c>
      <c r="H742" s="5" t="str">
        <f ca="1">IFERROR(__xludf.DUMMYFUNCTION("""COMPUTED_VALUE"""),"121منطقة ج تقسيم الجمعية التعاونية - حدائق الأهرام-حدائق الاهرام- الجيزة")</f>
        <v>121منطقة ج تقسيم الجمعية التعاونية - حدائق الأهرام-حدائق الاهرام- الجيزة</v>
      </c>
      <c r="I742" s="6" t="str">
        <f ca="1">IFERROR(__xludf.DUMMYFUNCTION("""COMPUTED_VALUE"""),"01090011285")</f>
        <v>01090011285</v>
      </c>
      <c r="J742" s="6" t="str">
        <f ca="1">IFERROR(__xludf.DUMMYFUNCTION("""COMPUTED_VALUE"""),"19014")</f>
        <v>19014</v>
      </c>
      <c r="K742" s="6" t="str">
        <f ca="1">IFERROR(__xludf.DUMMYFUNCTION("""COMPUTED_VALUE"""),"خصم 20% علي جميع التحاليل")</f>
        <v>خصم 20% علي جميع التحاليل</v>
      </c>
    </row>
    <row r="743" spans="1:11" x14ac:dyDescent="0.25">
      <c r="A743" s="4" t="str">
        <f ca="1">IFERROR(__xludf.DUMMYFUNCTION("""COMPUTED_VALUE"""),"1897-B")</f>
        <v>1897-B</v>
      </c>
      <c r="B743" s="5" t="str">
        <f ca="1">IFERROR(__xludf.DUMMYFUNCTION("""COMPUTED_VALUE"""),"القاهرة")</f>
        <v>القاهرة</v>
      </c>
      <c r="C743" s="5" t="str">
        <f ca="1">IFERROR(__xludf.DUMMYFUNCTION("""COMPUTED_VALUE"""),"حدائق القبة")</f>
        <v>حدائق القبة</v>
      </c>
      <c r="D743" s="5" t="str">
        <f ca="1">IFERROR(__xludf.DUMMYFUNCTION("""COMPUTED_VALUE"""),"معمل")</f>
        <v>معمل</v>
      </c>
      <c r="E743" s="5" t="str">
        <f ca="1">IFERROR(__xludf.DUMMYFUNCTION("""COMPUTED_VALUE"""),"معمل")</f>
        <v>معمل</v>
      </c>
      <c r="F743" s="5" t="str">
        <f ca="1">IFERROR(__xludf.DUMMYFUNCTION("""COMPUTED_VALUE"""),"معمل التحاليل الطبية")</f>
        <v>معمل التحاليل الطبية</v>
      </c>
      <c r="G743" s="5" t="str">
        <f ca="1">IFERROR(__xludf.DUMMYFUNCTION("""COMPUTED_VALUE"""),"معمل المختبر (د. مؤمنة كامل)")</f>
        <v>معمل المختبر (د. مؤمنة كامل)</v>
      </c>
      <c r="H743" s="5" t="str">
        <f ca="1">IFERROR(__xludf.DUMMYFUNCTION("""COMPUTED_VALUE"""),"127شارع مصر والسودان برج أ شقة 2أ - حدائق القبة-القاهرة")</f>
        <v>127شارع مصر والسودان برج أ شقة 2أ - حدائق القبة-القاهرة</v>
      </c>
      <c r="I743" s="6" t="str">
        <f ca="1">IFERROR(__xludf.DUMMYFUNCTION("""COMPUTED_VALUE"""),"01090011254")</f>
        <v>01090011254</v>
      </c>
      <c r="J743" s="6" t="str">
        <f ca="1">IFERROR(__xludf.DUMMYFUNCTION("""COMPUTED_VALUE"""),"19014")</f>
        <v>19014</v>
      </c>
      <c r="K743" s="6" t="str">
        <f ca="1">IFERROR(__xludf.DUMMYFUNCTION("""COMPUTED_VALUE"""),"خصم 20% علي جميع التحاليل")</f>
        <v>خصم 20% علي جميع التحاليل</v>
      </c>
    </row>
    <row r="744" spans="1:11" x14ac:dyDescent="0.25">
      <c r="A744" s="4" t="str">
        <f ca="1">IFERROR(__xludf.DUMMYFUNCTION("""COMPUTED_VALUE"""),"3354-B")</f>
        <v>3354-B</v>
      </c>
      <c r="B744" s="5" t="str">
        <f ca="1">IFERROR(__xludf.DUMMYFUNCTION("""COMPUTED_VALUE"""),"القاهرة")</f>
        <v>القاهرة</v>
      </c>
      <c r="C744" s="5" t="str">
        <f ca="1">IFERROR(__xludf.DUMMYFUNCTION("""COMPUTED_VALUE"""),"حلمية الزيتون")</f>
        <v>حلمية الزيتون</v>
      </c>
      <c r="D744" s="5" t="str">
        <f ca="1">IFERROR(__xludf.DUMMYFUNCTION("""COMPUTED_VALUE"""),"معمل")</f>
        <v>معمل</v>
      </c>
      <c r="E744" s="5" t="str">
        <f ca="1">IFERROR(__xludf.DUMMYFUNCTION("""COMPUTED_VALUE"""),"معمل")</f>
        <v>معمل</v>
      </c>
      <c r="F744" s="5" t="str">
        <f ca="1">IFERROR(__xludf.DUMMYFUNCTION("""COMPUTED_VALUE"""),"معمل التحاليل الطبية")</f>
        <v>معمل التحاليل الطبية</v>
      </c>
      <c r="G744" s="5" t="str">
        <f ca="1">IFERROR(__xludf.DUMMYFUNCTION("""COMPUTED_VALUE"""),"معمل د/ سمير شاكر بدوي")</f>
        <v>معمل د/ سمير شاكر بدوي</v>
      </c>
      <c r="H744" s="5" t="str">
        <f ca="1">IFERROR(__xludf.DUMMYFUNCTION("""COMPUTED_VALUE"""),"199ش سليم الاول امام عمر افندي- حلمية الزيتون-حلمية الزيتون-القاهرة")</f>
        <v>199ش سليم الاول امام عمر افندي- حلمية الزيتون-حلمية الزيتون-القاهرة</v>
      </c>
      <c r="I744" s="6" t="str">
        <f ca="1">IFERROR(__xludf.DUMMYFUNCTION("""COMPUTED_VALUE"""),"20222403816")</f>
        <v>20222403816</v>
      </c>
      <c r="J744" s="6"/>
      <c r="K744" s="6" t="str">
        <f ca="1">IFERROR(__xludf.DUMMYFUNCTION("""COMPUTED_VALUE"""),"-خصم 30% علي الأسعار النقدي المعلنة")</f>
        <v>-خصم 30% علي الأسعار النقدي المعلنة</v>
      </c>
    </row>
    <row r="745" spans="1:11" x14ac:dyDescent="0.25">
      <c r="A745" s="4" t="str">
        <f ca="1">IFERROR(__xludf.DUMMYFUNCTION("""COMPUTED_VALUE"""),"1897-B")</f>
        <v>1897-B</v>
      </c>
      <c r="B745" s="5" t="str">
        <f ca="1">IFERROR(__xludf.DUMMYFUNCTION("""COMPUTED_VALUE"""),"القاهرة")</f>
        <v>القاهرة</v>
      </c>
      <c r="C745" s="5" t="str">
        <f ca="1">IFERROR(__xludf.DUMMYFUNCTION("""COMPUTED_VALUE"""),"حلوان")</f>
        <v>حلوان</v>
      </c>
      <c r="D745" s="5" t="str">
        <f ca="1">IFERROR(__xludf.DUMMYFUNCTION("""COMPUTED_VALUE"""),"معمل")</f>
        <v>معمل</v>
      </c>
      <c r="E745" s="5" t="str">
        <f ca="1">IFERROR(__xludf.DUMMYFUNCTION("""COMPUTED_VALUE"""),"معمل")</f>
        <v>معمل</v>
      </c>
      <c r="F745" s="5" t="str">
        <f ca="1">IFERROR(__xludf.DUMMYFUNCTION("""COMPUTED_VALUE"""),"معمل التحاليل الطبية")</f>
        <v>معمل التحاليل الطبية</v>
      </c>
      <c r="G745" s="5" t="str">
        <f ca="1">IFERROR(__xludf.DUMMYFUNCTION("""COMPUTED_VALUE"""),"معمل المختبر (د. مؤمنة كامل)")</f>
        <v>معمل المختبر (د. مؤمنة كامل)</v>
      </c>
      <c r="H745" s="5" t="str">
        <f ca="1">IFERROR(__xludf.DUMMYFUNCTION("""COMPUTED_VALUE"""),"55ش رياض تقطاع ش شريف")</f>
        <v>55ش رياض تقطاع ش شريف</v>
      </c>
      <c r="I745" s="6" t="str">
        <f ca="1">IFERROR(__xludf.DUMMYFUNCTION("""COMPUTED_VALUE"""),"01090011217")</f>
        <v>01090011217</v>
      </c>
      <c r="J745" s="6" t="str">
        <f ca="1">IFERROR(__xludf.DUMMYFUNCTION("""COMPUTED_VALUE"""),"19014")</f>
        <v>19014</v>
      </c>
      <c r="K745" s="6" t="str">
        <f ca="1">IFERROR(__xludf.DUMMYFUNCTION("""COMPUTED_VALUE"""),"خصم 20% علي جميع التحاليل")</f>
        <v>خصم 20% علي جميع التحاليل</v>
      </c>
    </row>
    <row r="746" spans="1:11" x14ac:dyDescent="0.25">
      <c r="A746" s="4" t="str">
        <f ca="1">IFERROR(__xludf.DUMMYFUNCTION("""COMPUTED_VALUE"""),"1897-B")</f>
        <v>1897-B</v>
      </c>
      <c r="B746" s="5" t="str">
        <f ca="1">IFERROR(__xludf.DUMMYFUNCTION("""COMPUTED_VALUE"""),"القاهرة")</f>
        <v>القاهرة</v>
      </c>
      <c r="C746" s="5" t="str">
        <f ca="1">IFERROR(__xludf.DUMMYFUNCTION("""COMPUTED_VALUE"""),"دار السلام")</f>
        <v>دار السلام</v>
      </c>
      <c r="D746" s="5" t="str">
        <f ca="1">IFERROR(__xludf.DUMMYFUNCTION("""COMPUTED_VALUE"""),"معمل")</f>
        <v>معمل</v>
      </c>
      <c r="E746" s="5" t="str">
        <f ca="1">IFERROR(__xludf.DUMMYFUNCTION("""COMPUTED_VALUE"""),"معمل")</f>
        <v>معمل</v>
      </c>
      <c r="F746" s="5" t="str">
        <f ca="1">IFERROR(__xludf.DUMMYFUNCTION("""COMPUTED_VALUE"""),"معمل التحاليل الطبية")</f>
        <v>معمل التحاليل الطبية</v>
      </c>
      <c r="G746" s="5" t="str">
        <f ca="1">IFERROR(__xludf.DUMMYFUNCTION("""COMPUTED_VALUE"""),"معمل المختبر (د. مؤمنة كامل)")</f>
        <v>معمل المختبر (د. مؤمنة كامل)</v>
      </c>
      <c r="H746" s="5" t="str">
        <f ca="1">IFERROR(__xludf.DUMMYFUNCTION("""COMPUTED_VALUE"""),"50شارع الفيوم ناصية ابراهيم عبد الهادى  -دار السلام-القاهرة")</f>
        <v>50شارع الفيوم ناصية ابراهيم عبد الهادى  -دار السلام-القاهرة</v>
      </c>
      <c r="I746" s="6" t="str">
        <f ca="1">IFERROR(__xludf.DUMMYFUNCTION("""COMPUTED_VALUE"""),"01090011257")</f>
        <v>01090011257</v>
      </c>
      <c r="J746" s="6" t="str">
        <f ca="1">IFERROR(__xludf.DUMMYFUNCTION("""COMPUTED_VALUE"""),"19014")</f>
        <v>19014</v>
      </c>
      <c r="K746" s="6" t="str">
        <f ca="1">IFERROR(__xludf.DUMMYFUNCTION("""COMPUTED_VALUE"""),"خصم 20% علي جميع التحاليل")</f>
        <v>خصم 20% علي جميع التحاليل</v>
      </c>
    </row>
    <row r="747" spans="1:11" x14ac:dyDescent="0.25">
      <c r="A747" s="4" t="str">
        <f ca="1">IFERROR(__xludf.DUMMYFUNCTION("""COMPUTED_VALUE"""),"1897-B")</f>
        <v>1897-B</v>
      </c>
      <c r="B747" s="5" t="str">
        <f ca="1">IFERROR(__xludf.DUMMYFUNCTION("""COMPUTED_VALUE"""),"القاهرة")</f>
        <v>القاهرة</v>
      </c>
      <c r="C747" s="5" t="str">
        <f ca="1">IFERROR(__xludf.DUMMYFUNCTION("""COMPUTED_VALUE"""),"شبرا")</f>
        <v>شبرا</v>
      </c>
      <c r="D747" s="5" t="str">
        <f ca="1">IFERROR(__xludf.DUMMYFUNCTION("""COMPUTED_VALUE"""),"معمل")</f>
        <v>معمل</v>
      </c>
      <c r="E747" s="5" t="str">
        <f ca="1">IFERROR(__xludf.DUMMYFUNCTION("""COMPUTED_VALUE"""),"معمل")</f>
        <v>معمل</v>
      </c>
      <c r="F747" s="5" t="str">
        <f ca="1">IFERROR(__xludf.DUMMYFUNCTION("""COMPUTED_VALUE"""),"معمل التحاليل الطبية")</f>
        <v>معمل التحاليل الطبية</v>
      </c>
      <c r="G747" s="5" t="str">
        <f ca="1">IFERROR(__xludf.DUMMYFUNCTION("""COMPUTED_VALUE"""),"معمل المختبر (د. مؤمنة كامل)")</f>
        <v>معمل المختبر (د. مؤمنة كامل)</v>
      </c>
      <c r="H747" s="5" t="str">
        <f ca="1">IFERROR(__xludf.DUMMYFUNCTION("""COMPUTED_VALUE"""),"10 شارع السلام -  اغاخان - كورنيش النيل-شبرا-القاهرة")</f>
        <v>10 شارع السلام -  اغاخان - كورنيش النيل-شبرا-القاهرة</v>
      </c>
      <c r="I747" s="6" t="str">
        <f ca="1">IFERROR(__xludf.DUMMYFUNCTION("""COMPUTED_VALUE"""),"01090011207")</f>
        <v>01090011207</v>
      </c>
      <c r="J747" s="6" t="str">
        <f ca="1">IFERROR(__xludf.DUMMYFUNCTION("""COMPUTED_VALUE"""),"19014")</f>
        <v>19014</v>
      </c>
      <c r="K747" s="6" t="str">
        <f ca="1">IFERROR(__xludf.DUMMYFUNCTION("""COMPUTED_VALUE"""),"خصم 20% علي جميع التحاليل")</f>
        <v>خصم 20% علي جميع التحاليل</v>
      </c>
    </row>
    <row r="748" spans="1:11" x14ac:dyDescent="0.25">
      <c r="A748" s="4" t="str">
        <f ca="1">IFERROR(__xludf.DUMMYFUNCTION("""COMPUTED_VALUE"""),"1897-B")</f>
        <v>1897-B</v>
      </c>
      <c r="B748" s="5" t="str">
        <f ca="1">IFERROR(__xludf.DUMMYFUNCTION("""COMPUTED_VALUE"""),"القاهرة")</f>
        <v>القاهرة</v>
      </c>
      <c r="C748" s="5" t="str">
        <f ca="1">IFERROR(__xludf.DUMMYFUNCTION("""COMPUTED_VALUE"""),"شبرا")</f>
        <v>شبرا</v>
      </c>
      <c r="D748" s="5" t="str">
        <f ca="1">IFERROR(__xludf.DUMMYFUNCTION("""COMPUTED_VALUE"""),"معمل")</f>
        <v>معمل</v>
      </c>
      <c r="E748" s="5" t="str">
        <f ca="1">IFERROR(__xludf.DUMMYFUNCTION("""COMPUTED_VALUE"""),"معمل")</f>
        <v>معمل</v>
      </c>
      <c r="F748" s="5" t="str">
        <f ca="1">IFERROR(__xludf.DUMMYFUNCTION("""COMPUTED_VALUE"""),"معمل التحاليل الطبية")</f>
        <v>معمل التحاليل الطبية</v>
      </c>
      <c r="G748" s="5" t="str">
        <f ca="1">IFERROR(__xludf.DUMMYFUNCTION("""COMPUTED_VALUE"""),"معمل المختبر (د. مؤمنة كامل)")</f>
        <v>معمل المختبر (د. مؤمنة كامل)</v>
      </c>
      <c r="H748" s="5" t="str">
        <f ca="1">IFERROR(__xludf.DUMMYFUNCTION("""COMPUTED_VALUE"""),"30شارع شبرا-شبرا-القاهرة")</f>
        <v>30شارع شبرا-شبرا-القاهرة</v>
      </c>
      <c r="I748" s="6" t="str">
        <f ca="1">IFERROR(__xludf.DUMMYFUNCTION("""COMPUTED_VALUE"""),"01090011211")</f>
        <v>01090011211</v>
      </c>
      <c r="J748" s="6" t="str">
        <f ca="1">IFERROR(__xludf.DUMMYFUNCTION("""COMPUTED_VALUE"""),"19014")</f>
        <v>19014</v>
      </c>
      <c r="K748" s="6" t="str">
        <f ca="1">IFERROR(__xludf.DUMMYFUNCTION("""COMPUTED_VALUE"""),"خصم 20% علي جميع التحاليل")</f>
        <v>خصم 20% علي جميع التحاليل</v>
      </c>
    </row>
    <row r="749" spans="1:11" x14ac:dyDescent="0.25">
      <c r="A749" s="4" t="str">
        <f ca="1">IFERROR(__xludf.DUMMYFUNCTION("""COMPUTED_VALUE"""),"3354-B")</f>
        <v>3354-B</v>
      </c>
      <c r="B749" s="5" t="str">
        <f ca="1">IFERROR(__xludf.DUMMYFUNCTION("""COMPUTED_VALUE"""),"القاهرة")</f>
        <v>القاهرة</v>
      </c>
      <c r="C749" s="5" t="str">
        <f ca="1">IFERROR(__xludf.DUMMYFUNCTION("""COMPUTED_VALUE"""),"شبرا")</f>
        <v>شبرا</v>
      </c>
      <c r="D749" s="5" t="str">
        <f ca="1">IFERROR(__xludf.DUMMYFUNCTION("""COMPUTED_VALUE"""),"معمل")</f>
        <v>معمل</v>
      </c>
      <c r="E749" s="5" t="str">
        <f ca="1">IFERROR(__xludf.DUMMYFUNCTION("""COMPUTED_VALUE"""),"معمل")</f>
        <v>معمل</v>
      </c>
      <c r="F749" s="5" t="str">
        <f ca="1">IFERROR(__xludf.DUMMYFUNCTION("""COMPUTED_VALUE"""),"معمل التحاليل الطبية")</f>
        <v>معمل التحاليل الطبية</v>
      </c>
      <c r="G749" s="5" t="str">
        <f ca="1">IFERROR(__xludf.DUMMYFUNCTION("""COMPUTED_VALUE"""),"معمل د/ سمير شاكر بدوي")</f>
        <v>معمل د/ سمير شاكر بدوي</v>
      </c>
      <c r="H749" s="5" t="str">
        <f ca="1">IFERROR(__xludf.DUMMYFUNCTION("""COMPUTED_VALUE"""),"87ش شبرا امام عمر افندي-شبرا-القاهرة")</f>
        <v>87ش شبرا امام عمر افندي-شبرا-القاهرة</v>
      </c>
      <c r="I749" s="6" t="str">
        <f ca="1">IFERROR(__xludf.DUMMYFUNCTION("""COMPUTED_VALUE"""),"20222044155")</f>
        <v>20222044155</v>
      </c>
      <c r="J749" s="6"/>
      <c r="K749" s="6" t="str">
        <f ca="1">IFERROR(__xludf.DUMMYFUNCTION("""COMPUTED_VALUE"""),"-خصم 30% علي الأسعار النقدي المعلنة")</f>
        <v>-خصم 30% علي الأسعار النقدي المعلنة</v>
      </c>
    </row>
    <row r="750" spans="1:11" x14ac:dyDescent="0.25">
      <c r="A750" s="4" t="str">
        <f ca="1">IFERROR(__xludf.DUMMYFUNCTION("""COMPUTED_VALUE"""),"1897-B")</f>
        <v>1897-B</v>
      </c>
      <c r="B750" s="5" t="str">
        <f ca="1">IFERROR(__xludf.DUMMYFUNCTION("""COMPUTED_VALUE"""),"القاهرة")</f>
        <v>القاهرة</v>
      </c>
      <c r="C750" s="5" t="str">
        <f ca="1">IFERROR(__xludf.DUMMYFUNCTION("""COMPUTED_VALUE"""),"عين شمس")</f>
        <v>عين شمس</v>
      </c>
      <c r="D750" s="5" t="str">
        <f ca="1">IFERROR(__xludf.DUMMYFUNCTION("""COMPUTED_VALUE"""),"معمل")</f>
        <v>معمل</v>
      </c>
      <c r="E750" s="5" t="str">
        <f ca="1">IFERROR(__xludf.DUMMYFUNCTION("""COMPUTED_VALUE"""),"معمل")</f>
        <v>معمل</v>
      </c>
      <c r="F750" s="5" t="str">
        <f ca="1">IFERROR(__xludf.DUMMYFUNCTION("""COMPUTED_VALUE"""),"معمل التحاليل الطبية")</f>
        <v>معمل التحاليل الطبية</v>
      </c>
      <c r="G750" s="5" t="str">
        <f ca="1">IFERROR(__xludf.DUMMYFUNCTION("""COMPUTED_VALUE"""),"معمل المختبر (د. مؤمنة كامل)")</f>
        <v>معمل المختبر (د. مؤمنة كامل)</v>
      </c>
      <c r="H750" s="5" t="str">
        <f ca="1">IFERROR(__xludf.DUMMYFUNCTION("""COMPUTED_VALUE"""),"تقاطع شارع عين شمس مع ش أحمد عصمت - عين شمس - القاهرة-القاهرة")</f>
        <v>تقاطع شارع عين شمس مع ش أحمد عصمت - عين شمس - القاهرة-القاهرة</v>
      </c>
      <c r="I750" s="6" t="str">
        <f ca="1">IFERROR(__xludf.DUMMYFUNCTION("""COMPUTED_VALUE"""),"01090011263")</f>
        <v>01090011263</v>
      </c>
      <c r="J750" s="6" t="str">
        <f ca="1">IFERROR(__xludf.DUMMYFUNCTION("""COMPUTED_VALUE"""),"19014")</f>
        <v>19014</v>
      </c>
      <c r="K750" s="6" t="str">
        <f ca="1">IFERROR(__xludf.DUMMYFUNCTION("""COMPUTED_VALUE"""),"خصم 20% علي جميع التحاليل")</f>
        <v>خصم 20% علي جميع التحاليل</v>
      </c>
    </row>
    <row r="751" spans="1:11" x14ac:dyDescent="0.25">
      <c r="A751" s="4" t="str">
        <f ca="1">IFERROR(__xludf.DUMMYFUNCTION("""COMPUTED_VALUE"""),"3354-B")</f>
        <v>3354-B</v>
      </c>
      <c r="B751" s="5" t="str">
        <f ca="1">IFERROR(__xludf.DUMMYFUNCTION("""COMPUTED_VALUE"""),"القاهرة")</f>
        <v>القاهرة</v>
      </c>
      <c r="C751" s="5" t="str">
        <f ca="1">IFERROR(__xludf.DUMMYFUNCTION("""COMPUTED_VALUE"""),"عين شمس")</f>
        <v>عين شمس</v>
      </c>
      <c r="D751" s="5" t="str">
        <f ca="1">IFERROR(__xludf.DUMMYFUNCTION("""COMPUTED_VALUE"""),"معمل")</f>
        <v>معمل</v>
      </c>
      <c r="E751" s="5" t="str">
        <f ca="1">IFERROR(__xludf.DUMMYFUNCTION("""COMPUTED_VALUE"""),"معمل")</f>
        <v>معمل</v>
      </c>
      <c r="F751" s="5" t="str">
        <f ca="1">IFERROR(__xludf.DUMMYFUNCTION("""COMPUTED_VALUE"""),"معمل التحاليل الطبية")</f>
        <v>معمل التحاليل الطبية</v>
      </c>
      <c r="G751" s="5" t="str">
        <f ca="1">IFERROR(__xludf.DUMMYFUNCTION("""COMPUTED_VALUE"""),"معمل د/ سمير شاكر بدوي")</f>
        <v>معمل د/ سمير شاكر بدوي</v>
      </c>
      <c r="H751" s="5" t="str">
        <f ca="1">IFERROR(__xludf.DUMMYFUNCTION("""COMPUTED_VALUE"""),"اول شارع العشرين من شارع 6 اكتوبر امام موقف اتوبيس 44-عين شمس-القاهرة")</f>
        <v>اول شارع العشرين من شارع 6 اكتوبر امام موقف اتوبيس 44-عين شمس-القاهرة</v>
      </c>
      <c r="I751" s="6" t="str">
        <f ca="1">IFERROR(__xludf.DUMMYFUNCTION("""COMPUTED_VALUE"""),"201272229098")</f>
        <v>201272229098</v>
      </c>
      <c r="J751" s="6"/>
      <c r="K751" s="6" t="str">
        <f ca="1">IFERROR(__xludf.DUMMYFUNCTION("""COMPUTED_VALUE"""),"-خصم 30% علي الأسعار النقدي المعلنة")</f>
        <v>-خصم 30% علي الأسعار النقدي المعلنة</v>
      </c>
    </row>
    <row r="752" spans="1:11" x14ac:dyDescent="0.25">
      <c r="A752" s="4" t="str">
        <f ca="1">IFERROR(__xludf.DUMMYFUNCTION("""COMPUTED_VALUE"""),"3241")</f>
        <v>3241</v>
      </c>
      <c r="B752" s="5" t="str">
        <f ca="1">IFERROR(__xludf.DUMMYFUNCTION("""COMPUTED_VALUE"""),"الجيزة")</f>
        <v>الجيزة</v>
      </c>
      <c r="C752" s="5" t="str">
        <f ca="1">IFERROR(__xludf.DUMMYFUNCTION("""COMPUTED_VALUE"""),"فيصل")</f>
        <v>فيصل</v>
      </c>
      <c r="D752" s="5" t="str">
        <f ca="1">IFERROR(__xludf.DUMMYFUNCTION("""COMPUTED_VALUE"""),"معمل")</f>
        <v>معمل</v>
      </c>
      <c r="E752" s="5" t="str">
        <f ca="1">IFERROR(__xludf.DUMMYFUNCTION("""COMPUTED_VALUE"""),"معمل")</f>
        <v>معمل</v>
      </c>
      <c r="F752" s="5" t="str">
        <f ca="1">IFERROR(__xludf.DUMMYFUNCTION("""COMPUTED_VALUE"""),"معمل التحاليل الطبية")</f>
        <v>معمل التحاليل الطبية</v>
      </c>
      <c r="G752" s="5" t="str">
        <f ca="1">IFERROR(__xludf.DUMMYFUNCTION("""COMPUTED_VALUE"""),"شركة معامل الحياة للتحاليل الطبية")</f>
        <v>شركة معامل الحياة للتحاليل الطبية</v>
      </c>
      <c r="H752" s="5" t="str">
        <f ca="1">IFERROR(__xludf.DUMMYFUNCTION("""COMPUTED_VALUE"""),"برج أولاد رجب أول فيصل بجوار برج الأطباء-فيصل- الجيزة")</f>
        <v>برج أولاد رجب أول فيصل بجوار برج الأطباء-فيصل- الجيزة</v>
      </c>
      <c r="I752" s="6" t="str">
        <f ca="1">IFERROR(__xludf.DUMMYFUNCTION("""COMPUTED_VALUE"""),"20235714842")</f>
        <v>20235714842</v>
      </c>
      <c r="J752" s="6"/>
      <c r="K752" s="6" t="str">
        <f ca="1">IFERROR(__xludf.DUMMYFUNCTION("""COMPUTED_VALUE"""),"خصم 40% علي جميع التحاليل ما عدا تحليل بزل النخاع 20%.")</f>
        <v>خصم 40% علي جميع التحاليل ما عدا تحليل بزل النخاع 20%.</v>
      </c>
    </row>
    <row r="753" spans="1:11" x14ac:dyDescent="0.25">
      <c r="A753" s="4" t="str">
        <f ca="1">IFERROR(__xludf.DUMMYFUNCTION("""COMPUTED_VALUE"""),"104199-B")</f>
        <v>104199-B</v>
      </c>
      <c r="B753" s="5" t="str">
        <f ca="1">IFERROR(__xludf.DUMMYFUNCTION("""COMPUTED_VALUE"""),"الجيزة")</f>
        <v>الجيزة</v>
      </c>
      <c r="C753" s="5" t="str">
        <f ca="1">IFERROR(__xludf.DUMMYFUNCTION("""COMPUTED_VALUE"""),"فيصل")</f>
        <v>فيصل</v>
      </c>
      <c r="D753" s="5" t="str">
        <f ca="1">IFERROR(__xludf.DUMMYFUNCTION("""COMPUTED_VALUE"""),"معمل")</f>
        <v>معمل</v>
      </c>
      <c r="E753" s="5" t="str">
        <f ca="1">IFERROR(__xludf.DUMMYFUNCTION("""COMPUTED_VALUE"""),"معمل")</f>
        <v>معمل</v>
      </c>
      <c r="F753" s="5" t="str">
        <f ca="1">IFERROR(__xludf.DUMMYFUNCTION("""COMPUTED_VALUE"""),"معمل التحاليل الطبية")</f>
        <v>معمل التحاليل الطبية</v>
      </c>
      <c r="G753" s="5" t="str">
        <f ca="1">IFERROR(__xludf.DUMMYFUNCTION("""COMPUTED_VALUE"""),"معامل ترست")</f>
        <v>معامل ترست</v>
      </c>
      <c r="H753" s="5" t="str">
        <f ca="1">IFERROR(__xludf.DUMMYFUNCTION("""COMPUTED_VALUE"""),"برج الأطباء - أول شارع فيصل - فيصل - الجيزة .")</f>
        <v>برج الأطباء - أول شارع فيصل - فيصل - الجيزة .</v>
      </c>
      <c r="I753" s="6" t="str">
        <f ca="1">IFERROR(__xludf.DUMMYFUNCTION("""COMPUTED_VALUE"""),"20235732926")</f>
        <v>20235732926</v>
      </c>
      <c r="J753" s="6" t="str">
        <f ca="1">IFERROR(__xludf.DUMMYFUNCTION("""COMPUTED_VALUE"""),"16183")</f>
        <v>16183</v>
      </c>
      <c r="K753" s="6" t="str">
        <f ca="1">IFERROR(__xludf.DUMMYFUNCTION("""COMPUTED_VALUE"""),"خصم 30% علي الاسعار المعلنة")</f>
        <v>خصم 30% علي الاسعار المعلنة</v>
      </c>
    </row>
    <row r="754" spans="1:11" x14ac:dyDescent="0.25">
      <c r="A754" s="4" t="str">
        <f ca="1">IFERROR(__xludf.DUMMYFUNCTION("""COMPUTED_VALUE"""),"1897-B")</f>
        <v>1897-B</v>
      </c>
      <c r="B754" s="5" t="str">
        <f ca="1">IFERROR(__xludf.DUMMYFUNCTION("""COMPUTED_VALUE"""),"الجيزة")</f>
        <v>الجيزة</v>
      </c>
      <c r="C754" s="5" t="str">
        <f ca="1">IFERROR(__xludf.DUMMYFUNCTION("""COMPUTED_VALUE"""),"فيصل")</f>
        <v>فيصل</v>
      </c>
      <c r="D754" s="5" t="str">
        <f ca="1">IFERROR(__xludf.DUMMYFUNCTION("""COMPUTED_VALUE"""),"معمل")</f>
        <v>معمل</v>
      </c>
      <c r="E754" s="5" t="str">
        <f ca="1">IFERROR(__xludf.DUMMYFUNCTION("""COMPUTED_VALUE"""),"معمل")</f>
        <v>معمل</v>
      </c>
      <c r="F754" s="5" t="str">
        <f ca="1">IFERROR(__xludf.DUMMYFUNCTION("""COMPUTED_VALUE"""),"معمل التحاليل الطبية")</f>
        <v>معمل التحاليل الطبية</v>
      </c>
      <c r="G754" s="5" t="str">
        <f ca="1">IFERROR(__xludf.DUMMYFUNCTION("""COMPUTED_VALUE"""),"معمل المختبر (د. مؤمنة كامل)")</f>
        <v>معمل المختبر (د. مؤمنة كامل)</v>
      </c>
      <c r="H754" s="5" t="str">
        <f ca="1">IFERROR(__xludf.DUMMYFUNCTION("""COMPUTED_VALUE"""),"109 شارع فيصل - الهرم - الجيزة.-فيصل- الجيزة")</f>
        <v>109 شارع فيصل - الهرم - الجيزة.-فيصل- الجيزة</v>
      </c>
      <c r="I754" s="6" t="str">
        <f ca="1">IFERROR(__xludf.DUMMYFUNCTION("""COMPUTED_VALUE"""),"01090011271")</f>
        <v>01090011271</v>
      </c>
      <c r="J754" s="6" t="str">
        <f ca="1">IFERROR(__xludf.DUMMYFUNCTION("""COMPUTED_VALUE"""),"19014")</f>
        <v>19014</v>
      </c>
      <c r="K754" s="6" t="str">
        <f ca="1">IFERROR(__xludf.DUMMYFUNCTION("""COMPUTED_VALUE"""),"خصم 20% علي جميع التحاليل")</f>
        <v>خصم 20% علي جميع التحاليل</v>
      </c>
    </row>
    <row r="755" spans="1:11" x14ac:dyDescent="0.25">
      <c r="A755" s="4" t="str">
        <f ca="1">IFERROR(__xludf.DUMMYFUNCTION("""COMPUTED_VALUE"""),"1897-B")</f>
        <v>1897-B</v>
      </c>
      <c r="B755" s="5" t="str">
        <f ca="1">IFERROR(__xludf.DUMMYFUNCTION("""COMPUTED_VALUE"""),"الجيزة")</f>
        <v>الجيزة</v>
      </c>
      <c r="C755" s="5" t="str">
        <f ca="1">IFERROR(__xludf.DUMMYFUNCTION("""COMPUTED_VALUE"""),"فيصل")</f>
        <v>فيصل</v>
      </c>
      <c r="D755" s="5" t="str">
        <f ca="1">IFERROR(__xludf.DUMMYFUNCTION("""COMPUTED_VALUE"""),"معمل")</f>
        <v>معمل</v>
      </c>
      <c r="E755" s="5" t="str">
        <f ca="1">IFERROR(__xludf.DUMMYFUNCTION("""COMPUTED_VALUE"""),"معمل")</f>
        <v>معمل</v>
      </c>
      <c r="F755" s="5" t="str">
        <f ca="1">IFERROR(__xludf.DUMMYFUNCTION("""COMPUTED_VALUE"""),"معمل التحاليل الطبية")</f>
        <v>معمل التحاليل الطبية</v>
      </c>
      <c r="G755" s="5" t="str">
        <f ca="1">IFERROR(__xludf.DUMMYFUNCTION("""COMPUTED_VALUE"""),"معمل المختبر (د. مؤمنة كامل)")</f>
        <v>معمل المختبر (د. مؤمنة كامل)</v>
      </c>
      <c r="H755" s="5" t="str">
        <f ca="1">IFERROR(__xludf.DUMMYFUNCTION("""COMPUTED_VALUE"""),"366 شارع فيصل - الطالبية-الطالبية- الجيزة")</f>
        <v>366 شارع فيصل - الطالبية-الطالبية- الجيزة</v>
      </c>
      <c r="I755" s="6" t="str">
        <f ca="1">IFERROR(__xludf.DUMMYFUNCTION("""COMPUTED_VALUE"""),"01090011214")</f>
        <v>01090011214</v>
      </c>
      <c r="J755" s="6" t="str">
        <f ca="1">IFERROR(__xludf.DUMMYFUNCTION("""COMPUTED_VALUE"""),"19014")</f>
        <v>19014</v>
      </c>
      <c r="K755" s="6" t="str">
        <f ca="1">IFERROR(__xludf.DUMMYFUNCTION("""COMPUTED_VALUE"""),"خصم 20% علي جميع التحاليل")</f>
        <v>خصم 20% علي جميع التحاليل</v>
      </c>
    </row>
    <row r="756" spans="1:11" x14ac:dyDescent="0.25">
      <c r="A756" s="4" t="str">
        <f ca="1">IFERROR(__xludf.DUMMYFUNCTION("""COMPUTED_VALUE"""),"1897-B")</f>
        <v>1897-B</v>
      </c>
      <c r="B756" s="5" t="str">
        <f ca="1">IFERROR(__xludf.DUMMYFUNCTION("""COMPUTED_VALUE"""),"الجيزة")</f>
        <v>الجيزة</v>
      </c>
      <c r="C756" s="5" t="str">
        <f ca="1">IFERROR(__xludf.DUMMYFUNCTION("""COMPUTED_VALUE"""),"فيصل")</f>
        <v>فيصل</v>
      </c>
      <c r="D756" s="5" t="str">
        <f ca="1">IFERROR(__xludf.DUMMYFUNCTION("""COMPUTED_VALUE"""),"معمل")</f>
        <v>معمل</v>
      </c>
      <c r="E756" s="5" t="str">
        <f ca="1">IFERROR(__xludf.DUMMYFUNCTION("""COMPUTED_VALUE"""),"معمل")</f>
        <v>معمل</v>
      </c>
      <c r="F756" s="5" t="str">
        <f ca="1">IFERROR(__xludf.DUMMYFUNCTION("""COMPUTED_VALUE"""),"معمل التحاليل الطبية")</f>
        <v>معمل التحاليل الطبية</v>
      </c>
      <c r="G756" s="5" t="str">
        <f ca="1">IFERROR(__xludf.DUMMYFUNCTION("""COMPUTED_VALUE"""),"معمل المختبر (د. مؤمنة كامل)")</f>
        <v>معمل المختبر (د. مؤمنة كامل)</v>
      </c>
      <c r="H756" s="5" t="str">
        <f ca="1">IFERROR(__xludf.DUMMYFUNCTION("""COMPUTED_VALUE"""),"446شارع الملك فيصل-فيصل- الجيزة")</f>
        <v>446شارع الملك فيصل-فيصل- الجيزة</v>
      </c>
      <c r="I756" s="6" t="str">
        <f ca="1">IFERROR(__xludf.DUMMYFUNCTION("""COMPUTED_VALUE"""),"01015152400")</f>
        <v>01015152400</v>
      </c>
      <c r="J756" s="6" t="str">
        <f ca="1">IFERROR(__xludf.DUMMYFUNCTION("""COMPUTED_VALUE"""),"19014")</f>
        <v>19014</v>
      </c>
      <c r="K756" s="6" t="str">
        <f ca="1">IFERROR(__xludf.DUMMYFUNCTION("""COMPUTED_VALUE"""),"خصم 20% علي جميع التحاليل")</f>
        <v>خصم 20% علي جميع التحاليل</v>
      </c>
    </row>
    <row r="757" spans="1:11" x14ac:dyDescent="0.25">
      <c r="A757" s="4" t="str">
        <f ca="1">IFERROR(__xludf.DUMMYFUNCTION("""COMPUTED_VALUE"""),"1897-B")</f>
        <v>1897-B</v>
      </c>
      <c r="B757" s="5" t="str">
        <f ca="1">IFERROR(__xludf.DUMMYFUNCTION("""COMPUTED_VALUE"""),"القليوبية")</f>
        <v>القليوبية</v>
      </c>
      <c r="C757" s="5" t="str">
        <f ca="1">IFERROR(__xludf.DUMMYFUNCTION("""COMPUTED_VALUE"""),"مدينة العبور")</f>
        <v>مدينة العبور</v>
      </c>
      <c r="D757" s="5" t="str">
        <f ca="1">IFERROR(__xludf.DUMMYFUNCTION("""COMPUTED_VALUE"""),"معمل")</f>
        <v>معمل</v>
      </c>
      <c r="E757" s="5" t="str">
        <f ca="1">IFERROR(__xludf.DUMMYFUNCTION("""COMPUTED_VALUE"""),"معمل")</f>
        <v>معمل</v>
      </c>
      <c r="F757" s="5" t="str">
        <f ca="1">IFERROR(__xludf.DUMMYFUNCTION("""COMPUTED_VALUE"""),"معمل التحاليل الطبية")</f>
        <v>معمل التحاليل الطبية</v>
      </c>
      <c r="G757" s="5" t="str">
        <f ca="1">IFERROR(__xludf.DUMMYFUNCTION("""COMPUTED_VALUE"""),"معمل المختبر (د. مؤمنة كامل)")</f>
        <v>معمل المختبر (د. مؤمنة كامل)</v>
      </c>
      <c r="H757" s="5" t="str">
        <f ca="1">IFERROR(__xludf.DUMMYFUNCTION("""COMPUTED_VALUE"""),"مشروع لؤلؤة العبور - مركز الحى الاول امام المجمع الاسلامى - العبور-مدينة العبور--القليوبية")</f>
        <v>مشروع لؤلؤة العبور - مركز الحى الاول امام المجمع الاسلامى - العبور-مدينة العبور--القليوبية</v>
      </c>
      <c r="I757" s="6" t="str">
        <f ca="1">IFERROR(__xludf.DUMMYFUNCTION("""COMPUTED_VALUE"""),"01090011270")</f>
        <v>01090011270</v>
      </c>
      <c r="J757" s="6" t="str">
        <f ca="1">IFERROR(__xludf.DUMMYFUNCTION("""COMPUTED_VALUE"""),"19014")</f>
        <v>19014</v>
      </c>
      <c r="K757" s="6" t="str">
        <f ca="1">IFERROR(__xludf.DUMMYFUNCTION("""COMPUTED_VALUE"""),"خصم 20% علي جميع التحاليل")</f>
        <v>خصم 20% علي جميع التحاليل</v>
      </c>
    </row>
    <row r="758" spans="1:11" x14ac:dyDescent="0.25">
      <c r="A758" s="4" t="str">
        <f ca="1">IFERROR(__xludf.DUMMYFUNCTION("""COMPUTED_VALUE"""),"3798-B")</f>
        <v>3798-B</v>
      </c>
      <c r="B758" s="5" t="str">
        <f ca="1">IFERROR(__xludf.DUMMYFUNCTION("""COMPUTED_VALUE"""),"القاهرة")</f>
        <v>القاهرة</v>
      </c>
      <c r="C758" s="5" t="str">
        <f ca="1">IFERROR(__xludf.DUMMYFUNCTION("""COMPUTED_VALUE"""),"مدينة نصر")</f>
        <v>مدينة نصر</v>
      </c>
      <c r="D758" s="5" t="str">
        <f ca="1">IFERROR(__xludf.DUMMYFUNCTION("""COMPUTED_VALUE"""),"معمل")</f>
        <v>معمل</v>
      </c>
      <c r="E758" s="5" t="str">
        <f ca="1">IFERROR(__xludf.DUMMYFUNCTION("""COMPUTED_VALUE"""),"معمل")</f>
        <v>معمل</v>
      </c>
      <c r="F758" s="5" t="str">
        <f ca="1">IFERROR(__xludf.DUMMYFUNCTION("""COMPUTED_VALUE"""),"معمل التحاليل الطبية")</f>
        <v>معمل التحاليل الطبية</v>
      </c>
      <c r="G758" s="5" t="str">
        <f ca="1">IFERROR(__xludf.DUMMYFUNCTION("""COMPUTED_VALUE"""),"معمل الدكتورة/ أمينة حساب")</f>
        <v>معمل الدكتورة/ أمينة حساب</v>
      </c>
      <c r="H758" s="5" t="str">
        <f ca="1">IFERROR(__xludf.DUMMYFUNCTION("""COMPUTED_VALUE"""),"QNB2شارع عباي العقاد اعلى بنك التعمير والاسكان فرع عباس العقاد وبجوار الجامعه العماليه وامام بنك
")</f>
        <v xml:space="preserve">QNB2شارع عباي العقاد اعلى بنك التعمير والاسكان فرع عباس العقاد وبجوار الجامعه العماليه وامام بنك
</v>
      </c>
      <c r="I758" s="6"/>
      <c r="J758" s="6" t="str">
        <f ca="1">IFERROR(__xludf.DUMMYFUNCTION("""COMPUTED_VALUE"""),"16987")</f>
        <v>16987</v>
      </c>
      <c r="K758" s="6" t="str">
        <f ca="1">IFERROR(__xludf.DUMMYFUNCTION("""COMPUTED_VALUE"""),"30% على جميع الخدمات         ")</f>
        <v xml:space="preserve">30% على جميع الخدمات         </v>
      </c>
    </row>
    <row r="759" spans="1:11" x14ac:dyDescent="0.25">
      <c r="A759" s="4" t="str">
        <f ca="1">IFERROR(__xludf.DUMMYFUNCTION("""COMPUTED_VALUE"""),"1897-B")</f>
        <v>1897-B</v>
      </c>
      <c r="B759" s="5" t="str">
        <f ca="1">IFERROR(__xludf.DUMMYFUNCTION("""COMPUTED_VALUE"""),"القاهرة")</f>
        <v>القاهرة</v>
      </c>
      <c r="C759" s="5" t="str">
        <f ca="1">IFERROR(__xludf.DUMMYFUNCTION("""COMPUTED_VALUE"""),"مدينة نصر")</f>
        <v>مدينة نصر</v>
      </c>
      <c r="D759" s="5" t="str">
        <f ca="1">IFERROR(__xludf.DUMMYFUNCTION("""COMPUTED_VALUE"""),"معمل")</f>
        <v>معمل</v>
      </c>
      <c r="E759" s="5" t="str">
        <f ca="1">IFERROR(__xludf.DUMMYFUNCTION("""COMPUTED_VALUE"""),"معمل")</f>
        <v>معمل</v>
      </c>
      <c r="F759" s="5" t="str">
        <f ca="1">IFERROR(__xludf.DUMMYFUNCTION("""COMPUTED_VALUE"""),"معمل التحاليل الطبية")</f>
        <v>معمل التحاليل الطبية</v>
      </c>
      <c r="G759" s="5" t="str">
        <f ca="1">IFERROR(__xludf.DUMMYFUNCTION("""COMPUTED_VALUE"""),"معمل المختبر (د. مؤمنة كامل)")</f>
        <v>معمل المختبر (د. مؤمنة كامل)</v>
      </c>
      <c r="H759" s="5" t="str">
        <f ca="1">IFERROR(__xludf.DUMMYFUNCTION("""COMPUTED_VALUE"""),"1ش ذاكر حسين الدور الأول - قطعة 18 بلوك 79 فوق مطعم ارابياتا -  الحى السابع - مدينة نصر - القاهرة .")</f>
        <v>1ش ذاكر حسين الدور الأول - قطعة 18 بلوك 79 فوق مطعم ارابياتا -  الحى السابع - مدينة نصر - القاهرة .</v>
      </c>
      <c r="I759" s="6" t="str">
        <f ca="1">IFERROR(__xludf.DUMMYFUNCTION("""COMPUTED_VALUE"""),"01013008832")</f>
        <v>01013008832</v>
      </c>
      <c r="J759" s="6" t="str">
        <f ca="1">IFERROR(__xludf.DUMMYFUNCTION("""COMPUTED_VALUE"""),"19014")</f>
        <v>19014</v>
      </c>
      <c r="K759" s="6" t="str">
        <f ca="1">IFERROR(__xludf.DUMMYFUNCTION("""COMPUTED_VALUE"""),"خصم 20% علي جميع التحاليل")</f>
        <v>خصم 20% علي جميع التحاليل</v>
      </c>
    </row>
    <row r="760" spans="1:11" x14ac:dyDescent="0.25">
      <c r="A760" s="4" t="str">
        <f ca="1">IFERROR(__xludf.DUMMYFUNCTION("""COMPUTED_VALUE"""),"1897-B")</f>
        <v>1897-B</v>
      </c>
      <c r="B760" s="5" t="str">
        <f ca="1">IFERROR(__xludf.DUMMYFUNCTION("""COMPUTED_VALUE"""),"القاهرة")</f>
        <v>القاهرة</v>
      </c>
      <c r="C760" s="5" t="str">
        <f ca="1">IFERROR(__xludf.DUMMYFUNCTION("""COMPUTED_VALUE"""),"مدينة نصر")</f>
        <v>مدينة نصر</v>
      </c>
      <c r="D760" s="5" t="str">
        <f ca="1">IFERROR(__xludf.DUMMYFUNCTION("""COMPUTED_VALUE"""),"معمل")</f>
        <v>معمل</v>
      </c>
      <c r="E760" s="5" t="str">
        <f ca="1">IFERROR(__xludf.DUMMYFUNCTION("""COMPUTED_VALUE"""),"معمل")</f>
        <v>معمل</v>
      </c>
      <c r="F760" s="5" t="str">
        <f ca="1">IFERROR(__xludf.DUMMYFUNCTION("""COMPUTED_VALUE"""),"معمل التحاليل الطبية")</f>
        <v>معمل التحاليل الطبية</v>
      </c>
      <c r="G760" s="5" t="str">
        <f ca="1">IFERROR(__xludf.DUMMYFUNCTION("""COMPUTED_VALUE"""),"معمل المختبر (د. مؤمنة كامل)")</f>
        <v>معمل المختبر (د. مؤمنة كامل)</v>
      </c>
      <c r="H760" s="5" t="str">
        <f ca="1">IFERROR(__xludf.DUMMYFUNCTION("""COMPUTED_VALUE"""),"43شارع مصطفى النحاس-مدينة نصر-القاهرة")</f>
        <v>43شارع مصطفى النحاس-مدينة نصر-القاهرة</v>
      </c>
      <c r="I760" s="6" t="str">
        <f ca="1">IFERROR(__xludf.DUMMYFUNCTION("""COMPUTED_VALUE"""),"01090011228")</f>
        <v>01090011228</v>
      </c>
      <c r="J760" s="6" t="str">
        <f ca="1">IFERROR(__xludf.DUMMYFUNCTION("""COMPUTED_VALUE"""),"19014")</f>
        <v>19014</v>
      </c>
      <c r="K760" s="6" t="str">
        <f ca="1">IFERROR(__xludf.DUMMYFUNCTION("""COMPUTED_VALUE"""),"خصم 20% علي جميع التحاليل")</f>
        <v>خصم 20% علي جميع التحاليل</v>
      </c>
    </row>
    <row r="761" spans="1:11" x14ac:dyDescent="0.25">
      <c r="A761" s="4" t="str">
        <f ca="1">IFERROR(__xludf.DUMMYFUNCTION("""COMPUTED_VALUE"""),"1897-B")</f>
        <v>1897-B</v>
      </c>
      <c r="B761" s="5" t="str">
        <f ca="1">IFERROR(__xludf.DUMMYFUNCTION("""COMPUTED_VALUE"""),"القاهرة")</f>
        <v>القاهرة</v>
      </c>
      <c r="C761" s="5" t="str">
        <f ca="1">IFERROR(__xludf.DUMMYFUNCTION("""COMPUTED_VALUE"""),"مدينة نصر")</f>
        <v>مدينة نصر</v>
      </c>
      <c r="D761" s="5" t="str">
        <f ca="1">IFERROR(__xludf.DUMMYFUNCTION("""COMPUTED_VALUE"""),"معمل")</f>
        <v>معمل</v>
      </c>
      <c r="E761" s="5" t="str">
        <f ca="1">IFERROR(__xludf.DUMMYFUNCTION("""COMPUTED_VALUE"""),"معمل")</f>
        <v>معمل</v>
      </c>
      <c r="F761" s="5" t="str">
        <f ca="1">IFERROR(__xludf.DUMMYFUNCTION("""COMPUTED_VALUE"""),"معمل التحاليل الطبية")</f>
        <v>معمل التحاليل الطبية</v>
      </c>
      <c r="G761" s="5" t="str">
        <f ca="1">IFERROR(__xludf.DUMMYFUNCTION("""COMPUTED_VALUE"""),"معمل المختبر (د. مؤمنة كامل)")</f>
        <v>معمل المختبر (د. مؤمنة كامل)</v>
      </c>
      <c r="H761" s="5" t="str">
        <f ca="1">IFERROR(__xludf.DUMMYFUNCTION("""COMPUTED_VALUE"""),"50ش حسن المأمون- امام النادى الأهلى - مدينة نصر-القاهرة")</f>
        <v>50ش حسن المأمون- امام النادى الأهلى - مدينة نصر-القاهرة</v>
      </c>
      <c r="I761" s="6" t="str">
        <f ca="1">IFERROR(__xludf.DUMMYFUNCTION("""COMPUTED_VALUE"""),"01024643611")</f>
        <v>01024643611</v>
      </c>
      <c r="J761" s="6" t="str">
        <f ca="1">IFERROR(__xludf.DUMMYFUNCTION("""COMPUTED_VALUE"""),"19014")</f>
        <v>19014</v>
      </c>
      <c r="K761" s="6" t="str">
        <f ca="1">IFERROR(__xludf.DUMMYFUNCTION("""COMPUTED_VALUE"""),"خصم 20% علي جميع التحاليل")</f>
        <v>خصم 20% علي جميع التحاليل</v>
      </c>
    </row>
    <row r="762" spans="1:11" x14ac:dyDescent="0.25">
      <c r="A762" s="4" t="str">
        <f ca="1">IFERROR(__xludf.DUMMYFUNCTION("""COMPUTED_VALUE"""),"1897-B")</f>
        <v>1897-B</v>
      </c>
      <c r="B762" s="5" t="str">
        <f ca="1">IFERROR(__xludf.DUMMYFUNCTION("""COMPUTED_VALUE"""),"القاهرة")</f>
        <v>القاهرة</v>
      </c>
      <c r="C762" s="5" t="str">
        <f ca="1">IFERROR(__xludf.DUMMYFUNCTION("""COMPUTED_VALUE"""),"مدينة نصر")</f>
        <v>مدينة نصر</v>
      </c>
      <c r="D762" s="5" t="str">
        <f ca="1">IFERROR(__xludf.DUMMYFUNCTION("""COMPUTED_VALUE"""),"معمل")</f>
        <v>معمل</v>
      </c>
      <c r="E762" s="5" t="str">
        <f ca="1">IFERROR(__xludf.DUMMYFUNCTION("""COMPUTED_VALUE"""),"معمل")</f>
        <v>معمل</v>
      </c>
      <c r="F762" s="5" t="str">
        <f ca="1">IFERROR(__xludf.DUMMYFUNCTION("""COMPUTED_VALUE"""),"معمل التحاليل الطبية")</f>
        <v>معمل التحاليل الطبية</v>
      </c>
      <c r="G762" s="5" t="str">
        <f ca="1">IFERROR(__xludf.DUMMYFUNCTION("""COMPUTED_VALUE"""),"معمل المختبر (د. مؤمنة كامل)")</f>
        <v>معمل المختبر (د. مؤمنة كامل)</v>
      </c>
      <c r="H762" s="5" t="str">
        <f ca="1">IFERROR(__xludf.DUMMYFUNCTION("""COMPUTED_VALUE"""),"81 طريق النصر -  بجوار طيبة مول-مدينة نصر-القاهرة")</f>
        <v>81 طريق النصر -  بجوار طيبة مول-مدينة نصر-القاهرة</v>
      </c>
      <c r="I762" s="6" t="str">
        <f ca="1">IFERROR(__xludf.DUMMYFUNCTION("""COMPUTED_VALUE"""),"01090011203")</f>
        <v>01090011203</v>
      </c>
      <c r="J762" s="6" t="str">
        <f ca="1">IFERROR(__xludf.DUMMYFUNCTION("""COMPUTED_VALUE"""),"19014")</f>
        <v>19014</v>
      </c>
      <c r="K762" s="6" t="str">
        <f ca="1">IFERROR(__xludf.DUMMYFUNCTION("""COMPUTED_VALUE"""),"خصم 20% علي جميع التحاليل")</f>
        <v>خصم 20% علي جميع التحاليل</v>
      </c>
    </row>
    <row r="763" spans="1:11" x14ac:dyDescent="0.25">
      <c r="A763" s="4" t="str">
        <f ca="1">IFERROR(__xludf.DUMMYFUNCTION("""COMPUTED_VALUE"""),"1897-B")</f>
        <v>1897-B</v>
      </c>
      <c r="B763" s="5" t="str">
        <f ca="1">IFERROR(__xludf.DUMMYFUNCTION("""COMPUTED_VALUE"""),"القاهرة")</f>
        <v>القاهرة</v>
      </c>
      <c r="C763" s="5" t="str">
        <f ca="1">IFERROR(__xludf.DUMMYFUNCTION("""COMPUTED_VALUE"""),"مدينة نصر")</f>
        <v>مدينة نصر</v>
      </c>
      <c r="D763" s="5" t="str">
        <f ca="1">IFERROR(__xludf.DUMMYFUNCTION("""COMPUTED_VALUE"""),"معمل")</f>
        <v>معمل</v>
      </c>
      <c r="E763" s="5" t="str">
        <f ca="1">IFERROR(__xludf.DUMMYFUNCTION("""COMPUTED_VALUE"""),"معمل")</f>
        <v>معمل</v>
      </c>
      <c r="F763" s="5" t="str">
        <f ca="1">IFERROR(__xludf.DUMMYFUNCTION("""COMPUTED_VALUE"""),"معمل التحاليل الطبية")</f>
        <v>معمل التحاليل الطبية</v>
      </c>
      <c r="G763" s="5" t="str">
        <f ca="1">IFERROR(__xludf.DUMMYFUNCTION("""COMPUTED_VALUE"""),"معمل المختبر (د. مؤمنة كامل)")</f>
        <v>معمل المختبر (د. مؤمنة كامل)</v>
      </c>
      <c r="H763" s="5" t="str">
        <f ca="1">IFERROR(__xludf.DUMMYFUNCTION("""COMPUTED_VALUE"""),"برج  د. رشا قطعة 4 المنطقة 12 - الحى العاشر - مدينة نصر - القاهرة.-مدينة نصر-القاهرة")</f>
        <v>برج  د. رشا قطعة 4 المنطقة 12 - الحى العاشر - مدينة نصر - القاهرة.-مدينة نصر-القاهرة</v>
      </c>
      <c r="I763" s="6" t="str">
        <f ca="1">IFERROR(__xludf.DUMMYFUNCTION("""COMPUTED_VALUE"""),"01090011266")</f>
        <v>01090011266</v>
      </c>
      <c r="J763" s="6" t="str">
        <f ca="1">IFERROR(__xludf.DUMMYFUNCTION("""COMPUTED_VALUE"""),"19014")</f>
        <v>19014</v>
      </c>
      <c r="K763" s="6" t="str">
        <f ca="1">IFERROR(__xludf.DUMMYFUNCTION("""COMPUTED_VALUE"""),"خصم 20% علي جميع التحاليل")</f>
        <v>خصم 20% علي جميع التحاليل</v>
      </c>
    </row>
    <row r="764" spans="1:11" x14ac:dyDescent="0.25">
      <c r="A764" s="4" t="str">
        <f ca="1">IFERROR(__xludf.DUMMYFUNCTION("""COMPUTED_VALUE"""),"3798-B")</f>
        <v>3798-B</v>
      </c>
      <c r="B764" s="5" t="str">
        <f ca="1">IFERROR(__xludf.DUMMYFUNCTION("""COMPUTED_VALUE"""),"القاهرة")</f>
        <v>القاهرة</v>
      </c>
      <c r="C764" s="5" t="str">
        <f ca="1">IFERROR(__xludf.DUMMYFUNCTION("""COMPUTED_VALUE"""),"مصر الجديدة")</f>
        <v>مصر الجديدة</v>
      </c>
      <c r="D764" s="5" t="str">
        <f ca="1">IFERROR(__xludf.DUMMYFUNCTION("""COMPUTED_VALUE"""),"معمل")</f>
        <v>معمل</v>
      </c>
      <c r="E764" s="5" t="str">
        <f ca="1">IFERROR(__xludf.DUMMYFUNCTION("""COMPUTED_VALUE"""),"معمل")</f>
        <v>معمل</v>
      </c>
      <c r="F764" s="5" t="str">
        <f ca="1">IFERROR(__xludf.DUMMYFUNCTION("""COMPUTED_VALUE"""),"معمل التحاليل الطبية")</f>
        <v>معمل التحاليل الطبية</v>
      </c>
      <c r="G764" s="5" t="str">
        <f ca="1">IFERROR(__xludf.DUMMYFUNCTION("""COMPUTED_VALUE"""),"معمل الدكتورة/ أمينة حساب")</f>
        <v>معمل الدكتورة/ أمينة حساب</v>
      </c>
      <c r="H764" s="5" t="str">
        <f ca="1">IFERROR(__xludf.DUMMYFUNCTION("""COMPUTED_VALUE"""),"1 ميدان روكسي-مصر الجديدة-القاهرة")</f>
        <v>1 ميدان روكسي-مصر الجديدة-القاهرة</v>
      </c>
      <c r="I764" s="6" t="str">
        <f ca="1">IFERROR(__xludf.DUMMYFUNCTION("""COMPUTED_VALUE"""),"20222578922")</f>
        <v>20222578922</v>
      </c>
      <c r="J764" s="6" t="str">
        <f ca="1">IFERROR(__xludf.DUMMYFUNCTION("""COMPUTED_VALUE"""),"16987")</f>
        <v>16987</v>
      </c>
      <c r="K764" s="6" t="str">
        <f ca="1">IFERROR(__xludf.DUMMYFUNCTION("""COMPUTED_VALUE"""),"30% على جميع الخدمات         ")</f>
        <v xml:space="preserve">30% على جميع الخدمات         </v>
      </c>
    </row>
    <row r="765" spans="1:11" x14ac:dyDescent="0.25">
      <c r="A765" s="4" t="str">
        <f ca="1">IFERROR(__xludf.DUMMYFUNCTION("""COMPUTED_VALUE"""),"1897-B")</f>
        <v>1897-B</v>
      </c>
      <c r="B765" s="5" t="str">
        <f ca="1">IFERROR(__xludf.DUMMYFUNCTION("""COMPUTED_VALUE"""),"القاهرة")</f>
        <v>القاهرة</v>
      </c>
      <c r="C765" s="5" t="str">
        <f ca="1">IFERROR(__xludf.DUMMYFUNCTION("""COMPUTED_VALUE"""),"مصر الجديدة")</f>
        <v>مصر الجديدة</v>
      </c>
      <c r="D765" s="5" t="str">
        <f ca="1">IFERROR(__xludf.DUMMYFUNCTION("""COMPUTED_VALUE"""),"معمل")</f>
        <v>معمل</v>
      </c>
      <c r="E765" s="5" t="str">
        <f ca="1">IFERROR(__xludf.DUMMYFUNCTION("""COMPUTED_VALUE"""),"معمل")</f>
        <v>معمل</v>
      </c>
      <c r="F765" s="5" t="str">
        <f ca="1">IFERROR(__xludf.DUMMYFUNCTION("""COMPUTED_VALUE"""),"معمل التحاليل الطبية")</f>
        <v>معمل التحاليل الطبية</v>
      </c>
      <c r="G765" s="5" t="str">
        <f ca="1">IFERROR(__xludf.DUMMYFUNCTION("""COMPUTED_VALUE"""),"معمل المختبر (د. مؤمنة كامل)")</f>
        <v>معمل المختبر (د. مؤمنة كامل)</v>
      </c>
      <c r="H765" s="5" t="str">
        <f ca="1">IFERROR(__xludf.DUMMYFUNCTION("""COMPUTED_VALUE"""),"130شارع النزهة-مصر الجديدة-القاهرة")</f>
        <v>130شارع النزهة-مصر الجديدة-القاهرة</v>
      </c>
      <c r="I765" s="6" t="str">
        <f ca="1">IFERROR(__xludf.DUMMYFUNCTION("""COMPUTED_VALUE"""),"01065711164")</f>
        <v>01065711164</v>
      </c>
      <c r="J765" s="6" t="str">
        <f ca="1">IFERROR(__xludf.DUMMYFUNCTION("""COMPUTED_VALUE"""),"19014")</f>
        <v>19014</v>
      </c>
      <c r="K765" s="6" t="str">
        <f ca="1">IFERROR(__xludf.DUMMYFUNCTION("""COMPUTED_VALUE"""),"خصم 20% علي جميع التحاليل")</f>
        <v>خصم 20% علي جميع التحاليل</v>
      </c>
    </row>
    <row r="766" spans="1:11" x14ac:dyDescent="0.25">
      <c r="A766" s="4" t="str">
        <f ca="1">IFERROR(__xludf.DUMMYFUNCTION("""COMPUTED_VALUE"""),"1897-B")</f>
        <v>1897-B</v>
      </c>
      <c r="B766" s="5" t="str">
        <f ca="1">IFERROR(__xludf.DUMMYFUNCTION("""COMPUTED_VALUE"""),"القاهرة")</f>
        <v>القاهرة</v>
      </c>
      <c r="C766" s="5" t="str">
        <f ca="1">IFERROR(__xludf.DUMMYFUNCTION("""COMPUTED_VALUE"""),"مصر الجديدة")</f>
        <v>مصر الجديدة</v>
      </c>
      <c r="D766" s="5" t="str">
        <f ca="1">IFERROR(__xludf.DUMMYFUNCTION("""COMPUTED_VALUE"""),"معمل")</f>
        <v>معمل</v>
      </c>
      <c r="E766" s="5" t="str">
        <f ca="1">IFERROR(__xludf.DUMMYFUNCTION("""COMPUTED_VALUE"""),"معمل")</f>
        <v>معمل</v>
      </c>
      <c r="F766" s="5" t="str">
        <f ca="1">IFERROR(__xludf.DUMMYFUNCTION("""COMPUTED_VALUE"""),"معمل التحاليل الطبية")</f>
        <v>معمل التحاليل الطبية</v>
      </c>
      <c r="G766" s="5" t="str">
        <f ca="1">IFERROR(__xludf.DUMMYFUNCTION("""COMPUTED_VALUE"""),"معمل المختبر (د. مؤمنة كامل)")</f>
        <v>معمل المختبر (د. مؤمنة كامل)</v>
      </c>
      <c r="H766" s="5" t="str">
        <f ca="1">IFERROR(__xludf.DUMMYFUNCTION("""COMPUTED_VALUE"""),"20 شارع جوزيف تيتو - النزهة - مصر الجديدة")</f>
        <v>20 شارع جوزيف تيتو - النزهة - مصر الجديدة</v>
      </c>
      <c r="I766" s="6" t="str">
        <f ca="1">IFERROR(__xludf.DUMMYFUNCTION("""COMPUTED_VALUE"""),"01050692332")</f>
        <v>01050692332</v>
      </c>
      <c r="J766" s="6" t="str">
        <f ca="1">IFERROR(__xludf.DUMMYFUNCTION("""COMPUTED_VALUE"""),"19014")</f>
        <v>19014</v>
      </c>
      <c r="K766" s="6" t="str">
        <f ca="1">IFERROR(__xludf.DUMMYFUNCTION("""COMPUTED_VALUE"""),"خصم 20% علي جميع التحاليل")</f>
        <v>خصم 20% علي جميع التحاليل</v>
      </c>
    </row>
    <row r="767" spans="1:11" x14ac:dyDescent="0.25">
      <c r="A767" s="4" t="str">
        <f ca="1">IFERROR(__xludf.DUMMYFUNCTION("""COMPUTED_VALUE"""),"1897-B")</f>
        <v>1897-B</v>
      </c>
      <c r="B767" s="5" t="str">
        <f ca="1">IFERROR(__xludf.DUMMYFUNCTION("""COMPUTED_VALUE"""),"القاهرة")</f>
        <v>القاهرة</v>
      </c>
      <c r="C767" s="5" t="str">
        <f ca="1">IFERROR(__xludf.DUMMYFUNCTION("""COMPUTED_VALUE"""),"مصر الجديدة")</f>
        <v>مصر الجديدة</v>
      </c>
      <c r="D767" s="5" t="str">
        <f ca="1">IFERROR(__xludf.DUMMYFUNCTION("""COMPUTED_VALUE"""),"معمل")</f>
        <v>معمل</v>
      </c>
      <c r="E767" s="5" t="str">
        <f ca="1">IFERROR(__xludf.DUMMYFUNCTION("""COMPUTED_VALUE"""),"معمل")</f>
        <v>معمل</v>
      </c>
      <c r="F767" s="5" t="str">
        <f ca="1">IFERROR(__xludf.DUMMYFUNCTION("""COMPUTED_VALUE"""),"معمل التحاليل الطبية")</f>
        <v>معمل التحاليل الطبية</v>
      </c>
      <c r="G767" s="5" t="str">
        <f ca="1">IFERROR(__xludf.DUMMYFUNCTION("""COMPUTED_VALUE"""),"معمل المختبر (د. مؤمنة كامل)")</f>
        <v>معمل المختبر (د. مؤمنة كامل)</v>
      </c>
      <c r="H767" s="5" t="str">
        <f ca="1">IFERROR(__xludf.DUMMYFUNCTION("""COMPUTED_VALUE"""),"24شارع عمر بن الخطاب - ميدان الاسماعلية -مصر الجديدة-القاهرة")</f>
        <v>24شارع عمر بن الخطاب - ميدان الاسماعلية -مصر الجديدة-القاهرة</v>
      </c>
      <c r="I767" s="6" t="str">
        <f ca="1">IFERROR(__xludf.DUMMYFUNCTION("""COMPUTED_VALUE"""),"01002182382")</f>
        <v>01002182382</v>
      </c>
      <c r="J767" s="6" t="str">
        <f ca="1">IFERROR(__xludf.DUMMYFUNCTION("""COMPUTED_VALUE"""),"19014")</f>
        <v>19014</v>
      </c>
      <c r="K767" s="6" t="str">
        <f ca="1">IFERROR(__xludf.DUMMYFUNCTION("""COMPUTED_VALUE"""),"خصم 20% علي جميع التحاليل")</f>
        <v>خصم 20% علي جميع التحاليل</v>
      </c>
    </row>
    <row r="768" spans="1:11" x14ac:dyDescent="0.25">
      <c r="A768" s="4" t="str">
        <f ca="1">IFERROR(__xludf.DUMMYFUNCTION("""COMPUTED_VALUE"""),"1897-B")</f>
        <v>1897-B</v>
      </c>
      <c r="B768" s="5" t="str">
        <f ca="1">IFERROR(__xludf.DUMMYFUNCTION("""COMPUTED_VALUE"""),"القاهرة")</f>
        <v>القاهرة</v>
      </c>
      <c r="C768" s="5" t="str">
        <f ca="1">IFERROR(__xludf.DUMMYFUNCTION("""COMPUTED_VALUE"""),"مصر الجديدة")</f>
        <v>مصر الجديدة</v>
      </c>
      <c r="D768" s="5" t="str">
        <f ca="1">IFERROR(__xludf.DUMMYFUNCTION("""COMPUTED_VALUE"""),"معمل")</f>
        <v>معمل</v>
      </c>
      <c r="E768" s="5" t="str">
        <f ca="1">IFERROR(__xludf.DUMMYFUNCTION("""COMPUTED_VALUE"""),"معمل")</f>
        <v>معمل</v>
      </c>
      <c r="F768" s="5" t="str">
        <f ca="1">IFERROR(__xludf.DUMMYFUNCTION("""COMPUTED_VALUE"""),"معمل التحاليل الطبية")</f>
        <v>معمل التحاليل الطبية</v>
      </c>
      <c r="G768" s="5" t="str">
        <f ca="1">IFERROR(__xludf.DUMMYFUNCTION("""COMPUTED_VALUE"""),"معمل المختبر (د. مؤمنة كامل)")</f>
        <v>معمل المختبر (د. مؤمنة كامل)</v>
      </c>
      <c r="H768" s="5" t="str">
        <f ca="1">IFERROR(__xludf.DUMMYFUNCTION("""COMPUTED_VALUE"""),"57 شارع الخليفة المأمون- روكسي-مصر الجديدة-القاهرة")</f>
        <v>57 شارع الخليفة المأمون- روكسي-مصر الجديدة-القاهرة</v>
      </c>
      <c r="I768" s="6" t="str">
        <f ca="1">IFERROR(__xludf.DUMMYFUNCTION("""COMPUTED_VALUE"""),"01090011210")</f>
        <v>01090011210</v>
      </c>
      <c r="J768" s="6" t="str">
        <f ca="1">IFERROR(__xludf.DUMMYFUNCTION("""COMPUTED_VALUE"""),"19014")</f>
        <v>19014</v>
      </c>
      <c r="K768" s="6" t="str">
        <f ca="1">IFERROR(__xludf.DUMMYFUNCTION("""COMPUTED_VALUE"""),"خصم 20% علي جميع التحاليل")</f>
        <v>خصم 20% علي جميع التحاليل</v>
      </c>
    </row>
    <row r="769" spans="1:11" x14ac:dyDescent="0.25">
      <c r="A769" s="4" t="str">
        <f ca="1">IFERROR(__xludf.DUMMYFUNCTION("""COMPUTED_VALUE"""),"1897-B")</f>
        <v>1897-B</v>
      </c>
      <c r="B769" s="5" t="str">
        <f ca="1">IFERROR(__xludf.DUMMYFUNCTION("""COMPUTED_VALUE"""),"القاهرة")</f>
        <v>القاهرة</v>
      </c>
      <c r="C769" s="5" t="str">
        <f ca="1">IFERROR(__xludf.DUMMYFUNCTION("""COMPUTED_VALUE"""),"مصر الجديدة")</f>
        <v>مصر الجديدة</v>
      </c>
      <c r="D769" s="5" t="str">
        <f ca="1">IFERROR(__xludf.DUMMYFUNCTION("""COMPUTED_VALUE"""),"معمل")</f>
        <v>معمل</v>
      </c>
      <c r="E769" s="5" t="str">
        <f ca="1">IFERROR(__xludf.DUMMYFUNCTION("""COMPUTED_VALUE"""),"معمل")</f>
        <v>معمل</v>
      </c>
      <c r="F769" s="5" t="str">
        <f ca="1">IFERROR(__xludf.DUMMYFUNCTION("""COMPUTED_VALUE"""),"معمل التحاليل الطبية")</f>
        <v>معمل التحاليل الطبية</v>
      </c>
      <c r="G769" s="5" t="str">
        <f ca="1">IFERROR(__xludf.DUMMYFUNCTION("""COMPUTED_VALUE"""),"معمل المختبر (د. مؤمنة كامل)")</f>
        <v>معمل المختبر (د. مؤمنة كامل)</v>
      </c>
      <c r="H769" s="5" t="str">
        <f ca="1">IFERROR(__xludf.DUMMYFUNCTION("""COMPUTED_VALUE"""),"58شارع الحجاز - برج آمون-مصر الجديدة-القاهرة")</f>
        <v>58شارع الحجاز - برج آمون-مصر الجديدة-القاهرة</v>
      </c>
      <c r="I769" s="6" t="str">
        <f ca="1">IFERROR(__xludf.DUMMYFUNCTION("""COMPUTED_VALUE"""),"01090011208")</f>
        <v>01090011208</v>
      </c>
      <c r="J769" s="6" t="str">
        <f ca="1">IFERROR(__xludf.DUMMYFUNCTION("""COMPUTED_VALUE"""),"19014")</f>
        <v>19014</v>
      </c>
      <c r="K769" s="6" t="str">
        <f ca="1">IFERROR(__xludf.DUMMYFUNCTION("""COMPUTED_VALUE"""),"خصم 20% علي جميع التحاليل")</f>
        <v>خصم 20% علي جميع التحاليل</v>
      </c>
    </row>
    <row r="770" spans="1:11" x14ac:dyDescent="0.25">
      <c r="A770" s="4" t="str">
        <f ca="1">IFERROR(__xludf.DUMMYFUNCTION("""COMPUTED_VALUE"""),"1897-B")</f>
        <v>1897-B</v>
      </c>
      <c r="B770" s="5" t="str">
        <f ca="1">IFERROR(__xludf.DUMMYFUNCTION("""COMPUTED_VALUE"""),"القاهرة")</f>
        <v>القاهرة</v>
      </c>
      <c r="C770" s="5" t="str">
        <f ca="1">IFERROR(__xludf.DUMMYFUNCTION("""COMPUTED_VALUE"""),"مصر الجديدة")</f>
        <v>مصر الجديدة</v>
      </c>
      <c r="D770" s="5" t="str">
        <f ca="1">IFERROR(__xludf.DUMMYFUNCTION("""COMPUTED_VALUE"""),"معمل")</f>
        <v>معمل</v>
      </c>
      <c r="E770" s="5" t="str">
        <f ca="1">IFERROR(__xludf.DUMMYFUNCTION("""COMPUTED_VALUE"""),"معمل")</f>
        <v>معمل</v>
      </c>
      <c r="F770" s="5" t="str">
        <f ca="1">IFERROR(__xludf.DUMMYFUNCTION("""COMPUTED_VALUE"""),"معمل التحاليل الطبية")</f>
        <v>معمل التحاليل الطبية</v>
      </c>
      <c r="G770" s="5" t="str">
        <f ca="1">IFERROR(__xludf.DUMMYFUNCTION("""COMPUTED_VALUE"""),"معمل المختبر (د. مؤمنة كامل)")</f>
        <v>معمل المختبر (د. مؤمنة كامل)</v>
      </c>
      <c r="H770" s="5" t="str">
        <f ca="1">IFERROR(__xludf.DUMMYFUNCTION("""COMPUTED_VALUE"""),"60ش الخليفة المأمون - روكسى - مصر الجديدة - القاهرة .")</f>
        <v>60ش الخليفة المأمون - روكسى - مصر الجديدة - القاهرة .</v>
      </c>
      <c r="I770" s="6" t="str">
        <f ca="1">IFERROR(__xludf.DUMMYFUNCTION("""COMPUTED_VALUE"""),"01022231251")</f>
        <v>01022231251</v>
      </c>
      <c r="J770" s="6" t="str">
        <f ca="1">IFERROR(__xludf.DUMMYFUNCTION("""COMPUTED_VALUE"""),"19014")</f>
        <v>19014</v>
      </c>
      <c r="K770" s="6" t="str">
        <f ca="1">IFERROR(__xludf.DUMMYFUNCTION("""COMPUTED_VALUE"""),"خصم 20% علي جميع التحاليل")</f>
        <v>خصم 20% علي جميع التحاليل</v>
      </c>
    </row>
    <row r="771" spans="1:11" x14ac:dyDescent="0.25">
      <c r="A771" s="4" t="str">
        <f ca="1">IFERROR(__xludf.DUMMYFUNCTION("""COMPUTED_VALUE"""),"1897-B")</f>
        <v>1897-B</v>
      </c>
      <c r="B771" s="5" t="str">
        <f ca="1">IFERROR(__xludf.DUMMYFUNCTION("""COMPUTED_VALUE"""),"القاهرة")</f>
        <v>القاهرة</v>
      </c>
      <c r="C771" s="5" t="str">
        <f ca="1">IFERROR(__xludf.DUMMYFUNCTION("""COMPUTED_VALUE"""),"مصر الجديدة")</f>
        <v>مصر الجديدة</v>
      </c>
      <c r="D771" s="5" t="str">
        <f ca="1">IFERROR(__xludf.DUMMYFUNCTION("""COMPUTED_VALUE"""),"معمل")</f>
        <v>معمل</v>
      </c>
      <c r="E771" s="5" t="str">
        <f ca="1">IFERROR(__xludf.DUMMYFUNCTION("""COMPUTED_VALUE"""),"معمل")</f>
        <v>معمل</v>
      </c>
      <c r="F771" s="5" t="str">
        <f ca="1">IFERROR(__xludf.DUMMYFUNCTION("""COMPUTED_VALUE"""),"معمل التحاليل الطبية")</f>
        <v>معمل التحاليل الطبية</v>
      </c>
      <c r="G771" s="5" t="str">
        <f ca="1">IFERROR(__xludf.DUMMYFUNCTION("""COMPUTED_VALUE"""),"معمل المختبر (د. مؤمنة كامل)")</f>
        <v>معمل المختبر (د. مؤمنة كامل)</v>
      </c>
      <c r="H771" s="5" t="str">
        <f ca="1">IFERROR(__xludf.DUMMYFUNCTION("""COMPUTED_VALUE"""),"مساكن شيراتون 3 شارع الشهيد سيد زكريا-مصر الجديدة-القاهرة")</f>
        <v>مساكن شيراتون 3 شارع الشهيد سيد زكريا-مصر الجديدة-القاهرة</v>
      </c>
      <c r="I771" s="6" t="str">
        <f ca="1">IFERROR(__xludf.DUMMYFUNCTION("""COMPUTED_VALUE"""),"01090011258")</f>
        <v>01090011258</v>
      </c>
      <c r="J771" s="6" t="str">
        <f ca="1">IFERROR(__xludf.DUMMYFUNCTION("""COMPUTED_VALUE"""),"19014")</f>
        <v>19014</v>
      </c>
      <c r="K771" s="6" t="str">
        <f ca="1">IFERROR(__xludf.DUMMYFUNCTION("""COMPUTED_VALUE"""),"خصم 20% علي جميع التحاليل")</f>
        <v>خصم 20% علي جميع التحاليل</v>
      </c>
    </row>
    <row r="772" spans="1:11" x14ac:dyDescent="0.25">
      <c r="A772" s="4" t="str">
        <f ca="1">IFERROR(__xludf.DUMMYFUNCTION("""COMPUTED_VALUE"""),"3354")</f>
        <v>3354</v>
      </c>
      <c r="B772" s="5" t="str">
        <f ca="1">IFERROR(__xludf.DUMMYFUNCTION("""COMPUTED_VALUE"""),"القاهرة")</f>
        <v>القاهرة</v>
      </c>
      <c r="C772" s="5" t="str">
        <f ca="1">IFERROR(__xludf.DUMMYFUNCTION("""COMPUTED_VALUE"""),"مصر الجديدة")</f>
        <v>مصر الجديدة</v>
      </c>
      <c r="D772" s="5" t="str">
        <f ca="1">IFERROR(__xludf.DUMMYFUNCTION("""COMPUTED_VALUE"""),"معمل")</f>
        <v>معمل</v>
      </c>
      <c r="E772" s="5" t="str">
        <f ca="1">IFERROR(__xludf.DUMMYFUNCTION("""COMPUTED_VALUE"""),"معمل")</f>
        <v>معمل</v>
      </c>
      <c r="F772" s="5" t="str">
        <f ca="1">IFERROR(__xludf.DUMMYFUNCTION("""COMPUTED_VALUE"""),"معمل التحاليل الطبية")</f>
        <v>معمل التحاليل الطبية</v>
      </c>
      <c r="G772" s="5" t="str">
        <f ca="1">IFERROR(__xludf.DUMMYFUNCTION("""COMPUTED_VALUE"""),"معمل د/ سمير شاكر بدوي")</f>
        <v>معمل د/ سمير شاكر بدوي</v>
      </c>
      <c r="H772" s="5" t="str">
        <f ca="1">IFERROR(__xludf.DUMMYFUNCTION("""COMPUTED_VALUE"""),"28ش عثمان ابن عفان (روما سنتر) - ميدان الاسماعيلية- مصر الجديدة-مصر الجديدة-القاهرة")</f>
        <v>28ش عثمان ابن عفان (روما سنتر) - ميدان الاسماعيلية- مصر الجديدة-مصر الجديدة-القاهرة</v>
      </c>
      <c r="I772" s="6" t="str">
        <f ca="1">IFERROR(__xludf.DUMMYFUNCTION("""COMPUTED_VALUE"""),"20226337910")</f>
        <v>20226337910</v>
      </c>
      <c r="J772" s="6"/>
      <c r="K772" s="6" t="str">
        <f ca="1">IFERROR(__xludf.DUMMYFUNCTION("""COMPUTED_VALUE"""),"-خصم 30% علي الأسعار النقدي المعلنة")</f>
        <v>-خصم 30% علي الأسعار النقدي المعلنة</v>
      </c>
    </row>
    <row r="773" spans="1:11" x14ac:dyDescent="0.25">
      <c r="A773" s="4" t="str">
        <f ca="1">IFERROR(__xludf.DUMMYFUNCTION("""COMPUTED_VALUE"""),"1897-B")</f>
        <v>1897-B</v>
      </c>
      <c r="B773" s="5" t="str">
        <f ca="1">IFERROR(__xludf.DUMMYFUNCTION("""COMPUTED_VALUE"""),"القاهرة")</f>
        <v>القاهرة</v>
      </c>
      <c r="C773" s="5" t="str">
        <f ca="1">IFERROR(__xludf.DUMMYFUNCTION("""COMPUTED_VALUE"""),"مصر القديمة")</f>
        <v>مصر القديمة</v>
      </c>
      <c r="D773" s="5" t="str">
        <f ca="1">IFERROR(__xludf.DUMMYFUNCTION("""COMPUTED_VALUE"""),"معمل")</f>
        <v>معمل</v>
      </c>
      <c r="E773" s="5" t="str">
        <f ca="1">IFERROR(__xludf.DUMMYFUNCTION("""COMPUTED_VALUE"""),"معمل")</f>
        <v>معمل</v>
      </c>
      <c r="F773" s="5" t="str">
        <f ca="1">IFERROR(__xludf.DUMMYFUNCTION("""COMPUTED_VALUE"""),"معمل التحاليل الطبية")</f>
        <v>معمل التحاليل الطبية</v>
      </c>
      <c r="G773" s="5" t="str">
        <f ca="1">IFERROR(__xludf.DUMMYFUNCTION("""COMPUTED_VALUE"""),"معمل المختبر (د. مؤمنة كامل)")</f>
        <v>معمل المختبر (د. مؤمنة كامل)</v>
      </c>
      <c r="H773" s="5" t="str">
        <f ca="1">IFERROR(__xludf.DUMMYFUNCTION("""COMPUTED_VALUE"""),"3أ شارع المنصورية - الدراسة - الجمالية - مصر القديمة-القاهرة")</f>
        <v>3أ شارع المنصورية - الدراسة - الجمالية - مصر القديمة-القاهرة</v>
      </c>
      <c r="I773" s="6" t="str">
        <f ca="1">IFERROR(__xludf.DUMMYFUNCTION("""COMPUTED_VALUE"""),"01002151481")</f>
        <v>01002151481</v>
      </c>
      <c r="J773" s="6" t="str">
        <f ca="1">IFERROR(__xludf.DUMMYFUNCTION("""COMPUTED_VALUE"""),"19014")</f>
        <v>19014</v>
      </c>
      <c r="K773" s="6" t="str">
        <f ca="1">IFERROR(__xludf.DUMMYFUNCTION("""COMPUTED_VALUE"""),"خصم 20% علي جميع التحاليل")</f>
        <v>خصم 20% علي جميع التحاليل</v>
      </c>
    </row>
    <row r="774" spans="1:11" x14ac:dyDescent="0.25">
      <c r="A774" s="4" t="str">
        <f ca="1">IFERROR(__xludf.DUMMYFUNCTION("""COMPUTED_VALUE"""),"1897-B")</f>
        <v>1897-B</v>
      </c>
      <c r="B774" s="5" t="str">
        <f ca="1">IFERROR(__xludf.DUMMYFUNCTION("""COMPUTED_VALUE"""),"القاهرة")</f>
        <v>القاهرة</v>
      </c>
      <c r="C774" s="5" t="str">
        <f ca="1">IFERROR(__xludf.DUMMYFUNCTION("""COMPUTED_VALUE"""),"وسط البلد")</f>
        <v>وسط البلد</v>
      </c>
      <c r="D774" s="5" t="str">
        <f ca="1">IFERROR(__xludf.DUMMYFUNCTION("""COMPUTED_VALUE"""),"معمل")</f>
        <v>معمل</v>
      </c>
      <c r="E774" s="5" t="str">
        <f ca="1">IFERROR(__xludf.DUMMYFUNCTION("""COMPUTED_VALUE"""),"معمل")</f>
        <v>معمل</v>
      </c>
      <c r="F774" s="5" t="str">
        <f ca="1">IFERROR(__xludf.DUMMYFUNCTION("""COMPUTED_VALUE"""),"معمل التحاليل الطبية")</f>
        <v>معمل التحاليل الطبية</v>
      </c>
      <c r="G774" s="5" t="str">
        <f ca="1">IFERROR(__xludf.DUMMYFUNCTION("""COMPUTED_VALUE"""),"معمل المختبر (د. مؤمنة كامل)")</f>
        <v>معمل المختبر (د. مؤمنة كامل)</v>
      </c>
      <c r="H774" s="5" t="str">
        <f ca="1">IFERROR(__xludf.DUMMYFUNCTION("""COMPUTED_VALUE"""),"45شارع القصر العيني-وسط البلد-القاهرة")</f>
        <v>45شارع القصر العيني-وسط البلد-القاهرة</v>
      </c>
      <c r="I774" s="6" t="str">
        <f ca="1">IFERROR(__xludf.DUMMYFUNCTION("""COMPUTED_VALUE"""),"01090011284")</f>
        <v>01090011284</v>
      </c>
      <c r="J774" s="6" t="str">
        <f ca="1">IFERROR(__xludf.DUMMYFUNCTION("""COMPUTED_VALUE"""),"19014")</f>
        <v>19014</v>
      </c>
      <c r="K774" s="6" t="str">
        <f ca="1">IFERROR(__xludf.DUMMYFUNCTION("""COMPUTED_VALUE"""),"خصم 20% علي جميع التحاليل")</f>
        <v>خصم 20% علي جميع التحاليل</v>
      </c>
    </row>
    <row r="775" spans="1:11" x14ac:dyDescent="0.25">
      <c r="A775" s="4" t="str">
        <f ca="1">IFERROR(__xludf.DUMMYFUNCTION("""COMPUTED_VALUE"""),"1897-B")</f>
        <v>1897-B</v>
      </c>
      <c r="B775" s="5" t="str">
        <f ca="1">IFERROR(__xludf.DUMMYFUNCTION("""COMPUTED_VALUE"""),"القاهرة")</f>
        <v>القاهرة</v>
      </c>
      <c r="C775" s="5" t="str">
        <f ca="1">IFERROR(__xludf.DUMMYFUNCTION("""COMPUTED_VALUE"""),"وسط البلد")</f>
        <v>وسط البلد</v>
      </c>
      <c r="D775" s="5" t="str">
        <f ca="1">IFERROR(__xludf.DUMMYFUNCTION("""COMPUTED_VALUE"""),"معمل")</f>
        <v>معمل</v>
      </c>
      <c r="E775" s="5" t="str">
        <f ca="1">IFERROR(__xludf.DUMMYFUNCTION("""COMPUTED_VALUE"""),"معمل")</f>
        <v>معمل</v>
      </c>
      <c r="F775" s="5" t="str">
        <f ca="1">IFERROR(__xludf.DUMMYFUNCTION("""COMPUTED_VALUE"""),"معمل التحاليل الطبية")</f>
        <v>معمل التحاليل الطبية</v>
      </c>
      <c r="G775" s="5" t="str">
        <f ca="1">IFERROR(__xludf.DUMMYFUNCTION("""COMPUTED_VALUE"""),"معمل المختبر (د. مؤمنة كامل)")</f>
        <v>معمل المختبر (د. مؤمنة كامل)</v>
      </c>
      <c r="H775" s="5" t="str">
        <f ca="1">IFERROR(__xludf.DUMMYFUNCTION("""COMPUTED_VALUE"""),"9 شارع البطل أحمد عبد العزيز من شارع الساحة-باب اللوق-وسط البلد-القاهرة")</f>
        <v>9 شارع البطل أحمد عبد العزيز من شارع الساحة-باب اللوق-وسط البلد-القاهرة</v>
      </c>
      <c r="I775" s="6" t="str">
        <f ca="1">IFERROR(__xludf.DUMMYFUNCTION("""COMPUTED_VALUE"""),"01090011202")</f>
        <v>01090011202</v>
      </c>
      <c r="J775" s="6" t="str">
        <f ca="1">IFERROR(__xludf.DUMMYFUNCTION("""COMPUTED_VALUE"""),"19014")</f>
        <v>19014</v>
      </c>
      <c r="K775" s="6" t="str">
        <f ca="1">IFERROR(__xludf.DUMMYFUNCTION("""COMPUTED_VALUE"""),"خصم 20% علي جميع التحاليل")</f>
        <v>خصم 20% علي جميع التحاليل</v>
      </c>
    </row>
    <row r="776" spans="1:11" x14ac:dyDescent="0.25">
      <c r="A776" s="4" t="str">
        <f ca="1">IFERROR(__xludf.DUMMYFUNCTION("""COMPUTED_VALUE"""),"1897-B")</f>
        <v>1897-B</v>
      </c>
      <c r="B776" s="5" t="str">
        <f ca="1">IFERROR(__xludf.DUMMYFUNCTION("""COMPUTED_VALUE"""),"القليوبية")</f>
        <v>القليوبية</v>
      </c>
      <c r="C776" s="5" t="str">
        <f ca="1">IFERROR(__xludf.DUMMYFUNCTION("""COMPUTED_VALUE"""),"الخصوص")</f>
        <v>الخصوص</v>
      </c>
      <c r="D776" s="5" t="str">
        <f ca="1">IFERROR(__xludf.DUMMYFUNCTION("""COMPUTED_VALUE"""),"معمل")</f>
        <v>معمل</v>
      </c>
      <c r="E776" s="5" t="str">
        <f ca="1">IFERROR(__xludf.DUMMYFUNCTION("""COMPUTED_VALUE"""),"معمل")</f>
        <v>معمل</v>
      </c>
      <c r="F776" s="5" t="str">
        <f ca="1">IFERROR(__xludf.DUMMYFUNCTION("""COMPUTED_VALUE"""),"معمل التحاليل الطبية")</f>
        <v>معمل التحاليل الطبية</v>
      </c>
      <c r="G776" s="5" t="str">
        <f ca="1">IFERROR(__xludf.DUMMYFUNCTION("""COMPUTED_VALUE"""),"معمل المختبر (د. مؤمنة كامل)")</f>
        <v>معمل المختبر (د. مؤمنة كامل)</v>
      </c>
      <c r="H776" s="5" t="str">
        <f ca="1">IFERROR(__xludf.DUMMYFUNCTION("""COMPUTED_VALUE"""),"ميدان الخصوص خلف شركة السعد للألومنيوم بجوار م.الحياة - الخصوص -  القليوبية .")</f>
        <v>ميدان الخصوص خلف شركة السعد للألومنيوم بجوار م.الحياة - الخصوص -  القليوبية .</v>
      </c>
      <c r="I776" s="6" t="str">
        <f ca="1">IFERROR(__xludf.DUMMYFUNCTION("""COMPUTED_VALUE"""),"01001533530")</f>
        <v>01001533530</v>
      </c>
      <c r="J776" s="6" t="str">
        <f ca="1">IFERROR(__xludf.DUMMYFUNCTION("""COMPUTED_VALUE"""),"19014")</f>
        <v>19014</v>
      </c>
      <c r="K776" s="6" t="str">
        <f ca="1">IFERROR(__xludf.DUMMYFUNCTION("""COMPUTED_VALUE"""),"خصم 20% علي جميع التحاليل")</f>
        <v>خصم 20% علي جميع التحاليل</v>
      </c>
    </row>
    <row r="777" spans="1:11" x14ac:dyDescent="0.25">
      <c r="A777" s="4" t="str">
        <f ca="1">IFERROR(__xludf.DUMMYFUNCTION("""COMPUTED_VALUE"""),"1897-B")</f>
        <v>1897-B</v>
      </c>
      <c r="B777" s="5" t="str">
        <f ca="1">IFERROR(__xludf.DUMMYFUNCTION("""COMPUTED_VALUE"""),"القليوبية")</f>
        <v>القليوبية</v>
      </c>
      <c r="C777" s="5" t="str">
        <f ca="1">IFERROR(__xludf.DUMMYFUNCTION("""COMPUTED_VALUE"""),"القناطر الخيرية")</f>
        <v>القناطر الخيرية</v>
      </c>
      <c r="D777" s="5" t="str">
        <f ca="1">IFERROR(__xludf.DUMMYFUNCTION("""COMPUTED_VALUE"""),"معمل")</f>
        <v>معمل</v>
      </c>
      <c r="E777" s="5" t="str">
        <f ca="1">IFERROR(__xludf.DUMMYFUNCTION("""COMPUTED_VALUE"""),"معمل")</f>
        <v>معمل</v>
      </c>
      <c r="F777" s="5" t="str">
        <f ca="1">IFERROR(__xludf.DUMMYFUNCTION("""COMPUTED_VALUE"""),"معمل التحاليل الطبية")</f>
        <v>معمل التحاليل الطبية</v>
      </c>
      <c r="G777" s="5" t="str">
        <f ca="1">IFERROR(__xludf.DUMMYFUNCTION("""COMPUTED_VALUE"""),"معمل المختبر (د. مؤمنة كامل)")</f>
        <v>معمل المختبر (د. مؤمنة كامل)</v>
      </c>
      <c r="H777" s="5" t="str">
        <f ca="1">IFERROR(__xludf.DUMMYFUNCTION("""COMPUTED_VALUE"""),"الدور الثانى علوى - اعلى المحلات - عمارة 1 - القناطر الخيرية - القليوبية")</f>
        <v>الدور الثانى علوى - اعلى المحلات - عمارة 1 - القناطر الخيرية - القليوبية</v>
      </c>
      <c r="I777" s="6" t="str">
        <f ca="1">IFERROR(__xludf.DUMMYFUNCTION("""COMPUTED_VALUE"""),"01002182383")</f>
        <v>01002182383</v>
      </c>
      <c r="J777" s="6" t="str">
        <f ca="1">IFERROR(__xludf.DUMMYFUNCTION("""COMPUTED_VALUE"""),"19014")</f>
        <v>19014</v>
      </c>
      <c r="K777" s="6" t="str">
        <f ca="1">IFERROR(__xludf.DUMMYFUNCTION("""COMPUTED_VALUE"""),"خصم 20% علي جميع التحاليل")</f>
        <v>خصم 20% علي جميع التحاليل</v>
      </c>
    </row>
    <row r="778" spans="1:11" x14ac:dyDescent="0.25">
      <c r="A778" s="4" t="str">
        <f ca="1">IFERROR(__xludf.DUMMYFUNCTION("""COMPUTED_VALUE"""),"1897-B")</f>
        <v>1897-B</v>
      </c>
      <c r="B778" s="5" t="str">
        <f ca="1">IFERROR(__xludf.DUMMYFUNCTION("""COMPUTED_VALUE"""),"القليوبية")</f>
        <v>القليوبية</v>
      </c>
      <c r="C778" s="5" t="str">
        <f ca="1">IFERROR(__xludf.DUMMYFUNCTION("""COMPUTED_VALUE"""),"أبو زعبل")</f>
        <v>أبو زعبل</v>
      </c>
      <c r="D778" s="5" t="str">
        <f ca="1">IFERROR(__xludf.DUMMYFUNCTION("""COMPUTED_VALUE"""),"معمل")</f>
        <v>معمل</v>
      </c>
      <c r="E778" s="5" t="str">
        <f ca="1">IFERROR(__xludf.DUMMYFUNCTION("""COMPUTED_VALUE"""),"معمل")</f>
        <v>معمل</v>
      </c>
      <c r="F778" s="5" t="str">
        <f ca="1">IFERROR(__xludf.DUMMYFUNCTION("""COMPUTED_VALUE"""),"معمل التحاليل الطبية")</f>
        <v>معمل التحاليل الطبية</v>
      </c>
      <c r="G778" s="5" t="str">
        <f ca="1">IFERROR(__xludf.DUMMYFUNCTION("""COMPUTED_VALUE"""),"معمل المختبر (د. مؤمنة كامل)")</f>
        <v>معمل المختبر (د. مؤمنة كامل)</v>
      </c>
      <c r="H778" s="5" t="str">
        <f ca="1">IFERROR(__xludf.DUMMYFUNCTION("""COMPUTED_VALUE"""),"ش المحطة - بجوار محطة القطار والموقف ابو زعبل - القليوبية")</f>
        <v>ش المحطة - بجوار محطة القطار والموقف ابو زعبل - القليوبية</v>
      </c>
      <c r="I778" s="6" t="str">
        <f ca="1">IFERROR(__xludf.DUMMYFUNCTION("""COMPUTED_VALUE"""),"01028002740")</f>
        <v>01028002740</v>
      </c>
      <c r="J778" s="6" t="str">
        <f ca="1">IFERROR(__xludf.DUMMYFUNCTION("""COMPUTED_VALUE"""),"19014")</f>
        <v>19014</v>
      </c>
      <c r="K778" s="6" t="str">
        <f ca="1">IFERROR(__xludf.DUMMYFUNCTION("""COMPUTED_VALUE"""),"خصم 20% علي جميع التحاليل")</f>
        <v>خصم 20% علي جميع التحاليل</v>
      </c>
    </row>
    <row r="779" spans="1:11" x14ac:dyDescent="0.25">
      <c r="A779" s="4" t="str">
        <f ca="1">IFERROR(__xludf.DUMMYFUNCTION("""COMPUTED_VALUE"""),"1897-B")</f>
        <v>1897-B</v>
      </c>
      <c r="B779" s="5" t="str">
        <f ca="1">IFERROR(__xludf.DUMMYFUNCTION("""COMPUTED_VALUE"""),"القليوبية")</f>
        <v>القليوبية</v>
      </c>
      <c r="C779" s="5" t="str">
        <f ca="1">IFERROR(__xludf.DUMMYFUNCTION("""COMPUTED_VALUE"""),"بنها")</f>
        <v>بنها</v>
      </c>
      <c r="D779" s="5" t="str">
        <f ca="1">IFERROR(__xludf.DUMMYFUNCTION("""COMPUTED_VALUE"""),"معمل")</f>
        <v>معمل</v>
      </c>
      <c r="E779" s="5" t="str">
        <f ca="1">IFERROR(__xludf.DUMMYFUNCTION("""COMPUTED_VALUE"""),"معمل")</f>
        <v>معمل</v>
      </c>
      <c r="F779" s="5" t="str">
        <f ca="1">IFERROR(__xludf.DUMMYFUNCTION("""COMPUTED_VALUE"""),"معمل التحاليل الطبية")</f>
        <v>معمل التحاليل الطبية</v>
      </c>
      <c r="G779" s="5" t="str">
        <f ca="1">IFERROR(__xludf.DUMMYFUNCTION("""COMPUTED_VALUE"""),"معمل المختبر (د. مؤمنة كامل)")</f>
        <v>معمل المختبر (د. مؤمنة كامل)</v>
      </c>
      <c r="H779" s="5" t="str">
        <f ca="1">IFERROR(__xludf.DUMMYFUNCTION("""COMPUTED_VALUE"""),"18 شارع جميل - محطة العادلي-بنها-القليوبية")</f>
        <v>18 شارع جميل - محطة العادلي-بنها-القليوبية</v>
      </c>
      <c r="I779" s="6" t="str">
        <f ca="1">IFERROR(__xludf.DUMMYFUNCTION("""COMPUTED_VALUE"""),"01090011229")</f>
        <v>01090011229</v>
      </c>
      <c r="J779" s="6" t="str">
        <f ca="1">IFERROR(__xludf.DUMMYFUNCTION("""COMPUTED_VALUE"""),"19014")</f>
        <v>19014</v>
      </c>
      <c r="K779" s="6" t="str">
        <f ca="1">IFERROR(__xludf.DUMMYFUNCTION("""COMPUTED_VALUE"""),"خصم 20% علي جميع التحاليل")</f>
        <v>خصم 20% علي جميع التحاليل</v>
      </c>
    </row>
    <row r="780" spans="1:11" x14ac:dyDescent="0.25">
      <c r="A780" s="4" t="str">
        <f ca="1">IFERROR(__xludf.DUMMYFUNCTION("""COMPUTED_VALUE"""),"1897-B")</f>
        <v>1897-B</v>
      </c>
      <c r="B780" s="5" t="str">
        <f ca="1">IFERROR(__xludf.DUMMYFUNCTION("""COMPUTED_VALUE"""),"القليوبية")</f>
        <v>القليوبية</v>
      </c>
      <c r="C780" s="5" t="str">
        <f ca="1">IFERROR(__xludf.DUMMYFUNCTION("""COMPUTED_VALUE"""),"بنها")</f>
        <v>بنها</v>
      </c>
      <c r="D780" s="5" t="str">
        <f ca="1">IFERROR(__xludf.DUMMYFUNCTION("""COMPUTED_VALUE"""),"معمل")</f>
        <v>معمل</v>
      </c>
      <c r="E780" s="5" t="str">
        <f ca="1">IFERROR(__xludf.DUMMYFUNCTION("""COMPUTED_VALUE"""),"معمل")</f>
        <v>معمل</v>
      </c>
      <c r="F780" s="5" t="str">
        <f ca="1">IFERROR(__xludf.DUMMYFUNCTION("""COMPUTED_VALUE"""),"معمل التحاليل الطبية")</f>
        <v>معمل التحاليل الطبية</v>
      </c>
      <c r="G780" s="5" t="str">
        <f ca="1">IFERROR(__xludf.DUMMYFUNCTION("""COMPUTED_VALUE"""),"معمل المختبر (د. مؤمنة كامل)")</f>
        <v>معمل المختبر (د. مؤمنة كامل)</v>
      </c>
      <c r="H780" s="5" t="str">
        <f ca="1">IFERROR(__xludf.DUMMYFUNCTION("""COMPUTED_VALUE"""),"3ش فريد ندا - عمارة 1أ - بنها - القليوبية .")</f>
        <v>3ش فريد ندا - عمارة 1أ - بنها - القليوبية .</v>
      </c>
      <c r="I780" s="6" t="str">
        <f ca="1">IFERROR(__xludf.DUMMYFUNCTION("""COMPUTED_VALUE"""),"01091471110")</f>
        <v>01091471110</v>
      </c>
      <c r="J780" s="6" t="str">
        <f ca="1">IFERROR(__xludf.DUMMYFUNCTION("""COMPUTED_VALUE"""),"19014")</f>
        <v>19014</v>
      </c>
      <c r="K780" s="6" t="str">
        <f ca="1">IFERROR(__xludf.DUMMYFUNCTION("""COMPUTED_VALUE"""),"خصم 20% علي جميع التحاليل")</f>
        <v>خصم 20% علي جميع التحاليل</v>
      </c>
    </row>
    <row r="781" spans="1:11" x14ac:dyDescent="0.25">
      <c r="A781" s="4" t="str">
        <f ca="1">IFERROR(__xludf.DUMMYFUNCTION("""COMPUTED_VALUE"""),"104271")</f>
        <v>104271</v>
      </c>
      <c r="B781" s="5" t="str">
        <f ca="1">IFERROR(__xludf.DUMMYFUNCTION("""COMPUTED_VALUE"""),"المنوفية")</f>
        <v>المنوفية</v>
      </c>
      <c r="C781" s="5" t="str">
        <f ca="1">IFERROR(__xludf.DUMMYFUNCTION("""COMPUTED_VALUE"""),"اشمون")</f>
        <v>اشمون</v>
      </c>
      <c r="D781" s="5" t="str">
        <f ca="1">IFERROR(__xludf.DUMMYFUNCTION("""COMPUTED_VALUE"""),"معمل")</f>
        <v>معمل</v>
      </c>
      <c r="E781" s="5" t="str">
        <f ca="1">IFERROR(__xludf.DUMMYFUNCTION("""COMPUTED_VALUE"""),"معمل")</f>
        <v>معمل</v>
      </c>
      <c r="F781" s="5" t="str">
        <f ca="1">IFERROR(__xludf.DUMMYFUNCTION("""COMPUTED_VALUE"""),"معمل التحاليل الطبية")</f>
        <v>معمل التحاليل الطبية</v>
      </c>
      <c r="G781" s="5" t="str">
        <f ca="1">IFERROR(__xludf.DUMMYFUNCTION("""COMPUTED_VALUE"""),"معمل دلتا")</f>
        <v>معمل دلتا</v>
      </c>
      <c r="H781" s="5" t="str">
        <f ca="1">IFERROR(__xludf.DUMMYFUNCTION("""COMPUTED_VALUE"""),"ميدان صيدناوى بالقرب من شارع صلاح الدين - اشمون - المنوفية")</f>
        <v>ميدان صيدناوى بالقرب من شارع صلاح الدين - اشمون - المنوفية</v>
      </c>
      <c r="I781" s="6" t="str">
        <f ca="1">IFERROR(__xludf.DUMMYFUNCTION("""COMPUTED_VALUE"""),"20483430445")</f>
        <v>20483430445</v>
      </c>
      <c r="J781" s="6"/>
      <c r="K781" s="6" t="str">
        <f ca="1">IFERROR(__xludf.DUMMYFUNCTION("""COMPUTED_VALUE"""),"نقابه 2012")</f>
        <v>نقابه 2012</v>
      </c>
    </row>
    <row r="782" spans="1:11" x14ac:dyDescent="0.25">
      <c r="A782" s="4" t="str">
        <f ca="1">IFERROR(__xludf.DUMMYFUNCTION("""COMPUTED_VALUE"""),"1897-B")</f>
        <v>1897-B</v>
      </c>
      <c r="B782" s="5" t="str">
        <f ca="1">IFERROR(__xludf.DUMMYFUNCTION("""COMPUTED_VALUE"""),"القليوبية")</f>
        <v>القليوبية</v>
      </c>
      <c r="C782" s="5" t="str">
        <f ca="1">IFERROR(__xludf.DUMMYFUNCTION("""COMPUTED_VALUE"""),"شبرا الخيمة")</f>
        <v>شبرا الخيمة</v>
      </c>
      <c r="D782" s="5" t="str">
        <f ca="1">IFERROR(__xludf.DUMMYFUNCTION("""COMPUTED_VALUE"""),"معمل")</f>
        <v>معمل</v>
      </c>
      <c r="E782" s="5" t="str">
        <f ca="1">IFERROR(__xludf.DUMMYFUNCTION("""COMPUTED_VALUE"""),"معمل")</f>
        <v>معمل</v>
      </c>
      <c r="F782" s="5" t="str">
        <f ca="1">IFERROR(__xludf.DUMMYFUNCTION("""COMPUTED_VALUE"""),"معمل التحاليل الطبية")</f>
        <v>معمل التحاليل الطبية</v>
      </c>
      <c r="G782" s="5" t="str">
        <f ca="1">IFERROR(__xludf.DUMMYFUNCTION("""COMPUTED_VALUE"""),"معمل المختبر (د. مؤمنة كامل)")</f>
        <v>معمل المختبر (د. مؤمنة كامل)</v>
      </c>
      <c r="H782" s="5" t="str">
        <f ca="1">IFERROR(__xludf.DUMMYFUNCTION("""COMPUTED_VALUE"""),"102ش 15 مايو امام مدرسة المحلقة - شبرا الخيمة ثان - القليوبية")</f>
        <v>102ش 15 مايو امام مدرسة المحلقة - شبرا الخيمة ثان - القليوبية</v>
      </c>
      <c r="I782" s="6" t="str">
        <f ca="1">IFERROR(__xludf.DUMMYFUNCTION("""COMPUTED_VALUE"""),"01015006556")</f>
        <v>01015006556</v>
      </c>
      <c r="J782" s="6" t="str">
        <f ca="1">IFERROR(__xludf.DUMMYFUNCTION("""COMPUTED_VALUE"""),"19014")</f>
        <v>19014</v>
      </c>
      <c r="K782" s="6" t="str">
        <f ca="1">IFERROR(__xludf.DUMMYFUNCTION("""COMPUTED_VALUE"""),"خصم 20% علي جميع التحاليل")</f>
        <v>خصم 20% علي جميع التحاليل</v>
      </c>
    </row>
    <row r="783" spans="1:11" x14ac:dyDescent="0.25">
      <c r="A783" s="4" t="str">
        <f ca="1">IFERROR(__xludf.DUMMYFUNCTION("""COMPUTED_VALUE"""),"1897-B")</f>
        <v>1897-B</v>
      </c>
      <c r="B783" s="5" t="str">
        <f ca="1">IFERROR(__xludf.DUMMYFUNCTION("""COMPUTED_VALUE"""),"القليوبية")</f>
        <v>القليوبية</v>
      </c>
      <c r="C783" s="5" t="str">
        <f ca="1">IFERROR(__xludf.DUMMYFUNCTION("""COMPUTED_VALUE"""),"شبرا الخيمة")</f>
        <v>شبرا الخيمة</v>
      </c>
      <c r="D783" s="5" t="str">
        <f ca="1">IFERROR(__xludf.DUMMYFUNCTION("""COMPUTED_VALUE"""),"معمل")</f>
        <v>معمل</v>
      </c>
      <c r="E783" s="5" t="str">
        <f ca="1">IFERROR(__xludf.DUMMYFUNCTION("""COMPUTED_VALUE"""),"معمل")</f>
        <v>معمل</v>
      </c>
      <c r="F783" s="5" t="str">
        <f ca="1">IFERROR(__xludf.DUMMYFUNCTION("""COMPUTED_VALUE"""),"معمل التحاليل الطبية")</f>
        <v>معمل التحاليل الطبية</v>
      </c>
      <c r="G783" s="5" t="str">
        <f ca="1">IFERROR(__xludf.DUMMYFUNCTION("""COMPUTED_VALUE"""),"معمل المختبر (د. مؤمنة كامل)")</f>
        <v>معمل المختبر (د. مؤمنة كامل)</v>
      </c>
      <c r="H783" s="5" t="str">
        <f ca="1">IFERROR(__xludf.DUMMYFUNCTION("""COMPUTED_VALUE"""),"2شارع الوحدة ناصية شارع 15 مايو بجوار النساجون الشرقيون-شبرا الخيمة-القليوبية")</f>
        <v>2شارع الوحدة ناصية شارع 15 مايو بجوار النساجون الشرقيون-شبرا الخيمة-القليوبية</v>
      </c>
      <c r="I783" s="6" t="str">
        <f ca="1">IFERROR(__xludf.DUMMYFUNCTION("""COMPUTED_VALUE"""),"01090011252")</f>
        <v>01090011252</v>
      </c>
      <c r="J783" s="6" t="str">
        <f ca="1">IFERROR(__xludf.DUMMYFUNCTION("""COMPUTED_VALUE"""),"19014")</f>
        <v>19014</v>
      </c>
      <c r="K783" s="6" t="str">
        <f ca="1">IFERROR(__xludf.DUMMYFUNCTION("""COMPUTED_VALUE"""),"خصم 20% علي جميع التحاليل")</f>
        <v>خصم 20% علي جميع التحاليل</v>
      </c>
    </row>
    <row r="784" spans="1:11" x14ac:dyDescent="0.25">
      <c r="A784" s="4" t="str">
        <f ca="1">IFERROR(__xludf.DUMMYFUNCTION("""COMPUTED_VALUE"""),"1897-B")</f>
        <v>1897-B</v>
      </c>
      <c r="B784" s="5" t="str">
        <f ca="1">IFERROR(__xludf.DUMMYFUNCTION("""COMPUTED_VALUE"""),"القليوبية")</f>
        <v>القليوبية</v>
      </c>
      <c r="C784" s="5" t="str">
        <f ca="1">IFERROR(__xludf.DUMMYFUNCTION("""COMPUTED_VALUE"""),"شبين القناطر")</f>
        <v>شبين القناطر</v>
      </c>
      <c r="D784" s="5" t="str">
        <f ca="1">IFERROR(__xludf.DUMMYFUNCTION("""COMPUTED_VALUE"""),"معمل")</f>
        <v>معمل</v>
      </c>
      <c r="E784" s="5" t="str">
        <f ca="1">IFERROR(__xludf.DUMMYFUNCTION("""COMPUTED_VALUE"""),"معمل")</f>
        <v>معمل</v>
      </c>
      <c r="F784" s="5" t="str">
        <f ca="1">IFERROR(__xludf.DUMMYFUNCTION("""COMPUTED_VALUE"""),"معمل التحاليل الطبية")</f>
        <v>معمل التحاليل الطبية</v>
      </c>
      <c r="G784" s="5" t="str">
        <f ca="1">IFERROR(__xludf.DUMMYFUNCTION("""COMPUTED_VALUE"""),"معمل المختبر (د. مؤمنة كامل)")</f>
        <v>معمل المختبر (د. مؤمنة كامل)</v>
      </c>
      <c r="H784" s="5" t="str">
        <f ca="1">IFERROR(__xludf.DUMMYFUNCTION("""COMPUTED_VALUE"""),"61 شارع سكة حديد مصر-شبين القناطر -القليوبية")</f>
        <v>61 شارع سكة حديد مصر-شبين القناطر -القليوبية</v>
      </c>
      <c r="I784" s="6" t="str">
        <f ca="1">IFERROR(__xludf.DUMMYFUNCTION("""COMPUTED_VALUE"""),"01090011281")</f>
        <v>01090011281</v>
      </c>
      <c r="J784" s="6" t="str">
        <f ca="1">IFERROR(__xludf.DUMMYFUNCTION("""COMPUTED_VALUE"""),"19014")</f>
        <v>19014</v>
      </c>
      <c r="K784" s="6" t="str">
        <f ca="1">IFERROR(__xludf.DUMMYFUNCTION("""COMPUTED_VALUE"""),"خصم 20% علي جميع التحاليل")</f>
        <v>خصم 20% علي جميع التحاليل</v>
      </c>
    </row>
    <row r="785" spans="1:11" x14ac:dyDescent="0.25">
      <c r="A785" s="4" t="str">
        <f ca="1">IFERROR(__xludf.DUMMYFUNCTION("""COMPUTED_VALUE"""),"1897-B")</f>
        <v>1897-B</v>
      </c>
      <c r="B785" s="5" t="str">
        <f ca="1">IFERROR(__xludf.DUMMYFUNCTION("""COMPUTED_VALUE"""),"القليوبية")</f>
        <v>القليوبية</v>
      </c>
      <c r="C785" s="5" t="str">
        <f ca="1">IFERROR(__xludf.DUMMYFUNCTION("""COMPUTED_VALUE"""),"طوخ")</f>
        <v>طوخ</v>
      </c>
      <c r="D785" s="5" t="str">
        <f ca="1">IFERROR(__xludf.DUMMYFUNCTION("""COMPUTED_VALUE"""),"معمل")</f>
        <v>معمل</v>
      </c>
      <c r="E785" s="5" t="str">
        <f ca="1">IFERROR(__xludf.DUMMYFUNCTION("""COMPUTED_VALUE"""),"معمل")</f>
        <v>معمل</v>
      </c>
      <c r="F785" s="5" t="str">
        <f ca="1">IFERROR(__xludf.DUMMYFUNCTION("""COMPUTED_VALUE"""),"معمل التحاليل الطبية")</f>
        <v>معمل التحاليل الطبية</v>
      </c>
      <c r="G785" s="5" t="str">
        <f ca="1">IFERROR(__xludf.DUMMYFUNCTION("""COMPUTED_VALUE"""),"معمل المختبر (د. مؤمنة كامل)")</f>
        <v>معمل المختبر (د. مؤمنة كامل)</v>
      </c>
      <c r="H785" s="5" t="str">
        <f ca="1">IFERROR(__xludf.DUMMYFUNCTION("""COMPUTED_VALUE"""),"برج الحاج يحيى حامد ش بورسعيد و ش حسين سليمان - مركز طوخ - ميدان العليمى- القليوبية")</f>
        <v>برج الحاج يحيى حامد ش بورسعيد و ش حسين سليمان - مركز طوخ - ميدان العليمى- القليوبية</v>
      </c>
      <c r="I785" s="6" t="str">
        <f ca="1">IFERROR(__xludf.DUMMYFUNCTION("""COMPUTED_VALUE"""),"01015003348")</f>
        <v>01015003348</v>
      </c>
      <c r="J785" s="6" t="str">
        <f ca="1">IFERROR(__xludf.DUMMYFUNCTION("""COMPUTED_VALUE"""),"19014")</f>
        <v>19014</v>
      </c>
      <c r="K785" s="6" t="str">
        <f ca="1">IFERROR(__xludf.DUMMYFUNCTION("""COMPUTED_VALUE"""),"خصم 20% علي جميع التحاليل")</f>
        <v>خصم 20% علي جميع التحاليل</v>
      </c>
    </row>
    <row r="786" spans="1:11" x14ac:dyDescent="0.25">
      <c r="A786" s="4" t="str">
        <f ca="1">IFERROR(__xludf.DUMMYFUNCTION("""COMPUTED_VALUE"""),"1897-B")</f>
        <v>1897-B</v>
      </c>
      <c r="B786" s="5" t="str">
        <f ca="1">IFERROR(__xludf.DUMMYFUNCTION("""COMPUTED_VALUE"""),"القليوبية")</f>
        <v>القليوبية</v>
      </c>
      <c r="C786" s="5" t="str">
        <f ca="1">IFERROR(__xludf.DUMMYFUNCTION("""COMPUTED_VALUE"""),"قليوب")</f>
        <v>قليوب</v>
      </c>
      <c r="D786" s="5" t="str">
        <f ca="1">IFERROR(__xludf.DUMMYFUNCTION("""COMPUTED_VALUE"""),"معمل")</f>
        <v>معمل</v>
      </c>
      <c r="E786" s="5" t="str">
        <f ca="1">IFERROR(__xludf.DUMMYFUNCTION("""COMPUTED_VALUE"""),"معمل")</f>
        <v>معمل</v>
      </c>
      <c r="F786" s="5" t="str">
        <f ca="1">IFERROR(__xludf.DUMMYFUNCTION("""COMPUTED_VALUE"""),"معمل التحاليل الطبية")</f>
        <v>معمل التحاليل الطبية</v>
      </c>
      <c r="G786" s="5" t="str">
        <f ca="1">IFERROR(__xludf.DUMMYFUNCTION("""COMPUTED_VALUE"""),"معمل المختبر (د. مؤمنة كامل)")</f>
        <v>معمل المختبر (د. مؤمنة كامل)</v>
      </c>
      <c r="H786" s="5" t="str">
        <f ca="1">IFERROR(__xludf.DUMMYFUNCTION("""COMPUTED_VALUE"""),"24شارع العاشر من رمضان امام محكمة قليوب الجزئية-قليوب-القليوبية")</f>
        <v>24شارع العاشر من رمضان امام محكمة قليوب الجزئية-قليوب-القليوبية</v>
      </c>
      <c r="I786" s="6" t="str">
        <f ca="1">IFERROR(__xludf.DUMMYFUNCTION("""COMPUTED_VALUE"""),"01000103056")</f>
        <v>01000103056</v>
      </c>
      <c r="J786" s="6" t="str">
        <f ca="1">IFERROR(__xludf.DUMMYFUNCTION("""COMPUTED_VALUE"""),"19014")</f>
        <v>19014</v>
      </c>
      <c r="K786" s="6" t="str">
        <f ca="1">IFERROR(__xludf.DUMMYFUNCTION("""COMPUTED_VALUE"""),"خصم 20% علي جميع التحاليل")</f>
        <v>خصم 20% علي جميع التحاليل</v>
      </c>
    </row>
    <row r="787" spans="1:11" x14ac:dyDescent="0.25">
      <c r="A787" s="4" t="str">
        <f ca="1">IFERROR(__xludf.DUMMYFUNCTION("""COMPUTED_VALUE"""),"1897-B")</f>
        <v>1897-B</v>
      </c>
      <c r="B787" s="5" t="str">
        <f ca="1">IFERROR(__xludf.DUMMYFUNCTION("""COMPUTED_VALUE"""),"القليوبية")</f>
        <v>القليوبية</v>
      </c>
      <c r="C787" s="5" t="str">
        <f ca="1">IFERROR(__xludf.DUMMYFUNCTION("""COMPUTED_VALUE"""),"كفر شكر")</f>
        <v>كفر شكر</v>
      </c>
      <c r="D787" s="5" t="str">
        <f ca="1">IFERROR(__xludf.DUMMYFUNCTION("""COMPUTED_VALUE"""),"معمل")</f>
        <v>معمل</v>
      </c>
      <c r="E787" s="5" t="str">
        <f ca="1">IFERROR(__xludf.DUMMYFUNCTION("""COMPUTED_VALUE"""),"معمل")</f>
        <v>معمل</v>
      </c>
      <c r="F787" s="5" t="str">
        <f ca="1">IFERROR(__xludf.DUMMYFUNCTION("""COMPUTED_VALUE"""),"معمل التحاليل الطبية")</f>
        <v>معمل التحاليل الطبية</v>
      </c>
      <c r="G787" s="5" t="str">
        <f ca="1">IFERROR(__xludf.DUMMYFUNCTION("""COMPUTED_VALUE"""),"معمل المختبر (د. مؤمنة كامل)")</f>
        <v>معمل المختبر (د. مؤمنة كامل)</v>
      </c>
      <c r="H787" s="5" t="str">
        <f ca="1">IFERROR(__xludf.DUMMYFUNCTION("""COMPUTED_VALUE"""),"4ش عبد المنعم رياض أمام البنك الأهلى - مركز كفر شكر - القليوبية .")</f>
        <v>4ش عبد المنعم رياض أمام البنك الأهلى - مركز كفر شكر - القليوبية .</v>
      </c>
      <c r="I787" s="6" t="str">
        <f ca="1">IFERROR(__xludf.DUMMYFUNCTION("""COMPUTED_VALUE"""),"01015006209")</f>
        <v>01015006209</v>
      </c>
      <c r="J787" s="6" t="str">
        <f ca="1">IFERROR(__xludf.DUMMYFUNCTION("""COMPUTED_VALUE"""),"19014")</f>
        <v>19014</v>
      </c>
      <c r="K787" s="6" t="str">
        <f ca="1">IFERROR(__xludf.DUMMYFUNCTION("""COMPUTED_VALUE"""),"خصم 20% علي جميع التحاليل")</f>
        <v>خصم 20% علي جميع التحاليل</v>
      </c>
    </row>
    <row r="788" spans="1:11" x14ac:dyDescent="0.25">
      <c r="A788" s="4" t="str">
        <f ca="1">IFERROR(__xludf.DUMMYFUNCTION("""COMPUTED_VALUE"""),"1897-B")</f>
        <v>1897-B</v>
      </c>
      <c r="B788" s="5" t="str">
        <f ca="1">IFERROR(__xludf.DUMMYFUNCTION("""COMPUTED_VALUE"""),"المنوفية")</f>
        <v>المنوفية</v>
      </c>
      <c r="C788" s="5" t="str">
        <f ca="1">IFERROR(__xludf.DUMMYFUNCTION("""COMPUTED_VALUE"""),"اشمون")</f>
        <v>اشمون</v>
      </c>
      <c r="D788" s="5" t="str">
        <f ca="1">IFERROR(__xludf.DUMMYFUNCTION("""COMPUTED_VALUE"""),"معمل")</f>
        <v>معمل</v>
      </c>
      <c r="E788" s="5" t="str">
        <f ca="1">IFERROR(__xludf.DUMMYFUNCTION("""COMPUTED_VALUE"""),"معمل")</f>
        <v>معمل</v>
      </c>
      <c r="F788" s="5" t="str">
        <f ca="1">IFERROR(__xludf.DUMMYFUNCTION("""COMPUTED_VALUE"""),"معمل التحاليل الطبية")</f>
        <v>معمل التحاليل الطبية</v>
      </c>
      <c r="G788" s="5" t="str">
        <f ca="1">IFERROR(__xludf.DUMMYFUNCTION("""COMPUTED_VALUE"""),"معمل المختبر (د. مؤمنة كامل)")</f>
        <v>معمل المختبر (د. مؤمنة كامل)</v>
      </c>
      <c r="H788" s="5" t="str">
        <f ca="1">IFERROR(__xludf.DUMMYFUNCTION("""COMPUTED_VALUE"""),"74شارع سعد زغلول امام البنك الأهلى-اشمون-المنوفية")</f>
        <v>74شارع سعد زغلول امام البنك الأهلى-اشمون-المنوفية</v>
      </c>
      <c r="I788" s="6" t="str">
        <f ca="1">IFERROR(__xludf.DUMMYFUNCTION("""COMPUTED_VALUE"""),"01065706662")</f>
        <v>01065706662</v>
      </c>
      <c r="J788" s="6" t="str">
        <f ca="1">IFERROR(__xludf.DUMMYFUNCTION("""COMPUTED_VALUE"""),"19014")</f>
        <v>19014</v>
      </c>
      <c r="K788" s="6" t="str">
        <f ca="1">IFERROR(__xludf.DUMMYFUNCTION("""COMPUTED_VALUE"""),"خصم 20% علي جميع التحاليل")</f>
        <v>خصم 20% علي جميع التحاليل</v>
      </c>
    </row>
    <row r="789" spans="1:11" x14ac:dyDescent="0.25">
      <c r="A789" s="4" t="str">
        <f ca="1">IFERROR(__xludf.DUMMYFUNCTION("""COMPUTED_VALUE"""),"1897-B")</f>
        <v>1897-B</v>
      </c>
      <c r="B789" s="5" t="str">
        <f ca="1">IFERROR(__xludf.DUMMYFUNCTION("""COMPUTED_VALUE"""),"المنوفية")</f>
        <v>المنوفية</v>
      </c>
      <c r="C789" s="5" t="str">
        <f ca="1">IFERROR(__xludf.DUMMYFUNCTION("""COMPUTED_VALUE"""),"الباجور")</f>
        <v>الباجور</v>
      </c>
      <c r="D789" s="5" t="str">
        <f ca="1">IFERROR(__xludf.DUMMYFUNCTION("""COMPUTED_VALUE"""),"معمل")</f>
        <v>معمل</v>
      </c>
      <c r="E789" s="5" t="str">
        <f ca="1">IFERROR(__xludf.DUMMYFUNCTION("""COMPUTED_VALUE"""),"معمل")</f>
        <v>معمل</v>
      </c>
      <c r="F789" s="5" t="str">
        <f ca="1">IFERROR(__xludf.DUMMYFUNCTION("""COMPUTED_VALUE"""),"معمل التحاليل الطبية")</f>
        <v>معمل التحاليل الطبية</v>
      </c>
      <c r="G789" s="5" t="str">
        <f ca="1">IFERROR(__xludf.DUMMYFUNCTION("""COMPUTED_VALUE"""),"معمل المختبر (د. مؤمنة كامل)")</f>
        <v>معمل المختبر (د. مؤمنة كامل)</v>
      </c>
      <c r="H789" s="5" t="str">
        <f ca="1">IFERROR(__xludf.DUMMYFUNCTION("""COMPUTED_VALUE"""),"91ش الجيش الجديد - الدور الثانى - الباجور - المنوفية")</f>
        <v>91ش الجيش الجديد - الدور الثانى - الباجور - المنوفية</v>
      </c>
      <c r="I789" s="6" t="str">
        <f ca="1">IFERROR(__xludf.DUMMYFUNCTION("""COMPUTED_VALUE"""),"01024643613")</f>
        <v>01024643613</v>
      </c>
      <c r="J789" s="6" t="str">
        <f ca="1">IFERROR(__xludf.DUMMYFUNCTION("""COMPUTED_VALUE"""),"19014")</f>
        <v>19014</v>
      </c>
      <c r="K789" s="6" t="str">
        <f ca="1">IFERROR(__xludf.DUMMYFUNCTION("""COMPUTED_VALUE"""),"خصم 20% علي جميع التحاليل")</f>
        <v>خصم 20% علي جميع التحاليل</v>
      </c>
    </row>
    <row r="790" spans="1:11" x14ac:dyDescent="0.25">
      <c r="A790" s="4" t="str">
        <f ca="1">IFERROR(__xludf.DUMMYFUNCTION("""COMPUTED_VALUE"""),"1897-B")</f>
        <v>1897-B</v>
      </c>
      <c r="B790" s="5" t="str">
        <f ca="1">IFERROR(__xludf.DUMMYFUNCTION("""COMPUTED_VALUE"""),"المنوفية")</f>
        <v>المنوفية</v>
      </c>
      <c r="C790" s="5" t="str">
        <f ca="1">IFERROR(__xludf.DUMMYFUNCTION("""COMPUTED_VALUE"""),"الشهداء")</f>
        <v>الشهداء</v>
      </c>
      <c r="D790" s="5" t="str">
        <f ca="1">IFERROR(__xludf.DUMMYFUNCTION("""COMPUTED_VALUE"""),"معمل")</f>
        <v>معمل</v>
      </c>
      <c r="E790" s="5" t="str">
        <f ca="1">IFERROR(__xludf.DUMMYFUNCTION("""COMPUTED_VALUE"""),"معمل")</f>
        <v>معمل</v>
      </c>
      <c r="F790" s="5" t="str">
        <f ca="1">IFERROR(__xludf.DUMMYFUNCTION("""COMPUTED_VALUE"""),"معمل التحاليل الطبية")</f>
        <v>معمل التحاليل الطبية</v>
      </c>
      <c r="G790" s="5" t="str">
        <f ca="1">IFERROR(__xludf.DUMMYFUNCTION("""COMPUTED_VALUE"""),"معمل المختبر (د. مؤمنة كامل)")</f>
        <v>معمل المختبر (د. مؤمنة كامل)</v>
      </c>
      <c r="H790" s="5" t="str">
        <f ca="1">IFERROR(__xludf.DUMMYFUNCTION("""COMPUTED_VALUE"""),"60ش بورسعيد - امام المعرض الدولى مركز الشهداء - المنوفية")</f>
        <v>60ش بورسعيد - امام المعرض الدولى مركز الشهداء - المنوفية</v>
      </c>
      <c r="I790" s="6" t="str">
        <f ca="1">IFERROR(__xludf.DUMMYFUNCTION("""COMPUTED_VALUE"""),"01027404277")</f>
        <v>01027404277</v>
      </c>
      <c r="J790" s="6" t="str">
        <f ca="1">IFERROR(__xludf.DUMMYFUNCTION("""COMPUTED_VALUE"""),"19014")</f>
        <v>19014</v>
      </c>
      <c r="K790" s="6" t="str">
        <f ca="1">IFERROR(__xludf.DUMMYFUNCTION("""COMPUTED_VALUE"""),"خصم 20% علي جميع التحاليل")</f>
        <v>خصم 20% علي جميع التحاليل</v>
      </c>
    </row>
    <row r="791" spans="1:11" x14ac:dyDescent="0.25">
      <c r="A791" s="4" t="str">
        <f ca="1">IFERROR(__xludf.DUMMYFUNCTION("""COMPUTED_VALUE"""),"3798-B")</f>
        <v>3798-B</v>
      </c>
      <c r="B791" s="5" t="str">
        <f ca="1">IFERROR(__xludf.DUMMYFUNCTION("""COMPUTED_VALUE"""),"المنوفية")</f>
        <v>المنوفية</v>
      </c>
      <c r="C791" s="5" t="str">
        <f ca="1">IFERROR(__xludf.DUMMYFUNCTION("""COMPUTED_VALUE"""),"شبين الكوم")</f>
        <v>شبين الكوم</v>
      </c>
      <c r="D791" s="5" t="str">
        <f ca="1">IFERROR(__xludf.DUMMYFUNCTION("""COMPUTED_VALUE"""),"معمل")</f>
        <v>معمل</v>
      </c>
      <c r="E791" s="5" t="str">
        <f ca="1">IFERROR(__xludf.DUMMYFUNCTION("""COMPUTED_VALUE"""),"معمل")</f>
        <v>معمل</v>
      </c>
      <c r="F791" s="5" t="str">
        <f ca="1">IFERROR(__xludf.DUMMYFUNCTION("""COMPUTED_VALUE"""),"معمل التحاليل الطبية")</f>
        <v>معمل التحاليل الطبية</v>
      </c>
      <c r="G791" s="5" t="str">
        <f ca="1">IFERROR(__xludf.DUMMYFUNCTION("""COMPUTED_VALUE"""),"معمل الدكتورة/ أمينة حساب")</f>
        <v>معمل الدكتورة/ أمينة حساب</v>
      </c>
      <c r="H791" s="5" t="str">
        <f ca="1">IFERROR(__xludf.DUMMYFUNCTION("""COMPUTED_VALUE"""),"شارع جمال عبد الناصر - برج الكوثر - ميدان شرف-شبين الكوم-المنوفية")</f>
        <v>شارع جمال عبد الناصر - برج الكوثر - ميدان شرف-شبين الكوم-المنوفية</v>
      </c>
      <c r="I791" s="6"/>
      <c r="J791" s="6" t="str">
        <f ca="1">IFERROR(__xludf.DUMMYFUNCTION("""COMPUTED_VALUE"""),"16987")</f>
        <v>16987</v>
      </c>
      <c r="K791" s="6" t="str">
        <f ca="1">IFERROR(__xludf.DUMMYFUNCTION("""COMPUTED_VALUE"""),"30% على جميع الخدمات         ")</f>
        <v xml:space="preserve">30% على جميع الخدمات         </v>
      </c>
    </row>
    <row r="792" spans="1:11" x14ac:dyDescent="0.25">
      <c r="A792" s="4" t="str">
        <f ca="1">IFERROR(__xludf.DUMMYFUNCTION("""COMPUTED_VALUE"""),"1897-B")</f>
        <v>1897-B</v>
      </c>
      <c r="B792" s="5" t="str">
        <f ca="1">IFERROR(__xludf.DUMMYFUNCTION("""COMPUTED_VALUE"""),"المنوفية")</f>
        <v>المنوفية</v>
      </c>
      <c r="C792" s="5" t="str">
        <f ca="1">IFERROR(__xludf.DUMMYFUNCTION("""COMPUTED_VALUE"""),"شبين الكوم")</f>
        <v>شبين الكوم</v>
      </c>
      <c r="D792" s="5" t="str">
        <f ca="1">IFERROR(__xludf.DUMMYFUNCTION("""COMPUTED_VALUE"""),"معمل")</f>
        <v>معمل</v>
      </c>
      <c r="E792" s="5" t="str">
        <f ca="1">IFERROR(__xludf.DUMMYFUNCTION("""COMPUTED_VALUE"""),"معمل")</f>
        <v>معمل</v>
      </c>
      <c r="F792" s="5" t="str">
        <f ca="1">IFERROR(__xludf.DUMMYFUNCTION("""COMPUTED_VALUE"""),"معمل التحاليل الطبية")</f>
        <v>معمل التحاليل الطبية</v>
      </c>
      <c r="G792" s="5" t="str">
        <f ca="1">IFERROR(__xludf.DUMMYFUNCTION("""COMPUTED_VALUE"""),"معمل المختبر (د. مؤمنة كامل)")</f>
        <v>معمل المختبر (د. مؤمنة كامل)</v>
      </c>
      <c r="H792" s="5" t="str">
        <f ca="1">IFERROR(__xludf.DUMMYFUNCTION("""COMPUTED_VALUE"""),"شارع جمال عبد الناصر- برج الزهراء--شبين الكوم-المنوفية")</f>
        <v>شارع جمال عبد الناصر- برج الزهراء--شبين الكوم-المنوفية</v>
      </c>
      <c r="I792" s="6" t="str">
        <f ca="1">IFERROR(__xludf.DUMMYFUNCTION("""COMPUTED_VALUE"""),"01090011226")</f>
        <v>01090011226</v>
      </c>
      <c r="J792" s="6" t="str">
        <f ca="1">IFERROR(__xludf.DUMMYFUNCTION("""COMPUTED_VALUE"""),"19014")</f>
        <v>19014</v>
      </c>
      <c r="K792" s="6" t="str">
        <f ca="1">IFERROR(__xludf.DUMMYFUNCTION("""COMPUTED_VALUE"""),"خصم 20% علي جميع التحاليل")</f>
        <v>خصم 20% علي جميع التحاليل</v>
      </c>
    </row>
    <row r="793" spans="1:11" x14ac:dyDescent="0.25">
      <c r="A793" s="4" t="str">
        <f ca="1">IFERROR(__xludf.DUMMYFUNCTION("""COMPUTED_VALUE"""),"1897-B")</f>
        <v>1897-B</v>
      </c>
      <c r="B793" s="5" t="str">
        <f ca="1">IFERROR(__xludf.DUMMYFUNCTION("""COMPUTED_VALUE"""),"المنوفية")</f>
        <v>المنوفية</v>
      </c>
      <c r="C793" s="5" t="str">
        <f ca="1">IFERROR(__xludf.DUMMYFUNCTION("""COMPUTED_VALUE"""),"قويسنا")</f>
        <v>قويسنا</v>
      </c>
      <c r="D793" s="5" t="str">
        <f ca="1">IFERROR(__xludf.DUMMYFUNCTION("""COMPUTED_VALUE"""),"معمل")</f>
        <v>معمل</v>
      </c>
      <c r="E793" s="5" t="str">
        <f ca="1">IFERROR(__xludf.DUMMYFUNCTION("""COMPUTED_VALUE"""),"معمل")</f>
        <v>معمل</v>
      </c>
      <c r="F793" s="5" t="str">
        <f ca="1">IFERROR(__xludf.DUMMYFUNCTION("""COMPUTED_VALUE"""),"معمل التحاليل الطبية")</f>
        <v>معمل التحاليل الطبية</v>
      </c>
      <c r="G793" s="5" t="str">
        <f ca="1">IFERROR(__xludf.DUMMYFUNCTION("""COMPUTED_VALUE"""),"معمل المختبر (د. مؤمنة كامل)")</f>
        <v>معمل المختبر (د. مؤمنة كامل)</v>
      </c>
      <c r="H793" s="5" t="str">
        <f ca="1">IFERROR(__xludf.DUMMYFUNCTION("""COMPUTED_VALUE"""),"تقاطع ش الجيش مع حسين رشدى - مركز قويسنا - المنوفية .")</f>
        <v>تقاطع ش الجيش مع حسين رشدى - مركز قويسنا - المنوفية .</v>
      </c>
      <c r="I793" s="6" t="str">
        <f ca="1">IFERROR(__xludf.DUMMYFUNCTION("""COMPUTED_VALUE"""),"01001012398")</f>
        <v>01001012398</v>
      </c>
      <c r="J793" s="6" t="str">
        <f ca="1">IFERROR(__xludf.DUMMYFUNCTION("""COMPUTED_VALUE"""),"19014")</f>
        <v>19014</v>
      </c>
      <c r="K793" s="6" t="str">
        <f ca="1">IFERROR(__xludf.DUMMYFUNCTION("""COMPUTED_VALUE"""),"خصم 20% علي جميع التحاليل")</f>
        <v>خصم 20% علي جميع التحاليل</v>
      </c>
    </row>
    <row r="794" spans="1:11" x14ac:dyDescent="0.25">
      <c r="A794" s="4" t="str">
        <f ca="1">IFERROR(__xludf.DUMMYFUNCTION("""COMPUTED_VALUE"""),"1897-B")</f>
        <v>1897-B</v>
      </c>
      <c r="B794" s="5" t="str">
        <f ca="1">IFERROR(__xludf.DUMMYFUNCTION("""COMPUTED_VALUE"""),"المنوفية")</f>
        <v>المنوفية</v>
      </c>
      <c r="C794" s="5" t="str">
        <f ca="1">IFERROR(__xludf.DUMMYFUNCTION("""COMPUTED_VALUE"""),"مدينه السادات")</f>
        <v>مدينه السادات</v>
      </c>
      <c r="D794" s="5" t="str">
        <f ca="1">IFERROR(__xludf.DUMMYFUNCTION("""COMPUTED_VALUE"""),"معمل")</f>
        <v>معمل</v>
      </c>
      <c r="E794" s="5" t="str">
        <f ca="1">IFERROR(__xludf.DUMMYFUNCTION("""COMPUTED_VALUE"""),"معمل")</f>
        <v>معمل</v>
      </c>
      <c r="F794" s="5" t="str">
        <f ca="1">IFERROR(__xludf.DUMMYFUNCTION("""COMPUTED_VALUE"""),"معمل التحاليل الطبية")</f>
        <v>معمل التحاليل الطبية</v>
      </c>
      <c r="G794" s="5" t="str">
        <f ca="1">IFERROR(__xludf.DUMMYFUNCTION("""COMPUTED_VALUE"""),"معمل المختبر (د. مؤمنة كامل)")</f>
        <v>معمل المختبر (د. مؤمنة كامل)</v>
      </c>
      <c r="H794" s="5" t="str">
        <f ca="1">IFERROR(__xludf.DUMMYFUNCTION("""COMPUTED_VALUE"""),"شارع القطعة 4 محور ورش الخدمات - الحي الثاني - امام المول-مدينة السادات-المنوفية")</f>
        <v>شارع القطعة 4 محور ورش الخدمات - الحي الثاني - امام المول-مدينة السادات-المنوفية</v>
      </c>
      <c r="I794" s="6" t="str">
        <f ca="1">IFERROR(__xludf.DUMMYFUNCTION("""COMPUTED_VALUE"""),"01002151482")</f>
        <v>01002151482</v>
      </c>
      <c r="J794" s="6" t="str">
        <f ca="1">IFERROR(__xludf.DUMMYFUNCTION("""COMPUTED_VALUE"""),"19014")</f>
        <v>19014</v>
      </c>
      <c r="K794" s="6" t="str">
        <f ca="1">IFERROR(__xludf.DUMMYFUNCTION("""COMPUTED_VALUE"""),"خصم 20% علي جميع التحاليل")</f>
        <v>خصم 20% علي جميع التحاليل</v>
      </c>
    </row>
    <row r="795" spans="1:11" x14ac:dyDescent="0.25">
      <c r="A795" s="4" t="str">
        <f ca="1">IFERROR(__xludf.DUMMYFUNCTION("""COMPUTED_VALUE"""),"1897-B")</f>
        <v>1897-B</v>
      </c>
      <c r="B795" s="5" t="str">
        <f ca="1">IFERROR(__xludf.DUMMYFUNCTION("""COMPUTED_VALUE"""),"المنوفية")</f>
        <v>المنوفية</v>
      </c>
      <c r="C795" s="5" t="str">
        <f ca="1">IFERROR(__xludf.DUMMYFUNCTION("""COMPUTED_VALUE"""),"منوف")</f>
        <v>منوف</v>
      </c>
      <c r="D795" s="5" t="str">
        <f ca="1">IFERROR(__xludf.DUMMYFUNCTION("""COMPUTED_VALUE"""),"معمل")</f>
        <v>معمل</v>
      </c>
      <c r="E795" s="5" t="str">
        <f ca="1">IFERROR(__xludf.DUMMYFUNCTION("""COMPUTED_VALUE"""),"معمل")</f>
        <v>معمل</v>
      </c>
      <c r="F795" s="5" t="str">
        <f ca="1">IFERROR(__xludf.DUMMYFUNCTION("""COMPUTED_VALUE"""),"معمل التحاليل الطبية")</f>
        <v>معمل التحاليل الطبية</v>
      </c>
      <c r="G795" s="5" t="str">
        <f ca="1">IFERROR(__xludf.DUMMYFUNCTION("""COMPUTED_VALUE"""),"معمل المختبر (د. مؤمنة كامل)")</f>
        <v>معمل المختبر (د. مؤمنة كامل)</v>
      </c>
      <c r="H795" s="5" t="str">
        <f ca="1">IFERROR(__xludf.DUMMYFUNCTION("""COMPUTED_VALUE"""),"شارع بورسعيد البحري والتحرير البحري -منوف -المنوفية")</f>
        <v>شارع بورسعيد البحري والتحرير البحري -منوف -المنوفية</v>
      </c>
      <c r="I795" s="6" t="str">
        <f ca="1">IFERROR(__xludf.DUMMYFUNCTION("""COMPUTED_VALUE"""),"01002182358")</f>
        <v>01002182358</v>
      </c>
      <c r="J795" s="6" t="str">
        <f ca="1">IFERROR(__xludf.DUMMYFUNCTION("""COMPUTED_VALUE"""),"19014")</f>
        <v>19014</v>
      </c>
      <c r="K795" s="6" t="str">
        <f ca="1">IFERROR(__xludf.DUMMYFUNCTION("""COMPUTED_VALUE"""),"خصم 20% علي جميع التحاليل")</f>
        <v>خصم 20% علي جميع التحاليل</v>
      </c>
    </row>
    <row r="796" spans="1:11" x14ac:dyDescent="0.25">
      <c r="A796" s="4" t="str">
        <f ca="1">IFERROR(__xludf.DUMMYFUNCTION("""COMPUTED_VALUE"""),"1897-B")</f>
        <v>1897-B</v>
      </c>
      <c r="B796" s="5" t="str">
        <f ca="1">IFERROR(__xludf.DUMMYFUNCTION("""COMPUTED_VALUE"""),"المنيا")</f>
        <v>المنيا</v>
      </c>
      <c r="C796" s="5" t="str">
        <f ca="1">IFERROR(__xludf.DUMMYFUNCTION("""COMPUTED_VALUE"""),"المنيا")</f>
        <v>المنيا</v>
      </c>
      <c r="D796" s="5" t="str">
        <f ca="1">IFERROR(__xludf.DUMMYFUNCTION("""COMPUTED_VALUE"""),"معمل")</f>
        <v>معمل</v>
      </c>
      <c r="E796" s="5" t="str">
        <f ca="1">IFERROR(__xludf.DUMMYFUNCTION("""COMPUTED_VALUE"""),"معمل")</f>
        <v>معمل</v>
      </c>
      <c r="F796" s="5" t="str">
        <f ca="1">IFERROR(__xludf.DUMMYFUNCTION("""COMPUTED_VALUE"""),"معمل التحاليل الطبية")</f>
        <v>معمل التحاليل الطبية</v>
      </c>
      <c r="G796" s="5" t="str">
        <f ca="1">IFERROR(__xludf.DUMMYFUNCTION("""COMPUTED_VALUE"""),"معمل المختبر (د. مؤمنة كامل)")</f>
        <v>معمل المختبر (د. مؤمنة كامل)</v>
      </c>
      <c r="H796" s="5" t="str">
        <f ca="1">IFERROR(__xludf.DUMMYFUNCTION("""COMPUTED_VALUE"""),"27 شارع حسيبمع احمد ماهر - بجوار مطاعم المحمدي - مدينة - المنيا")</f>
        <v>27 شارع حسيبمع احمد ماهر - بجوار مطاعم المحمدي - مدينة - المنيا</v>
      </c>
      <c r="I796" s="6" t="str">
        <f ca="1">IFERROR(__xludf.DUMMYFUNCTION("""COMPUTED_VALUE"""),"01012225108")</f>
        <v>01012225108</v>
      </c>
      <c r="J796" s="6" t="str">
        <f ca="1">IFERROR(__xludf.DUMMYFUNCTION("""COMPUTED_VALUE"""),"19014")</f>
        <v>19014</v>
      </c>
      <c r="K796" s="6" t="str">
        <f ca="1">IFERROR(__xludf.DUMMYFUNCTION("""COMPUTED_VALUE"""),"خصم 20% علي جميع التحاليل")</f>
        <v>خصم 20% علي جميع التحاليل</v>
      </c>
    </row>
    <row r="797" spans="1:11" x14ac:dyDescent="0.25">
      <c r="A797" s="4" t="str">
        <f ca="1">IFERROR(__xludf.DUMMYFUNCTION("""COMPUTED_VALUE"""),"1897-B")</f>
        <v>1897-B</v>
      </c>
      <c r="B797" s="5" t="str">
        <f ca="1">IFERROR(__xludf.DUMMYFUNCTION("""COMPUTED_VALUE"""),"المنيا")</f>
        <v>المنيا</v>
      </c>
      <c r="C797" s="5" t="str">
        <f ca="1">IFERROR(__xludf.DUMMYFUNCTION("""COMPUTED_VALUE"""),"المنيا")</f>
        <v>المنيا</v>
      </c>
      <c r="D797" s="5" t="str">
        <f ca="1">IFERROR(__xludf.DUMMYFUNCTION("""COMPUTED_VALUE"""),"معمل")</f>
        <v>معمل</v>
      </c>
      <c r="E797" s="5" t="str">
        <f ca="1">IFERROR(__xludf.DUMMYFUNCTION("""COMPUTED_VALUE"""),"معمل")</f>
        <v>معمل</v>
      </c>
      <c r="F797" s="5" t="str">
        <f ca="1">IFERROR(__xludf.DUMMYFUNCTION("""COMPUTED_VALUE"""),"معمل التحاليل الطبية")</f>
        <v>معمل التحاليل الطبية</v>
      </c>
      <c r="G797" s="5" t="str">
        <f ca="1">IFERROR(__xludf.DUMMYFUNCTION("""COMPUTED_VALUE"""),"معمل المختبر (د. مؤمنة كامل)")</f>
        <v>معمل المختبر (د. مؤمنة كامل)</v>
      </c>
      <c r="H797" s="5" t="str">
        <f ca="1">IFERROR(__xludf.DUMMYFUNCTION("""COMPUTED_VALUE"""),"ميدان المحطة  (سعد زغلول)– برج سافوي - مدينة المنيا - المنيا")</f>
        <v>ميدان المحطة  (سعد زغلول)– برج سافوي - مدينة المنيا - المنيا</v>
      </c>
      <c r="I797" s="6" t="str">
        <f ca="1">IFERROR(__xludf.DUMMYFUNCTION("""COMPUTED_VALUE"""),"01090011264")</f>
        <v>01090011264</v>
      </c>
      <c r="J797" s="6" t="str">
        <f ca="1">IFERROR(__xludf.DUMMYFUNCTION("""COMPUTED_VALUE"""),"19014")</f>
        <v>19014</v>
      </c>
      <c r="K797" s="6" t="str">
        <f ca="1">IFERROR(__xludf.DUMMYFUNCTION("""COMPUTED_VALUE"""),"خصم 20% علي جميع التحاليل")</f>
        <v>خصم 20% علي جميع التحاليل</v>
      </c>
    </row>
    <row r="798" spans="1:11" x14ac:dyDescent="0.25">
      <c r="A798" s="4" t="str">
        <f ca="1">IFERROR(__xludf.DUMMYFUNCTION("""COMPUTED_VALUE"""),"1897-B")</f>
        <v>1897-B</v>
      </c>
      <c r="B798" s="5" t="str">
        <f ca="1">IFERROR(__xludf.DUMMYFUNCTION("""COMPUTED_VALUE"""),"المنيا")</f>
        <v>المنيا</v>
      </c>
      <c r="C798" s="5" t="str">
        <f ca="1">IFERROR(__xludf.DUMMYFUNCTION("""COMPUTED_VALUE"""),"بني مزار")</f>
        <v>بني مزار</v>
      </c>
      <c r="D798" s="5" t="str">
        <f ca="1">IFERROR(__xludf.DUMMYFUNCTION("""COMPUTED_VALUE"""),"معمل")</f>
        <v>معمل</v>
      </c>
      <c r="E798" s="5" t="str">
        <f ca="1">IFERROR(__xludf.DUMMYFUNCTION("""COMPUTED_VALUE"""),"معمل")</f>
        <v>معمل</v>
      </c>
      <c r="F798" s="5" t="str">
        <f ca="1">IFERROR(__xludf.DUMMYFUNCTION("""COMPUTED_VALUE"""),"معمل التحاليل الطبية")</f>
        <v>معمل التحاليل الطبية</v>
      </c>
      <c r="G798" s="5" t="str">
        <f ca="1">IFERROR(__xludf.DUMMYFUNCTION("""COMPUTED_VALUE"""),"معمل المختبر (د. مؤمنة كامل)")</f>
        <v>معمل المختبر (د. مؤمنة كامل)</v>
      </c>
      <c r="H798" s="5" t="str">
        <f ca="1">IFERROR(__xludf.DUMMYFUNCTION("""COMPUTED_VALUE"""),"شارع العاشر من رمضان برج - برج ابو زغروت - الدور الاول - مركز ابو مزار - المنيا")</f>
        <v>شارع العاشر من رمضان برج - برج ابو زغروت - الدور الاول - مركز ابو مزار - المنيا</v>
      </c>
      <c r="I798" s="6" t="str">
        <f ca="1">IFERROR(__xludf.DUMMYFUNCTION("""COMPUTED_VALUE"""),"01012112799")</f>
        <v>01012112799</v>
      </c>
      <c r="J798" s="6" t="str">
        <f ca="1">IFERROR(__xludf.DUMMYFUNCTION("""COMPUTED_VALUE"""),"19014")</f>
        <v>19014</v>
      </c>
      <c r="K798" s="6" t="str">
        <f ca="1">IFERROR(__xludf.DUMMYFUNCTION("""COMPUTED_VALUE"""),"خصم 20% علي جميع التحاليل")</f>
        <v>خصم 20% علي جميع التحاليل</v>
      </c>
    </row>
    <row r="799" spans="1:11" x14ac:dyDescent="0.25">
      <c r="A799" s="4" t="str">
        <f ca="1">IFERROR(__xludf.DUMMYFUNCTION("""COMPUTED_VALUE"""),"1897-B")</f>
        <v>1897-B</v>
      </c>
      <c r="B799" s="5" t="str">
        <f ca="1">IFERROR(__xludf.DUMMYFUNCTION("""COMPUTED_VALUE"""),"المنيا")</f>
        <v>المنيا</v>
      </c>
      <c r="C799" s="5" t="str">
        <f ca="1">IFERROR(__xludf.DUMMYFUNCTION("""COMPUTED_VALUE"""),"سمالوط")</f>
        <v>سمالوط</v>
      </c>
      <c r="D799" s="5" t="str">
        <f ca="1">IFERROR(__xludf.DUMMYFUNCTION("""COMPUTED_VALUE"""),"معمل")</f>
        <v>معمل</v>
      </c>
      <c r="E799" s="5" t="str">
        <f ca="1">IFERROR(__xludf.DUMMYFUNCTION("""COMPUTED_VALUE"""),"معمل")</f>
        <v>معمل</v>
      </c>
      <c r="F799" s="5" t="str">
        <f ca="1">IFERROR(__xludf.DUMMYFUNCTION("""COMPUTED_VALUE"""),"معمل التحاليل الطبية")</f>
        <v>معمل التحاليل الطبية</v>
      </c>
      <c r="G799" s="5" t="str">
        <f ca="1">IFERROR(__xludf.DUMMYFUNCTION("""COMPUTED_VALUE"""),"معمل المختبر (د. مؤمنة كامل)")</f>
        <v>معمل المختبر (د. مؤمنة كامل)</v>
      </c>
      <c r="H799" s="5" t="str">
        <f ca="1">IFERROR(__xludf.DUMMYFUNCTION("""COMPUTED_VALUE"""),"1 شارع عامر معصرة سمالوط ( موقف المنيا بجوار البنك الاهلي ) - سمالوط - المنيا")</f>
        <v>1 شارع عامر معصرة سمالوط ( موقف المنيا بجوار البنك الاهلي ) - سمالوط - المنيا</v>
      </c>
      <c r="I799" s="6" t="str">
        <f ca="1">IFERROR(__xludf.DUMMYFUNCTION("""COMPUTED_VALUE"""),"01012044004")</f>
        <v>01012044004</v>
      </c>
      <c r="J799" s="6" t="str">
        <f ca="1">IFERROR(__xludf.DUMMYFUNCTION("""COMPUTED_VALUE"""),"19014")</f>
        <v>19014</v>
      </c>
      <c r="K799" s="6" t="str">
        <f ca="1">IFERROR(__xludf.DUMMYFUNCTION("""COMPUTED_VALUE"""),"خصم 20% علي جميع التحاليل")</f>
        <v>خصم 20% علي جميع التحاليل</v>
      </c>
    </row>
    <row r="800" spans="1:11" x14ac:dyDescent="0.25">
      <c r="A800" s="4" t="str">
        <f ca="1">IFERROR(__xludf.DUMMYFUNCTION("""COMPUTED_VALUE"""),"1897-B")</f>
        <v>1897-B</v>
      </c>
      <c r="B800" s="5" t="str">
        <f ca="1">IFERROR(__xludf.DUMMYFUNCTION("""COMPUTED_VALUE"""),"المنيا")</f>
        <v>المنيا</v>
      </c>
      <c r="C800" s="5" t="str">
        <f ca="1">IFERROR(__xludf.DUMMYFUNCTION("""COMPUTED_VALUE"""),"مغاغة")</f>
        <v>مغاغة</v>
      </c>
      <c r="D800" s="5" t="str">
        <f ca="1">IFERROR(__xludf.DUMMYFUNCTION("""COMPUTED_VALUE"""),"معمل")</f>
        <v>معمل</v>
      </c>
      <c r="E800" s="5" t="str">
        <f ca="1">IFERROR(__xludf.DUMMYFUNCTION("""COMPUTED_VALUE"""),"معمل")</f>
        <v>معمل</v>
      </c>
      <c r="F800" s="5" t="str">
        <f ca="1">IFERROR(__xludf.DUMMYFUNCTION("""COMPUTED_VALUE"""),"معمل التحاليل الطبية")</f>
        <v>معمل التحاليل الطبية</v>
      </c>
      <c r="G800" s="5" t="str">
        <f ca="1">IFERROR(__xludf.DUMMYFUNCTION("""COMPUTED_VALUE"""),"معمل المختبر (د. مؤمنة كامل)")</f>
        <v>معمل المختبر (د. مؤمنة كامل)</v>
      </c>
      <c r="H800" s="5" t="str">
        <f ca="1">IFERROR(__xludf.DUMMYFUNCTION("""COMPUTED_VALUE"""),"شارع طه حسين امام مسجد ابو العلا-مغاغة -المنيا")</f>
        <v>شارع طه حسين امام مسجد ابو العلا-مغاغة -المنيا</v>
      </c>
      <c r="I800" s="6" t="str">
        <f ca="1">IFERROR(__xludf.DUMMYFUNCTION("""COMPUTED_VALUE"""),"01000103068")</f>
        <v>01000103068</v>
      </c>
      <c r="J800" s="6" t="str">
        <f ca="1">IFERROR(__xludf.DUMMYFUNCTION("""COMPUTED_VALUE"""),"19014")</f>
        <v>19014</v>
      </c>
      <c r="K800" s="6" t="str">
        <f ca="1">IFERROR(__xludf.DUMMYFUNCTION("""COMPUTED_VALUE"""),"خصم 20% علي جميع التحاليل")</f>
        <v>خصم 20% علي جميع التحاليل</v>
      </c>
    </row>
    <row r="801" spans="1:11" x14ac:dyDescent="0.25">
      <c r="A801" s="4" t="str">
        <f ca="1">IFERROR(__xludf.DUMMYFUNCTION("""COMPUTED_VALUE"""),"1897-B")</f>
        <v>1897-B</v>
      </c>
      <c r="B801" s="5" t="str">
        <f ca="1">IFERROR(__xludf.DUMMYFUNCTION("""COMPUTED_VALUE"""),"المنيا")</f>
        <v>المنيا</v>
      </c>
      <c r="C801" s="5" t="str">
        <f ca="1">IFERROR(__xludf.DUMMYFUNCTION("""COMPUTED_VALUE"""),"ملوي")</f>
        <v>ملوي</v>
      </c>
      <c r="D801" s="5" t="str">
        <f ca="1">IFERROR(__xludf.DUMMYFUNCTION("""COMPUTED_VALUE"""),"معمل")</f>
        <v>معمل</v>
      </c>
      <c r="E801" s="5" t="str">
        <f ca="1">IFERROR(__xludf.DUMMYFUNCTION("""COMPUTED_VALUE"""),"معمل")</f>
        <v>معمل</v>
      </c>
      <c r="F801" s="5" t="str">
        <f ca="1">IFERROR(__xludf.DUMMYFUNCTION("""COMPUTED_VALUE"""),"معمل التحاليل الطبية")</f>
        <v>معمل التحاليل الطبية</v>
      </c>
      <c r="G801" s="5" t="str">
        <f ca="1">IFERROR(__xludf.DUMMYFUNCTION("""COMPUTED_VALUE"""),"معمل المختبر (د. مؤمنة كامل)")</f>
        <v>معمل المختبر (د. مؤمنة كامل)</v>
      </c>
      <c r="H801" s="5" t="str">
        <f ca="1">IFERROR(__xludf.DUMMYFUNCTION("""COMPUTED_VALUE"""),"47 ش مسجد العرفانى- ملوى  - المنيا")</f>
        <v>47 ش مسجد العرفانى- ملوى  - المنيا</v>
      </c>
      <c r="I801" s="6" t="str">
        <f ca="1">IFERROR(__xludf.DUMMYFUNCTION("""COMPUTED_VALUE"""),"01026090997")</f>
        <v>01026090997</v>
      </c>
      <c r="J801" s="6" t="str">
        <f ca="1">IFERROR(__xludf.DUMMYFUNCTION("""COMPUTED_VALUE"""),"19014")</f>
        <v>19014</v>
      </c>
      <c r="K801" s="6" t="str">
        <f ca="1">IFERROR(__xludf.DUMMYFUNCTION("""COMPUTED_VALUE"""),"خصم 20% علي جميع التحاليل")</f>
        <v>خصم 20% علي جميع التحاليل</v>
      </c>
    </row>
    <row r="802" spans="1:11" x14ac:dyDescent="0.25">
      <c r="A802" s="4" t="str">
        <f ca="1">IFERROR(__xludf.DUMMYFUNCTION("""COMPUTED_VALUE"""),"1897-B")</f>
        <v>1897-B</v>
      </c>
      <c r="B802" s="5" t="str">
        <f ca="1">IFERROR(__xludf.DUMMYFUNCTION("""COMPUTED_VALUE"""),"الوادى الجديد")</f>
        <v>الوادى الجديد</v>
      </c>
      <c r="C802" s="5" t="str">
        <f ca="1">IFERROR(__xludf.DUMMYFUNCTION("""COMPUTED_VALUE"""),"الداخلة")</f>
        <v>الداخلة</v>
      </c>
      <c r="D802" s="5" t="str">
        <f ca="1">IFERROR(__xludf.DUMMYFUNCTION("""COMPUTED_VALUE"""),"معمل")</f>
        <v>معمل</v>
      </c>
      <c r="E802" s="5" t="str">
        <f ca="1">IFERROR(__xludf.DUMMYFUNCTION("""COMPUTED_VALUE"""),"معمل")</f>
        <v>معمل</v>
      </c>
      <c r="F802" s="5" t="str">
        <f ca="1">IFERROR(__xludf.DUMMYFUNCTION("""COMPUTED_VALUE"""),"معمل التحاليل الطبية")</f>
        <v>معمل التحاليل الطبية</v>
      </c>
      <c r="G802" s="5" t="str">
        <f ca="1">IFERROR(__xludf.DUMMYFUNCTION("""COMPUTED_VALUE"""),"معمل المختبر (د. مؤمنة كامل)")</f>
        <v>معمل المختبر (د. مؤمنة كامل)</v>
      </c>
      <c r="H802" s="5" t="str">
        <f ca="1">IFERROR(__xludf.DUMMYFUNCTION("""COMPUTED_VALUE"""),"ش النبوى المهندس بجوار فندق الواحة الخارجية - الداخلة - الوادي الجديد")</f>
        <v>ش النبوى المهندس بجوار فندق الواحة الخارجية - الداخلة - الوادي الجديد</v>
      </c>
      <c r="I802" s="6" t="str">
        <f ca="1">IFERROR(__xludf.DUMMYFUNCTION("""COMPUTED_VALUE"""),"01028829898
")</f>
        <v xml:space="preserve">01028829898
</v>
      </c>
      <c r="J802" s="6" t="str">
        <f ca="1">IFERROR(__xludf.DUMMYFUNCTION("""COMPUTED_VALUE"""),"19014")</f>
        <v>19014</v>
      </c>
      <c r="K802" s="6" t="str">
        <f ca="1">IFERROR(__xludf.DUMMYFUNCTION("""COMPUTED_VALUE"""),"خصم 20% علي جميع التحاليل")</f>
        <v>خصم 20% علي جميع التحاليل</v>
      </c>
    </row>
    <row r="803" spans="1:11" x14ac:dyDescent="0.25">
      <c r="A803" s="4" t="str">
        <f ca="1">IFERROR(__xludf.DUMMYFUNCTION("""COMPUTED_VALUE"""),"1897-B")</f>
        <v>1897-B</v>
      </c>
      <c r="B803" s="5" t="str">
        <f ca="1">IFERROR(__xludf.DUMMYFUNCTION("""COMPUTED_VALUE"""),"أسوان")</f>
        <v>أسوان</v>
      </c>
      <c r="C803" s="5" t="str">
        <f ca="1">IFERROR(__xludf.DUMMYFUNCTION("""COMPUTED_VALUE"""),"ادفو")</f>
        <v>ادفو</v>
      </c>
      <c r="D803" s="5" t="str">
        <f ca="1">IFERROR(__xludf.DUMMYFUNCTION("""COMPUTED_VALUE"""),"معمل")</f>
        <v>معمل</v>
      </c>
      <c r="E803" s="5" t="str">
        <f ca="1">IFERROR(__xludf.DUMMYFUNCTION("""COMPUTED_VALUE"""),"معمل")</f>
        <v>معمل</v>
      </c>
      <c r="F803" s="5" t="str">
        <f ca="1">IFERROR(__xludf.DUMMYFUNCTION("""COMPUTED_VALUE"""),"معمل التحاليل الطبية")</f>
        <v>معمل التحاليل الطبية</v>
      </c>
      <c r="G803" s="5" t="str">
        <f ca="1">IFERROR(__xludf.DUMMYFUNCTION("""COMPUTED_VALUE"""),"معمل المختبر (د. مؤمنة كامل)")</f>
        <v>معمل المختبر (د. مؤمنة كامل)</v>
      </c>
      <c r="H803" s="5" t="str">
        <f ca="1">IFERROR(__xludf.DUMMYFUNCTION("""COMPUTED_VALUE"""),"شارع 23 يوليو امام التأمين الصحى - الدور الثالث - ادفو - أسوان")</f>
        <v>شارع 23 يوليو امام التأمين الصحى - الدور الثالث - ادفو - أسوان</v>
      </c>
      <c r="I803" s="6" t="str">
        <f ca="1">IFERROR(__xludf.DUMMYFUNCTION("""COMPUTED_VALUE"""),"01026649866")</f>
        <v>01026649866</v>
      </c>
      <c r="J803" s="6" t="str">
        <f ca="1">IFERROR(__xludf.DUMMYFUNCTION("""COMPUTED_VALUE"""),"19014")</f>
        <v>19014</v>
      </c>
      <c r="K803" s="6" t="str">
        <f ca="1">IFERROR(__xludf.DUMMYFUNCTION("""COMPUTED_VALUE"""),"خصم 20% علي جميع التحاليل")</f>
        <v>خصم 20% علي جميع التحاليل</v>
      </c>
    </row>
    <row r="804" spans="1:11" x14ac:dyDescent="0.25">
      <c r="A804" s="4" t="str">
        <f ca="1">IFERROR(__xludf.DUMMYFUNCTION("""COMPUTED_VALUE"""),"1897-B")</f>
        <v>1897-B</v>
      </c>
      <c r="B804" s="5" t="str">
        <f ca="1">IFERROR(__xludf.DUMMYFUNCTION("""COMPUTED_VALUE"""),"أسوان")</f>
        <v>أسوان</v>
      </c>
      <c r="C804" s="5" t="str">
        <f ca="1">IFERROR(__xludf.DUMMYFUNCTION("""COMPUTED_VALUE"""),"أسوان")</f>
        <v>أسوان</v>
      </c>
      <c r="D804" s="5" t="str">
        <f ca="1">IFERROR(__xludf.DUMMYFUNCTION("""COMPUTED_VALUE"""),"معمل")</f>
        <v>معمل</v>
      </c>
      <c r="E804" s="5" t="str">
        <f ca="1">IFERROR(__xludf.DUMMYFUNCTION("""COMPUTED_VALUE"""),"معمل")</f>
        <v>معمل</v>
      </c>
      <c r="F804" s="5" t="str">
        <f ca="1">IFERROR(__xludf.DUMMYFUNCTION("""COMPUTED_VALUE"""),"معمل التحاليل الطبية")</f>
        <v>معمل التحاليل الطبية</v>
      </c>
      <c r="G804" s="5" t="str">
        <f ca="1">IFERROR(__xludf.DUMMYFUNCTION("""COMPUTED_VALUE"""),"معمل المختبر (د. مؤمنة كامل)")</f>
        <v>معمل المختبر (د. مؤمنة كامل)</v>
      </c>
      <c r="H804" s="5" t="str">
        <f ca="1">IFERROR(__xludf.DUMMYFUNCTION("""COMPUTED_VALUE"""),"97شارع كورنيش النيل- عمارة موبينيل-أسوان")</f>
        <v>97شارع كورنيش النيل- عمارة موبينيل-أسوان</v>
      </c>
      <c r="I804" s="6" t="str">
        <f ca="1">IFERROR(__xludf.DUMMYFUNCTION("""COMPUTED_VALUE"""),"01090011209")</f>
        <v>01090011209</v>
      </c>
      <c r="J804" s="6" t="str">
        <f ca="1">IFERROR(__xludf.DUMMYFUNCTION("""COMPUTED_VALUE"""),"19014")</f>
        <v>19014</v>
      </c>
      <c r="K804" s="6" t="str">
        <f ca="1">IFERROR(__xludf.DUMMYFUNCTION("""COMPUTED_VALUE"""),"خصم 20% علي جميع التحاليل")</f>
        <v>خصم 20% علي جميع التحاليل</v>
      </c>
    </row>
    <row r="805" spans="1:11" x14ac:dyDescent="0.25">
      <c r="A805" s="4" t="str">
        <f ca="1">IFERROR(__xludf.DUMMYFUNCTION("""COMPUTED_VALUE"""),"1897-B")</f>
        <v>1897-B</v>
      </c>
      <c r="B805" s="5" t="str">
        <f ca="1">IFERROR(__xludf.DUMMYFUNCTION("""COMPUTED_VALUE"""),"أسوان")</f>
        <v>أسوان</v>
      </c>
      <c r="C805" s="5" t="str">
        <f ca="1">IFERROR(__xludf.DUMMYFUNCTION("""COMPUTED_VALUE"""),"كوم امبو")</f>
        <v>كوم امبو</v>
      </c>
      <c r="D805" s="5" t="str">
        <f ca="1">IFERROR(__xludf.DUMMYFUNCTION("""COMPUTED_VALUE"""),"معمل")</f>
        <v>معمل</v>
      </c>
      <c r="E805" s="5" t="str">
        <f ca="1">IFERROR(__xludf.DUMMYFUNCTION("""COMPUTED_VALUE"""),"معمل")</f>
        <v>معمل</v>
      </c>
      <c r="F805" s="5" t="str">
        <f ca="1">IFERROR(__xludf.DUMMYFUNCTION("""COMPUTED_VALUE"""),"معمل التحاليل الطبية")</f>
        <v>معمل التحاليل الطبية</v>
      </c>
      <c r="G805" s="5" t="str">
        <f ca="1">IFERROR(__xludf.DUMMYFUNCTION("""COMPUTED_VALUE"""),"معمل المختبر (د. مؤمنة كامل)")</f>
        <v>معمل المختبر (د. مؤمنة كامل)</v>
      </c>
      <c r="H805" s="5" t="str">
        <f ca="1">IFERROR(__xludf.DUMMYFUNCTION("""COMPUTED_VALUE"""),"شارع بور سعيد امام البنك الأهلي الصري - محطة السكة الحديد-كوم امبو-أسوان")</f>
        <v>شارع بور سعيد امام البنك الأهلي الصري - محطة السكة الحديد-كوم امبو-أسوان</v>
      </c>
      <c r="I805" s="6" t="str">
        <f ca="1">IFERROR(__xludf.DUMMYFUNCTION("""COMPUTED_VALUE"""),"01069974029")</f>
        <v>01069974029</v>
      </c>
      <c r="J805" s="6" t="str">
        <f ca="1">IFERROR(__xludf.DUMMYFUNCTION("""COMPUTED_VALUE"""),"19014")</f>
        <v>19014</v>
      </c>
      <c r="K805" s="6" t="str">
        <f ca="1">IFERROR(__xludf.DUMMYFUNCTION("""COMPUTED_VALUE"""),"خصم 20% علي جميع التحاليل")</f>
        <v>خصم 20% علي جميع التحاليل</v>
      </c>
    </row>
    <row r="806" spans="1:11" x14ac:dyDescent="0.25">
      <c r="A806" s="4" t="str">
        <f ca="1">IFERROR(__xludf.DUMMYFUNCTION("""COMPUTED_VALUE"""),"1897-B")</f>
        <v>1897-B</v>
      </c>
      <c r="B806" s="5" t="str">
        <f ca="1">IFERROR(__xludf.DUMMYFUNCTION("""COMPUTED_VALUE"""),"أسيوط")</f>
        <v>أسيوط</v>
      </c>
      <c r="C806" s="5" t="str">
        <f ca="1">IFERROR(__xludf.DUMMYFUNCTION("""COMPUTED_VALUE"""),"القوصية")</f>
        <v>القوصية</v>
      </c>
      <c r="D806" s="5" t="str">
        <f ca="1">IFERROR(__xludf.DUMMYFUNCTION("""COMPUTED_VALUE"""),"معمل")</f>
        <v>معمل</v>
      </c>
      <c r="E806" s="5" t="str">
        <f ca="1">IFERROR(__xludf.DUMMYFUNCTION("""COMPUTED_VALUE"""),"معمل")</f>
        <v>معمل</v>
      </c>
      <c r="F806" s="5" t="str">
        <f ca="1">IFERROR(__xludf.DUMMYFUNCTION("""COMPUTED_VALUE"""),"معمل التحاليل الطبية")</f>
        <v>معمل التحاليل الطبية</v>
      </c>
      <c r="G806" s="5" t="str">
        <f ca="1">IFERROR(__xludf.DUMMYFUNCTION("""COMPUTED_VALUE"""),"معمل المختبر (د. مؤمنة كامل)")</f>
        <v>معمل المختبر (د. مؤمنة كامل)</v>
      </c>
      <c r="H806" s="5" t="str">
        <f ca="1">IFERROR(__xludf.DUMMYFUNCTION("""COMPUTED_VALUE"""),"شارع الجلاء اعلى بنك القاهرة - مركز القوصية - أسيوط")</f>
        <v>شارع الجلاء اعلى بنك القاهرة - مركز القوصية - أسيوط</v>
      </c>
      <c r="I806" s="6" t="str">
        <f ca="1">IFERROR(__xludf.DUMMYFUNCTION("""COMPUTED_VALUE"""),"01019978778")</f>
        <v>01019978778</v>
      </c>
      <c r="J806" s="6" t="str">
        <f ca="1">IFERROR(__xludf.DUMMYFUNCTION("""COMPUTED_VALUE"""),"19014")</f>
        <v>19014</v>
      </c>
      <c r="K806" s="6" t="str">
        <f ca="1">IFERROR(__xludf.DUMMYFUNCTION("""COMPUTED_VALUE"""),"خصم 20% علي جميع التحاليل")</f>
        <v>خصم 20% علي جميع التحاليل</v>
      </c>
    </row>
    <row r="807" spans="1:11" x14ac:dyDescent="0.25">
      <c r="A807" s="4" t="str">
        <f ca="1">IFERROR(__xludf.DUMMYFUNCTION("""COMPUTED_VALUE"""),"1897-B")</f>
        <v>1897-B</v>
      </c>
      <c r="B807" s="5" t="str">
        <f ca="1">IFERROR(__xludf.DUMMYFUNCTION("""COMPUTED_VALUE"""),"أسيوط")</f>
        <v>أسيوط</v>
      </c>
      <c r="C807" s="5" t="str">
        <f ca="1">IFERROR(__xludf.DUMMYFUNCTION("""COMPUTED_VALUE"""),"أسيوط")</f>
        <v>أسيوط</v>
      </c>
      <c r="D807" s="5" t="str">
        <f ca="1">IFERROR(__xludf.DUMMYFUNCTION("""COMPUTED_VALUE"""),"معمل")</f>
        <v>معمل</v>
      </c>
      <c r="E807" s="5" t="str">
        <f ca="1">IFERROR(__xludf.DUMMYFUNCTION("""COMPUTED_VALUE"""),"معمل")</f>
        <v>معمل</v>
      </c>
      <c r="F807" s="5" t="str">
        <f ca="1">IFERROR(__xludf.DUMMYFUNCTION("""COMPUTED_VALUE"""),"معمل التحاليل الطبية")</f>
        <v>معمل التحاليل الطبية</v>
      </c>
      <c r="G807" s="5" t="str">
        <f ca="1">IFERROR(__xludf.DUMMYFUNCTION("""COMPUTED_VALUE"""),"معمل المختبر (د. مؤمنة كامل)")</f>
        <v>معمل المختبر (د. مؤمنة كامل)</v>
      </c>
      <c r="H807" s="5" t="str">
        <f ca="1">IFERROR(__xludf.DUMMYFUNCTION("""COMPUTED_VALUE"""),"1أ ش ابراج النصر حى ثانى - أسيوط - ش حسن الباقورنى")</f>
        <v>1أ ش ابراج النصر حى ثانى - أسيوط - ش حسن الباقورنى</v>
      </c>
      <c r="I807" s="6" t="str">
        <f ca="1">IFERROR(__xludf.DUMMYFUNCTION("""COMPUTED_VALUE"""),"01012224942")</f>
        <v>01012224942</v>
      </c>
      <c r="J807" s="6" t="str">
        <f ca="1">IFERROR(__xludf.DUMMYFUNCTION("""COMPUTED_VALUE"""),"19014")</f>
        <v>19014</v>
      </c>
      <c r="K807" s="6" t="str">
        <f ca="1">IFERROR(__xludf.DUMMYFUNCTION("""COMPUTED_VALUE"""),"خصم 20% علي جميع التحاليل")</f>
        <v>خصم 20% علي جميع التحاليل</v>
      </c>
    </row>
    <row r="808" spans="1:11" x14ac:dyDescent="0.25">
      <c r="A808" s="4" t="str">
        <f ca="1">IFERROR(__xludf.DUMMYFUNCTION("""COMPUTED_VALUE"""),"1897-B")</f>
        <v>1897-B</v>
      </c>
      <c r="B808" s="5" t="str">
        <f ca="1">IFERROR(__xludf.DUMMYFUNCTION("""COMPUTED_VALUE"""),"أسيوط")</f>
        <v>أسيوط</v>
      </c>
      <c r="C808" s="5" t="str">
        <f ca="1">IFERROR(__xludf.DUMMYFUNCTION("""COMPUTED_VALUE"""),"أسيوط")</f>
        <v>أسيوط</v>
      </c>
      <c r="D808" s="5" t="str">
        <f ca="1">IFERROR(__xludf.DUMMYFUNCTION("""COMPUTED_VALUE"""),"معمل")</f>
        <v>معمل</v>
      </c>
      <c r="E808" s="5" t="str">
        <f ca="1">IFERROR(__xludf.DUMMYFUNCTION("""COMPUTED_VALUE"""),"معمل")</f>
        <v>معمل</v>
      </c>
      <c r="F808" s="5" t="str">
        <f ca="1">IFERROR(__xludf.DUMMYFUNCTION("""COMPUTED_VALUE"""),"معمل التحاليل الطبية")</f>
        <v>معمل التحاليل الطبية</v>
      </c>
      <c r="G808" s="5" t="str">
        <f ca="1">IFERROR(__xludf.DUMMYFUNCTION("""COMPUTED_VALUE"""),"معمل المختبر (د. مؤمنة كامل)")</f>
        <v>معمل المختبر (د. مؤمنة كامل)</v>
      </c>
      <c r="H808" s="5" t="str">
        <f ca="1">IFERROR(__xludf.DUMMYFUNCTION("""COMPUTED_VALUE"""),"4شارع يسري راغب – برج الأوقاف- أسيوط")</f>
        <v>4شارع يسري راغب – برج الأوقاف- أسيوط</v>
      </c>
      <c r="I808" s="6" t="str">
        <f ca="1">IFERROR(__xludf.DUMMYFUNCTION("""COMPUTED_VALUE"""),"01028833912")</f>
        <v>01028833912</v>
      </c>
      <c r="J808" s="6" t="str">
        <f ca="1">IFERROR(__xludf.DUMMYFUNCTION("""COMPUTED_VALUE"""),"19014")</f>
        <v>19014</v>
      </c>
      <c r="K808" s="6" t="str">
        <f ca="1">IFERROR(__xludf.DUMMYFUNCTION("""COMPUTED_VALUE"""),"خصم 20% علي جميع التحاليل")</f>
        <v>خصم 20% علي جميع التحاليل</v>
      </c>
    </row>
    <row r="809" spans="1:11" x14ac:dyDescent="0.25">
      <c r="A809" s="4" t="str">
        <f ca="1">IFERROR(__xludf.DUMMYFUNCTION("""COMPUTED_VALUE"""),"104199-B")</f>
        <v>104199-B</v>
      </c>
      <c r="B809" s="5" t="str">
        <f ca="1">IFERROR(__xludf.DUMMYFUNCTION("""COMPUTED_VALUE"""),"بني سويف")</f>
        <v>بني سويف</v>
      </c>
      <c r="C809" s="5" t="str">
        <f ca="1">IFERROR(__xludf.DUMMYFUNCTION("""COMPUTED_VALUE"""),"بني سويف")</f>
        <v>بني سويف</v>
      </c>
      <c r="D809" s="5" t="str">
        <f ca="1">IFERROR(__xludf.DUMMYFUNCTION("""COMPUTED_VALUE"""),"معمل")</f>
        <v>معمل</v>
      </c>
      <c r="E809" s="5" t="str">
        <f ca="1">IFERROR(__xludf.DUMMYFUNCTION("""COMPUTED_VALUE"""),"معمل")</f>
        <v>معمل</v>
      </c>
      <c r="F809" s="5" t="str">
        <f ca="1">IFERROR(__xludf.DUMMYFUNCTION("""COMPUTED_VALUE"""),"معمل التحاليل الطبية")</f>
        <v>معمل التحاليل الطبية</v>
      </c>
      <c r="G809" s="5" t="str">
        <f ca="1">IFERROR(__xludf.DUMMYFUNCTION("""COMPUTED_VALUE"""),"معامل ترست")</f>
        <v>معامل ترست</v>
      </c>
      <c r="H809" s="5" t="str">
        <f ca="1">IFERROR(__xludf.DUMMYFUNCTION("""COMPUTED_VALUE"""),"شارع بورسعيد - برج الندي  - بني سويف .")</f>
        <v>شارع بورسعيد - برج الندي  - بني سويف .</v>
      </c>
      <c r="I809" s="6" t="str">
        <f ca="1">IFERROR(__xludf.DUMMYFUNCTION("""COMPUTED_VALUE"""),"20822333698")</f>
        <v>20822333698</v>
      </c>
      <c r="J809" s="6" t="str">
        <f ca="1">IFERROR(__xludf.DUMMYFUNCTION("""COMPUTED_VALUE"""),"16183")</f>
        <v>16183</v>
      </c>
      <c r="K809" s="6" t="str">
        <f ca="1">IFERROR(__xludf.DUMMYFUNCTION("""COMPUTED_VALUE"""),"خصم 30% علي الاسعار المعلنة")</f>
        <v>خصم 30% علي الاسعار المعلنة</v>
      </c>
    </row>
    <row r="810" spans="1:11" x14ac:dyDescent="0.25">
      <c r="A810" s="4" t="str">
        <f ca="1">IFERROR(__xludf.DUMMYFUNCTION("""COMPUTED_VALUE"""),"104199-B")</f>
        <v>104199-B</v>
      </c>
      <c r="B810" s="5" t="str">
        <f ca="1">IFERROR(__xludf.DUMMYFUNCTION("""COMPUTED_VALUE"""),"بني سويف")</f>
        <v>بني سويف</v>
      </c>
      <c r="C810" s="5" t="str">
        <f ca="1">IFERROR(__xludf.DUMMYFUNCTION("""COMPUTED_VALUE"""),"بني سويف")</f>
        <v>بني سويف</v>
      </c>
      <c r="D810" s="5" t="str">
        <f ca="1">IFERROR(__xludf.DUMMYFUNCTION("""COMPUTED_VALUE"""),"معمل")</f>
        <v>معمل</v>
      </c>
      <c r="E810" s="5" t="str">
        <f ca="1">IFERROR(__xludf.DUMMYFUNCTION("""COMPUTED_VALUE"""),"معمل")</f>
        <v>معمل</v>
      </c>
      <c r="F810" s="5" t="str">
        <f ca="1">IFERROR(__xludf.DUMMYFUNCTION("""COMPUTED_VALUE"""),"معمل التحاليل الطبية")</f>
        <v>معمل التحاليل الطبية</v>
      </c>
      <c r="G810" s="5" t="str">
        <f ca="1">IFERROR(__xludf.DUMMYFUNCTION("""COMPUTED_VALUE"""),"معامل ترست")</f>
        <v>معامل ترست</v>
      </c>
      <c r="H810" s="5" t="str">
        <f ca="1">IFERROR(__xludf.DUMMYFUNCTION("""COMPUTED_VALUE"""),"شارع صلاح سالم - أعلى الدوغري - بني سويف .")</f>
        <v>شارع صلاح سالم - أعلى الدوغري - بني سويف .</v>
      </c>
      <c r="I810" s="6" t="str">
        <f ca="1">IFERROR(__xludf.DUMMYFUNCTION("""COMPUTED_VALUE"""),"20822162095")</f>
        <v>20822162095</v>
      </c>
      <c r="J810" s="6" t="str">
        <f ca="1">IFERROR(__xludf.DUMMYFUNCTION("""COMPUTED_VALUE"""),"16183")</f>
        <v>16183</v>
      </c>
      <c r="K810" s="6" t="str">
        <f ca="1">IFERROR(__xludf.DUMMYFUNCTION("""COMPUTED_VALUE"""),"خصم 30% علي الاسعار المعلنة")</f>
        <v>خصم 30% علي الاسعار المعلنة</v>
      </c>
    </row>
    <row r="811" spans="1:11" x14ac:dyDescent="0.25">
      <c r="A811" s="4" t="str">
        <f ca="1">IFERROR(__xludf.DUMMYFUNCTION("""COMPUTED_VALUE"""),"1897-B")</f>
        <v>1897-B</v>
      </c>
      <c r="B811" s="5" t="str">
        <f ca="1">IFERROR(__xludf.DUMMYFUNCTION("""COMPUTED_VALUE"""),"بني سويف")</f>
        <v>بني سويف</v>
      </c>
      <c r="C811" s="5" t="str">
        <f ca="1">IFERROR(__xludf.DUMMYFUNCTION("""COMPUTED_VALUE"""),"بني سويف")</f>
        <v>بني سويف</v>
      </c>
      <c r="D811" s="5" t="str">
        <f ca="1">IFERROR(__xludf.DUMMYFUNCTION("""COMPUTED_VALUE"""),"معمل")</f>
        <v>معمل</v>
      </c>
      <c r="E811" s="5" t="str">
        <f ca="1">IFERROR(__xludf.DUMMYFUNCTION("""COMPUTED_VALUE"""),"معمل")</f>
        <v>معمل</v>
      </c>
      <c r="F811" s="5" t="str">
        <f ca="1">IFERROR(__xludf.DUMMYFUNCTION("""COMPUTED_VALUE"""),"معمل التحاليل الطبية")</f>
        <v>معمل التحاليل الطبية</v>
      </c>
      <c r="G811" s="5" t="str">
        <f ca="1">IFERROR(__xludf.DUMMYFUNCTION("""COMPUTED_VALUE"""),"معمل المختبر (د. مؤمنة كامل)")</f>
        <v>معمل المختبر (د. مؤمنة كامل)</v>
      </c>
      <c r="H811" s="5" t="str">
        <f ca="1">IFERROR(__xludf.DUMMYFUNCTION("""COMPUTED_VALUE"""),"13 شارع متولي الشعراوي - عبد السلام عارف سابقا - منطقة الفلل - الدور 1 -بني سويف")</f>
        <v>13 شارع متولي الشعراوي - عبد السلام عارف سابقا - منطقة الفلل - الدور 1 -بني سويف</v>
      </c>
      <c r="I811" s="6" t="str">
        <f ca="1">IFERROR(__xludf.DUMMYFUNCTION("""COMPUTED_VALUE"""),"01015020154")</f>
        <v>01015020154</v>
      </c>
      <c r="J811" s="6" t="str">
        <f ca="1">IFERROR(__xludf.DUMMYFUNCTION("""COMPUTED_VALUE"""),"19014")</f>
        <v>19014</v>
      </c>
      <c r="K811" s="6" t="str">
        <f ca="1">IFERROR(__xludf.DUMMYFUNCTION("""COMPUTED_VALUE"""),"خصم 20% علي جميع التحاليل")</f>
        <v>خصم 20% علي جميع التحاليل</v>
      </c>
    </row>
    <row r="812" spans="1:11" x14ac:dyDescent="0.25">
      <c r="A812" s="4" t="str">
        <f ca="1">IFERROR(__xludf.DUMMYFUNCTION("""COMPUTED_VALUE"""),"1897-B")</f>
        <v>1897-B</v>
      </c>
      <c r="B812" s="5" t="str">
        <f ca="1">IFERROR(__xludf.DUMMYFUNCTION("""COMPUTED_VALUE"""),"بني سويف")</f>
        <v>بني سويف</v>
      </c>
      <c r="C812" s="5" t="str">
        <f ca="1">IFERROR(__xludf.DUMMYFUNCTION("""COMPUTED_VALUE"""),"بني سويف")</f>
        <v>بني سويف</v>
      </c>
      <c r="D812" s="5" t="str">
        <f ca="1">IFERROR(__xludf.DUMMYFUNCTION("""COMPUTED_VALUE"""),"معمل")</f>
        <v>معمل</v>
      </c>
      <c r="E812" s="5" t="str">
        <f ca="1">IFERROR(__xludf.DUMMYFUNCTION("""COMPUTED_VALUE"""),"معمل")</f>
        <v>معمل</v>
      </c>
      <c r="F812" s="5" t="str">
        <f ca="1">IFERROR(__xludf.DUMMYFUNCTION("""COMPUTED_VALUE"""),"معمل التحاليل الطبية")</f>
        <v>معمل التحاليل الطبية</v>
      </c>
      <c r="G812" s="5" t="str">
        <f ca="1">IFERROR(__xludf.DUMMYFUNCTION("""COMPUTED_VALUE"""),"معمل المختبر (د. مؤمنة كامل)")</f>
        <v>معمل المختبر (د. مؤمنة كامل)</v>
      </c>
      <c r="H812" s="5" t="str">
        <f ca="1">IFERROR(__xludf.DUMMYFUNCTION("""COMPUTED_VALUE"""),"6ميدان حارث - ناصية شارع الجبالي -بني سويف")</f>
        <v>6ميدان حارث - ناصية شارع الجبالي -بني سويف</v>
      </c>
      <c r="I812" s="6" t="str">
        <f ca="1">IFERROR(__xludf.DUMMYFUNCTION("""COMPUTED_VALUE"""),"01090011223")</f>
        <v>01090011223</v>
      </c>
      <c r="J812" s="6" t="str">
        <f ca="1">IFERROR(__xludf.DUMMYFUNCTION("""COMPUTED_VALUE"""),"19014")</f>
        <v>19014</v>
      </c>
      <c r="K812" s="6" t="str">
        <f ca="1">IFERROR(__xludf.DUMMYFUNCTION("""COMPUTED_VALUE"""),"خصم 20% علي جميع التحاليل")</f>
        <v>خصم 20% علي جميع التحاليل</v>
      </c>
    </row>
    <row r="813" spans="1:11" x14ac:dyDescent="0.25">
      <c r="A813" s="4" t="str">
        <f ca="1">IFERROR(__xludf.DUMMYFUNCTION("""COMPUTED_VALUE"""),"1897-B")</f>
        <v>1897-B</v>
      </c>
      <c r="B813" s="5" t="str">
        <f ca="1">IFERROR(__xludf.DUMMYFUNCTION("""COMPUTED_VALUE"""),"بني سويف")</f>
        <v>بني سويف</v>
      </c>
      <c r="C813" s="5" t="str">
        <f ca="1">IFERROR(__xludf.DUMMYFUNCTION("""COMPUTED_VALUE"""),"الواسطى")</f>
        <v>الواسطى</v>
      </c>
      <c r="D813" s="5" t="str">
        <f ca="1">IFERROR(__xludf.DUMMYFUNCTION("""COMPUTED_VALUE"""),"معمل")</f>
        <v>معمل</v>
      </c>
      <c r="E813" s="5" t="str">
        <f ca="1">IFERROR(__xludf.DUMMYFUNCTION("""COMPUTED_VALUE"""),"معمل")</f>
        <v>معمل</v>
      </c>
      <c r="F813" s="5" t="str">
        <f ca="1">IFERROR(__xludf.DUMMYFUNCTION("""COMPUTED_VALUE"""),"معمل التحاليل الطبية")</f>
        <v>معمل التحاليل الطبية</v>
      </c>
      <c r="G813" s="5" t="str">
        <f ca="1">IFERROR(__xludf.DUMMYFUNCTION("""COMPUTED_VALUE"""),"معمل المختبر (د. مؤمنة كامل)")</f>
        <v>معمل المختبر (د. مؤمنة كامل)</v>
      </c>
      <c r="H813" s="5" t="str">
        <f ca="1">IFERROR(__xludf.DUMMYFUNCTION("""COMPUTED_VALUE"""),"تقاطع ش احمد عرابى مع ش المركز بجوار مصوغات وديع - بنى سويف")</f>
        <v>تقاطع ش احمد عرابى مع ش المركز بجوار مصوغات وديع - بنى سويف</v>
      </c>
      <c r="I813" s="6" t="str">
        <f ca="1">IFERROR(__xludf.DUMMYFUNCTION("""COMPUTED_VALUE"""),"01012655001")</f>
        <v>01012655001</v>
      </c>
      <c r="J813" s="6" t="str">
        <f ca="1">IFERROR(__xludf.DUMMYFUNCTION("""COMPUTED_VALUE"""),"19014")</f>
        <v>19014</v>
      </c>
      <c r="K813" s="6" t="str">
        <f ca="1">IFERROR(__xludf.DUMMYFUNCTION("""COMPUTED_VALUE"""),"خصم 20% علي جميع التحاليل")</f>
        <v>خصم 20% علي جميع التحاليل</v>
      </c>
    </row>
    <row r="814" spans="1:11" x14ac:dyDescent="0.25">
      <c r="A814" s="4" t="str">
        <f ca="1">IFERROR(__xludf.DUMMYFUNCTION("""COMPUTED_VALUE"""),"1816-B")</f>
        <v>1816-B</v>
      </c>
      <c r="B814" s="5" t="str">
        <f ca="1">IFERROR(__xludf.DUMMYFUNCTION("""COMPUTED_VALUE"""),"بورسعيد")</f>
        <v>بورسعيد</v>
      </c>
      <c r="C814" s="5" t="str">
        <f ca="1">IFERROR(__xludf.DUMMYFUNCTION("""COMPUTED_VALUE"""),"بورسعيد")</f>
        <v>بورسعيد</v>
      </c>
      <c r="D814" s="5" t="str">
        <f ca="1">IFERROR(__xludf.DUMMYFUNCTION("""COMPUTED_VALUE"""),"معمل")</f>
        <v>معمل</v>
      </c>
      <c r="E814" s="5" t="str">
        <f ca="1">IFERROR(__xludf.DUMMYFUNCTION("""COMPUTED_VALUE"""),"معمل")</f>
        <v>معمل</v>
      </c>
      <c r="F814" s="5" t="str">
        <f ca="1">IFERROR(__xludf.DUMMYFUNCTION("""COMPUTED_VALUE"""),"معمل التحاليل الطبية")</f>
        <v>معمل التحاليل الطبية</v>
      </c>
      <c r="G814" s="5" t="str">
        <f ca="1">IFERROR(__xludf.DUMMYFUNCTION("""COMPUTED_VALUE"""),"معامل ميترا")</f>
        <v>معامل ميترا</v>
      </c>
      <c r="H814" s="5" t="str">
        <f ca="1">IFERROR(__xludf.DUMMYFUNCTION("""COMPUTED_VALUE"""),"5000وحدة - عمارة 130 بجوار البولاقي للسيراميك - الدور الأرضي - بورسعيد")</f>
        <v>5000وحدة - عمارة 130 بجوار البولاقي للسيراميك - الدور الأرضي - بورسعيد</v>
      </c>
      <c r="I814" s="6" t="str">
        <f ca="1">IFERROR(__xludf.DUMMYFUNCTION("""COMPUTED_VALUE"""),"20663633383")</f>
        <v>20663633383</v>
      </c>
      <c r="J814" s="6" t="str">
        <f ca="1">IFERROR(__xludf.DUMMYFUNCTION("""COMPUTED_VALUE"""),"15232")</f>
        <v>15232</v>
      </c>
      <c r="K814" s="6" t="str">
        <f ca="1">IFERROR(__xludf.DUMMYFUNCTION("""COMPUTED_VALUE"""),"خصم 40% علي الاسعار النقدي")</f>
        <v>خصم 40% علي الاسعار النقدي</v>
      </c>
    </row>
    <row r="815" spans="1:11" x14ac:dyDescent="0.25">
      <c r="A815" s="4" t="str">
        <f ca="1">IFERROR(__xludf.DUMMYFUNCTION("""COMPUTED_VALUE"""),"1816")</f>
        <v>1816</v>
      </c>
      <c r="B815" s="5" t="str">
        <f ca="1">IFERROR(__xludf.DUMMYFUNCTION("""COMPUTED_VALUE"""),"بورسعيد")</f>
        <v>بورسعيد</v>
      </c>
      <c r="C815" s="5" t="str">
        <f ca="1">IFERROR(__xludf.DUMMYFUNCTION("""COMPUTED_VALUE"""),"بورسعيد")</f>
        <v>بورسعيد</v>
      </c>
      <c r="D815" s="5" t="str">
        <f ca="1">IFERROR(__xludf.DUMMYFUNCTION("""COMPUTED_VALUE"""),"معمل")</f>
        <v>معمل</v>
      </c>
      <c r="E815" s="5" t="str">
        <f ca="1">IFERROR(__xludf.DUMMYFUNCTION("""COMPUTED_VALUE"""),"معمل")</f>
        <v>معمل</v>
      </c>
      <c r="F815" s="5" t="str">
        <f ca="1">IFERROR(__xludf.DUMMYFUNCTION("""COMPUTED_VALUE"""),"معمل التحاليل الطبية")</f>
        <v>معمل التحاليل الطبية</v>
      </c>
      <c r="G815" s="5" t="str">
        <f ca="1">IFERROR(__xludf.DUMMYFUNCTION("""COMPUTED_VALUE"""),"معامل ميترا")</f>
        <v>معامل ميترا</v>
      </c>
      <c r="H815" s="5" t="str">
        <f ca="1">IFERROR(__xludf.DUMMYFUNCTION("""COMPUTED_VALUE"""),"ش محمد علي و التجاري - برج الايمان الدور الثاني-بورسعيد")</f>
        <v>ش محمد علي و التجاري - برج الايمان الدور الثاني-بورسعيد</v>
      </c>
      <c r="I815" s="6" t="str">
        <f ca="1">IFERROR(__xludf.DUMMYFUNCTION("""COMPUTED_VALUE"""),"20663333328")</f>
        <v>20663333328</v>
      </c>
      <c r="J815" s="6" t="str">
        <f ca="1">IFERROR(__xludf.DUMMYFUNCTION("""COMPUTED_VALUE"""),"15232")</f>
        <v>15232</v>
      </c>
      <c r="K815" s="6" t="str">
        <f ca="1">IFERROR(__xludf.DUMMYFUNCTION("""COMPUTED_VALUE"""),"خصم 40% علي الاسعار النقدي")</f>
        <v>خصم 40% علي الاسعار النقدي</v>
      </c>
    </row>
    <row r="816" spans="1:11" x14ac:dyDescent="0.25">
      <c r="A816" s="4" t="str">
        <f ca="1">IFERROR(__xludf.DUMMYFUNCTION("""COMPUTED_VALUE"""),"1816-B")</f>
        <v>1816-B</v>
      </c>
      <c r="B816" s="5" t="str">
        <f ca="1">IFERROR(__xludf.DUMMYFUNCTION("""COMPUTED_VALUE"""),"بورسعيد")</f>
        <v>بورسعيد</v>
      </c>
      <c r="C816" s="5" t="str">
        <f ca="1">IFERROR(__xludf.DUMMYFUNCTION("""COMPUTED_VALUE"""),"بورسعيد")</f>
        <v>بورسعيد</v>
      </c>
      <c r="D816" s="5" t="str">
        <f ca="1">IFERROR(__xludf.DUMMYFUNCTION("""COMPUTED_VALUE"""),"معمل")</f>
        <v>معمل</v>
      </c>
      <c r="E816" s="5" t="str">
        <f ca="1">IFERROR(__xludf.DUMMYFUNCTION("""COMPUTED_VALUE"""),"معمل")</f>
        <v>معمل</v>
      </c>
      <c r="F816" s="5" t="str">
        <f ca="1">IFERROR(__xludf.DUMMYFUNCTION("""COMPUTED_VALUE"""),"معمل التحاليل الطبية")</f>
        <v>معمل التحاليل الطبية</v>
      </c>
      <c r="G816" s="5" t="str">
        <f ca="1">IFERROR(__xludf.DUMMYFUNCTION("""COMPUTED_VALUE"""),"معامل ميترا")</f>
        <v>معامل ميترا</v>
      </c>
      <c r="H816" s="5" t="str">
        <f ca="1">IFERROR(__xludf.DUMMYFUNCTION("""COMPUTED_VALUE"""),"شارع أوجينا والجيش - بجوار خير زمان - الدور الأول - بورسعيد")</f>
        <v>شارع أوجينا والجيش - بجوار خير زمان - الدور الأول - بورسعيد</v>
      </c>
      <c r="I816" s="6" t="str">
        <f ca="1">IFERROR(__xludf.DUMMYFUNCTION("""COMPUTED_VALUE"""),"201012300009")</f>
        <v>201012300009</v>
      </c>
      <c r="J816" s="6" t="str">
        <f ca="1">IFERROR(__xludf.DUMMYFUNCTION("""COMPUTED_VALUE"""),"15232")</f>
        <v>15232</v>
      </c>
      <c r="K816" s="6" t="str">
        <f ca="1">IFERROR(__xludf.DUMMYFUNCTION("""COMPUTED_VALUE"""),"خصم 40% علي الاسعار النقدي")</f>
        <v>خصم 40% علي الاسعار النقدي</v>
      </c>
    </row>
    <row r="817" spans="1:11" x14ac:dyDescent="0.25">
      <c r="A817" s="4" t="str">
        <f ca="1">IFERROR(__xludf.DUMMYFUNCTION("""COMPUTED_VALUE"""),"1897-B")</f>
        <v>1897-B</v>
      </c>
      <c r="B817" s="5" t="str">
        <f ca="1">IFERROR(__xludf.DUMMYFUNCTION("""COMPUTED_VALUE"""),"بورسعيد")</f>
        <v>بورسعيد</v>
      </c>
      <c r="C817" s="5" t="str">
        <f ca="1">IFERROR(__xludf.DUMMYFUNCTION("""COMPUTED_VALUE"""),"بورسعيد")</f>
        <v>بورسعيد</v>
      </c>
      <c r="D817" s="5" t="str">
        <f ca="1">IFERROR(__xludf.DUMMYFUNCTION("""COMPUTED_VALUE"""),"معمل")</f>
        <v>معمل</v>
      </c>
      <c r="E817" s="5" t="str">
        <f ca="1">IFERROR(__xludf.DUMMYFUNCTION("""COMPUTED_VALUE"""),"معمل")</f>
        <v>معمل</v>
      </c>
      <c r="F817" s="5" t="str">
        <f ca="1">IFERROR(__xludf.DUMMYFUNCTION("""COMPUTED_VALUE"""),"معمل التحاليل الطبية")</f>
        <v>معمل التحاليل الطبية</v>
      </c>
      <c r="G817" s="5" t="str">
        <f ca="1">IFERROR(__xludf.DUMMYFUNCTION("""COMPUTED_VALUE"""),"معمل المختبر (د. مؤمنة كامل)")</f>
        <v>معمل المختبر (د. مؤمنة كامل)</v>
      </c>
      <c r="H817" s="5" t="str">
        <f ca="1">IFERROR(__xludf.DUMMYFUNCTION("""COMPUTED_VALUE"""),"برج سندس - أمام مستشفى النصر - حي الزهور -بورسعيد")</f>
        <v>برج سندس - أمام مستشفى النصر - حي الزهور -بورسعيد</v>
      </c>
      <c r="I817" s="6" t="str">
        <f ca="1">IFERROR(__xludf.DUMMYFUNCTION("""COMPUTED_VALUE"""),"01090011276")</f>
        <v>01090011276</v>
      </c>
      <c r="J817" s="6" t="str">
        <f ca="1">IFERROR(__xludf.DUMMYFUNCTION("""COMPUTED_VALUE"""),"19014")</f>
        <v>19014</v>
      </c>
      <c r="K817" s="6" t="str">
        <f ca="1">IFERROR(__xludf.DUMMYFUNCTION("""COMPUTED_VALUE"""),"خصم 20% علي جميع التحاليل")</f>
        <v>خصم 20% علي جميع التحاليل</v>
      </c>
    </row>
    <row r="818" spans="1:11" x14ac:dyDescent="0.25">
      <c r="A818" s="4" t="str">
        <f ca="1">IFERROR(__xludf.DUMMYFUNCTION("""COMPUTED_VALUE"""),"1897-B")</f>
        <v>1897-B</v>
      </c>
      <c r="B818" s="5" t="str">
        <f ca="1">IFERROR(__xludf.DUMMYFUNCTION("""COMPUTED_VALUE"""),"بورسعيد")</f>
        <v>بورسعيد</v>
      </c>
      <c r="C818" s="5" t="str">
        <f ca="1">IFERROR(__xludf.DUMMYFUNCTION("""COMPUTED_VALUE"""),"بورسعيد")</f>
        <v>بورسعيد</v>
      </c>
      <c r="D818" s="5" t="str">
        <f ca="1">IFERROR(__xludf.DUMMYFUNCTION("""COMPUTED_VALUE"""),"معمل")</f>
        <v>معمل</v>
      </c>
      <c r="E818" s="5" t="str">
        <f ca="1">IFERROR(__xludf.DUMMYFUNCTION("""COMPUTED_VALUE"""),"معمل")</f>
        <v>معمل</v>
      </c>
      <c r="F818" s="5" t="str">
        <f ca="1">IFERROR(__xludf.DUMMYFUNCTION("""COMPUTED_VALUE"""),"معمل التحاليل الطبية")</f>
        <v>معمل التحاليل الطبية</v>
      </c>
      <c r="G818" s="5" t="str">
        <f ca="1">IFERROR(__xludf.DUMMYFUNCTION("""COMPUTED_VALUE"""),"معمل المختبر (د. مؤمنة كامل)")</f>
        <v>معمل المختبر (د. مؤمنة كامل)</v>
      </c>
      <c r="H818" s="5" t="str">
        <f ca="1">IFERROR(__xludf.DUMMYFUNCTION("""COMPUTED_VALUE"""),"شارع الجمهورية – مجمع البريد الإستثماري - شقة 14-بورسعيد")</f>
        <v>شارع الجمهورية – مجمع البريد الإستثماري - شقة 14-بورسعيد</v>
      </c>
      <c r="I818" s="6" t="str">
        <f ca="1">IFERROR(__xludf.DUMMYFUNCTION("""COMPUTED_VALUE"""),"01090011238")</f>
        <v>01090011238</v>
      </c>
      <c r="J818" s="6" t="str">
        <f ca="1">IFERROR(__xludf.DUMMYFUNCTION("""COMPUTED_VALUE"""),"19014")</f>
        <v>19014</v>
      </c>
      <c r="K818" s="6" t="str">
        <f ca="1">IFERROR(__xludf.DUMMYFUNCTION("""COMPUTED_VALUE"""),"خصم 20% علي جميع التحاليل")</f>
        <v>خصم 20% علي جميع التحاليل</v>
      </c>
    </row>
    <row r="819" spans="1:11" x14ac:dyDescent="0.25">
      <c r="A819" s="4" t="str">
        <f ca="1">IFERROR(__xludf.DUMMYFUNCTION("""COMPUTED_VALUE"""),"1816-B")</f>
        <v>1816-B</v>
      </c>
      <c r="B819" s="5" t="str">
        <f ca="1">IFERROR(__xludf.DUMMYFUNCTION("""COMPUTED_VALUE"""),"بورسعيد")</f>
        <v>بورسعيد</v>
      </c>
      <c r="C819" s="5" t="str">
        <f ca="1">IFERROR(__xludf.DUMMYFUNCTION("""COMPUTED_VALUE"""),"بورفؤاد")</f>
        <v>بورفؤاد</v>
      </c>
      <c r="D819" s="5" t="str">
        <f ca="1">IFERROR(__xludf.DUMMYFUNCTION("""COMPUTED_VALUE"""),"معمل")</f>
        <v>معمل</v>
      </c>
      <c r="E819" s="5" t="str">
        <f ca="1">IFERROR(__xludf.DUMMYFUNCTION("""COMPUTED_VALUE"""),"معمل")</f>
        <v>معمل</v>
      </c>
      <c r="F819" s="5" t="str">
        <f ca="1">IFERROR(__xludf.DUMMYFUNCTION("""COMPUTED_VALUE"""),"معمل التحاليل الطبية")</f>
        <v>معمل التحاليل الطبية</v>
      </c>
      <c r="G819" s="5" t="str">
        <f ca="1">IFERROR(__xludf.DUMMYFUNCTION("""COMPUTED_VALUE"""),"معامل ميترا")</f>
        <v>معامل ميترا</v>
      </c>
      <c r="H819" s="5" t="str">
        <f ca="1">IFERROR(__xludf.DUMMYFUNCTION("""COMPUTED_VALUE"""),"شارع الجمهورية و شارع اثنين وعشرين بجوار بنك القاهرة-بورفؤاد-بورسعيد")</f>
        <v>شارع الجمهورية و شارع اثنين وعشرين بجوار بنك القاهرة-بورفؤاد-بورسعيد</v>
      </c>
      <c r="I819" s="6" t="str">
        <f ca="1">IFERROR(__xludf.DUMMYFUNCTION("""COMPUTED_VALUE"""),"20663400006")</f>
        <v>20663400006</v>
      </c>
      <c r="J819" s="6" t="str">
        <f ca="1">IFERROR(__xludf.DUMMYFUNCTION("""COMPUTED_VALUE"""),"15232")</f>
        <v>15232</v>
      </c>
      <c r="K819" s="6" t="str">
        <f ca="1">IFERROR(__xludf.DUMMYFUNCTION("""COMPUTED_VALUE"""),"خصم 40% علي الاسعار النقدي")</f>
        <v>خصم 40% علي الاسعار النقدي</v>
      </c>
    </row>
    <row r="820" spans="1:11" x14ac:dyDescent="0.25">
      <c r="A820" s="4" t="str">
        <f ca="1">IFERROR(__xludf.DUMMYFUNCTION("""COMPUTED_VALUE"""),"1897-B")</f>
        <v>1897-B</v>
      </c>
      <c r="B820" s="5" t="str">
        <f ca="1">IFERROR(__xludf.DUMMYFUNCTION("""COMPUTED_VALUE"""),"بورسعيد")</f>
        <v>بورسعيد</v>
      </c>
      <c r="C820" s="5" t="str">
        <f ca="1">IFERROR(__xludf.DUMMYFUNCTION("""COMPUTED_VALUE"""),"بورفؤاد")</f>
        <v>بورفؤاد</v>
      </c>
      <c r="D820" s="5" t="str">
        <f ca="1">IFERROR(__xludf.DUMMYFUNCTION("""COMPUTED_VALUE"""),"معمل")</f>
        <v>معمل</v>
      </c>
      <c r="E820" s="5" t="str">
        <f ca="1">IFERROR(__xludf.DUMMYFUNCTION("""COMPUTED_VALUE"""),"معمل")</f>
        <v>معمل</v>
      </c>
      <c r="F820" s="5" t="str">
        <f ca="1">IFERROR(__xludf.DUMMYFUNCTION("""COMPUTED_VALUE"""),"معمل التحاليل الطبية")</f>
        <v>معمل التحاليل الطبية</v>
      </c>
      <c r="G820" s="5" t="str">
        <f ca="1">IFERROR(__xludf.DUMMYFUNCTION("""COMPUTED_VALUE"""),"معمل المختبر (د. مؤمنة كامل)")</f>
        <v>معمل المختبر (د. مؤمنة كامل)</v>
      </c>
      <c r="H820" s="5" t="str">
        <f ca="1">IFERROR(__xludf.DUMMYFUNCTION("""COMPUTED_VALUE"""),"42 ش الشعراوي مدخل 3 – أمام مسجد الشعراوي - بور فؤاد -  بورسعيد.-بورفؤاد-بورسعيد")</f>
        <v>42 ش الشعراوي مدخل 3 – أمام مسجد الشعراوي - بور فؤاد -  بورسعيد.-بورفؤاد-بورسعيد</v>
      </c>
      <c r="I820" s="6" t="str">
        <f ca="1">IFERROR(__xludf.DUMMYFUNCTION("""COMPUTED_VALUE"""),"01002182359")</f>
        <v>01002182359</v>
      </c>
      <c r="J820" s="6" t="str">
        <f ca="1">IFERROR(__xludf.DUMMYFUNCTION("""COMPUTED_VALUE"""),"19014")</f>
        <v>19014</v>
      </c>
      <c r="K820" s="6" t="str">
        <f ca="1">IFERROR(__xludf.DUMMYFUNCTION("""COMPUTED_VALUE"""),"خصم 20% علي جميع التحاليل")</f>
        <v>خصم 20% علي جميع التحاليل</v>
      </c>
    </row>
    <row r="821" spans="1:11" x14ac:dyDescent="0.25">
      <c r="A821" s="4" t="str">
        <f ca="1">IFERROR(__xludf.DUMMYFUNCTION("""COMPUTED_VALUE"""),"1816-B")</f>
        <v>1816-B</v>
      </c>
      <c r="B821" s="5" t="str">
        <f ca="1">IFERROR(__xludf.DUMMYFUNCTION("""COMPUTED_VALUE"""),"دمياط")</f>
        <v>دمياط</v>
      </c>
      <c r="C821" s="5" t="str">
        <f ca="1">IFERROR(__xludf.DUMMYFUNCTION("""COMPUTED_VALUE"""),"دمياط")</f>
        <v>دمياط</v>
      </c>
      <c r="D821" s="5" t="str">
        <f ca="1">IFERROR(__xludf.DUMMYFUNCTION("""COMPUTED_VALUE"""),"معمل")</f>
        <v>معمل</v>
      </c>
      <c r="E821" s="5" t="str">
        <f ca="1">IFERROR(__xludf.DUMMYFUNCTION("""COMPUTED_VALUE"""),"معمل")</f>
        <v>معمل</v>
      </c>
      <c r="F821" s="5" t="str">
        <f ca="1">IFERROR(__xludf.DUMMYFUNCTION("""COMPUTED_VALUE"""),"معمل التحاليل الطبية")</f>
        <v>معمل التحاليل الطبية</v>
      </c>
      <c r="G821" s="5" t="str">
        <f ca="1">IFERROR(__xludf.DUMMYFUNCTION("""COMPUTED_VALUE"""),"معامل ميترا")</f>
        <v>معامل ميترا</v>
      </c>
      <c r="H821" s="5" t="str">
        <f ca="1">IFERROR(__xludf.DUMMYFUNCTION("""COMPUTED_VALUE"""),"برج التطبيقيين امام عمر افندى-دمياط")</f>
        <v>برج التطبيقيين امام عمر افندى-دمياط</v>
      </c>
      <c r="I821" s="6" t="str">
        <f ca="1">IFERROR(__xludf.DUMMYFUNCTION("""COMPUTED_VALUE"""),"20572226080")</f>
        <v>20572226080</v>
      </c>
      <c r="J821" s="6" t="str">
        <f ca="1">IFERROR(__xludf.DUMMYFUNCTION("""COMPUTED_VALUE"""),"15232")</f>
        <v>15232</v>
      </c>
      <c r="K821" s="6" t="str">
        <f ca="1">IFERROR(__xludf.DUMMYFUNCTION("""COMPUTED_VALUE"""),"خصم 40% علي الاسعار النقدي")</f>
        <v>خصم 40% علي الاسعار النقدي</v>
      </c>
    </row>
    <row r="822" spans="1:11" x14ac:dyDescent="0.25">
      <c r="A822" s="4" t="str">
        <f ca="1">IFERROR(__xludf.DUMMYFUNCTION("""COMPUTED_VALUE"""),"1897-B")</f>
        <v>1897-B</v>
      </c>
      <c r="B822" s="5" t="str">
        <f ca="1">IFERROR(__xludf.DUMMYFUNCTION("""COMPUTED_VALUE"""),"دمياط")</f>
        <v>دمياط</v>
      </c>
      <c r="C822" s="5" t="str">
        <f ca="1">IFERROR(__xludf.DUMMYFUNCTION("""COMPUTED_VALUE"""),"دمياط")</f>
        <v>دمياط</v>
      </c>
      <c r="D822" s="5" t="str">
        <f ca="1">IFERROR(__xludf.DUMMYFUNCTION("""COMPUTED_VALUE"""),"معمل")</f>
        <v>معمل</v>
      </c>
      <c r="E822" s="5" t="str">
        <f ca="1">IFERROR(__xludf.DUMMYFUNCTION("""COMPUTED_VALUE"""),"معمل")</f>
        <v>معمل</v>
      </c>
      <c r="F822" s="5" t="str">
        <f ca="1">IFERROR(__xludf.DUMMYFUNCTION("""COMPUTED_VALUE"""),"معمل التحاليل الطبية")</f>
        <v>معمل التحاليل الطبية</v>
      </c>
      <c r="G822" s="5" t="str">
        <f ca="1">IFERROR(__xludf.DUMMYFUNCTION("""COMPUTED_VALUE"""),"معمل المختبر (د. مؤمنة كامل)")</f>
        <v>معمل المختبر (د. مؤمنة كامل)</v>
      </c>
      <c r="H822" s="5" t="str">
        <f ca="1">IFERROR(__xludf.DUMMYFUNCTION("""COMPUTED_VALUE"""),"1ش د.أحمد المقدم أمام الموقف - دمياط (الشهير بشارع المحطة) - فارسكور - دمياط")</f>
        <v>1ش د.أحمد المقدم أمام الموقف - دمياط (الشهير بشارع المحطة) - فارسكور - دمياط</v>
      </c>
      <c r="I822" s="6" t="str">
        <f ca="1">IFERROR(__xludf.DUMMYFUNCTION("""COMPUTED_VALUE"""),"01028028639")</f>
        <v>01028028639</v>
      </c>
      <c r="J822" s="6" t="str">
        <f ca="1">IFERROR(__xludf.DUMMYFUNCTION("""COMPUTED_VALUE"""),"19014")</f>
        <v>19014</v>
      </c>
      <c r="K822" s="6" t="str">
        <f ca="1">IFERROR(__xludf.DUMMYFUNCTION("""COMPUTED_VALUE"""),"خصم 20% علي جميع التحاليل")</f>
        <v>خصم 20% علي جميع التحاليل</v>
      </c>
    </row>
    <row r="823" spans="1:11" x14ac:dyDescent="0.25">
      <c r="A823" s="4" t="str">
        <f ca="1">IFERROR(__xludf.DUMMYFUNCTION("""COMPUTED_VALUE"""),"1897-B")</f>
        <v>1897-B</v>
      </c>
      <c r="B823" s="5" t="str">
        <f ca="1">IFERROR(__xludf.DUMMYFUNCTION("""COMPUTED_VALUE"""),"دمياط")</f>
        <v>دمياط</v>
      </c>
      <c r="C823" s="5" t="str">
        <f ca="1">IFERROR(__xludf.DUMMYFUNCTION("""COMPUTED_VALUE"""),"دمياط")</f>
        <v>دمياط</v>
      </c>
      <c r="D823" s="5" t="str">
        <f ca="1">IFERROR(__xludf.DUMMYFUNCTION("""COMPUTED_VALUE"""),"معمل")</f>
        <v>معمل</v>
      </c>
      <c r="E823" s="5" t="str">
        <f ca="1">IFERROR(__xludf.DUMMYFUNCTION("""COMPUTED_VALUE"""),"معمل")</f>
        <v>معمل</v>
      </c>
      <c r="F823" s="5" t="str">
        <f ca="1">IFERROR(__xludf.DUMMYFUNCTION("""COMPUTED_VALUE"""),"معمل التحاليل الطبية")</f>
        <v>معمل التحاليل الطبية</v>
      </c>
      <c r="G823" s="5" t="str">
        <f ca="1">IFERROR(__xludf.DUMMYFUNCTION("""COMPUTED_VALUE"""),"معمل المختبر (د. مؤمنة كامل)")</f>
        <v>معمل المختبر (د. مؤمنة كامل)</v>
      </c>
      <c r="H823" s="5" t="str">
        <f ca="1">IFERROR(__xludf.DUMMYFUNCTION("""COMPUTED_VALUE"""),"كورنيش النيل عمارة التطبيقين - أمام قصر الثقافة-دمياط")</f>
        <v>كورنيش النيل عمارة التطبيقين - أمام قصر الثقافة-دمياط</v>
      </c>
      <c r="I823" s="6" t="str">
        <f ca="1">IFERROR(__xludf.DUMMYFUNCTION("""COMPUTED_VALUE"""),"01090011225")</f>
        <v>01090011225</v>
      </c>
      <c r="J823" s="6" t="str">
        <f ca="1">IFERROR(__xludf.DUMMYFUNCTION("""COMPUTED_VALUE"""),"19014")</f>
        <v>19014</v>
      </c>
      <c r="K823" s="6" t="str">
        <f ca="1">IFERROR(__xludf.DUMMYFUNCTION("""COMPUTED_VALUE"""),"خصم 20% علي جميع التحاليل")</f>
        <v>خصم 20% علي جميع التحاليل</v>
      </c>
    </row>
    <row r="824" spans="1:11" x14ac:dyDescent="0.25">
      <c r="A824" s="4" t="str">
        <f ca="1">IFERROR(__xludf.DUMMYFUNCTION("""COMPUTED_VALUE"""),"1816-B")</f>
        <v>1816-B</v>
      </c>
      <c r="B824" s="5" t="str">
        <f ca="1">IFERROR(__xludf.DUMMYFUNCTION("""COMPUTED_VALUE"""),"دمياط")</f>
        <v>دمياط</v>
      </c>
      <c r="C824" s="5" t="str">
        <f ca="1">IFERROR(__xludf.DUMMYFUNCTION("""COMPUTED_VALUE"""),"دمياط الجديدة")</f>
        <v>دمياط الجديدة</v>
      </c>
      <c r="D824" s="5" t="str">
        <f ca="1">IFERROR(__xludf.DUMMYFUNCTION("""COMPUTED_VALUE"""),"معمل")</f>
        <v>معمل</v>
      </c>
      <c r="E824" s="5" t="str">
        <f ca="1">IFERROR(__xludf.DUMMYFUNCTION("""COMPUTED_VALUE"""),"معمل")</f>
        <v>معمل</v>
      </c>
      <c r="F824" s="5" t="str">
        <f ca="1">IFERROR(__xludf.DUMMYFUNCTION("""COMPUTED_VALUE"""),"معمل التحاليل الطبية")</f>
        <v>معمل التحاليل الطبية</v>
      </c>
      <c r="G824" s="5" t="str">
        <f ca="1">IFERROR(__xludf.DUMMYFUNCTION("""COMPUTED_VALUE"""),"معامل ميترا")</f>
        <v>معامل ميترا</v>
      </c>
      <c r="H824" s="5" t="str">
        <f ca="1">IFERROR(__xludf.DUMMYFUNCTION("""COMPUTED_VALUE"""),"شارع الصعيدي أعلى كافيتريا سهر الليالي - الدور الأول - دمياط الجديدة - دمياط")</f>
        <v>شارع الصعيدي أعلى كافيتريا سهر الليالي - الدور الأول - دمياط الجديدة - دمياط</v>
      </c>
      <c r="I824" s="6" t="str">
        <f ca="1">IFERROR(__xludf.DUMMYFUNCTION("""COMPUTED_VALUE"""),"20572408040")</f>
        <v>20572408040</v>
      </c>
      <c r="J824" s="6" t="str">
        <f ca="1">IFERROR(__xludf.DUMMYFUNCTION("""COMPUTED_VALUE"""),"15232")</f>
        <v>15232</v>
      </c>
      <c r="K824" s="6" t="str">
        <f ca="1">IFERROR(__xludf.DUMMYFUNCTION("""COMPUTED_VALUE"""),"خصم 40% علي الاسعار النقدي")</f>
        <v>خصم 40% علي الاسعار النقدي</v>
      </c>
    </row>
    <row r="825" spans="1:11" x14ac:dyDescent="0.25">
      <c r="A825" s="4" t="str">
        <f ca="1">IFERROR(__xludf.DUMMYFUNCTION("""COMPUTED_VALUE"""),"1897-B")</f>
        <v>1897-B</v>
      </c>
      <c r="B825" s="5" t="str">
        <f ca="1">IFERROR(__xludf.DUMMYFUNCTION("""COMPUTED_VALUE"""),"دمياط")</f>
        <v>دمياط</v>
      </c>
      <c r="C825" s="5" t="str">
        <f ca="1">IFERROR(__xludf.DUMMYFUNCTION("""COMPUTED_VALUE"""),"دمياط الجديدة")</f>
        <v>دمياط الجديدة</v>
      </c>
      <c r="D825" s="5" t="str">
        <f ca="1">IFERROR(__xludf.DUMMYFUNCTION("""COMPUTED_VALUE"""),"معمل")</f>
        <v>معمل</v>
      </c>
      <c r="E825" s="5" t="str">
        <f ca="1">IFERROR(__xludf.DUMMYFUNCTION("""COMPUTED_VALUE"""),"معمل")</f>
        <v>معمل</v>
      </c>
      <c r="F825" s="5" t="str">
        <f ca="1">IFERROR(__xludf.DUMMYFUNCTION("""COMPUTED_VALUE"""),"معمل التحاليل الطبية")</f>
        <v>معمل التحاليل الطبية</v>
      </c>
      <c r="G825" s="5" t="str">
        <f ca="1">IFERROR(__xludf.DUMMYFUNCTION("""COMPUTED_VALUE"""),"معمل المختبر (د. مؤمنة كامل)")</f>
        <v>معمل المختبر (د. مؤمنة كامل)</v>
      </c>
      <c r="H825" s="5" t="str">
        <f ca="1">IFERROR(__xludf.DUMMYFUNCTION("""COMPUTED_VALUE"""),"شارع حسب الله الكفراوي (شارع الصعيدي) المجاورة الثالثة - دمياط الجديدة-دمياط")</f>
        <v>شارع حسب الله الكفراوي (شارع الصعيدي) المجاورة الثالثة - دمياط الجديدة-دمياط</v>
      </c>
      <c r="I825" s="6" t="str">
        <f ca="1">IFERROR(__xludf.DUMMYFUNCTION("""COMPUTED_VALUE"""),"01069973989")</f>
        <v>01069973989</v>
      </c>
      <c r="J825" s="6" t="str">
        <f ca="1">IFERROR(__xludf.DUMMYFUNCTION("""COMPUTED_VALUE"""),"19014")</f>
        <v>19014</v>
      </c>
      <c r="K825" s="6" t="str">
        <f ca="1">IFERROR(__xludf.DUMMYFUNCTION("""COMPUTED_VALUE"""),"خصم 20% علي جميع التحاليل")</f>
        <v>خصم 20% علي جميع التحاليل</v>
      </c>
    </row>
    <row r="826" spans="1:11" x14ac:dyDescent="0.25">
      <c r="A826" s="4" t="str">
        <f ca="1">IFERROR(__xludf.DUMMYFUNCTION("""COMPUTED_VALUE"""),"1897-B")</f>
        <v>1897-B</v>
      </c>
      <c r="B826" s="5" t="str">
        <f ca="1">IFERROR(__xludf.DUMMYFUNCTION("""COMPUTED_VALUE"""),"سوهاج")</f>
        <v>سوهاج</v>
      </c>
      <c r="C826" s="5" t="str">
        <f ca="1">IFERROR(__xludf.DUMMYFUNCTION("""COMPUTED_VALUE"""),"جرجا")</f>
        <v>جرجا</v>
      </c>
      <c r="D826" s="5" t="str">
        <f ca="1">IFERROR(__xludf.DUMMYFUNCTION("""COMPUTED_VALUE"""),"معمل")</f>
        <v>معمل</v>
      </c>
      <c r="E826" s="5" t="str">
        <f ca="1">IFERROR(__xludf.DUMMYFUNCTION("""COMPUTED_VALUE"""),"معمل")</f>
        <v>معمل</v>
      </c>
      <c r="F826" s="5" t="str">
        <f ca="1">IFERROR(__xludf.DUMMYFUNCTION("""COMPUTED_VALUE"""),"معمل التحاليل الطبية")</f>
        <v>معمل التحاليل الطبية</v>
      </c>
      <c r="G826" s="5" t="str">
        <f ca="1">IFERROR(__xludf.DUMMYFUNCTION("""COMPUTED_VALUE"""),"معمل المختبر (د. مؤمنة كامل)")</f>
        <v>معمل المختبر (د. مؤمنة كامل)</v>
      </c>
      <c r="H826" s="5" t="str">
        <f ca="1">IFERROR(__xludf.DUMMYFUNCTION("""COMPUTED_VALUE"""),"14شارع ثابت بن اسلم من شارع السيدة خديجة - خلف بنك القاهرة-جرجا-سوهاج")</f>
        <v>14شارع ثابت بن اسلم من شارع السيدة خديجة - خلف بنك القاهرة-جرجا-سوهاج</v>
      </c>
      <c r="I826" s="6" t="str">
        <f ca="1">IFERROR(__xludf.DUMMYFUNCTION("""COMPUTED_VALUE"""),"01000103059")</f>
        <v>01000103059</v>
      </c>
      <c r="J826" s="6" t="str">
        <f ca="1">IFERROR(__xludf.DUMMYFUNCTION("""COMPUTED_VALUE"""),"19014")</f>
        <v>19014</v>
      </c>
      <c r="K826" s="6" t="str">
        <f ca="1">IFERROR(__xludf.DUMMYFUNCTION("""COMPUTED_VALUE"""),"خصم 20% علي جميع التحاليل")</f>
        <v>خصم 20% علي جميع التحاليل</v>
      </c>
    </row>
    <row r="827" spans="1:11" x14ac:dyDescent="0.25">
      <c r="A827" s="4" t="str">
        <f ca="1">IFERROR(__xludf.DUMMYFUNCTION("""COMPUTED_VALUE"""),"1897-B")</f>
        <v>1897-B</v>
      </c>
      <c r="B827" s="5" t="str">
        <f ca="1">IFERROR(__xludf.DUMMYFUNCTION("""COMPUTED_VALUE"""),"سوهاج")</f>
        <v>سوهاج</v>
      </c>
      <c r="C827" s="5" t="str">
        <f ca="1">IFERROR(__xludf.DUMMYFUNCTION("""COMPUTED_VALUE"""),"سوهاج")</f>
        <v>سوهاج</v>
      </c>
      <c r="D827" s="5" t="str">
        <f ca="1">IFERROR(__xludf.DUMMYFUNCTION("""COMPUTED_VALUE"""),"معمل")</f>
        <v>معمل</v>
      </c>
      <c r="E827" s="5" t="str">
        <f ca="1">IFERROR(__xludf.DUMMYFUNCTION("""COMPUTED_VALUE"""),"معمل")</f>
        <v>معمل</v>
      </c>
      <c r="F827" s="5" t="str">
        <f ca="1">IFERROR(__xludf.DUMMYFUNCTION("""COMPUTED_VALUE"""),"معمل التحاليل الطبية")</f>
        <v>معمل التحاليل الطبية</v>
      </c>
      <c r="G827" s="5" t="str">
        <f ca="1">IFERROR(__xludf.DUMMYFUNCTION("""COMPUTED_VALUE"""),"معمل المختبر (د. مؤمنة كامل)")</f>
        <v>معمل المختبر (د. مؤمنة كامل)</v>
      </c>
      <c r="H827" s="5" t="str">
        <f ca="1">IFERROR(__xludf.DUMMYFUNCTION("""COMPUTED_VALUE"""),"14 ميدان العارف -  برج العارف بالله - اعلى معرض قاصد كريم-سوهاج")</f>
        <v>14 ميدان العارف -  برج العارف بالله - اعلى معرض قاصد كريم-سوهاج</v>
      </c>
      <c r="I827" s="6" t="str">
        <f ca="1">IFERROR(__xludf.DUMMYFUNCTION("""COMPUTED_VALUE"""),"01090011248")</f>
        <v>01090011248</v>
      </c>
      <c r="J827" s="6" t="str">
        <f ca="1">IFERROR(__xludf.DUMMYFUNCTION("""COMPUTED_VALUE"""),"19014")</f>
        <v>19014</v>
      </c>
      <c r="K827" s="6" t="str">
        <f ca="1">IFERROR(__xludf.DUMMYFUNCTION("""COMPUTED_VALUE"""),"خصم 20% علي جميع التحاليل")</f>
        <v>خصم 20% علي جميع التحاليل</v>
      </c>
    </row>
    <row r="828" spans="1:11" x14ac:dyDescent="0.25">
      <c r="A828" s="4" t="str">
        <f ca="1">IFERROR(__xludf.DUMMYFUNCTION("""COMPUTED_VALUE"""),"1897-B")</f>
        <v>1897-B</v>
      </c>
      <c r="B828" s="5" t="str">
        <f ca="1">IFERROR(__xludf.DUMMYFUNCTION("""COMPUTED_VALUE"""),"سوهاج")</f>
        <v>سوهاج</v>
      </c>
      <c r="C828" s="5" t="str">
        <f ca="1">IFERROR(__xludf.DUMMYFUNCTION("""COMPUTED_VALUE"""),"سوهاج")</f>
        <v>سوهاج</v>
      </c>
      <c r="D828" s="5" t="str">
        <f ca="1">IFERROR(__xludf.DUMMYFUNCTION("""COMPUTED_VALUE"""),"معمل")</f>
        <v>معمل</v>
      </c>
      <c r="E828" s="5" t="str">
        <f ca="1">IFERROR(__xludf.DUMMYFUNCTION("""COMPUTED_VALUE"""),"معمل")</f>
        <v>معمل</v>
      </c>
      <c r="F828" s="5" t="str">
        <f ca="1">IFERROR(__xludf.DUMMYFUNCTION("""COMPUTED_VALUE"""),"معمل التحاليل الطبية")</f>
        <v>معمل التحاليل الطبية</v>
      </c>
      <c r="G828" s="5" t="str">
        <f ca="1">IFERROR(__xludf.DUMMYFUNCTION("""COMPUTED_VALUE"""),"معمل المختبر (د. مؤمنة كامل)")</f>
        <v>معمل المختبر (د. مؤمنة كامل)</v>
      </c>
      <c r="H828" s="5" t="str">
        <f ca="1">IFERROR(__xludf.DUMMYFUNCTION("""COMPUTED_VALUE"""),"شارع اسيوط - امام مكتب البريد - مجمع المحاكم - اعلى موبينيل")</f>
        <v>شارع اسيوط - امام مكتب البريد - مجمع المحاكم - اعلى موبينيل</v>
      </c>
      <c r="I828" s="6" t="str">
        <f ca="1">IFERROR(__xludf.DUMMYFUNCTION("""COMPUTED_VALUE"""),"01012224947")</f>
        <v>01012224947</v>
      </c>
      <c r="J828" s="6" t="str">
        <f ca="1">IFERROR(__xludf.DUMMYFUNCTION("""COMPUTED_VALUE"""),"19014")</f>
        <v>19014</v>
      </c>
      <c r="K828" s="6" t="str">
        <f ca="1">IFERROR(__xludf.DUMMYFUNCTION("""COMPUTED_VALUE"""),"خصم 20% علي جميع التحاليل")</f>
        <v>خصم 20% علي جميع التحاليل</v>
      </c>
    </row>
    <row r="829" spans="1:11" x14ac:dyDescent="0.25">
      <c r="A829" s="4" t="str">
        <f ca="1">IFERROR(__xludf.DUMMYFUNCTION("""COMPUTED_VALUE"""),"1897-B")</f>
        <v>1897-B</v>
      </c>
      <c r="B829" s="5" t="str">
        <f ca="1">IFERROR(__xludf.DUMMYFUNCTION("""COMPUTED_VALUE"""),"سوهاج")</f>
        <v>سوهاج</v>
      </c>
      <c r="C829" s="5" t="str">
        <f ca="1">IFERROR(__xludf.DUMMYFUNCTION("""COMPUTED_VALUE"""),"طهطا")</f>
        <v>طهطا</v>
      </c>
      <c r="D829" s="5" t="str">
        <f ca="1">IFERROR(__xludf.DUMMYFUNCTION("""COMPUTED_VALUE"""),"معمل")</f>
        <v>معمل</v>
      </c>
      <c r="E829" s="5" t="str">
        <f ca="1">IFERROR(__xludf.DUMMYFUNCTION("""COMPUTED_VALUE"""),"معمل")</f>
        <v>معمل</v>
      </c>
      <c r="F829" s="5" t="str">
        <f ca="1">IFERROR(__xludf.DUMMYFUNCTION("""COMPUTED_VALUE"""),"معمل التحاليل الطبية")</f>
        <v>معمل التحاليل الطبية</v>
      </c>
      <c r="G829" s="5" t="str">
        <f ca="1">IFERROR(__xludf.DUMMYFUNCTION("""COMPUTED_VALUE"""),"معمل المختبر (د. مؤمنة كامل)")</f>
        <v>معمل المختبر (د. مؤمنة كامل)</v>
      </c>
      <c r="H829" s="5" t="str">
        <f ca="1">IFERROR(__xludf.DUMMYFUNCTION("""COMPUTED_VALUE"""),"ش احمد عنبر امام مستشفى طهطا العام - سوهاج")</f>
        <v>ش احمد عنبر امام مستشفى طهطا العام - سوهاج</v>
      </c>
      <c r="I829" s="6" t="str">
        <f ca="1">IFERROR(__xludf.DUMMYFUNCTION("""COMPUTED_VALUE"""),"01015002718")</f>
        <v>01015002718</v>
      </c>
      <c r="J829" s="6" t="str">
        <f ca="1">IFERROR(__xludf.DUMMYFUNCTION("""COMPUTED_VALUE"""),"19014")</f>
        <v>19014</v>
      </c>
      <c r="K829" s="6" t="str">
        <f ca="1">IFERROR(__xludf.DUMMYFUNCTION("""COMPUTED_VALUE"""),"خصم 20% علي جميع التحاليل")</f>
        <v>خصم 20% علي جميع التحاليل</v>
      </c>
    </row>
    <row r="830" spans="1:11" x14ac:dyDescent="0.25">
      <c r="A830" s="4" t="str">
        <f ca="1">IFERROR(__xludf.DUMMYFUNCTION("""COMPUTED_VALUE"""),"3058")</f>
        <v>3058</v>
      </c>
      <c r="B830" s="5" t="str">
        <f ca="1">IFERROR(__xludf.DUMMYFUNCTION("""COMPUTED_VALUE"""),"جنوب سيناء")</f>
        <v>جنوب سيناء</v>
      </c>
      <c r="C830" s="5" t="str">
        <f ca="1">IFERROR(__xludf.DUMMYFUNCTION("""COMPUTED_VALUE"""),"الطور")</f>
        <v>الطور</v>
      </c>
      <c r="D830" s="5" t="str">
        <f ca="1">IFERROR(__xludf.DUMMYFUNCTION("""COMPUTED_VALUE"""),"معمل")</f>
        <v>معمل</v>
      </c>
      <c r="E830" s="5" t="str">
        <f ca="1">IFERROR(__xludf.DUMMYFUNCTION("""COMPUTED_VALUE"""),"معمل")</f>
        <v>معمل</v>
      </c>
      <c r="F830" s="5" t="str">
        <f ca="1">IFERROR(__xludf.DUMMYFUNCTION("""COMPUTED_VALUE"""),"معمل التحاليل الطبية")</f>
        <v>معمل التحاليل الطبية</v>
      </c>
      <c r="G830" s="5" t="str">
        <f ca="1">IFERROR(__xludf.DUMMYFUNCTION("""COMPUTED_VALUE"""),"معمل د/هدى صبحى حامد الوكيل (معمل الفيروز)")</f>
        <v>معمل د/هدى صبحى حامد الوكيل (معمل الفيروز)</v>
      </c>
      <c r="H830" s="5" t="str">
        <f ca="1">IFERROR(__xludf.DUMMYFUNCTION("""COMPUTED_VALUE"""),"شارع المنشيه 131-امام كوكتيل 2000 الدور الثانى - طور سيناء- جنوب سيناء-الطور-سيناء")</f>
        <v>شارع المنشيه 131-امام كوكتيل 2000 الدور الثانى - طور سيناء- جنوب سيناء-الطور-سيناء</v>
      </c>
      <c r="I830" s="6" t="str">
        <f ca="1">IFERROR(__xludf.DUMMYFUNCTION("""COMPUTED_VALUE"""),"20693776690")</f>
        <v>20693776690</v>
      </c>
      <c r="J830" s="6"/>
      <c r="K830" s="6" t="str">
        <f ca="1">IFERROR(__xludf.DUMMYFUNCTION("""COMPUTED_VALUE"""),"خصم 25% علي كل التحاليل ما عدا تحاليل الهورمونات و الباثولوجي و البكترولوجي و PCR علي الاسعار النقدي المعلنة")</f>
        <v>خصم 25% علي كل التحاليل ما عدا تحاليل الهورمونات و الباثولوجي و البكترولوجي و PCR علي الاسعار النقدي المعلنة</v>
      </c>
    </row>
    <row r="831" spans="1:11" x14ac:dyDescent="0.25">
      <c r="A831" s="4" t="str">
        <f ca="1">IFERROR(__xludf.DUMMYFUNCTION("""COMPUTED_VALUE"""),"3354-B")</f>
        <v>3354-B</v>
      </c>
      <c r="B831" s="5" t="str">
        <f ca="1">IFERROR(__xludf.DUMMYFUNCTION("""COMPUTED_VALUE"""),"شمال سيناء")</f>
        <v>شمال سيناء</v>
      </c>
      <c r="C831" s="5" t="str">
        <f ca="1">IFERROR(__xludf.DUMMYFUNCTION("""COMPUTED_VALUE"""),"العريش")</f>
        <v>العريش</v>
      </c>
      <c r="D831" s="5" t="str">
        <f ca="1">IFERROR(__xludf.DUMMYFUNCTION("""COMPUTED_VALUE"""),"معمل")</f>
        <v>معمل</v>
      </c>
      <c r="E831" s="5" t="str">
        <f ca="1">IFERROR(__xludf.DUMMYFUNCTION("""COMPUTED_VALUE"""),"معمل")</f>
        <v>معمل</v>
      </c>
      <c r="F831" s="5" t="str">
        <f ca="1">IFERROR(__xludf.DUMMYFUNCTION("""COMPUTED_VALUE"""),"معمل التحاليل الطبية")</f>
        <v>معمل التحاليل الطبية</v>
      </c>
      <c r="G831" s="5" t="str">
        <f ca="1">IFERROR(__xludf.DUMMYFUNCTION("""COMPUTED_VALUE"""),"معمل د/ سمير شاكر بدوي")</f>
        <v>معمل د/ سمير شاكر بدوي</v>
      </c>
      <c r="H831" s="5" t="str">
        <f ca="1">IFERROR(__xludf.DUMMYFUNCTION("""COMPUTED_VALUE"""),"شارع 23 يوليو- ميدان المالح امام البنك الاهلي-العريش-سيناء")</f>
        <v>شارع 23 يوليو- ميدان المالح امام البنك الاهلي-العريش-سيناء</v>
      </c>
      <c r="I831" s="6" t="str">
        <f ca="1">IFERROR(__xludf.DUMMYFUNCTION("""COMPUTED_VALUE"""),"20683354581")</f>
        <v>20683354581</v>
      </c>
      <c r="J831" s="6"/>
      <c r="K831" s="6" t="str">
        <f ca="1">IFERROR(__xludf.DUMMYFUNCTION("""COMPUTED_VALUE"""),"-خصم 30% علي الأسعار النقدي المعلنة")</f>
        <v>-خصم 30% علي الأسعار النقدي المعلنة</v>
      </c>
    </row>
    <row r="832" spans="1:11" x14ac:dyDescent="0.25">
      <c r="A832" s="4" t="str">
        <f ca="1">IFERROR(__xludf.DUMMYFUNCTION("""COMPUTED_VALUE"""),"1897-B")</f>
        <v>1897-B</v>
      </c>
      <c r="B832" s="5" t="str">
        <f ca="1">IFERROR(__xludf.DUMMYFUNCTION("""COMPUTED_VALUE"""),"قنا")</f>
        <v>قنا</v>
      </c>
      <c r="C832" s="5" t="str">
        <f ca="1">IFERROR(__xludf.DUMMYFUNCTION("""COMPUTED_VALUE"""),"قنا")</f>
        <v>قنا</v>
      </c>
      <c r="D832" s="5" t="str">
        <f ca="1">IFERROR(__xludf.DUMMYFUNCTION("""COMPUTED_VALUE"""),"معمل")</f>
        <v>معمل</v>
      </c>
      <c r="E832" s="5" t="str">
        <f ca="1">IFERROR(__xludf.DUMMYFUNCTION("""COMPUTED_VALUE"""),"معمل")</f>
        <v>معمل</v>
      </c>
      <c r="F832" s="5" t="str">
        <f ca="1">IFERROR(__xludf.DUMMYFUNCTION("""COMPUTED_VALUE"""),"معمل التحاليل الطبية")</f>
        <v>معمل التحاليل الطبية</v>
      </c>
      <c r="G832" s="5" t="str">
        <f ca="1">IFERROR(__xludf.DUMMYFUNCTION("""COMPUTED_VALUE"""),"معمل المختبر (د. مؤمنة كامل)")</f>
        <v>معمل المختبر (د. مؤمنة كامل)</v>
      </c>
      <c r="H832" s="5" t="str">
        <f ca="1">IFERROR(__xludf.DUMMYFUNCTION("""COMPUTED_VALUE"""),"7 شارع الجمهورية (الجميل سابقا)، برج سحيلة ، بندر قنا")</f>
        <v>7 شارع الجمهورية (الجميل سابقا)، برج سحيلة ، بندر قنا</v>
      </c>
      <c r="I832" s="6" t="str">
        <f ca="1">IFERROR(__xludf.DUMMYFUNCTION("""COMPUTED_VALUE"""),"01090011260")</f>
        <v>01090011260</v>
      </c>
      <c r="J832" s="6" t="str">
        <f ca="1">IFERROR(__xludf.DUMMYFUNCTION("""COMPUTED_VALUE"""),"19014")</f>
        <v>19014</v>
      </c>
      <c r="K832" s="6" t="str">
        <f ca="1">IFERROR(__xludf.DUMMYFUNCTION("""COMPUTED_VALUE"""),"خصم 20% علي جميع التحاليل")</f>
        <v>خصم 20% علي جميع التحاليل</v>
      </c>
    </row>
    <row r="833" spans="1:11" x14ac:dyDescent="0.25">
      <c r="A833" s="4" t="str">
        <f ca="1">IFERROR(__xludf.DUMMYFUNCTION("""COMPUTED_VALUE"""),"1897-B")</f>
        <v>1897-B</v>
      </c>
      <c r="B833" s="5" t="str">
        <f ca="1">IFERROR(__xludf.DUMMYFUNCTION("""COMPUTED_VALUE"""),"قنا")</f>
        <v>قنا</v>
      </c>
      <c r="C833" s="5" t="str">
        <f ca="1">IFERROR(__xludf.DUMMYFUNCTION("""COMPUTED_VALUE"""),"قوص")</f>
        <v>قوص</v>
      </c>
      <c r="D833" s="5" t="str">
        <f ca="1">IFERROR(__xludf.DUMMYFUNCTION("""COMPUTED_VALUE"""),"معمل")</f>
        <v>معمل</v>
      </c>
      <c r="E833" s="5" t="str">
        <f ca="1">IFERROR(__xludf.DUMMYFUNCTION("""COMPUTED_VALUE"""),"معمل")</f>
        <v>معمل</v>
      </c>
      <c r="F833" s="5" t="str">
        <f ca="1">IFERROR(__xludf.DUMMYFUNCTION("""COMPUTED_VALUE"""),"معمل التحاليل الطبية")</f>
        <v>معمل التحاليل الطبية</v>
      </c>
      <c r="G833" s="5" t="str">
        <f ca="1">IFERROR(__xludf.DUMMYFUNCTION("""COMPUTED_VALUE"""),"معمل المختبر (د. مؤمنة كامل)")</f>
        <v>معمل المختبر (د. مؤمنة كامل)</v>
      </c>
      <c r="H833" s="5" t="str">
        <f ca="1">IFERROR(__xludf.DUMMYFUNCTION("""COMPUTED_VALUE"""),"شارع عبد المنعم رياض اعلى بنك ناصر الاجتماعى - امام محطه القطار - قوص - قنا")</f>
        <v>شارع عبد المنعم رياض اعلى بنك ناصر الاجتماعى - امام محطه القطار - قوص - قنا</v>
      </c>
      <c r="I833" s="6" t="str">
        <f ca="1">IFERROR(__xludf.DUMMYFUNCTION("""COMPUTED_VALUE"""),"01024642623")</f>
        <v>01024642623</v>
      </c>
      <c r="J833" s="6" t="str">
        <f ca="1">IFERROR(__xludf.DUMMYFUNCTION("""COMPUTED_VALUE"""),"19014")</f>
        <v>19014</v>
      </c>
      <c r="K833" s="6" t="str">
        <f ca="1">IFERROR(__xludf.DUMMYFUNCTION("""COMPUTED_VALUE"""),"خصم 20% علي جميع التحاليل")</f>
        <v>خصم 20% علي جميع التحاليل</v>
      </c>
    </row>
    <row r="834" spans="1:11" x14ac:dyDescent="0.25">
      <c r="A834" s="4" t="str">
        <f ca="1">IFERROR(__xludf.DUMMYFUNCTION("""COMPUTED_VALUE"""),"1897-B")</f>
        <v>1897-B</v>
      </c>
      <c r="B834" s="5" t="str">
        <f ca="1">IFERROR(__xludf.DUMMYFUNCTION("""COMPUTED_VALUE"""),"قنا")</f>
        <v>قنا</v>
      </c>
      <c r="C834" s="5" t="str">
        <f ca="1">IFERROR(__xludf.DUMMYFUNCTION("""COMPUTED_VALUE"""),"نجع حمادى")</f>
        <v>نجع حمادى</v>
      </c>
      <c r="D834" s="5" t="str">
        <f ca="1">IFERROR(__xludf.DUMMYFUNCTION("""COMPUTED_VALUE"""),"معمل")</f>
        <v>معمل</v>
      </c>
      <c r="E834" s="5" t="str">
        <f ca="1">IFERROR(__xludf.DUMMYFUNCTION("""COMPUTED_VALUE"""),"معمل")</f>
        <v>معمل</v>
      </c>
      <c r="F834" s="5" t="str">
        <f ca="1">IFERROR(__xludf.DUMMYFUNCTION("""COMPUTED_VALUE"""),"معمل التحاليل الطبية")</f>
        <v>معمل التحاليل الطبية</v>
      </c>
      <c r="G834" s="5" t="str">
        <f ca="1">IFERROR(__xludf.DUMMYFUNCTION("""COMPUTED_VALUE"""),"معمل المختبر (د. مؤمنة كامل)")</f>
        <v>معمل المختبر (د. مؤمنة كامل)</v>
      </c>
      <c r="H834" s="5" t="str">
        <f ca="1">IFERROR(__xludf.DUMMYFUNCTION("""COMPUTED_VALUE"""),"1 شارع حسنى مبارك - عمارة الاوقاف-نجع حمادى-قنا")</f>
        <v>1 شارع حسنى مبارك - عمارة الاوقاف-نجع حمادى-قنا</v>
      </c>
      <c r="I834" s="6" t="str">
        <f ca="1">IFERROR(__xludf.DUMMYFUNCTION("""COMPUTED_VALUE"""),"01090011275")</f>
        <v>01090011275</v>
      </c>
      <c r="J834" s="6" t="str">
        <f ca="1">IFERROR(__xludf.DUMMYFUNCTION("""COMPUTED_VALUE"""),"19014")</f>
        <v>19014</v>
      </c>
      <c r="K834" s="6" t="str">
        <f ca="1">IFERROR(__xludf.DUMMYFUNCTION("""COMPUTED_VALUE"""),"خصم 20% علي جميع التحاليل")</f>
        <v>خصم 20% علي جميع التحاليل</v>
      </c>
    </row>
    <row r="835" spans="1:11" x14ac:dyDescent="0.25">
      <c r="A835" s="4" t="str">
        <f ca="1">IFERROR(__xludf.DUMMYFUNCTION("""COMPUTED_VALUE"""),"1897-B")</f>
        <v>1897-B</v>
      </c>
      <c r="B835" s="5" t="str">
        <f ca="1">IFERROR(__xludf.DUMMYFUNCTION("""COMPUTED_VALUE"""),"كفر الشيخ")</f>
        <v>كفر الشيخ</v>
      </c>
      <c r="C835" s="5" t="str">
        <f ca="1">IFERROR(__xludf.DUMMYFUNCTION("""COMPUTED_VALUE"""),"دسوق")</f>
        <v>دسوق</v>
      </c>
      <c r="D835" s="5" t="str">
        <f ca="1">IFERROR(__xludf.DUMMYFUNCTION("""COMPUTED_VALUE"""),"معمل")</f>
        <v>معمل</v>
      </c>
      <c r="E835" s="5" t="str">
        <f ca="1">IFERROR(__xludf.DUMMYFUNCTION("""COMPUTED_VALUE"""),"معمل")</f>
        <v>معمل</v>
      </c>
      <c r="F835" s="5" t="str">
        <f ca="1">IFERROR(__xludf.DUMMYFUNCTION("""COMPUTED_VALUE"""),"معمل التحاليل الطبية")</f>
        <v>معمل التحاليل الطبية</v>
      </c>
      <c r="G835" s="5" t="str">
        <f ca="1">IFERROR(__xludf.DUMMYFUNCTION("""COMPUTED_VALUE"""),"معمل المختبر (د. مؤمنة كامل)")</f>
        <v>معمل المختبر (د. مؤمنة كامل)</v>
      </c>
      <c r="H835" s="5" t="str">
        <f ca="1">IFERROR(__xludf.DUMMYFUNCTION("""COMPUTED_VALUE"""),"30 تقاطع شارع سعد زغلول مع شارع الثورة-دسوق-كفر الشيخ")</f>
        <v>30 تقاطع شارع سعد زغلول مع شارع الثورة-دسوق-كفر الشيخ</v>
      </c>
      <c r="I835" s="6" t="str">
        <f ca="1">IFERROR(__xludf.DUMMYFUNCTION("""COMPUTED_VALUE"""),"01090011251")</f>
        <v>01090011251</v>
      </c>
      <c r="J835" s="6" t="str">
        <f ca="1">IFERROR(__xludf.DUMMYFUNCTION("""COMPUTED_VALUE"""),"19014")</f>
        <v>19014</v>
      </c>
      <c r="K835" s="6" t="str">
        <f ca="1">IFERROR(__xludf.DUMMYFUNCTION("""COMPUTED_VALUE"""),"خصم 20% علي جميع التحاليل")</f>
        <v>خصم 20% علي جميع التحاليل</v>
      </c>
    </row>
    <row r="836" spans="1:11" x14ac:dyDescent="0.25">
      <c r="A836" s="4" t="str">
        <f ca="1">IFERROR(__xludf.DUMMYFUNCTION("""COMPUTED_VALUE"""),"1897-B")</f>
        <v>1897-B</v>
      </c>
      <c r="B836" s="5" t="str">
        <f ca="1">IFERROR(__xludf.DUMMYFUNCTION("""COMPUTED_VALUE"""),"كفر الشيخ")</f>
        <v>كفر الشيخ</v>
      </c>
      <c r="C836" s="5" t="str">
        <f ca="1">IFERROR(__xludf.DUMMYFUNCTION("""COMPUTED_VALUE"""),"سيدي سالم")</f>
        <v>سيدي سالم</v>
      </c>
      <c r="D836" s="5" t="str">
        <f ca="1">IFERROR(__xludf.DUMMYFUNCTION("""COMPUTED_VALUE"""),"معمل")</f>
        <v>معمل</v>
      </c>
      <c r="E836" s="5" t="str">
        <f ca="1">IFERROR(__xludf.DUMMYFUNCTION("""COMPUTED_VALUE"""),"معمل")</f>
        <v>معمل</v>
      </c>
      <c r="F836" s="5" t="str">
        <f ca="1">IFERROR(__xludf.DUMMYFUNCTION("""COMPUTED_VALUE"""),"معمل التحاليل الطبية")</f>
        <v>معمل التحاليل الطبية</v>
      </c>
      <c r="G836" s="5" t="str">
        <f ca="1">IFERROR(__xludf.DUMMYFUNCTION("""COMPUTED_VALUE"""),"معمل المختبر (د. مؤمنة كامل)")</f>
        <v>معمل المختبر (د. مؤمنة كامل)</v>
      </c>
      <c r="H836" s="5" t="str">
        <f ca="1">IFERROR(__xludf.DUMMYFUNCTION("""COMPUTED_VALUE"""),"شارع النادي الرياضي - بندر سيدي سالم-سيدي سالم-كفر الشيخ")</f>
        <v>شارع النادي الرياضي - بندر سيدي سالم-سيدي سالم-كفر الشيخ</v>
      </c>
      <c r="I836" s="6" t="str">
        <f ca="1">IFERROR(__xludf.DUMMYFUNCTION("""COMPUTED_VALUE"""),"01090100752")</f>
        <v>01090100752</v>
      </c>
      <c r="J836" s="6" t="str">
        <f ca="1">IFERROR(__xludf.DUMMYFUNCTION("""COMPUTED_VALUE"""),"19014")</f>
        <v>19014</v>
      </c>
      <c r="K836" s="6" t="str">
        <f ca="1">IFERROR(__xludf.DUMMYFUNCTION("""COMPUTED_VALUE"""),"خصم 20% علي جميع التحاليل")</f>
        <v>خصم 20% علي جميع التحاليل</v>
      </c>
    </row>
    <row r="837" spans="1:11" x14ac:dyDescent="0.25">
      <c r="A837" s="4" t="str">
        <f ca="1">IFERROR(__xludf.DUMMYFUNCTION("""COMPUTED_VALUE"""),"3798-B")</f>
        <v>3798-B</v>
      </c>
      <c r="B837" s="5" t="str">
        <f ca="1">IFERROR(__xludf.DUMMYFUNCTION("""COMPUTED_VALUE"""),"كفر الشيخ")</f>
        <v>كفر الشيخ</v>
      </c>
      <c r="C837" s="5" t="str">
        <f ca="1">IFERROR(__xludf.DUMMYFUNCTION("""COMPUTED_VALUE"""),"كفر الشيخ")</f>
        <v>كفر الشيخ</v>
      </c>
      <c r="D837" s="5" t="str">
        <f ca="1">IFERROR(__xludf.DUMMYFUNCTION("""COMPUTED_VALUE"""),"معمل")</f>
        <v>معمل</v>
      </c>
      <c r="E837" s="5" t="str">
        <f ca="1">IFERROR(__xludf.DUMMYFUNCTION("""COMPUTED_VALUE"""),"معمل")</f>
        <v>معمل</v>
      </c>
      <c r="F837" s="5" t="str">
        <f ca="1">IFERROR(__xludf.DUMMYFUNCTION("""COMPUTED_VALUE"""),"معمل التحاليل الطبية")</f>
        <v>معمل التحاليل الطبية</v>
      </c>
      <c r="G837" s="5" t="str">
        <f ca="1">IFERROR(__xludf.DUMMYFUNCTION("""COMPUTED_VALUE"""),"معمل الدكتورة/ أمينة حساب")</f>
        <v>معمل الدكتورة/ أمينة حساب</v>
      </c>
      <c r="H837" s="5" t="str">
        <f ca="1">IFERROR(__xludf.DUMMYFUNCTION("""COMPUTED_VALUE"""),"شارع المحطة - برج فينسيا - بجوار البنك العربي الافريقى - كفر الشيخ")</f>
        <v>شارع المحطة - برج فينسيا - بجوار البنك العربي الافريقى - كفر الشيخ</v>
      </c>
      <c r="I837" s="6"/>
      <c r="J837" s="6" t="str">
        <f ca="1">IFERROR(__xludf.DUMMYFUNCTION("""COMPUTED_VALUE"""),"16987")</f>
        <v>16987</v>
      </c>
      <c r="K837" s="6" t="str">
        <f ca="1">IFERROR(__xludf.DUMMYFUNCTION("""COMPUTED_VALUE"""),"30% على جميع الخدمات         ")</f>
        <v xml:space="preserve">30% على جميع الخدمات         </v>
      </c>
    </row>
    <row r="838" spans="1:11" x14ac:dyDescent="0.25">
      <c r="A838" s="4" t="str">
        <f ca="1">IFERROR(__xludf.DUMMYFUNCTION("""COMPUTED_VALUE"""),"1897-B")</f>
        <v>1897-B</v>
      </c>
      <c r="B838" s="5" t="str">
        <f ca="1">IFERROR(__xludf.DUMMYFUNCTION("""COMPUTED_VALUE"""),"مرسى مطروح")</f>
        <v>مرسى مطروح</v>
      </c>
      <c r="C838" s="5" t="str">
        <f ca="1">IFERROR(__xludf.DUMMYFUNCTION("""COMPUTED_VALUE"""),"مرسى مطروح")</f>
        <v>مرسى مطروح</v>
      </c>
      <c r="D838" s="5" t="str">
        <f ca="1">IFERROR(__xludf.DUMMYFUNCTION("""COMPUTED_VALUE"""),"معمل")</f>
        <v>معمل</v>
      </c>
      <c r="E838" s="5" t="str">
        <f ca="1">IFERROR(__xludf.DUMMYFUNCTION("""COMPUTED_VALUE"""),"معمل")</f>
        <v>معمل</v>
      </c>
      <c r="F838" s="5" t="str">
        <f ca="1">IFERROR(__xludf.DUMMYFUNCTION("""COMPUTED_VALUE"""),"معمل التحاليل الطبية")</f>
        <v>معمل التحاليل الطبية</v>
      </c>
      <c r="G838" s="5" t="str">
        <f ca="1">IFERROR(__xludf.DUMMYFUNCTION("""COMPUTED_VALUE"""),"معمل المختبر (د. مؤمنة كامل)")</f>
        <v>معمل المختبر (د. مؤمنة كامل)</v>
      </c>
      <c r="H838" s="5" t="str">
        <f ca="1">IFERROR(__xludf.DUMMYFUNCTION("""COMPUTED_VALUE"""),"شارع الاسكندرية - أمام مستشفى مطروح العام-  مرسى مطروح")</f>
        <v>شارع الاسكندرية - أمام مستشفى مطروح العام-  مرسى مطروح</v>
      </c>
      <c r="I838" s="6" t="str">
        <f ca="1">IFERROR(__xludf.DUMMYFUNCTION("""COMPUTED_VALUE"""),"20464945661")</f>
        <v>20464945661</v>
      </c>
      <c r="J838" s="6" t="str">
        <f ca="1">IFERROR(__xludf.DUMMYFUNCTION("""COMPUTED_VALUE"""),"19014")</f>
        <v>19014</v>
      </c>
      <c r="K838" s="6" t="str">
        <f ca="1">IFERROR(__xludf.DUMMYFUNCTION("""COMPUTED_VALUE"""),"خصم 20% علي جميع التحاليل")</f>
        <v>خصم 20% علي جميع التحاليل</v>
      </c>
    </row>
    <row r="839" spans="1:11" x14ac:dyDescent="0.25">
      <c r="A839" s="4" t="str">
        <f ca="1">IFERROR(__xludf.DUMMYFUNCTION("""COMPUTED_VALUE"""),"3948")</f>
        <v>3948</v>
      </c>
      <c r="B839" s="5" t="str">
        <f ca="1">IFERROR(__xludf.DUMMYFUNCTION("""COMPUTED_VALUE"""),"الإسماعيلية")</f>
        <v>الإسماعيلية</v>
      </c>
      <c r="C839" s="5" t="str">
        <f ca="1">IFERROR(__xludf.DUMMYFUNCTION("""COMPUTED_VALUE"""),"الإسماعيلية")</f>
        <v>الإسماعيلية</v>
      </c>
      <c r="D839" s="5" t="str">
        <f ca="1">IFERROR(__xludf.DUMMYFUNCTION("""COMPUTED_VALUE"""),"هيئة الأطباء")</f>
        <v>هيئة الأطباء</v>
      </c>
      <c r="E839" s="5" t="str">
        <f ca="1">IFERROR(__xludf.DUMMYFUNCTION("""COMPUTED_VALUE"""),"باطنة")</f>
        <v>باطنة</v>
      </c>
      <c r="F839" s="5" t="str">
        <f ca="1">IFERROR(__xludf.DUMMYFUNCTION("""COMPUTED_VALUE"""),"باطنة عامة")</f>
        <v>باطنة عامة</v>
      </c>
      <c r="G839" s="5" t="str">
        <f ca="1">IFERROR(__xludf.DUMMYFUNCTION("""COMPUTED_VALUE"""),"د/ هشام محمد متولى")</f>
        <v>د/ هشام محمد متولى</v>
      </c>
      <c r="H839" s="5" t="str">
        <f ca="1">IFERROR(__xludf.DUMMYFUNCTION("""COMPUTED_VALUE"""),"33شارع الجامع العباسي فوق عزب ابراهيم للبصريات – المحطه الجديده-الاسماعيلية")</f>
        <v>33شارع الجامع العباسي فوق عزب ابراهيم للبصريات – المحطه الجديده-الاسماعيلية</v>
      </c>
      <c r="I839" s="6" t="str">
        <f ca="1">IFERROR(__xludf.DUMMYFUNCTION("""COMPUTED_VALUE"""),"20643922119")</f>
        <v>20643922119</v>
      </c>
      <c r="J839" s="6"/>
      <c r="K839" s="6" t="str">
        <f ca="1">IFERROR(__xludf.DUMMYFUNCTION("""COMPUTED_VALUE"""),"الكشف: 90, رسم قلب: 25, تحليل سكر 10")</f>
        <v>الكشف: 90, رسم قلب: 25, تحليل سكر 10</v>
      </c>
    </row>
    <row r="840" spans="1:11" x14ac:dyDescent="0.25">
      <c r="A840" s="4" t="str">
        <f ca="1">IFERROR(__xludf.DUMMYFUNCTION("""COMPUTED_VALUE"""),"3953")</f>
        <v>3953</v>
      </c>
      <c r="B840" s="5" t="str">
        <f ca="1">IFERROR(__xludf.DUMMYFUNCTION("""COMPUTED_VALUE"""),"الجيزة")</f>
        <v>الجيزة</v>
      </c>
      <c r="C840" s="5" t="str">
        <f ca="1">IFERROR(__xludf.DUMMYFUNCTION("""COMPUTED_VALUE"""),"الصف")</f>
        <v>الصف</v>
      </c>
      <c r="D840" s="5" t="str">
        <f ca="1">IFERROR(__xludf.DUMMYFUNCTION("""COMPUTED_VALUE"""),"هيئة الأطباء")</f>
        <v>هيئة الأطباء</v>
      </c>
      <c r="E840" s="5" t="str">
        <f ca="1">IFERROR(__xludf.DUMMYFUNCTION("""COMPUTED_VALUE"""),"باطنة")</f>
        <v>باطنة</v>
      </c>
      <c r="F840" s="5" t="str">
        <f ca="1">IFERROR(__xludf.DUMMYFUNCTION("""COMPUTED_VALUE"""),"باطنة عامة")</f>
        <v>باطنة عامة</v>
      </c>
      <c r="G840" s="5" t="str">
        <f ca="1">IFERROR(__xludf.DUMMYFUNCTION("""COMPUTED_VALUE"""),"د/ ضياء محمد الطيبي التلاوي")</f>
        <v>د/ ضياء محمد الطيبي التلاوي</v>
      </c>
      <c r="H840" s="5" t="str">
        <f ca="1">IFERROR(__xludf.DUMMYFUNCTION("""COMPUTED_VALUE"""),"الصف - شارع الجمهورية - موقف الميكروباص امام صيدلية عودة-الصف-الجيزة")</f>
        <v>الصف - شارع الجمهورية - موقف الميكروباص امام صيدلية عودة-الصف-الجيزة</v>
      </c>
      <c r="I840" s="6" t="str">
        <f ca="1">IFERROR(__xludf.DUMMYFUNCTION("""COMPUTED_VALUE"""),"20238416371")</f>
        <v>20238416371</v>
      </c>
      <c r="J840" s="6"/>
      <c r="K840" s="6" t="str">
        <f ca="1">IFERROR(__xludf.DUMMYFUNCTION("""COMPUTED_VALUE"""),"قيمة الكشف + موجات صوتيه : 100 جنيهاً ,قيمة رسم قلب : 30جنيهاً")</f>
        <v>قيمة الكشف + موجات صوتيه : 100 جنيهاً ,قيمة رسم قلب : 30جنيهاً</v>
      </c>
    </row>
    <row r="841" spans="1:11" x14ac:dyDescent="0.25">
      <c r="A841" s="4" t="str">
        <f ca="1">IFERROR(__xludf.DUMMYFUNCTION("""COMPUTED_VALUE"""),"3953-B")</f>
        <v>3953-B</v>
      </c>
      <c r="B841" s="5" t="str">
        <f ca="1">IFERROR(__xludf.DUMMYFUNCTION("""COMPUTED_VALUE"""),"الجيزة")</f>
        <v>الجيزة</v>
      </c>
      <c r="C841" s="5" t="str">
        <f ca="1">IFERROR(__xludf.DUMMYFUNCTION("""COMPUTED_VALUE"""),"أطفيح")</f>
        <v>أطفيح</v>
      </c>
      <c r="D841" s="5" t="str">
        <f ca="1">IFERROR(__xludf.DUMMYFUNCTION("""COMPUTED_VALUE"""),"هيئة الأطباء")</f>
        <v>هيئة الأطباء</v>
      </c>
      <c r="E841" s="5" t="str">
        <f ca="1">IFERROR(__xludf.DUMMYFUNCTION("""COMPUTED_VALUE"""),"باطنة")</f>
        <v>باطنة</v>
      </c>
      <c r="F841" s="5" t="str">
        <f ca="1">IFERROR(__xludf.DUMMYFUNCTION("""COMPUTED_VALUE"""),"باطنة عامة")</f>
        <v>باطنة عامة</v>
      </c>
      <c r="G841" s="5" t="str">
        <f ca="1">IFERROR(__xludf.DUMMYFUNCTION("""COMPUTED_VALUE"""),"د/ ضياء محمد الطيبي التلاوي")</f>
        <v>د/ ضياء محمد الطيبي التلاوي</v>
      </c>
      <c r="H841" s="5" t="str">
        <f ca="1">IFERROR(__xludf.DUMMYFUNCTION("""COMPUTED_VALUE"""),"موقف الميكروباص الداخلي-اطفيح-الجيزة")</f>
        <v>موقف الميكروباص الداخلي-اطفيح-الجيزة</v>
      </c>
      <c r="I841" s="6" t="str">
        <f ca="1">IFERROR(__xludf.DUMMYFUNCTION("""COMPUTED_VALUE"""),"201149076565")</f>
        <v>201149076565</v>
      </c>
      <c r="J841" s="6"/>
      <c r="K841" s="6" t="str">
        <f ca="1">IFERROR(__xludf.DUMMYFUNCTION("""COMPUTED_VALUE"""),"قيمة الكشف + موجات صوتيه : 100 جنيهاً ,قيمة رسم قلب : 30جنيهاً")</f>
        <v>قيمة الكشف + موجات صوتيه : 100 جنيهاً ,قيمة رسم قلب : 30جنيهاً</v>
      </c>
    </row>
    <row r="842" spans="1:11" x14ac:dyDescent="0.25">
      <c r="A842" s="4" t="str">
        <f ca="1">IFERROR(__xludf.DUMMYFUNCTION("""COMPUTED_VALUE"""),"3558")</f>
        <v>3558</v>
      </c>
      <c r="B842" s="5" t="str">
        <f ca="1">IFERROR(__xludf.DUMMYFUNCTION("""COMPUTED_VALUE"""),"الغربية")</f>
        <v>الغربية</v>
      </c>
      <c r="C842" s="5" t="str">
        <f ca="1">IFERROR(__xludf.DUMMYFUNCTION("""COMPUTED_VALUE"""),"طنطا")</f>
        <v>طنطا</v>
      </c>
      <c r="D842" s="5" t="str">
        <f ca="1">IFERROR(__xludf.DUMMYFUNCTION("""COMPUTED_VALUE"""),"هيئة الأطباء")</f>
        <v>هيئة الأطباء</v>
      </c>
      <c r="E842" s="5" t="str">
        <f ca="1">IFERROR(__xludf.DUMMYFUNCTION("""COMPUTED_VALUE"""),"باطنة")</f>
        <v>باطنة</v>
      </c>
      <c r="F842" s="5" t="str">
        <f ca="1">IFERROR(__xludf.DUMMYFUNCTION("""COMPUTED_VALUE"""),"باطنة عامة")</f>
        <v>باطنة عامة</v>
      </c>
      <c r="G842" s="5" t="str">
        <f ca="1">IFERROR(__xludf.DUMMYFUNCTION("""COMPUTED_VALUE"""),"د/ مكرم فهمي سيدهم")</f>
        <v>د/ مكرم فهمي سيدهم</v>
      </c>
      <c r="H842" s="5" t="str">
        <f ca="1">IFERROR(__xludf.DUMMYFUNCTION("""COMPUTED_VALUE"""),"ميدان المحطة عمارة الاوقاف-طنطا-الغربية")</f>
        <v>ميدان المحطة عمارة الاوقاف-طنطا-الغربية</v>
      </c>
      <c r="I842" s="6" t="str">
        <f ca="1">IFERROR(__xludf.DUMMYFUNCTION("""COMPUTED_VALUE"""),"20403341681")</f>
        <v>20403341681</v>
      </c>
      <c r="J842" s="6"/>
      <c r="K842" s="6" t="str">
        <f ca="1">IFERROR(__xludf.DUMMYFUNCTION("""COMPUTED_VALUE"""),"الكشف :70 جنية")</f>
        <v>الكشف :70 جنية</v>
      </c>
    </row>
    <row r="843" spans="1:11" x14ac:dyDescent="0.25">
      <c r="A843" s="4" t="str">
        <f ca="1">IFERROR(__xludf.DUMMYFUNCTION("""COMPUTED_VALUE"""),"103862")</f>
        <v>103862</v>
      </c>
      <c r="B843" s="5" t="str">
        <f ca="1">IFERROR(__xludf.DUMMYFUNCTION("""COMPUTED_VALUE"""),"الغربية")</f>
        <v>الغربية</v>
      </c>
      <c r="C843" s="5" t="str">
        <f ca="1">IFERROR(__xludf.DUMMYFUNCTION("""COMPUTED_VALUE"""),"كفر الزيات")</f>
        <v>كفر الزيات</v>
      </c>
      <c r="D843" s="5" t="str">
        <f ca="1">IFERROR(__xludf.DUMMYFUNCTION("""COMPUTED_VALUE"""),"هيئة الأطباء")</f>
        <v>هيئة الأطباء</v>
      </c>
      <c r="E843" s="5" t="str">
        <f ca="1">IFERROR(__xludf.DUMMYFUNCTION("""COMPUTED_VALUE"""),"باطنة")</f>
        <v>باطنة</v>
      </c>
      <c r="F843" s="5" t="str">
        <f ca="1">IFERROR(__xludf.DUMMYFUNCTION("""COMPUTED_VALUE"""),"باطنة عامة")</f>
        <v>باطنة عامة</v>
      </c>
      <c r="G843" s="5" t="str">
        <f ca="1">IFERROR(__xludf.DUMMYFUNCTION("""COMPUTED_VALUE"""),"د/ وجيه موريس جرجس")</f>
        <v>د/ وجيه موريس جرجس</v>
      </c>
      <c r="H843" s="5" t="str">
        <f ca="1">IFERROR(__xludf.DUMMYFUNCTION("""COMPUTED_VALUE"""),"شارع ناصر امام الضرائب العامة - كفر الزيات - الغربية")</f>
        <v>شارع ناصر امام الضرائب العامة - كفر الزيات - الغربية</v>
      </c>
      <c r="I843" s="6" t="str">
        <f ca="1">IFERROR(__xludf.DUMMYFUNCTION("""COMPUTED_VALUE"""),"20402543885")</f>
        <v>20402543885</v>
      </c>
      <c r="J843" s="6"/>
      <c r="K843" s="6" t="str">
        <f ca="1">IFERROR(__xludf.DUMMYFUNCTION("""COMPUTED_VALUE"""),"الكشف 80 , نقابه 2018")</f>
        <v>الكشف 80 , نقابه 2018</v>
      </c>
    </row>
    <row r="844" spans="1:11" x14ac:dyDescent="0.25">
      <c r="A844" s="4" t="str">
        <f ca="1">IFERROR(__xludf.DUMMYFUNCTION("""COMPUTED_VALUE"""),"3259")</f>
        <v>3259</v>
      </c>
      <c r="B844" s="5" t="str">
        <f ca="1">IFERROR(__xludf.DUMMYFUNCTION("""COMPUTED_VALUE"""),"القاهرة")</f>
        <v>القاهرة</v>
      </c>
      <c r="C844" s="5" t="str">
        <f ca="1">IFERROR(__xludf.DUMMYFUNCTION("""COMPUTED_VALUE"""),"المعادى")</f>
        <v>المعادى</v>
      </c>
      <c r="D844" s="5" t="str">
        <f ca="1">IFERROR(__xludf.DUMMYFUNCTION("""COMPUTED_VALUE"""),"هيئة الأطباء")</f>
        <v>هيئة الأطباء</v>
      </c>
      <c r="E844" s="5" t="str">
        <f ca="1">IFERROR(__xludf.DUMMYFUNCTION("""COMPUTED_VALUE"""),"باطنة")</f>
        <v>باطنة</v>
      </c>
      <c r="F844" s="5" t="str">
        <f ca="1">IFERROR(__xludf.DUMMYFUNCTION("""COMPUTED_VALUE"""),"باطنة عامة")</f>
        <v>باطنة عامة</v>
      </c>
      <c r="G844" s="5" t="str">
        <f ca="1">IFERROR(__xludf.DUMMYFUNCTION("""COMPUTED_VALUE"""),"د/ محمد عبد الحكيم أبو شادى")</f>
        <v>د/ محمد عبد الحكيم أبو شادى</v>
      </c>
      <c r="H844" s="5" t="str">
        <f ca="1">IFERROR(__xludf.DUMMYFUNCTION("""COMPUTED_VALUE"""),"2 ش. 100 – ميدان الحرية  خلف بنزايون المعادي-المعادي-القاهرة")</f>
        <v>2 ش. 100 – ميدان الحرية  خلف بنزايون المعادي-المعادي-القاهرة</v>
      </c>
      <c r="I844" s="6" t="str">
        <f ca="1">IFERROR(__xludf.DUMMYFUNCTION("""COMPUTED_VALUE"""),"20225254872")</f>
        <v>20225254872</v>
      </c>
      <c r="J844" s="6"/>
      <c r="K844" s="6" t="str">
        <f ca="1">IFERROR(__xludf.DUMMYFUNCTION("""COMPUTED_VALUE"""),"خصم 25%علي جميع اسعار النقدي المعلنة")</f>
        <v>خصم 25%علي جميع اسعار النقدي المعلنة</v>
      </c>
    </row>
    <row r="845" spans="1:11" x14ac:dyDescent="0.25">
      <c r="A845" s="4" t="str">
        <f ca="1">IFERROR(__xludf.DUMMYFUNCTION("""COMPUTED_VALUE"""),"3892")</f>
        <v>3892</v>
      </c>
      <c r="B845" s="5" t="str">
        <f ca="1">IFERROR(__xludf.DUMMYFUNCTION("""COMPUTED_VALUE"""),"القليوبية")</f>
        <v>القليوبية</v>
      </c>
      <c r="C845" s="5" t="str">
        <f ca="1">IFERROR(__xludf.DUMMYFUNCTION("""COMPUTED_VALUE"""),"القناطر الخيرية")</f>
        <v>القناطر الخيرية</v>
      </c>
      <c r="D845" s="5" t="str">
        <f ca="1">IFERROR(__xludf.DUMMYFUNCTION("""COMPUTED_VALUE"""),"هيئة الأطباء")</f>
        <v>هيئة الأطباء</v>
      </c>
      <c r="E845" s="5" t="str">
        <f ca="1">IFERROR(__xludf.DUMMYFUNCTION("""COMPUTED_VALUE"""),"باطنة")</f>
        <v>باطنة</v>
      </c>
      <c r="F845" s="5" t="str">
        <f ca="1">IFERROR(__xludf.DUMMYFUNCTION("""COMPUTED_VALUE"""),"باطنة عامة")</f>
        <v>باطنة عامة</v>
      </c>
      <c r="G845" s="5" t="str">
        <f ca="1">IFERROR(__xludf.DUMMYFUNCTION("""COMPUTED_VALUE"""),"د/ نزيه قلادة")</f>
        <v>د/ نزيه قلادة</v>
      </c>
      <c r="H845" s="5" t="str">
        <f ca="1">IFERROR(__xludf.DUMMYFUNCTION("""COMPUTED_VALUE"""),"5شارع عرفة من شارع 14-القناطر الخيرية-القليوبية")</f>
        <v>5شارع عرفة من شارع 14-القناطر الخيرية-القليوبية</v>
      </c>
      <c r="I845" s="6" t="str">
        <f ca="1">IFERROR(__xludf.DUMMYFUNCTION("""COMPUTED_VALUE"""),"20242189092")</f>
        <v>20242189092</v>
      </c>
      <c r="J845" s="6"/>
      <c r="K845" s="6" t="str">
        <f ca="1">IFERROR(__xludf.DUMMYFUNCTION("""COMPUTED_VALUE"""),"الكشف : 130, رسم قلب : 20")</f>
        <v>الكشف : 130, رسم قلب : 20</v>
      </c>
    </row>
    <row r="846" spans="1:11" x14ac:dyDescent="0.25">
      <c r="A846" s="4" t="str">
        <f ca="1">IFERROR(__xludf.DUMMYFUNCTION("""COMPUTED_VALUE"""),"3986")</f>
        <v>3986</v>
      </c>
      <c r="B846" s="5" t="str">
        <f ca="1">IFERROR(__xludf.DUMMYFUNCTION("""COMPUTED_VALUE"""),"المنوفية")</f>
        <v>المنوفية</v>
      </c>
      <c r="C846" s="5" t="str">
        <f ca="1">IFERROR(__xludf.DUMMYFUNCTION("""COMPUTED_VALUE"""),"شبين الكوم")</f>
        <v>شبين الكوم</v>
      </c>
      <c r="D846" s="5" t="str">
        <f ca="1">IFERROR(__xludf.DUMMYFUNCTION("""COMPUTED_VALUE"""),"هيئة الأطباء")</f>
        <v>هيئة الأطباء</v>
      </c>
      <c r="E846" s="5" t="str">
        <f ca="1">IFERROR(__xludf.DUMMYFUNCTION("""COMPUTED_VALUE"""),"باطنة")</f>
        <v>باطنة</v>
      </c>
      <c r="F846" s="5" t="str">
        <f ca="1">IFERROR(__xludf.DUMMYFUNCTION("""COMPUTED_VALUE"""),"باطنة عامة")</f>
        <v>باطنة عامة</v>
      </c>
      <c r="G846" s="5" t="str">
        <f ca="1">IFERROR(__xludf.DUMMYFUNCTION("""COMPUTED_VALUE"""),"د/ محمود محمد عبد العزيز عمارة")</f>
        <v>د/ محمود محمد عبد العزيز عمارة</v>
      </c>
      <c r="H846" s="5" t="str">
        <f ca="1">IFERROR(__xludf.DUMMYFUNCTION("""COMPUTED_VALUE"""),"ميدان شرف - شارع جمال عبد الناصر-شبين الكوم-المنوفية")</f>
        <v>ميدان شرف - شارع جمال عبد الناصر-شبين الكوم-المنوفية</v>
      </c>
      <c r="I846" s="6" t="str">
        <f ca="1">IFERROR(__xludf.DUMMYFUNCTION("""COMPUTED_VALUE"""),"20482330700")</f>
        <v>20482330700</v>
      </c>
      <c r="J846" s="6"/>
      <c r="K846" s="6" t="str">
        <f ca="1">IFERROR(__xludf.DUMMYFUNCTION("""COMPUTED_VALUE"""),"قيمة الكشف : 80 , قيمة الموجات الصوتيه علي البطن والحوض 60 جنيهاً , قيمة تحليل سكر :20 جنيهاً")</f>
        <v>قيمة الكشف : 80 , قيمة الموجات الصوتيه علي البطن والحوض 60 جنيهاً , قيمة تحليل سكر :20 جنيهاً</v>
      </c>
    </row>
    <row r="847" spans="1:11" x14ac:dyDescent="0.25">
      <c r="A847" s="4" t="str">
        <f ca="1">IFERROR(__xludf.DUMMYFUNCTION("""COMPUTED_VALUE"""),"104554")</f>
        <v>104554</v>
      </c>
      <c r="B847" s="5" t="str">
        <f ca="1">IFERROR(__xludf.DUMMYFUNCTION("""COMPUTED_VALUE"""),"المنيا")</f>
        <v>المنيا</v>
      </c>
      <c r="C847" s="5" t="str">
        <f ca="1">IFERROR(__xludf.DUMMYFUNCTION("""COMPUTED_VALUE"""),"المنيا")</f>
        <v>المنيا</v>
      </c>
      <c r="D847" s="5" t="str">
        <f ca="1">IFERROR(__xludf.DUMMYFUNCTION("""COMPUTED_VALUE"""),"هيئة الأطباء")</f>
        <v>هيئة الأطباء</v>
      </c>
      <c r="E847" s="5" t="str">
        <f ca="1">IFERROR(__xludf.DUMMYFUNCTION("""COMPUTED_VALUE"""),"باطنة")</f>
        <v>باطنة</v>
      </c>
      <c r="F847" s="5" t="str">
        <f ca="1">IFERROR(__xludf.DUMMYFUNCTION("""COMPUTED_VALUE"""),"باطنة عامة")</f>
        <v>باطنة عامة</v>
      </c>
      <c r="G847" s="5" t="str">
        <f ca="1">IFERROR(__xludf.DUMMYFUNCTION("""COMPUTED_VALUE"""),"د/ سامح أمين حنا حنين")</f>
        <v>د/ سامح أمين حنا حنين</v>
      </c>
      <c r="H847" s="5" t="str">
        <f ca="1">IFERROR(__xludf.DUMMYFUNCTION("""COMPUTED_VALUE"""),"22شارع الخلفاء-ارض سلطان - المنيا")</f>
        <v>22شارع الخلفاء-ارض سلطان - المنيا</v>
      </c>
      <c r="I847" s="6" t="str">
        <f ca="1">IFERROR(__xludf.DUMMYFUNCTION("""COMPUTED_VALUE"""),"20862321904")</f>
        <v>20862321904</v>
      </c>
      <c r="J847" s="6"/>
      <c r="K847" s="6" t="str">
        <f ca="1">IFERROR(__xludf.DUMMYFUNCTION("""COMPUTED_VALUE"""),"الكشف: 40جنية")</f>
        <v>الكشف: 40جنية</v>
      </c>
    </row>
    <row r="848" spans="1:11" x14ac:dyDescent="0.25">
      <c r="A848" s="4" t="str">
        <f ca="1">IFERROR(__xludf.DUMMYFUNCTION("""COMPUTED_VALUE"""),"104568")</f>
        <v>104568</v>
      </c>
      <c r="B848" s="5" t="str">
        <f ca="1">IFERROR(__xludf.DUMMYFUNCTION("""COMPUTED_VALUE"""),"المنيا")</f>
        <v>المنيا</v>
      </c>
      <c r="C848" s="5" t="str">
        <f ca="1">IFERROR(__xludf.DUMMYFUNCTION("""COMPUTED_VALUE"""),"المنيا")</f>
        <v>المنيا</v>
      </c>
      <c r="D848" s="5" t="str">
        <f ca="1">IFERROR(__xludf.DUMMYFUNCTION("""COMPUTED_VALUE"""),"هيئة الأطباء")</f>
        <v>هيئة الأطباء</v>
      </c>
      <c r="E848" s="5" t="str">
        <f ca="1">IFERROR(__xludf.DUMMYFUNCTION("""COMPUTED_VALUE"""),"باطنة")</f>
        <v>باطنة</v>
      </c>
      <c r="F848" s="5" t="str">
        <f ca="1">IFERROR(__xludf.DUMMYFUNCTION("""COMPUTED_VALUE"""),"باطنة عامة")</f>
        <v>باطنة عامة</v>
      </c>
      <c r="G848" s="5" t="str">
        <f ca="1">IFERROR(__xludf.DUMMYFUNCTION("""COMPUTED_VALUE"""),"د/ محمود محمد عاصم محمد زكي")</f>
        <v>د/ محمود محمد عاصم محمد زكي</v>
      </c>
      <c r="H848" s="5" t="str">
        <f ca="1">IFERROR(__xludf.DUMMYFUNCTION("""COMPUTED_VALUE"""),"شارع الزخرفية - موقف ابو هلال غرب - أمام صيدلية العروبة - المنيا")</f>
        <v>شارع الزخرفية - موقف ابو هلال غرب - أمام صيدلية العروبة - المنيا</v>
      </c>
      <c r="I848" s="6" t="str">
        <f ca="1">IFERROR(__xludf.DUMMYFUNCTION("""COMPUTED_VALUE"""),"201007003676")</f>
        <v>201007003676</v>
      </c>
      <c r="J848" s="6"/>
      <c r="K848" s="6" t="str">
        <f ca="1">IFERROR(__xludf.DUMMYFUNCTION("""COMPUTED_VALUE"""),"خصم 30% علي الأسعار النقدي المعلنة")</f>
        <v>خصم 30% علي الأسعار النقدي المعلنة</v>
      </c>
    </row>
    <row r="849" spans="1:11" x14ac:dyDescent="0.25">
      <c r="A849" s="4" t="str">
        <f ca="1">IFERROR(__xludf.DUMMYFUNCTION("""COMPUTED_VALUE"""),"103865")</f>
        <v>103865</v>
      </c>
      <c r="B849" s="5" t="str">
        <f ca="1">IFERROR(__xludf.DUMMYFUNCTION("""COMPUTED_VALUE"""),"المنيا")</f>
        <v>المنيا</v>
      </c>
      <c r="C849" s="5" t="str">
        <f ca="1">IFERROR(__xludf.DUMMYFUNCTION("""COMPUTED_VALUE"""),"بني مزار")</f>
        <v>بني مزار</v>
      </c>
      <c r="D849" s="5" t="str">
        <f ca="1">IFERROR(__xludf.DUMMYFUNCTION("""COMPUTED_VALUE"""),"هيئة الأطباء")</f>
        <v>هيئة الأطباء</v>
      </c>
      <c r="E849" s="5" t="str">
        <f ca="1">IFERROR(__xludf.DUMMYFUNCTION("""COMPUTED_VALUE"""),"باطنة")</f>
        <v>باطنة</v>
      </c>
      <c r="F849" s="5" t="str">
        <f ca="1">IFERROR(__xludf.DUMMYFUNCTION("""COMPUTED_VALUE"""),"باطنة عامة")</f>
        <v>باطنة عامة</v>
      </c>
      <c r="G849" s="5" t="str">
        <f ca="1">IFERROR(__xludf.DUMMYFUNCTION("""COMPUTED_VALUE"""),"د/ عصام فهمى جرجس")</f>
        <v>د/ عصام فهمى جرجس</v>
      </c>
      <c r="H849" s="5" t="str">
        <f ca="1">IFERROR(__xludf.DUMMYFUNCTION("""COMPUTED_VALUE"""),"شارع بورسعيد امام صيدلية الشعب - بنى مزار-المنيا")</f>
        <v>شارع بورسعيد امام صيدلية الشعب - بنى مزار-المنيا</v>
      </c>
      <c r="I849" s="6" t="str">
        <f ca="1">IFERROR(__xludf.DUMMYFUNCTION("""COMPUTED_VALUE"""),"201225828407")</f>
        <v>201225828407</v>
      </c>
      <c r="J849" s="6"/>
      <c r="K849" s="6" t="str">
        <f ca="1">IFERROR(__xludf.DUMMYFUNCTION("""COMPUTED_VALUE"""),"الكشف :70 جنية")</f>
        <v>الكشف :70 جنية</v>
      </c>
    </row>
    <row r="850" spans="1:11" x14ac:dyDescent="0.25">
      <c r="A850" s="4" t="str">
        <f ca="1">IFERROR(__xludf.DUMMYFUNCTION("""COMPUTED_VALUE"""),"3144")</f>
        <v>3144</v>
      </c>
      <c r="B850" s="5" t="str">
        <f ca="1">IFERROR(__xludf.DUMMYFUNCTION("""COMPUTED_VALUE"""),"قنا")</f>
        <v>قنا</v>
      </c>
      <c r="C850" s="5" t="str">
        <f ca="1">IFERROR(__xludf.DUMMYFUNCTION("""COMPUTED_VALUE"""),"قوص")</f>
        <v>قوص</v>
      </c>
      <c r="D850" s="5" t="str">
        <f ca="1">IFERROR(__xludf.DUMMYFUNCTION("""COMPUTED_VALUE"""),"هيئة الأطباء")</f>
        <v>هيئة الأطباء</v>
      </c>
      <c r="E850" s="5" t="str">
        <f ca="1">IFERROR(__xludf.DUMMYFUNCTION("""COMPUTED_VALUE"""),"باطنة")</f>
        <v>باطنة</v>
      </c>
      <c r="F850" s="5" t="str">
        <f ca="1">IFERROR(__xludf.DUMMYFUNCTION("""COMPUTED_VALUE"""),"باطنة عامة")</f>
        <v>باطنة عامة</v>
      </c>
      <c r="G850" s="5" t="str">
        <f ca="1">IFERROR(__xludf.DUMMYFUNCTION("""COMPUTED_VALUE"""),"د/ محمود احمد محمد ابراهيم الشريف")</f>
        <v>د/ محمود احمد محمد ابراهيم الشريف</v>
      </c>
      <c r="H850" s="5" t="str">
        <f ca="1">IFERROR(__xludf.DUMMYFUNCTION("""COMPUTED_VALUE"""),"ش طريق النصر -قوص-قنا")</f>
        <v>ش طريق النصر -قوص-قنا</v>
      </c>
      <c r="I850" s="6" t="str">
        <f ca="1">IFERROR(__xludf.DUMMYFUNCTION("""COMPUTED_VALUE"""),"20962850440")</f>
        <v>20962850440</v>
      </c>
      <c r="J850" s="6"/>
      <c r="K850" s="6" t="str">
        <f ca="1">IFERROR(__xludf.DUMMYFUNCTION("""COMPUTED_VALUE"""),"خصم 30% علي الأسعار النقدي المعلنة")</f>
        <v>خصم 30% علي الأسعار النقدي المعلنة</v>
      </c>
    </row>
    <row r="851" spans="1:11" x14ac:dyDescent="0.25">
      <c r="A851" s="4" t="str">
        <f ca="1">IFERROR(__xludf.DUMMYFUNCTION("""COMPUTED_VALUE"""),"104811")</f>
        <v>104811</v>
      </c>
      <c r="B851" s="5" t="str">
        <f ca="1">IFERROR(__xludf.DUMMYFUNCTION("""COMPUTED_VALUE"""),"بني سويف")</f>
        <v>بني سويف</v>
      </c>
      <c r="C851" s="5" t="str">
        <f ca="1">IFERROR(__xludf.DUMMYFUNCTION("""COMPUTED_VALUE"""),"الفشن")</f>
        <v>الفشن</v>
      </c>
      <c r="D851" s="5" t="str">
        <f ca="1">IFERROR(__xludf.DUMMYFUNCTION("""COMPUTED_VALUE"""),"هيئة الأطباء")</f>
        <v>هيئة الأطباء</v>
      </c>
      <c r="E851" s="5" t="str">
        <f ca="1">IFERROR(__xludf.DUMMYFUNCTION("""COMPUTED_VALUE"""),"باطنة")</f>
        <v>باطنة</v>
      </c>
      <c r="F851" s="5" t="str">
        <f ca="1">IFERROR(__xludf.DUMMYFUNCTION("""COMPUTED_VALUE"""),"باطنة عامة")</f>
        <v>باطنة عامة</v>
      </c>
      <c r="G851" s="5" t="str">
        <f ca="1">IFERROR(__xludf.DUMMYFUNCTION("""COMPUTED_VALUE"""),"د/عبدالمنعم حسين عبدالعليم")</f>
        <v>د/عبدالمنعم حسين عبدالعليم</v>
      </c>
      <c r="H851" s="5" t="str">
        <f ca="1">IFERROR(__xludf.DUMMYFUNCTION("""COMPUTED_VALUE"""),"شارع الابراهيمية - بجوار مركز الفشن - بني سويف")</f>
        <v>شارع الابراهيمية - بجوار مركز الفشن - بني سويف</v>
      </c>
      <c r="I851" s="6" t="str">
        <f ca="1">IFERROR(__xludf.DUMMYFUNCTION("""COMPUTED_VALUE"""),"201121327263")</f>
        <v>201121327263</v>
      </c>
      <c r="J851" s="6"/>
      <c r="K851" s="6" t="str">
        <f ca="1">IFERROR(__xludf.DUMMYFUNCTION("""COMPUTED_VALUE"""),"الكشف 50 , رسم قلب :20")</f>
        <v>الكشف 50 , رسم قلب :20</v>
      </c>
    </row>
    <row r="852" spans="1:11" x14ac:dyDescent="0.25">
      <c r="A852" s="4" t="str">
        <f ca="1">IFERROR(__xludf.DUMMYFUNCTION("""COMPUTED_VALUE"""),"104469")</f>
        <v>104469</v>
      </c>
      <c r="B852" s="5" t="str">
        <f ca="1">IFERROR(__xludf.DUMMYFUNCTION("""COMPUTED_VALUE"""),"البحيرة")</f>
        <v>البحيرة</v>
      </c>
      <c r="C852" s="5" t="str">
        <f ca="1">IFERROR(__xludf.DUMMYFUNCTION("""COMPUTED_VALUE"""),"أبو حمص")</f>
        <v>أبو حمص</v>
      </c>
      <c r="D852" s="5" t="str">
        <f ca="1">IFERROR(__xludf.DUMMYFUNCTION("""COMPUTED_VALUE"""),"هيئة الأطباء")</f>
        <v>هيئة الأطباء</v>
      </c>
      <c r="E852" s="5" t="str">
        <f ca="1">IFERROR(__xludf.DUMMYFUNCTION("""COMPUTED_VALUE"""),"باطنة")</f>
        <v>باطنة</v>
      </c>
      <c r="F852" s="5" t="str">
        <f ca="1">IFERROR(__xludf.DUMMYFUNCTION("""COMPUTED_VALUE"""),"كبد وجهاز هضمي")</f>
        <v>كبد وجهاز هضمي</v>
      </c>
      <c r="G852" s="5" t="str">
        <f ca="1">IFERROR(__xludf.DUMMYFUNCTION("""COMPUTED_VALUE"""),"د/ هنداوي محمد حسنين")</f>
        <v>د/ هنداوي محمد حسنين</v>
      </c>
      <c r="H852" s="5" t="str">
        <f ca="1">IFERROR(__xludf.DUMMYFUNCTION("""COMPUTED_VALUE"""),"ش المتولي - موقف تاكسي - أعلى صيدلية د/ معوض صوابي - أبو حمص - البحيرة .")</f>
        <v>ش المتولي - موقف تاكسي - أعلى صيدلية د/ معوض صوابي - أبو حمص - البحيرة .</v>
      </c>
      <c r="I852" s="6" t="str">
        <f ca="1">IFERROR(__xludf.DUMMYFUNCTION("""COMPUTED_VALUE"""),"20452563855")</f>
        <v>20452563855</v>
      </c>
      <c r="J852" s="6"/>
      <c r="K852" s="6" t="str">
        <f ca="1">IFERROR(__xludf.DUMMYFUNCTION("""COMPUTED_VALUE"""),"الكشف: 80")</f>
        <v>الكشف: 80</v>
      </c>
    </row>
    <row r="853" spans="1:11" x14ac:dyDescent="0.25">
      <c r="A853" s="4" t="str">
        <f ca="1">IFERROR(__xludf.DUMMYFUNCTION("""COMPUTED_VALUE"""),"103261")</f>
        <v>103261</v>
      </c>
      <c r="B853" s="5" t="str">
        <f ca="1">IFERROR(__xludf.DUMMYFUNCTION("""COMPUTED_VALUE"""),"الغربية")</f>
        <v>الغربية</v>
      </c>
      <c r="C853" s="5" t="str">
        <f ca="1">IFERROR(__xludf.DUMMYFUNCTION("""COMPUTED_VALUE"""),"قاطور")</f>
        <v>قاطور</v>
      </c>
      <c r="D853" s="5" t="str">
        <f ca="1">IFERROR(__xludf.DUMMYFUNCTION("""COMPUTED_VALUE"""),"هيئة الأطباء")</f>
        <v>هيئة الأطباء</v>
      </c>
      <c r="E853" s="5" t="str">
        <f ca="1">IFERROR(__xludf.DUMMYFUNCTION("""COMPUTED_VALUE"""),"باطنة")</f>
        <v>باطنة</v>
      </c>
      <c r="F853" s="5" t="str">
        <f ca="1">IFERROR(__xludf.DUMMYFUNCTION("""COMPUTED_VALUE"""),"كبد وجهاز هضمي")</f>
        <v>كبد وجهاز هضمي</v>
      </c>
      <c r="G853" s="5" t="str">
        <f ca="1">IFERROR(__xludf.DUMMYFUNCTION("""COMPUTED_VALUE"""),"د/ محمد سعيد منتصر")</f>
        <v>د/ محمد سعيد منتصر</v>
      </c>
      <c r="H853" s="5" t="str">
        <f ca="1">IFERROR(__xludf.DUMMYFUNCTION("""COMPUTED_VALUE"""),"شارع الجيش بجوار بنك مصر-قاطور-الغربية")</f>
        <v>شارع الجيش بجوار بنك مصر-قاطور-الغربية</v>
      </c>
      <c r="I853" s="6" t="str">
        <f ca="1">IFERROR(__xludf.DUMMYFUNCTION("""COMPUTED_VALUE"""),"20402752868")</f>
        <v>20402752868</v>
      </c>
      <c r="J853" s="6"/>
      <c r="K853" s="6" t="str">
        <f ca="1">IFERROR(__xludf.DUMMYFUNCTION("""COMPUTED_VALUE"""),"خصم يصل الي 25%")</f>
        <v>خصم يصل الي 25%</v>
      </c>
    </row>
    <row r="854" spans="1:11" x14ac:dyDescent="0.25">
      <c r="A854" s="4" t="str">
        <f ca="1">IFERROR(__xludf.DUMMYFUNCTION("""COMPUTED_VALUE"""),"2395")</f>
        <v>2395</v>
      </c>
      <c r="B854" s="5" t="str">
        <f ca="1">IFERROR(__xludf.DUMMYFUNCTION("""COMPUTED_VALUE"""),"الجيزة")</f>
        <v>الجيزة</v>
      </c>
      <c r="C854" s="5" t="str">
        <f ca="1">IFERROR(__xludf.DUMMYFUNCTION("""COMPUTED_VALUE"""),"الدقي")</f>
        <v>الدقي</v>
      </c>
      <c r="D854" s="5" t="str">
        <f ca="1">IFERROR(__xludf.DUMMYFUNCTION("""COMPUTED_VALUE"""),"هيئة الأطباء")</f>
        <v>هيئة الأطباء</v>
      </c>
      <c r="E854" s="5" t="str">
        <f ca="1">IFERROR(__xludf.DUMMYFUNCTION("""COMPUTED_VALUE"""),"باطنة")</f>
        <v>باطنة</v>
      </c>
      <c r="F854" s="5" t="str">
        <f ca="1">IFERROR(__xludf.DUMMYFUNCTION("""COMPUTED_VALUE"""),"كبد وجهاز هضمي")</f>
        <v>كبد وجهاز هضمي</v>
      </c>
      <c r="G854" s="5" t="str">
        <f ca="1">IFERROR(__xludf.DUMMYFUNCTION("""COMPUTED_VALUE"""),"د/ منى محمد الأمير عوض")</f>
        <v>د/ منى محمد الأمير عوض</v>
      </c>
      <c r="H854" s="5" t="str">
        <f ca="1">IFERROR(__xludf.DUMMYFUNCTION("""COMPUTED_VALUE"""),"94شارع التحرير - برج بلازا بجوار جامع اسد بن فرات-الدقي- الجيزة")</f>
        <v>94شارع التحرير - برج بلازا بجوار جامع اسد بن فرات-الدقي- الجيزة</v>
      </c>
      <c r="I854" s="6" t="str">
        <f ca="1">IFERROR(__xludf.DUMMYFUNCTION("""COMPUTED_VALUE"""),"20233350662")</f>
        <v>20233350662</v>
      </c>
      <c r="J854" s="6"/>
      <c r="K854" s="6" t="str">
        <f ca="1">IFERROR(__xludf.DUMMYFUNCTION("""COMPUTED_VALUE""")," نسبة خصم 30%")</f>
        <v xml:space="preserve"> نسبة خصم 30%</v>
      </c>
    </row>
    <row r="855" spans="1:11" x14ac:dyDescent="0.25">
      <c r="A855" s="4" t="str">
        <f ca="1">IFERROR(__xludf.DUMMYFUNCTION("""COMPUTED_VALUE"""),"1702-B")</f>
        <v>1702-B</v>
      </c>
      <c r="B855" s="5" t="str">
        <f ca="1">IFERROR(__xludf.DUMMYFUNCTION("""COMPUTED_VALUE"""),"الجيزة")</f>
        <v>الجيزة</v>
      </c>
      <c r="C855" s="5" t="str">
        <f ca="1">IFERROR(__xludf.DUMMYFUNCTION("""COMPUTED_VALUE"""),"الدقي")</f>
        <v>الدقي</v>
      </c>
      <c r="D855" s="5" t="str">
        <f ca="1">IFERROR(__xludf.DUMMYFUNCTION("""COMPUTED_VALUE"""),"هيئة الأطباء")</f>
        <v>هيئة الأطباء</v>
      </c>
      <c r="E855" s="5" t="str">
        <f ca="1">IFERROR(__xludf.DUMMYFUNCTION("""COMPUTED_VALUE"""),"باطنة")</f>
        <v>باطنة</v>
      </c>
      <c r="F855" s="5" t="str">
        <f ca="1">IFERROR(__xludf.DUMMYFUNCTION("""COMPUTED_VALUE"""),"كبد وجهاز هضمي")</f>
        <v>كبد وجهاز هضمي</v>
      </c>
      <c r="G855" s="5" t="str">
        <f ca="1">IFERROR(__xludf.DUMMYFUNCTION("""COMPUTED_VALUE"""),"د/محمد على عز العرب")</f>
        <v>د/محمد على عز العرب</v>
      </c>
      <c r="H855" s="5" t="str">
        <f ca="1">IFERROR(__xludf.DUMMYFUNCTION("""COMPUTED_VALUE"""),"98 شارع التحرير برج الدقي الاداري - الدقي")</f>
        <v>98 شارع التحرير برج الدقي الاداري - الدقي</v>
      </c>
      <c r="I855" s="6" t="str">
        <f ca="1">IFERROR(__xludf.DUMMYFUNCTION("""COMPUTED_VALUE"""),"201061060028")</f>
        <v>201061060028</v>
      </c>
      <c r="J855" s="6"/>
      <c r="K855" s="6" t="str">
        <f ca="1">IFERROR(__xludf.DUMMYFUNCTION("""COMPUTED_VALUE"""),"خصم 30% علي الأسعار النقدي المعلنة")</f>
        <v>خصم 30% علي الأسعار النقدي المعلنة</v>
      </c>
    </row>
    <row r="856" spans="1:11" x14ac:dyDescent="0.25">
      <c r="A856" s="4" t="str">
        <f ca="1">IFERROR(__xludf.DUMMYFUNCTION("""COMPUTED_VALUE"""),"2395-B")</f>
        <v>2395-B</v>
      </c>
      <c r="B856" s="5" t="str">
        <f ca="1">IFERROR(__xludf.DUMMYFUNCTION("""COMPUTED_VALUE"""),"الجيزة")</f>
        <v>الجيزة</v>
      </c>
      <c r="C856" s="5" t="str">
        <f ca="1">IFERROR(__xludf.DUMMYFUNCTION("""COMPUTED_VALUE"""),"السادس من اكتوبر")</f>
        <v>السادس من اكتوبر</v>
      </c>
      <c r="D856" s="5" t="str">
        <f ca="1">IFERROR(__xludf.DUMMYFUNCTION("""COMPUTED_VALUE"""),"هيئة الأطباء")</f>
        <v>هيئة الأطباء</v>
      </c>
      <c r="E856" s="5" t="str">
        <f ca="1">IFERROR(__xludf.DUMMYFUNCTION("""COMPUTED_VALUE"""),"باطنة")</f>
        <v>باطنة</v>
      </c>
      <c r="F856" s="5" t="str">
        <f ca="1">IFERROR(__xludf.DUMMYFUNCTION("""COMPUTED_VALUE"""),"كبد وجهاز هضمي")</f>
        <v>كبد وجهاز هضمي</v>
      </c>
      <c r="G856" s="5" t="str">
        <f ca="1">IFERROR(__xludf.DUMMYFUNCTION("""COMPUTED_VALUE"""),"د/ منى محمد الأمير عوض")</f>
        <v>د/ منى محمد الأمير عوض</v>
      </c>
      <c r="H856" s="5" t="str">
        <f ca="1">IFERROR(__xludf.DUMMYFUNCTION("""COMPUTED_VALUE"""),"طريق الحصري (المحور المركزي) بجوار مستشفى الشرطة قبل النساجون الشرقيون-6 أكتوبر - الجيزة")</f>
        <v>طريق الحصري (المحور المركزي) بجوار مستشفى الشرطة قبل النساجون الشرقيون-6 أكتوبر - الجيزة</v>
      </c>
      <c r="I856" s="6" t="str">
        <f ca="1">IFERROR(__xludf.DUMMYFUNCTION("""COMPUTED_VALUE"""),"201066870494")</f>
        <v>201066870494</v>
      </c>
      <c r="J856" s="6"/>
      <c r="K856" s="6" t="str">
        <f ca="1">IFERROR(__xludf.DUMMYFUNCTION("""COMPUTED_VALUE""")," نسبة خصم 30%")</f>
        <v xml:space="preserve"> نسبة خصم 30%</v>
      </c>
    </row>
    <row r="857" spans="1:11" x14ac:dyDescent="0.25">
      <c r="A857" s="4" t="str">
        <f ca="1">IFERROR(__xludf.DUMMYFUNCTION("""COMPUTED_VALUE"""),"104090")</f>
        <v>104090</v>
      </c>
      <c r="B857" s="5" t="str">
        <f ca="1">IFERROR(__xludf.DUMMYFUNCTION("""COMPUTED_VALUE"""),"الجيزة")</f>
        <v>الجيزة</v>
      </c>
      <c r="C857" s="5" t="str">
        <f ca="1">IFERROR(__xludf.DUMMYFUNCTION("""COMPUTED_VALUE"""),"المهندسين")</f>
        <v>المهندسين</v>
      </c>
      <c r="D857" s="5" t="str">
        <f ca="1">IFERROR(__xludf.DUMMYFUNCTION("""COMPUTED_VALUE"""),"مستشفى")</f>
        <v>مستشفى</v>
      </c>
      <c r="E857" s="5" t="str">
        <f ca="1">IFERROR(__xludf.DUMMYFUNCTION("""COMPUTED_VALUE"""),"مستشفي طبي متخصص")</f>
        <v>مستشفي طبي متخصص</v>
      </c>
      <c r="F857" s="5" t="str">
        <f ca="1">IFERROR(__xludf.DUMMYFUNCTION("""COMPUTED_VALUE"""),"كبد وجهاز هضمي")</f>
        <v>كبد وجهاز هضمي</v>
      </c>
      <c r="G857" s="5" t="str">
        <f ca="1">IFERROR(__xludf.DUMMYFUNCTION("""COMPUTED_VALUE"""),"مركز الاكسير")</f>
        <v>مركز الاكسير</v>
      </c>
      <c r="H857" s="5" t="str">
        <f ca="1">IFERROR(__xludf.DUMMYFUNCTION("""COMPUTED_VALUE"""),"5 شارع سوريا-ميدان مصطفي محمود-المهندسين- الجيزة")</f>
        <v>5 شارع سوريا-ميدان مصطفي محمود-المهندسين- الجيزة</v>
      </c>
      <c r="I857" s="6" t="str">
        <f ca="1">IFERROR(__xludf.DUMMYFUNCTION("""COMPUTED_VALUE"""),"033457306")</f>
        <v>033457306</v>
      </c>
      <c r="J857" s="6" t="str">
        <f ca="1">IFERROR(__xludf.DUMMYFUNCTION("""COMPUTED_VALUE"""),"16617")</f>
        <v>16617</v>
      </c>
      <c r="K857" s="6" t="str">
        <f ca="1">IFERROR(__xludf.DUMMYFUNCTION("""COMPUTED_VALUE"""),"25% على جميع الخدمات")</f>
        <v>25% على جميع الخدمات</v>
      </c>
    </row>
    <row r="858" spans="1:11" x14ac:dyDescent="0.25">
      <c r="A858" s="4" t="str">
        <f ca="1">IFERROR(__xludf.DUMMYFUNCTION("""COMPUTED_VALUE"""),"104479")</f>
        <v>104479</v>
      </c>
      <c r="B858" s="5" t="str">
        <f ca="1">IFERROR(__xludf.DUMMYFUNCTION("""COMPUTED_VALUE"""),"الجيزة")</f>
        <v>الجيزة</v>
      </c>
      <c r="C858" s="5" t="str">
        <f ca="1">IFERROR(__xludf.DUMMYFUNCTION("""COMPUTED_VALUE"""),"فيصل")</f>
        <v>فيصل</v>
      </c>
      <c r="D858" s="5" t="str">
        <f ca="1">IFERROR(__xludf.DUMMYFUNCTION("""COMPUTED_VALUE"""),"هيئة الأطباء")</f>
        <v>هيئة الأطباء</v>
      </c>
      <c r="E858" s="5" t="str">
        <f ca="1">IFERROR(__xludf.DUMMYFUNCTION("""COMPUTED_VALUE"""),"باطنة")</f>
        <v>باطنة</v>
      </c>
      <c r="F858" s="5" t="str">
        <f ca="1">IFERROR(__xludf.DUMMYFUNCTION("""COMPUTED_VALUE"""),"كبد وجهاز هضمي")</f>
        <v>كبد وجهاز هضمي</v>
      </c>
      <c r="G858" s="5" t="str">
        <f ca="1">IFERROR(__xludf.DUMMYFUNCTION("""COMPUTED_VALUE"""),"د/ محمد محمود نبيل")</f>
        <v>د/ محمد محمود نبيل</v>
      </c>
      <c r="H858" s="5" t="str">
        <f ca="1">IFERROR(__xludf.DUMMYFUNCTION("""COMPUTED_VALUE"""),"481ش فيصل - أمام مطلع كوبري فيصل بجوار برج الأطباء - أعلى محل موكيت ماك - الدور الرابع - عيادة رقم (1) - فيصل - الجيزة .")</f>
        <v>481ش فيصل - أمام مطلع كوبري فيصل بجوار برج الأطباء - أعلى محل موكيت ماك - الدور الرابع - عيادة رقم (1) - فيصل - الجيزة .</v>
      </c>
      <c r="I858" s="6" t="str">
        <f ca="1">IFERROR(__xludf.DUMMYFUNCTION("""COMPUTED_VALUE"""),"201111094742")</f>
        <v>201111094742</v>
      </c>
      <c r="J858" s="6"/>
      <c r="K858" s="6" t="str">
        <f ca="1">IFERROR(__xludf.DUMMYFUNCTION("""COMPUTED_VALUE"""),"خصم 50% علي الأسعار النقدي المعلنة")</f>
        <v>خصم 50% علي الأسعار النقدي المعلنة</v>
      </c>
    </row>
    <row r="859" spans="1:11" x14ac:dyDescent="0.25">
      <c r="A859" s="4" t="str">
        <f ca="1">IFERROR(__xludf.DUMMYFUNCTION("""COMPUTED_VALUE"""),"1705")</f>
        <v>1705</v>
      </c>
      <c r="B859" s="5" t="str">
        <f ca="1">IFERROR(__xludf.DUMMYFUNCTION("""COMPUTED_VALUE"""),"القاهرة")</f>
        <v>القاهرة</v>
      </c>
      <c r="C859" s="5" t="str">
        <f ca="1">IFERROR(__xludf.DUMMYFUNCTION("""COMPUTED_VALUE"""),"مصر الجديدة")</f>
        <v>مصر الجديدة</v>
      </c>
      <c r="D859" s="5" t="str">
        <f ca="1">IFERROR(__xludf.DUMMYFUNCTION("""COMPUTED_VALUE"""),"هيئة الأطباء")</f>
        <v>هيئة الأطباء</v>
      </c>
      <c r="E859" s="5" t="str">
        <f ca="1">IFERROR(__xludf.DUMMYFUNCTION("""COMPUTED_VALUE"""),"باطنة")</f>
        <v>باطنة</v>
      </c>
      <c r="F859" s="5" t="str">
        <f ca="1">IFERROR(__xludf.DUMMYFUNCTION("""COMPUTED_VALUE"""),"كبد وجهاز هضمي")</f>
        <v>كبد وجهاز هضمي</v>
      </c>
      <c r="G859" s="5" t="str">
        <f ca="1">IFERROR(__xludf.DUMMYFUNCTION("""COMPUTED_VALUE"""),"د/ معتز محمد سيد")</f>
        <v>د/ معتز محمد سيد</v>
      </c>
      <c r="H859" s="5" t="str">
        <f ca="1">IFERROR(__xludf.DUMMYFUNCTION("""COMPUTED_VALUE"""),"94ش جسر السويس- عمارة المحمل الدور التاني شقة 209-مصر الجديدة-القاهرة")</f>
        <v>94ش جسر السويس- عمارة المحمل الدور التاني شقة 209-مصر الجديدة-القاهرة</v>
      </c>
      <c r="I859" s="6" t="str">
        <f ca="1">IFERROR(__xludf.DUMMYFUNCTION("""COMPUTED_VALUE"""),"201141526770")</f>
        <v>201141526770</v>
      </c>
      <c r="J859" s="6"/>
      <c r="K859" s="6" t="str">
        <f ca="1">IFERROR(__xludf.DUMMYFUNCTION("""COMPUTED_VALUE"""),"الكشف 60 , نقابه 2015")</f>
        <v>الكشف 60 , نقابه 2015</v>
      </c>
    </row>
    <row r="860" spans="1:11" x14ac:dyDescent="0.25">
      <c r="A860" s="4" t="str">
        <f ca="1">IFERROR(__xludf.DUMMYFUNCTION("""COMPUTED_VALUE"""),"1702")</f>
        <v>1702</v>
      </c>
      <c r="B860" s="5" t="str">
        <f ca="1">IFERROR(__xludf.DUMMYFUNCTION("""COMPUTED_VALUE"""),"القاهرة")</f>
        <v>القاهرة</v>
      </c>
      <c r="C860" s="5" t="str">
        <f ca="1">IFERROR(__xludf.DUMMYFUNCTION("""COMPUTED_VALUE"""),"مصر الجديدة")</f>
        <v>مصر الجديدة</v>
      </c>
      <c r="D860" s="5" t="str">
        <f ca="1">IFERROR(__xludf.DUMMYFUNCTION("""COMPUTED_VALUE"""),"هيئة الأطباء")</f>
        <v>هيئة الأطباء</v>
      </c>
      <c r="E860" s="5" t="str">
        <f ca="1">IFERROR(__xludf.DUMMYFUNCTION("""COMPUTED_VALUE"""),"باطنة")</f>
        <v>باطنة</v>
      </c>
      <c r="F860" s="5" t="str">
        <f ca="1">IFERROR(__xludf.DUMMYFUNCTION("""COMPUTED_VALUE"""),"كبد وجهاز هضمي")</f>
        <v>كبد وجهاز هضمي</v>
      </c>
      <c r="G860" s="5" t="str">
        <f ca="1">IFERROR(__xludf.DUMMYFUNCTION("""COMPUTED_VALUE"""),"د/محمد على عز العرب")</f>
        <v>د/محمد على عز العرب</v>
      </c>
      <c r="H860" s="5" t="str">
        <f ca="1">IFERROR(__xludf.DUMMYFUNCTION("""COMPUTED_VALUE"""),"6ش بطرس غالي روكسي مصر الجديدة-مصر الجديدة-القاهرة")</f>
        <v>6ش بطرس غالي روكسي مصر الجديدة-مصر الجديدة-القاهرة</v>
      </c>
      <c r="I860" s="6" t="str">
        <f ca="1">IFERROR(__xludf.DUMMYFUNCTION("""COMPUTED_VALUE"""),"20224516415")</f>
        <v>20224516415</v>
      </c>
      <c r="J860" s="6"/>
      <c r="K860" s="6" t="str">
        <f ca="1">IFERROR(__xludf.DUMMYFUNCTION("""COMPUTED_VALUE"""),"خصم 30% علي الأسعار النقدي المعلنة")</f>
        <v>خصم 30% علي الأسعار النقدي المعلنة</v>
      </c>
    </row>
    <row r="861" spans="1:11" x14ac:dyDescent="0.25">
      <c r="A861" s="4" t="str">
        <f ca="1">IFERROR(__xludf.DUMMYFUNCTION("""COMPUTED_VALUE"""),"103770")</f>
        <v>103770</v>
      </c>
      <c r="B861" s="5" t="str">
        <f ca="1">IFERROR(__xludf.DUMMYFUNCTION("""COMPUTED_VALUE"""),"المنوفية")</f>
        <v>المنوفية</v>
      </c>
      <c r="C861" s="5" t="str">
        <f ca="1">IFERROR(__xludf.DUMMYFUNCTION("""COMPUTED_VALUE"""),"شبين الكوم")</f>
        <v>شبين الكوم</v>
      </c>
      <c r="D861" s="5" t="str">
        <f ca="1">IFERROR(__xludf.DUMMYFUNCTION("""COMPUTED_VALUE"""),"هيئة الأطباء")</f>
        <v>هيئة الأطباء</v>
      </c>
      <c r="E861" s="5" t="str">
        <f ca="1">IFERROR(__xludf.DUMMYFUNCTION("""COMPUTED_VALUE"""),"باطنة")</f>
        <v>باطنة</v>
      </c>
      <c r="F861" s="5" t="str">
        <f ca="1">IFERROR(__xludf.DUMMYFUNCTION("""COMPUTED_VALUE"""),"كبد وجهاز هضمي")</f>
        <v>كبد وجهاز هضمي</v>
      </c>
      <c r="G861" s="5" t="str">
        <f ca="1">IFERROR(__xludf.DUMMYFUNCTION("""COMPUTED_VALUE"""),"د/ احمد السيد احمد عطية")</f>
        <v>د/ احمد السيد احمد عطية</v>
      </c>
      <c r="H861" s="5" t="str">
        <f ca="1">IFERROR(__xludf.DUMMYFUNCTION("""COMPUTED_VALUE"""),"شارع الملعب متفرع من شارع الشبان المسلمين-شبين الكوم-المنوفية")</f>
        <v>شارع الملعب متفرع من شارع الشبان المسلمين-شبين الكوم-المنوفية</v>
      </c>
      <c r="I861" s="6" t="str">
        <f ca="1">IFERROR(__xludf.DUMMYFUNCTION("""COMPUTED_VALUE"""),"201061511323")</f>
        <v>201061511323</v>
      </c>
      <c r="J861" s="6"/>
      <c r="K861" s="6" t="str">
        <f ca="1">IFERROR(__xludf.DUMMYFUNCTION("""COMPUTED_VALUE"""),"خصم 40% علي الأسعار النقدي المعلنة")</f>
        <v>خصم 40% علي الأسعار النقدي المعلنة</v>
      </c>
    </row>
    <row r="862" spans="1:11" x14ac:dyDescent="0.25">
      <c r="A862" s="4" t="str">
        <f ca="1">IFERROR(__xludf.DUMMYFUNCTION("""COMPUTED_VALUE"""),"104608")</f>
        <v>104608</v>
      </c>
      <c r="B862" s="5" t="str">
        <f ca="1">IFERROR(__xludf.DUMMYFUNCTION("""COMPUTED_VALUE"""),"الجيزة")</f>
        <v>الجيزة</v>
      </c>
      <c r="C862" s="5" t="str">
        <f ca="1">IFERROR(__xludf.DUMMYFUNCTION("""COMPUTED_VALUE"""),"الدقي")</f>
        <v>الدقي</v>
      </c>
      <c r="D862" s="5" t="str">
        <f ca="1">IFERROR(__xludf.DUMMYFUNCTION("""COMPUTED_VALUE"""),"هيئة الأطباء")</f>
        <v>هيئة الأطباء</v>
      </c>
      <c r="E862" s="5" t="str">
        <f ca="1">IFERROR(__xludf.DUMMYFUNCTION("""COMPUTED_VALUE"""),"باطنة")</f>
        <v>باطنة</v>
      </c>
      <c r="F862" s="5" t="str">
        <f ca="1">IFERROR(__xludf.DUMMYFUNCTION("""COMPUTED_VALUE"""),"كبد وجهاز هضمي")</f>
        <v>كبد وجهاز هضمي</v>
      </c>
      <c r="G862" s="5" t="str">
        <f ca="1">IFERROR(__xludf.DUMMYFUNCTION("""COMPUTED_VALUE"""),"د/أيمن ربيع عبدالقادر")</f>
        <v>د/أيمن ربيع عبدالقادر</v>
      </c>
      <c r="H862" s="5" t="str">
        <f ca="1">IFERROR(__xludf.DUMMYFUNCTION("""COMPUTED_VALUE"""),"97شارع التحرير - أمام مسجد أسد بن الفرات (عمارة مطعم جاد) - الدقى - الجيزة")</f>
        <v>97شارع التحرير - أمام مسجد أسد بن الفرات (عمارة مطعم جاد) - الدقى - الجيزة</v>
      </c>
      <c r="I862" s="6" t="str">
        <f ca="1">IFERROR(__xludf.DUMMYFUNCTION("""COMPUTED_VALUE"""),"20237489366")</f>
        <v>20237489366</v>
      </c>
      <c r="J862" s="6"/>
      <c r="K862" s="6" t="str">
        <f ca="1">IFERROR(__xludf.DUMMYFUNCTION("""COMPUTED_VALUE"""),"الكشف:70جنية")</f>
        <v>الكشف:70جنية</v>
      </c>
    </row>
    <row r="863" spans="1:11" x14ac:dyDescent="0.25">
      <c r="A863" s="4" t="str">
        <f ca="1">IFERROR(__xludf.DUMMYFUNCTION("""COMPUTED_VALUE"""),"104792")</f>
        <v>104792</v>
      </c>
      <c r="B863" s="5" t="str">
        <f ca="1">IFERROR(__xludf.DUMMYFUNCTION("""COMPUTED_VALUE"""),"الجيزة")</f>
        <v>الجيزة</v>
      </c>
      <c r="C863" s="5" t="str">
        <f ca="1">IFERROR(__xludf.DUMMYFUNCTION("""COMPUTED_VALUE"""),"الهرم")</f>
        <v>الهرم</v>
      </c>
      <c r="D863" s="5" t="str">
        <f ca="1">IFERROR(__xludf.DUMMYFUNCTION("""COMPUTED_VALUE"""),"هيئة الأطباء")</f>
        <v>هيئة الأطباء</v>
      </c>
      <c r="E863" s="5" t="str">
        <f ca="1">IFERROR(__xludf.DUMMYFUNCTION("""COMPUTED_VALUE"""),"باطنة")</f>
        <v>باطنة</v>
      </c>
      <c r="F863" s="5" t="str">
        <f ca="1">IFERROR(__xludf.DUMMYFUNCTION("""COMPUTED_VALUE"""),"كبد وجهاز هضمي")</f>
        <v>كبد وجهاز هضمي</v>
      </c>
      <c r="G863" s="5" t="str">
        <f ca="1">IFERROR(__xludf.DUMMYFUNCTION("""COMPUTED_VALUE"""),"د/مي سمير محمد حسن")</f>
        <v>د/مي سمير محمد حسن</v>
      </c>
      <c r="H863" s="5" t="str">
        <f ca="1">IFERROR(__xludf.DUMMYFUNCTION("""COMPUTED_VALUE"""),"103شارع الهرم - اعلى شركة رزق الله - امام مستشفى الهرم - الهرم")</f>
        <v>103شارع الهرم - اعلى شركة رزق الله - امام مستشفى الهرم - الهرم</v>
      </c>
      <c r="I863" s="6" t="str">
        <f ca="1">IFERROR(__xludf.DUMMYFUNCTION("""COMPUTED_VALUE"""),"20235974067")</f>
        <v>20235974067</v>
      </c>
      <c r="J863" s="6"/>
      <c r="K863" s="6" t="str">
        <f ca="1">IFERROR(__xludf.DUMMYFUNCTION("""COMPUTED_VALUE"""),"خصم 40% علي الأسعار النقدي المعلنة ")</f>
        <v xml:space="preserve">خصم 40% علي الأسعار النقدي المعلنة </v>
      </c>
    </row>
    <row r="864" spans="1:11" x14ac:dyDescent="0.25">
      <c r="A864" s="4" t="str">
        <f ca="1">IFERROR(__xludf.DUMMYFUNCTION("""COMPUTED_VALUE"""),"104813")</f>
        <v>104813</v>
      </c>
      <c r="B864" s="5" t="str">
        <f ca="1">IFERROR(__xludf.DUMMYFUNCTION("""COMPUTED_VALUE"""),"كفر الشيخ")</f>
        <v>كفر الشيخ</v>
      </c>
      <c r="C864" s="5" t="str">
        <f ca="1">IFERROR(__xludf.DUMMYFUNCTION("""COMPUTED_VALUE"""),"بيلا")</f>
        <v>بيلا</v>
      </c>
      <c r="D864" s="5" t="str">
        <f ca="1">IFERROR(__xludf.DUMMYFUNCTION("""COMPUTED_VALUE"""),"هيئة الأطباء")</f>
        <v>هيئة الأطباء</v>
      </c>
      <c r="E864" s="5" t="str">
        <f ca="1">IFERROR(__xludf.DUMMYFUNCTION("""COMPUTED_VALUE"""),"باطنة")</f>
        <v>باطنة</v>
      </c>
      <c r="F864" s="5" t="str">
        <f ca="1">IFERROR(__xludf.DUMMYFUNCTION("""COMPUTED_VALUE"""),"كبد وجهاز هضمي")</f>
        <v>كبد وجهاز هضمي</v>
      </c>
      <c r="G864" s="5" t="str">
        <f ca="1">IFERROR(__xludf.DUMMYFUNCTION("""COMPUTED_VALUE"""),"د/حسام جميل أبو العنين الحنفي")</f>
        <v>د/حسام جميل أبو العنين الحنفي</v>
      </c>
      <c r="H864" s="5" t="str">
        <f ca="1">IFERROR(__xludf.DUMMYFUNCTION("""COMPUTED_VALUE"""),"خلف مسجد البيلى الشرقاوي - بيلا - كفر الشيخ")</f>
        <v>خلف مسجد البيلى الشرقاوي - بيلا - كفر الشيخ</v>
      </c>
      <c r="I864" s="6" t="str">
        <f ca="1">IFERROR(__xludf.DUMMYFUNCTION("""COMPUTED_VALUE"""),"20473612154")</f>
        <v>20473612154</v>
      </c>
      <c r="J864" s="6"/>
      <c r="K864" s="6" t="str">
        <f ca="1">IFERROR(__xludf.DUMMYFUNCTION("""COMPUTED_VALUE"""),"الكشف :40 ’ موجات صوتيه علي البطن 20 , 20جنية: رسم قلب")</f>
        <v>الكشف :40 ’ موجات صوتيه علي البطن 20 , 20جنية: رسم قلب</v>
      </c>
    </row>
    <row r="865" spans="1:11" x14ac:dyDescent="0.25">
      <c r="A865" s="4" t="str">
        <f ca="1">IFERROR(__xludf.DUMMYFUNCTION("""COMPUTED_VALUE"""),"3008")</f>
        <v>3008</v>
      </c>
      <c r="B865" s="5" t="str">
        <f ca="1">IFERROR(__xludf.DUMMYFUNCTION("""COMPUTED_VALUE"""),"البحر الاحمر")</f>
        <v>البحر الاحمر</v>
      </c>
      <c r="C865" s="5" t="str">
        <f ca="1">IFERROR(__xludf.DUMMYFUNCTION("""COMPUTED_VALUE"""),"رأس غارب")</f>
        <v>رأس غارب</v>
      </c>
      <c r="D865" s="5" t="str">
        <f ca="1">IFERROR(__xludf.DUMMYFUNCTION("""COMPUTED_VALUE"""),"هيئة الأطباء")</f>
        <v>هيئة الأطباء</v>
      </c>
      <c r="E865" s="5" t="str">
        <f ca="1">IFERROR(__xludf.DUMMYFUNCTION("""COMPUTED_VALUE"""),"جراحة")</f>
        <v>جراحة</v>
      </c>
      <c r="F865" s="5" t="str">
        <f ca="1">IFERROR(__xludf.DUMMYFUNCTION("""COMPUTED_VALUE"""),"جراحة عامة")</f>
        <v>جراحة عامة</v>
      </c>
      <c r="G865" s="5" t="str">
        <f ca="1">IFERROR(__xludf.DUMMYFUNCTION("""COMPUTED_VALUE"""),"د/ غطاس فخرى غطاس")</f>
        <v>د/ غطاس فخرى غطاس</v>
      </c>
      <c r="H865" s="5" t="str">
        <f ca="1">IFERROR(__xludf.DUMMYFUNCTION("""COMPUTED_VALUE"""),"15ش الاذاعة-رأس غارب-البحر الاحمر")</f>
        <v>15ش الاذاعة-رأس غارب-البحر الاحمر</v>
      </c>
      <c r="I865" s="6" t="str">
        <f ca="1">IFERROR(__xludf.DUMMYFUNCTION("""COMPUTED_VALUE"""),"20653620610")</f>
        <v>20653620610</v>
      </c>
      <c r="J865" s="6"/>
      <c r="K865" s="6" t="str">
        <f ca="1">IFERROR(__xludf.DUMMYFUNCTION("""COMPUTED_VALUE"""),"الكشف : 70")</f>
        <v>الكشف : 70</v>
      </c>
    </row>
    <row r="866" spans="1:11" x14ac:dyDescent="0.25">
      <c r="A866" s="4" t="str">
        <f ca="1">IFERROR(__xludf.DUMMYFUNCTION("""COMPUTED_VALUE"""),"104843")</f>
        <v>104843</v>
      </c>
      <c r="B866" s="5" t="str">
        <f ca="1">IFERROR(__xludf.DUMMYFUNCTION("""COMPUTED_VALUE"""),"القليوبية")</f>
        <v>القليوبية</v>
      </c>
      <c r="C866" s="5" t="str">
        <f ca="1">IFERROR(__xludf.DUMMYFUNCTION("""COMPUTED_VALUE"""),"شبين القناطر")</f>
        <v>شبين القناطر</v>
      </c>
      <c r="D866" s="5" t="str">
        <f ca="1">IFERROR(__xludf.DUMMYFUNCTION("""COMPUTED_VALUE"""),"هيئة الأطباء")</f>
        <v>هيئة الأطباء</v>
      </c>
      <c r="E866" s="5" t="str">
        <f ca="1">IFERROR(__xludf.DUMMYFUNCTION("""COMPUTED_VALUE"""),"جراحة")</f>
        <v>جراحة</v>
      </c>
      <c r="F866" s="5" t="str">
        <f ca="1">IFERROR(__xludf.DUMMYFUNCTION("""COMPUTED_VALUE"""),"جراحة عامة")</f>
        <v>جراحة عامة</v>
      </c>
      <c r="G866" s="5" t="str">
        <f ca="1">IFERROR(__xludf.DUMMYFUNCTION("""COMPUTED_VALUE"""),"د/محمد عبد الحكيم منصور")</f>
        <v>د/محمد عبد الحكيم منصور</v>
      </c>
      <c r="H866" s="5" t="str">
        <f ca="1">IFERROR(__xludf.DUMMYFUNCTION("""COMPUTED_VALUE"""),"ارض الدلتا -شارع دار المناسبات مستشفى المهدى -شبين القناطر-القليوبية")</f>
        <v>ارض الدلتا -شارع دار المناسبات مستشفى المهدى -شبين القناطر-القليوبية</v>
      </c>
      <c r="I866" s="6" t="str">
        <f ca="1">IFERROR(__xludf.DUMMYFUNCTION("""COMPUTED_VALUE"""),"20132725627")</f>
        <v>20132725627</v>
      </c>
      <c r="J866" s="6"/>
      <c r="K866" s="6" t="str">
        <f ca="1">IFERROR(__xludf.DUMMYFUNCTION("""COMPUTED_VALUE"""),"الكشف :50,نقابه 2016")</f>
        <v>الكشف :50,نقابه 2016</v>
      </c>
    </row>
    <row r="867" spans="1:11" x14ac:dyDescent="0.25">
      <c r="A867" s="4" t="str">
        <f ca="1">IFERROR(__xludf.DUMMYFUNCTION("""COMPUTED_VALUE"""),"103881")</f>
        <v>103881</v>
      </c>
      <c r="B867" s="5" t="str">
        <f ca="1">IFERROR(__xludf.DUMMYFUNCTION("""COMPUTED_VALUE"""),"الغربية")</f>
        <v>الغربية</v>
      </c>
      <c r="C867" s="5" t="str">
        <f ca="1">IFERROR(__xludf.DUMMYFUNCTION("""COMPUTED_VALUE"""),"طنطا")</f>
        <v>طنطا</v>
      </c>
      <c r="D867" s="5" t="str">
        <f ca="1">IFERROR(__xludf.DUMMYFUNCTION("""COMPUTED_VALUE"""),"هيئة الأطباء")</f>
        <v>هيئة الأطباء</v>
      </c>
      <c r="E867" s="5" t="str">
        <f ca="1">IFERROR(__xludf.DUMMYFUNCTION("""COMPUTED_VALUE"""),"أنف وأذن وحنجرة")</f>
        <v>أنف وأذن وحنجرة</v>
      </c>
      <c r="F867" s="5" t="str">
        <f ca="1">IFERROR(__xludf.DUMMYFUNCTION("""COMPUTED_VALUE"""),"أنف وأذن وحنجرة")</f>
        <v>أنف وأذن وحنجرة</v>
      </c>
      <c r="G867" s="5" t="str">
        <f ca="1">IFERROR(__xludf.DUMMYFUNCTION("""COMPUTED_VALUE"""),"د/ عمرو جلال يونس")</f>
        <v>د/ عمرو جلال يونس</v>
      </c>
      <c r="H867" s="5" t="str">
        <f ca="1">IFERROR(__xludf.DUMMYFUNCTION("""COMPUTED_VALUE"""),"شارع عثمان محمد من شارع المديرية - برج جوهرة عثمان - طنطا")</f>
        <v>شارع عثمان محمد من شارع المديرية - برج جوهرة عثمان - طنطا</v>
      </c>
      <c r="I867" s="6" t="str">
        <f ca="1">IFERROR(__xludf.DUMMYFUNCTION("""COMPUTED_VALUE"""),"20403410450")</f>
        <v>20403410450</v>
      </c>
      <c r="J867" s="6"/>
      <c r="K867" s="6" t="str">
        <f ca="1">IFERROR(__xludf.DUMMYFUNCTION("""COMPUTED_VALUE"""),"الكشف : 40 , نقابه 2012")</f>
        <v>الكشف : 40 , نقابه 2012</v>
      </c>
    </row>
    <row r="868" spans="1:11" x14ac:dyDescent="0.25">
      <c r="A868" s="4" t="str">
        <f ca="1">IFERROR(__xludf.DUMMYFUNCTION("""COMPUTED_VALUE"""),"4718")</f>
        <v>4718</v>
      </c>
      <c r="B868" s="5" t="str">
        <f ca="1">IFERROR(__xludf.DUMMYFUNCTION("""COMPUTED_VALUE"""),"الجيزة")</f>
        <v>الجيزة</v>
      </c>
      <c r="C868" s="5" t="str">
        <f ca="1">IFERROR(__xludf.DUMMYFUNCTION("""COMPUTED_VALUE"""),"الجيزة")</f>
        <v>الجيزة</v>
      </c>
      <c r="D868" s="5" t="str">
        <f ca="1">IFERROR(__xludf.DUMMYFUNCTION("""COMPUTED_VALUE"""),"هيئة الأطباء")</f>
        <v>هيئة الأطباء</v>
      </c>
      <c r="E868" s="5" t="str">
        <f ca="1">IFERROR(__xludf.DUMMYFUNCTION("""COMPUTED_VALUE"""),"أنف وأذن وحنجرة")</f>
        <v>أنف وأذن وحنجرة</v>
      </c>
      <c r="F868" s="5" t="str">
        <f ca="1">IFERROR(__xludf.DUMMYFUNCTION("""COMPUTED_VALUE"""),"أنف وأذن وحنجرة")</f>
        <v>أنف وأذن وحنجرة</v>
      </c>
      <c r="G868" s="5" t="str">
        <f ca="1">IFERROR(__xludf.DUMMYFUNCTION("""COMPUTED_VALUE"""),"د/ محمد هيبة")</f>
        <v>د/ محمد هيبة</v>
      </c>
      <c r="H868" s="5" t="str">
        <f ca="1">IFERROR(__xludf.DUMMYFUNCTION("""COMPUTED_VALUE"""),"30شارع مراد - برج الأهلى الطبى- الجيزة")</f>
        <v>30شارع مراد - برج الأهلى الطبى- الجيزة</v>
      </c>
      <c r="I868" s="6" t="str">
        <f ca="1">IFERROR(__xludf.DUMMYFUNCTION("""COMPUTED_VALUE"""),"20235708808")</f>
        <v>20235708808</v>
      </c>
      <c r="J868" s="6"/>
      <c r="K868" s="6" t="str">
        <f ca="1">IFERROR(__xludf.DUMMYFUNCTION("""COMPUTED_VALUE"""),"خصم 30 % علي الاسعار النقدي")</f>
        <v>خصم 30 % علي الاسعار النقدي</v>
      </c>
    </row>
    <row r="869" spans="1:11" x14ac:dyDescent="0.25">
      <c r="A869" s="4" t="str">
        <f ca="1">IFERROR(__xludf.DUMMYFUNCTION("""COMPUTED_VALUE"""),"2136")</f>
        <v>2136</v>
      </c>
      <c r="B869" s="5" t="str">
        <f ca="1">IFERROR(__xludf.DUMMYFUNCTION("""COMPUTED_VALUE"""),"الجيزة")</f>
        <v>الجيزة</v>
      </c>
      <c r="C869" s="5" t="str">
        <f ca="1">IFERROR(__xludf.DUMMYFUNCTION("""COMPUTED_VALUE"""),"الدقي")</f>
        <v>الدقي</v>
      </c>
      <c r="D869" s="5" t="str">
        <f ca="1">IFERROR(__xludf.DUMMYFUNCTION("""COMPUTED_VALUE"""),"هيئة الأطباء")</f>
        <v>هيئة الأطباء</v>
      </c>
      <c r="E869" s="5" t="str">
        <f ca="1">IFERROR(__xludf.DUMMYFUNCTION("""COMPUTED_VALUE"""),"أنف وأذن وحنجرة")</f>
        <v>أنف وأذن وحنجرة</v>
      </c>
      <c r="F869" s="5" t="str">
        <f ca="1">IFERROR(__xludf.DUMMYFUNCTION("""COMPUTED_VALUE"""),"أنف وأذن وحنجرة")</f>
        <v>أنف وأذن وحنجرة</v>
      </c>
      <c r="G869" s="5" t="str">
        <f ca="1">IFERROR(__xludf.DUMMYFUNCTION("""COMPUTED_VALUE"""),"د/ عصام محمد أحمد وهبة")</f>
        <v>د/ عصام محمد أحمد وهبة</v>
      </c>
      <c r="H869" s="5" t="str">
        <f ca="1">IFERROR(__xludf.DUMMYFUNCTION("""COMPUTED_VALUE"""),"128 شارع التحرير - امام بنك الاسكندرية - الدقي - الجيزة")</f>
        <v>128 شارع التحرير - امام بنك الاسكندرية - الدقي - الجيزة</v>
      </c>
      <c r="I869" s="6" t="str">
        <f ca="1">IFERROR(__xludf.DUMMYFUNCTION("""COMPUTED_VALUE"""),"20237485238")</f>
        <v>20237485238</v>
      </c>
      <c r="J869" s="6"/>
      <c r="K869" s="6" t="str">
        <f ca="1">IFERROR(__xludf.DUMMYFUNCTION("""COMPUTED_VALUE"""),"الكشف : 90, نقابه. 2016")</f>
        <v>الكشف : 90, نقابه. 2016</v>
      </c>
    </row>
    <row r="870" spans="1:11" x14ac:dyDescent="0.25">
      <c r="A870" s="4" t="str">
        <f ca="1">IFERROR(__xludf.DUMMYFUNCTION("""COMPUTED_VALUE"""),"3160")</f>
        <v>3160</v>
      </c>
      <c r="B870" s="5" t="str">
        <f ca="1">IFERROR(__xludf.DUMMYFUNCTION("""COMPUTED_VALUE"""),"الغربية")</f>
        <v>الغربية</v>
      </c>
      <c r="C870" s="5" t="str">
        <f ca="1">IFERROR(__xludf.DUMMYFUNCTION("""COMPUTED_VALUE"""),"المحلة الكبرى")</f>
        <v>المحلة الكبرى</v>
      </c>
      <c r="D870" s="5" t="str">
        <f ca="1">IFERROR(__xludf.DUMMYFUNCTION("""COMPUTED_VALUE"""),"هيئة الأطباء")</f>
        <v>هيئة الأطباء</v>
      </c>
      <c r="E870" s="5" t="str">
        <f ca="1">IFERROR(__xludf.DUMMYFUNCTION("""COMPUTED_VALUE"""),"باطنة")</f>
        <v>باطنة</v>
      </c>
      <c r="F870" s="5" t="str">
        <f ca="1">IFERROR(__xludf.DUMMYFUNCTION("""COMPUTED_VALUE"""),"غدد صماء و سكر")</f>
        <v>غدد صماء و سكر</v>
      </c>
      <c r="G870" s="5" t="str">
        <f ca="1">IFERROR(__xludf.DUMMYFUNCTION("""COMPUTED_VALUE"""),"د/ عماد صلاح مشرقي")</f>
        <v>د/ عماد صلاح مشرقي</v>
      </c>
      <c r="H870" s="5" t="str">
        <f ca="1">IFERROR(__xludf.DUMMYFUNCTION("""COMPUTED_VALUE"""),"3شارع طلعت حرب برج الباشا-السبع بنات  -المحلة الكبرى-الغربية")</f>
        <v>3شارع طلعت حرب برج الباشا-السبع بنات  -المحلة الكبرى-الغربية</v>
      </c>
      <c r="I870" s="6" t="str">
        <f ca="1">IFERROR(__xludf.DUMMYFUNCTION("""COMPUTED_VALUE"""),"20402217711")</f>
        <v>20402217711</v>
      </c>
      <c r="J870" s="6"/>
      <c r="K870" s="6" t="str">
        <f ca="1">IFERROR(__xludf.DUMMYFUNCTION("""COMPUTED_VALUE"""),"خصم 25% علي الاسعار النقدي")</f>
        <v>خصم 25% علي الاسعار النقدي</v>
      </c>
    </row>
    <row r="871" spans="1:11" x14ac:dyDescent="0.25">
      <c r="A871" s="4" t="str">
        <f ca="1">IFERROR(__xludf.DUMMYFUNCTION("""COMPUTED_VALUE"""),"2102")</f>
        <v>2102</v>
      </c>
      <c r="B871" s="5" t="str">
        <f ca="1">IFERROR(__xludf.DUMMYFUNCTION("""COMPUTED_VALUE"""),"الجيزة")</f>
        <v>الجيزة</v>
      </c>
      <c r="C871" s="5" t="str">
        <f ca="1">IFERROR(__xludf.DUMMYFUNCTION("""COMPUTED_VALUE"""),"المهندسين")</f>
        <v>المهندسين</v>
      </c>
      <c r="D871" s="5" t="str">
        <f ca="1">IFERROR(__xludf.DUMMYFUNCTION("""COMPUTED_VALUE"""),"هيئة الأطباء")</f>
        <v>هيئة الأطباء</v>
      </c>
      <c r="E871" s="5" t="str">
        <f ca="1">IFERROR(__xludf.DUMMYFUNCTION("""COMPUTED_VALUE"""),"باطنة")</f>
        <v>باطنة</v>
      </c>
      <c r="F871" s="5" t="str">
        <f ca="1">IFERROR(__xludf.DUMMYFUNCTION("""COMPUTED_VALUE"""),"غدد صماء و سكر")</f>
        <v>غدد صماء و سكر</v>
      </c>
      <c r="G871" s="5" t="str">
        <f ca="1">IFERROR(__xludf.DUMMYFUNCTION("""COMPUTED_VALUE"""),"د/ أسامة محمد رشاد التوني")</f>
        <v>د/ أسامة محمد رشاد التوني</v>
      </c>
      <c r="H871" s="5" t="str">
        <f ca="1">IFERROR(__xludf.DUMMYFUNCTION("""COMPUTED_VALUE"""),"25 شارع البصرة - مدينة المهندسين-المهندسين- الجيزة")</f>
        <v>25 شارع البصرة - مدينة المهندسين-المهندسين- الجيزة</v>
      </c>
      <c r="I871" s="6"/>
      <c r="J871" s="6"/>
      <c r="K871" s="6" t="str">
        <f ca="1">IFERROR(__xludf.DUMMYFUNCTION("""COMPUTED_VALUE"""),"25% على جميع الخدمات")</f>
        <v>25% على جميع الخدمات</v>
      </c>
    </row>
    <row r="872" spans="1:11" x14ac:dyDescent="0.25">
      <c r="A872" s="4" t="str">
        <f ca="1">IFERROR(__xludf.DUMMYFUNCTION("""COMPUTED_VALUE"""),"103348")</f>
        <v>103348</v>
      </c>
      <c r="B872" s="5" t="str">
        <f ca="1">IFERROR(__xludf.DUMMYFUNCTION("""COMPUTED_VALUE"""),"القاهرة")</f>
        <v>القاهرة</v>
      </c>
      <c r="C872" s="5" t="str">
        <f ca="1">IFERROR(__xludf.DUMMYFUNCTION("""COMPUTED_VALUE"""),"مدينة نصر")</f>
        <v>مدينة نصر</v>
      </c>
      <c r="D872" s="5" t="str">
        <f ca="1">IFERROR(__xludf.DUMMYFUNCTION("""COMPUTED_VALUE"""),"هيئة الأطباء")</f>
        <v>هيئة الأطباء</v>
      </c>
      <c r="E872" s="5" t="str">
        <f ca="1">IFERROR(__xludf.DUMMYFUNCTION("""COMPUTED_VALUE"""),"باطنة")</f>
        <v>باطنة</v>
      </c>
      <c r="F872" s="5" t="str">
        <f ca="1">IFERROR(__xludf.DUMMYFUNCTION("""COMPUTED_VALUE"""),"غدد صماء و سكر")</f>
        <v>غدد صماء و سكر</v>
      </c>
      <c r="G872" s="5" t="str">
        <f ca="1">IFERROR(__xludf.DUMMYFUNCTION("""COMPUTED_VALUE"""),"د/ نرمين أحمد شريبة")</f>
        <v>د/ نرمين أحمد شريبة</v>
      </c>
      <c r="H872" s="5" t="str">
        <f ca="1">IFERROR(__xludf.DUMMYFUNCTION("""COMPUTED_VALUE"""),"16 شارع مصطفى النحاس -مدينة نصر-القاهرة")</f>
        <v>16 شارع مصطفى النحاس -مدينة نصر-القاهرة</v>
      </c>
      <c r="I872" s="6" t="str">
        <f ca="1">IFERROR(__xludf.DUMMYFUNCTION("""COMPUTED_VALUE"""),"20222737084")</f>
        <v>20222737084</v>
      </c>
      <c r="J872" s="6"/>
      <c r="K872" s="6" t="str">
        <f ca="1">IFERROR(__xludf.DUMMYFUNCTION("""COMPUTED_VALUE"""),"الكشف : 250")</f>
        <v>الكشف : 250</v>
      </c>
    </row>
    <row r="873" spans="1:11" x14ac:dyDescent="0.25">
      <c r="A873" s="4" t="str">
        <f ca="1">IFERROR(__xludf.DUMMYFUNCTION("""COMPUTED_VALUE"""),"3679")</f>
        <v>3679</v>
      </c>
      <c r="B873" s="5" t="str">
        <f ca="1">IFERROR(__xludf.DUMMYFUNCTION("""COMPUTED_VALUE"""),"الاسكندرية")</f>
        <v>الاسكندرية</v>
      </c>
      <c r="C873" s="5" t="str">
        <f ca="1">IFERROR(__xludf.DUMMYFUNCTION("""COMPUTED_VALUE"""),"الازاريطا")</f>
        <v>الازاريطا</v>
      </c>
      <c r="D873" s="5" t="str">
        <f ca="1">IFERROR(__xludf.DUMMYFUNCTION("""COMPUTED_VALUE"""),"مركز أشعة")</f>
        <v>مركز أشعة</v>
      </c>
      <c r="E873" s="5" t="str">
        <f ca="1">IFERROR(__xludf.DUMMYFUNCTION("""COMPUTED_VALUE"""),"مركز أشعة")</f>
        <v>مركز أشعة</v>
      </c>
      <c r="F873" s="5" t="str">
        <f ca="1">IFERROR(__xludf.DUMMYFUNCTION("""COMPUTED_VALUE"""),"مركز الأشعة التشخيصية")</f>
        <v>مركز الأشعة التشخيصية</v>
      </c>
      <c r="G873" s="5" t="str">
        <f ca="1">IFERROR(__xludf.DUMMYFUNCTION("""COMPUTED_VALUE"""),"المجموعة الاستشارية للخدمات الطبية يوميجا التشخيصية")</f>
        <v>المجموعة الاستشارية للخدمات الطبية يوميجا التشخيصية</v>
      </c>
      <c r="H873" s="5" t="str">
        <f ca="1">IFERROR(__xludf.DUMMYFUNCTION("""COMPUTED_VALUE"""),"14شارع السلطان عبدالعزيز-الازاريطا-الاسكندرية")</f>
        <v>14شارع السلطان عبدالعزيز-الازاريطا-الاسكندرية</v>
      </c>
      <c r="I873" s="6" t="str">
        <f ca="1">IFERROR(__xludf.DUMMYFUNCTION("""COMPUTED_VALUE"""),"2034838483")</f>
        <v>2034838483</v>
      </c>
      <c r="J873" s="6"/>
      <c r="K873" s="6" t="str">
        <f ca="1">IFERROR(__xludf.DUMMYFUNCTION("""COMPUTED_VALUE"""),"20% ماعدا التخدير والصبغة والوزن الزائد")</f>
        <v>20% ماعدا التخدير والصبغة والوزن الزائد</v>
      </c>
    </row>
    <row r="874" spans="1:11" x14ac:dyDescent="0.25">
      <c r="A874" s="4" t="str">
        <f ca="1">IFERROR(__xludf.DUMMYFUNCTION("""COMPUTED_VALUE"""),"3151-B")</f>
        <v>3151-B</v>
      </c>
      <c r="B874" s="5" t="str">
        <f ca="1">IFERROR(__xludf.DUMMYFUNCTION("""COMPUTED_VALUE"""),"الاسكندرية")</f>
        <v>الاسكندرية</v>
      </c>
      <c r="C874" s="5" t="str">
        <f ca="1">IFERROR(__xludf.DUMMYFUNCTION("""COMPUTED_VALUE"""),"العجمي")</f>
        <v>العجمي</v>
      </c>
      <c r="D874" s="5" t="str">
        <f ca="1">IFERROR(__xludf.DUMMYFUNCTION("""COMPUTED_VALUE"""),"مركز أشعة و تحاليل")</f>
        <v>مركز أشعة و تحاليل</v>
      </c>
      <c r="E874" s="5" t="str">
        <f ca="1">IFERROR(__xludf.DUMMYFUNCTION("""COMPUTED_VALUE""")," أشعة و تحاليل")</f>
        <v xml:space="preserve"> أشعة و تحاليل</v>
      </c>
      <c r="F874" s="5" t="str">
        <f ca="1">IFERROR(__xludf.DUMMYFUNCTION("""COMPUTED_VALUE""")," أشعة و تحاليل")</f>
        <v xml:space="preserve"> أشعة و تحاليل</v>
      </c>
      <c r="G874" s="5" t="str">
        <f ca="1">IFERROR(__xludf.DUMMYFUNCTION("""COMPUTED_VALUE"""),"مركز دار الاشعة")</f>
        <v>مركز دار الاشعة</v>
      </c>
      <c r="H874" s="5" t="str">
        <f ca="1">IFERROR(__xludf.DUMMYFUNCTION("""COMPUTED_VALUE"""),"طريق الهانوفيل الرئيسي ، العجمي-العجمي-الاسكندرية")</f>
        <v>طريق الهانوفيل الرئيسي ، العجمي-العجمي-الاسكندرية</v>
      </c>
      <c r="I874" s="6" t="str">
        <f ca="1">IFERROR(__xludf.DUMMYFUNCTION("""COMPUTED_VALUE"""),"2034390022")</f>
        <v>2034390022</v>
      </c>
      <c r="J874" s="6"/>
      <c r="K874" s="6" t="str">
        <f ca="1">IFERROR(__xludf.DUMMYFUNCTION("""COMPUTED_VALUE"""),"10%على الاشعة المقطاعية والرنين المغناطيسى ,20% على الموجات الصوتية والاشعة العادية ,20% على التحاليل")</f>
        <v>10%على الاشعة المقطاعية والرنين المغناطيسى ,20% على الموجات الصوتية والاشعة العادية ,20% على التحاليل</v>
      </c>
    </row>
    <row r="875" spans="1:11" x14ac:dyDescent="0.25">
      <c r="A875" s="4" t="str">
        <f ca="1">IFERROR(__xludf.DUMMYFUNCTION("""COMPUTED_VALUE"""),"3151-B")</f>
        <v>3151-B</v>
      </c>
      <c r="B875" s="5" t="str">
        <f ca="1">IFERROR(__xludf.DUMMYFUNCTION("""COMPUTED_VALUE"""),"الاسكندرية")</f>
        <v>الاسكندرية</v>
      </c>
      <c r="C875" s="5" t="str">
        <f ca="1">IFERROR(__xludf.DUMMYFUNCTION("""COMPUTED_VALUE"""),"سموحة")</f>
        <v>سموحة</v>
      </c>
      <c r="D875" s="5" t="str">
        <f ca="1">IFERROR(__xludf.DUMMYFUNCTION("""COMPUTED_VALUE"""),"مركز أشعة و تحاليل")</f>
        <v>مركز أشعة و تحاليل</v>
      </c>
      <c r="E875" s="5" t="str">
        <f ca="1">IFERROR(__xludf.DUMMYFUNCTION("""COMPUTED_VALUE""")," أشعة و تحاليل")</f>
        <v xml:space="preserve"> أشعة و تحاليل</v>
      </c>
      <c r="F875" s="5" t="str">
        <f ca="1">IFERROR(__xludf.DUMMYFUNCTION("""COMPUTED_VALUE""")," أشعة و تحاليل")</f>
        <v xml:space="preserve"> أشعة و تحاليل</v>
      </c>
      <c r="G875" s="5" t="str">
        <f ca="1">IFERROR(__xludf.DUMMYFUNCTION("""COMPUTED_VALUE"""),"مركز دار الاشعة")</f>
        <v>مركز دار الاشعة</v>
      </c>
      <c r="H875" s="5" t="str">
        <f ca="1">IFERROR(__xludf.DUMMYFUNCTION("""COMPUTED_VALUE"""),"شارع مصطفى كامل من شارع بهاء الغتورى، سموحة -الاسكندرية")</f>
        <v>شارع مصطفى كامل من شارع بهاء الغتورى، سموحة -الاسكندرية</v>
      </c>
      <c r="I875" s="6" t="str">
        <f ca="1">IFERROR(__xludf.DUMMYFUNCTION("""COMPUTED_VALUE"""),"034266657")</f>
        <v>034266657</v>
      </c>
      <c r="J875" s="6" t="str">
        <f ca="1">IFERROR(__xludf.DUMMYFUNCTION("""COMPUTED_VALUE"""),"15866")</f>
        <v>15866</v>
      </c>
      <c r="K875" s="6" t="str">
        <f ca="1">IFERROR(__xludf.DUMMYFUNCTION("""COMPUTED_VALUE"""),"10%على الاشعة المقطاعية والرنين المغناطيسى ,20% على الموجات الصوتية والاشعة العادية ,20% على التحاليل")</f>
        <v>10%على الاشعة المقطاعية والرنين المغناطيسى ,20% على الموجات الصوتية والاشعة العادية ,20% على التحاليل</v>
      </c>
    </row>
    <row r="876" spans="1:11" x14ac:dyDescent="0.25">
      <c r="A876" s="4" t="str">
        <f ca="1">IFERROR(__xludf.DUMMYFUNCTION("""COMPUTED_VALUE"""),"3151")</f>
        <v>3151</v>
      </c>
      <c r="B876" s="5" t="str">
        <f ca="1">IFERROR(__xludf.DUMMYFUNCTION("""COMPUTED_VALUE"""),"الاسكندرية")</f>
        <v>الاسكندرية</v>
      </c>
      <c r="C876" s="5" t="str">
        <f ca="1">IFERROR(__xludf.DUMMYFUNCTION("""COMPUTED_VALUE"""),"محطة الرمل")</f>
        <v>محطة الرمل</v>
      </c>
      <c r="D876" s="5" t="str">
        <f ca="1">IFERROR(__xludf.DUMMYFUNCTION("""COMPUTED_VALUE"""),"مركز أشعة و تحاليل")</f>
        <v>مركز أشعة و تحاليل</v>
      </c>
      <c r="E876" s="5" t="str">
        <f ca="1">IFERROR(__xludf.DUMMYFUNCTION("""COMPUTED_VALUE""")," أشعة و تحاليل")</f>
        <v xml:space="preserve"> أشعة و تحاليل</v>
      </c>
      <c r="F876" s="5" t="str">
        <f ca="1">IFERROR(__xludf.DUMMYFUNCTION("""COMPUTED_VALUE""")," أشعة و تحاليل")</f>
        <v xml:space="preserve"> أشعة و تحاليل</v>
      </c>
      <c r="G876" s="5" t="str">
        <f ca="1">IFERROR(__xludf.DUMMYFUNCTION("""COMPUTED_VALUE"""),"مركز دار الاشعة")</f>
        <v>مركز دار الاشعة</v>
      </c>
      <c r="H876" s="5" t="str">
        <f ca="1">IFERROR(__xludf.DUMMYFUNCTION("""COMPUTED_VALUE"""),"4شارع أمين فكرى ، محطة الرمل-الاسكندرية")</f>
        <v>4شارع أمين فكرى ، محطة الرمل-الاسكندرية</v>
      </c>
      <c r="I876" s="6" t="str">
        <f ca="1">IFERROR(__xludf.DUMMYFUNCTION("""COMPUTED_VALUE"""),"01287030085")</f>
        <v>01287030085</v>
      </c>
      <c r="J876" s="6" t="str">
        <f ca="1">IFERROR(__xludf.DUMMYFUNCTION("""COMPUTED_VALUE"""),"15866")</f>
        <v>15866</v>
      </c>
      <c r="K876" s="6" t="str">
        <f ca="1">IFERROR(__xludf.DUMMYFUNCTION("""COMPUTED_VALUE"""),"10%على الاشعة المقطاعية والرنين المغناطيسى ,20% على الموجات الصوتية والاشعة العادية ,20% على التحاليل")</f>
        <v>10%على الاشعة المقطاعية والرنين المغناطيسى ,20% على الموجات الصوتية والاشعة العادية ,20% على التحاليل</v>
      </c>
    </row>
    <row r="877" spans="1:11" x14ac:dyDescent="0.25">
      <c r="A877" s="4" t="str">
        <f ca="1">IFERROR(__xludf.DUMMYFUNCTION("""COMPUTED_VALUE"""),"3910")</f>
        <v>3910</v>
      </c>
      <c r="B877" s="5" t="str">
        <f ca="1">IFERROR(__xludf.DUMMYFUNCTION("""COMPUTED_VALUE"""),"الأقصر")</f>
        <v>الأقصر</v>
      </c>
      <c r="C877" s="5" t="str">
        <f ca="1">IFERROR(__xludf.DUMMYFUNCTION("""COMPUTED_VALUE"""),"الأقصر")</f>
        <v>الأقصر</v>
      </c>
      <c r="D877" s="5" t="str">
        <f ca="1">IFERROR(__xludf.DUMMYFUNCTION("""COMPUTED_VALUE"""),"مركز أشعة و تحاليل")</f>
        <v>مركز أشعة و تحاليل</v>
      </c>
      <c r="E877" s="5" t="str">
        <f ca="1">IFERROR(__xludf.DUMMYFUNCTION("""COMPUTED_VALUE""")," أشعة و تحاليل")</f>
        <v xml:space="preserve"> أشعة و تحاليل</v>
      </c>
      <c r="F877" s="5" t="str">
        <f ca="1">IFERROR(__xludf.DUMMYFUNCTION("""COMPUTED_VALUE""")," أشعة و تحاليل")</f>
        <v xml:space="preserve"> أشعة و تحاليل</v>
      </c>
      <c r="G877" s="5" t="str">
        <f ca="1">IFERROR(__xludf.DUMMYFUNCTION("""COMPUTED_VALUE"""),"مركز أشعة الرضوانية ( الرنين المغناطيسي )")</f>
        <v>مركز أشعة الرضوانية ( الرنين المغناطيسي )</v>
      </c>
      <c r="H877" s="5" t="str">
        <f ca="1">IFERROR(__xludf.DUMMYFUNCTION("""COMPUTED_VALUE"""),"شارع التكوين المهني متفرع من شارع التليفزيون - الاقصر")</f>
        <v>شارع التكوين المهني متفرع من شارع التليفزيون - الاقصر</v>
      </c>
      <c r="I877" s="6" t="str">
        <f ca="1">IFERROR(__xludf.DUMMYFUNCTION("""COMPUTED_VALUE"""),"20952283770")</f>
        <v>20952283770</v>
      </c>
      <c r="J877" s="6"/>
      <c r="K877" s="6" t="str">
        <f ca="1">IFERROR(__xludf.DUMMYFUNCTION("""COMPUTED_VALUE"""),"10% علي المقطعية و الرنين و 20% علي الأشعه العاديه")</f>
        <v>10% علي المقطعية و الرنين و 20% علي الأشعه العاديه</v>
      </c>
    </row>
    <row r="878" spans="1:11" x14ac:dyDescent="0.25">
      <c r="A878" s="4" t="str">
        <f ca="1">IFERROR(__xludf.DUMMYFUNCTION("""COMPUTED_VALUE"""),"3910-B")</f>
        <v>3910-B</v>
      </c>
      <c r="B878" s="5" t="str">
        <f ca="1">IFERROR(__xludf.DUMMYFUNCTION("""COMPUTED_VALUE"""),"الأقصر")</f>
        <v>الأقصر</v>
      </c>
      <c r="C878" s="5" t="str">
        <f ca="1">IFERROR(__xludf.DUMMYFUNCTION("""COMPUTED_VALUE"""),"الأقصر")</f>
        <v>الأقصر</v>
      </c>
      <c r="D878" s="5" t="str">
        <f ca="1">IFERROR(__xludf.DUMMYFUNCTION("""COMPUTED_VALUE"""),"مركز أشعة و تحاليل")</f>
        <v>مركز أشعة و تحاليل</v>
      </c>
      <c r="E878" s="5" t="str">
        <f ca="1">IFERROR(__xludf.DUMMYFUNCTION("""COMPUTED_VALUE""")," أشعة و تحاليل")</f>
        <v xml:space="preserve"> أشعة و تحاليل</v>
      </c>
      <c r="F878" s="5" t="str">
        <f ca="1">IFERROR(__xludf.DUMMYFUNCTION("""COMPUTED_VALUE""")," أشعة و تحاليل")</f>
        <v xml:space="preserve"> أشعة و تحاليل</v>
      </c>
      <c r="G878" s="5" t="str">
        <f ca="1">IFERROR(__xludf.DUMMYFUNCTION("""COMPUTED_VALUE"""),"مركز أشعة الرضوانية")</f>
        <v>مركز أشعة الرضوانية</v>
      </c>
      <c r="H878" s="5" t="str">
        <f ca="1">IFERROR(__xludf.DUMMYFUNCTION("""COMPUTED_VALUE"""),"5ش رضوان متفرع من شارع التليفزيون خلف مدرسه الحريه - الاقصر")</f>
        <v>5ش رضوان متفرع من شارع التليفزيون خلف مدرسه الحريه - الاقصر</v>
      </c>
      <c r="I878" s="6" t="str">
        <f ca="1">IFERROR(__xludf.DUMMYFUNCTION("""COMPUTED_VALUE"""),"20952271910")</f>
        <v>20952271910</v>
      </c>
      <c r="J878" s="6"/>
      <c r="K878" s="6" t="str">
        <f ca="1">IFERROR(__xludf.DUMMYFUNCTION("""COMPUTED_VALUE"""),"10% علي المقطعية و الرنين و 20% علي الأشعه العاديه")</f>
        <v>10% علي المقطعية و الرنين و 20% علي الأشعه العاديه</v>
      </c>
    </row>
    <row r="879" spans="1:11" x14ac:dyDescent="0.25">
      <c r="A879" s="4" t="str">
        <f ca="1">IFERROR(__xludf.DUMMYFUNCTION("""COMPUTED_VALUE"""),"2194-B")</f>
        <v>2194-B</v>
      </c>
      <c r="B879" s="5" t="str">
        <f ca="1">IFERROR(__xludf.DUMMYFUNCTION("""COMPUTED_VALUE"""),"الإسماعيلية")</f>
        <v>الإسماعيلية</v>
      </c>
      <c r="C879" s="5" t="str">
        <f ca="1">IFERROR(__xludf.DUMMYFUNCTION("""COMPUTED_VALUE"""),"الإسماعيلية")</f>
        <v>الإسماعيلية</v>
      </c>
      <c r="D879" s="5" t="str">
        <f ca="1">IFERROR(__xludf.DUMMYFUNCTION("""COMPUTED_VALUE"""),"مركز أشعة")</f>
        <v>مركز أشعة</v>
      </c>
      <c r="E879" s="5" t="str">
        <f ca="1">IFERROR(__xludf.DUMMYFUNCTION("""COMPUTED_VALUE"""),"مركز أشعة")</f>
        <v>مركز أشعة</v>
      </c>
      <c r="F879" s="5" t="str">
        <f ca="1">IFERROR(__xludf.DUMMYFUNCTION("""COMPUTED_VALUE"""),"مركز الأشعة التشخيصية")</f>
        <v>مركز الأشعة التشخيصية</v>
      </c>
      <c r="G879" s="5" t="str">
        <f ca="1">IFERROR(__xludf.DUMMYFUNCTION("""COMPUTED_VALUE"""),"مراكز الايمان للاشعة و المسح الذري")</f>
        <v>مراكز الايمان للاشعة و المسح الذري</v>
      </c>
      <c r="H879" s="5" t="str">
        <f ca="1">IFERROR(__xludf.DUMMYFUNCTION("""COMPUTED_VALUE"""),"برج الجوهرة - امام الموقف الجديد بمجمع المحاكم-الاسماعيلية")</f>
        <v>برج الجوهرة - امام الموقف الجديد بمجمع المحاكم-الاسماعيلية</v>
      </c>
      <c r="I879" s="6" t="str">
        <f ca="1">IFERROR(__xludf.DUMMYFUNCTION("""COMPUTED_VALUE"""),"0643228984")</f>
        <v>0643228984</v>
      </c>
      <c r="J879" s="6" t="str">
        <f ca="1">IFERROR(__xludf.DUMMYFUNCTION("""COMPUTED_VALUE"""),"16961")</f>
        <v>16961</v>
      </c>
      <c r="K879" s="6" t="str">
        <f ca="1">IFERROR(__xludf.DUMMYFUNCTION("""COMPUTED_VALUE"""),"20% على جميع الخدمات")</f>
        <v>20% على جميع الخدمات</v>
      </c>
    </row>
    <row r="880" spans="1:11" x14ac:dyDescent="0.25">
      <c r="A880" s="4" t="str">
        <f ca="1">IFERROR(__xludf.DUMMYFUNCTION("""COMPUTED_VALUE"""),"2194-B")</f>
        <v>2194-B</v>
      </c>
      <c r="B880" s="5" t="str">
        <f ca="1">IFERROR(__xludf.DUMMYFUNCTION("""COMPUTED_VALUE"""),"الدقهلية")</f>
        <v>الدقهلية</v>
      </c>
      <c r="C880" s="5" t="str">
        <f ca="1">IFERROR(__xludf.DUMMYFUNCTION("""COMPUTED_VALUE"""),"المنزلة")</f>
        <v>المنزلة</v>
      </c>
      <c r="D880" s="5" t="str">
        <f ca="1">IFERROR(__xludf.DUMMYFUNCTION("""COMPUTED_VALUE"""),"مركز أشعة")</f>
        <v>مركز أشعة</v>
      </c>
      <c r="E880" s="5" t="str">
        <f ca="1">IFERROR(__xludf.DUMMYFUNCTION("""COMPUTED_VALUE"""),"مركز أشعة")</f>
        <v>مركز أشعة</v>
      </c>
      <c r="F880" s="5" t="str">
        <f ca="1">IFERROR(__xludf.DUMMYFUNCTION("""COMPUTED_VALUE"""),"مركز الأشعة التشخيصية")</f>
        <v>مركز الأشعة التشخيصية</v>
      </c>
      <c r="G880" s="5" t="str">
        <f ca="1">IFERROR(__xludf.DUMMYFUNCTION("""COMPUTED_VALUE"""),"مراكز الايمان للاشعة و المسح الذري")</f>
        <v>مراكز الايمان للاشعة و المسح الذري</v>
      </c>
      <c r="H880" s="5" t="str">
        <f ca="1">IFERROR(__xludf.DUMMYFUNCTION("""COMPUTED_VALUE"""),"شارع امن الدولة - امام الكباس خلف المدرسة الثانوية بنات-المنزلة-الدقهلية")</f>
        <v>شارع امن الدولة - امام الكباس خلف المدرسة الثانوية بنات-المنزلة-الدقهلية</v>
      </c>
      <c r="I880" s="6" t="str">
        <f ca="1">IFERROR(__xludf.DUMMYFUNCTION("""COMPUTED_VALUE"""),"0503605444")</f>
        <v>0503605444</v>
      </c>
      <c r="J880" s="6" t="str">
        <f ca="1">IFERROR(__xludf.DUMMYFUNCTION("""COMPUTED_VALUE"""),"16961")</f>
        <v>16961</v>
      </c>
      <c r="K880" s="6" t="str">
        <f ca="1">IFERROR(__xludf.DUMMYFUNCTION("""COMPUTED_VALUE"""),"20% على جميع الخدمات")</f>
        <v>20% على جميع الخدمات</v>
      </c>
    </row>
    <row r="881" spans="1:11" x14ac:dyDescent="0.25">
      <c r="A881" s="4" t="str">
        <f ca="1">IFERROR(__xludf.DUMMYFUNCTION("""COMPUTED_VALUE"""),"2273-B")</f>
        <v>2273-B</v>
      </c>
      <c r="B881" s="5" t="str">
        <f ca="1">IFERROR(__xludf.DUMMYFUNCTION("""COMPUTED_VALUE"""),"الدقهلية")</f>
        <v>الدقهلية</v>
      </c>
      <c r="C881" s="5" t="str">
        <f ca="1">IFERROR(__xludf.DUMMYFUNCTION("""COMPUTED_VALUE"""),"المنصورة")</f>
        <v>المنصورة</v>
      </c>
      <c r="D881" s="5" t="str">
        <f ca="1">IFERROR(__xludf.DUMMYFUNCTION("""COMPUTED_VALUE"""),"مركز أشعة")</f>
        <v>مركز أشعة</v>
      </c>
      <c r="E881" s="5" t="str">
        <f ca="1">IFERROR(__xludf.DUMMYFUNCTION("""COMPUTED_VALUE"""),"مركز أشعة")</f>
        <v>مركز أشعة</v>
      </c>
      <c r="F881" s="5" t="str">
        <f ca="1">IFERROR(__xludf.DUMMYFUNCTION("""COMPUTED_VALUE"""),"مركز الأشعة التشخيصية")</f>
        <v>مركز الأشعة التشخيصية</v>
      </c>
      <c r="G881" s="5" t="str">
        <f ca="1">IFERROR(__xludf.DUMMYFUNCTION("""COMPUTED_VALUE"""),"تكنوسكان")</f>
        <v>تكنوسكان</v>
      </c>
      <c r="H881" s="5" t="str">
        <f ca="1">IFERROR(__xludf.DUMMYFUNCTION("""COMPUTED_VALUE"""),"ميدان علي مبارك (الهابي لاند) بجوار مستشفى الحكمة (جديد)-المنصورة-الدقهلية")</f>
        <v>ميدان علي مبارك (الهابي لاند) بجوار مستشفى الحكمة (جديد)-المنصورة-الدقهلية</v>
      </c>
      <c r="I881" s="6"/>
      <c r="J881" s="6" t="str">
        <f ca="1">IFERROR(__xludf.DUMMYFUNCTION("""COMPUTED_VALUE"""),"19989")</f>
        <v>19989</v>
      </c>
      <c r="K881" s="6" t="str">
        <f ca="1">IFERROR(__xludf.DUMMYFUNCTION("""COMPUTED_VALUE"""),"29% على جميع الخدمات")</f>
        <v>29% على جميع الخدمات</v>
      </c>
    </row>
    <row r="882" spans="1:11" x14ac:dyDescent="0.25">
      <c r="A882" s="4" t="str">
        <f ca="1">IFERROR(__xludf.DUMMYFUNCTION("""COMPUTED_VALUE"""),"2273-B")</f>
        <v>2273-B</v>
      </c>
      <c r="B882" s="5" t="str">
        <f ca="1">IFERROR(__xludf.DUMMYFUNCTION("""COMPUTED_VALUE"""),"الشرقية")</f>
        <v>الشرقية</v>
      </c>
      <c r="C882" s="5" t="str">
        <f ca="1">IFERROR(__xludf.DUMMYFUNCTION("""COMPUTED_VALUE"""),"الزقازيق")</f>
        <v>الزقازيق</v>
      </c>
      <c r="D882" s="5" t="str">
        <f ca="1">IFERROR(__xludf.DUMMYFUNCTION("""COMPUTED_VALUE"""),"مركز أشعة")</f>
        <v>مركز أشعة</v>
      </c>
      <c r="E882" s="5" t="str">
        <f ca="1">IFERROR(__xludf.DUMMYFUNCTION("""COMPUTED_VALUE"""),"مركز أشعة")</f>
        <v>مركز أشعة</v>
      </c>
      <c r="F882" s="5" t="str">
        <f ca="1">IFERROR(__xludf.DUMMYFUNCTION("""COMPUTED_VALUE"""),"مركز الأشعة التشخيصية")</f>
        <v>مركز الأشعة التشخيصية</v>
      </c>
      <c r="G882" s="5" t="str">
        <f ca="1">IFERROR(__xludf.DUMMYFUNCTION("""COMPUTED_VALUE"""),"تكنوسكان")</f>
        <v>تكنوسكان</v>
      </c>
      <c r="H882" s="5" t="str">
        <f ca="1">IFERROR(__xludf.DUMMYFUNCTION("""COMPUTED_VALUE"""),"فرع ميدان القومية-الزقازيق-الشرقية")</f>
        <v>فرع ميدان القومية-الزقازيق-الشرقية</v>
      </c>
      <c r="I882" s="6" t="str">
        <f ca="1">IFERROR(__xludf.DUMMYFUNCTION("""COMPUTED_VALUE"""),"20552360444")</f>
        <v>20552360444</v>
      </c>
      <c r="J882" s="6" t="str">
        <f ca="1">IFERROR(__xludf.DUMMYFUNCTION("""COMPUTED_VALUE"""),"19989")</f>
        <v>19989</v>
      </c>
      <c r="K882" s="6" t="str">
        <f ca="1">IFERROR(__xludf.DUMMYFUNCTION("""COMPUTED_VALUE"""),"29% على جميع الخدمات")</f>
        <v>29% على جميع الخدمات</v>
      </c>
    </row>
    <row r="883" spans="1:11" x14ac:dyDescent="0.25">
      <c r="A883" s="4" t="str">
        <f ca="1">IFERROR(__xludf.DUMMYFUNCTION("""COMPUTED_VALUE"""),"2273-B")</f>
        <v>2273-B</v>
      </c>
      <c r="B883" s="5" t="str">
        <f ca="1">IFERROR(__xludf.DUMMYFUNCTION("""COMPUTED_VALUE"""),"الشرقية")</f>
        <v>الشرقية</v>
      </c>
      <c r="C883" s="5" t="str">
        <f ca="1">IFERROR(__xludf.DUMMYFUNCTION("""COMPUTED_VALUE"""),"الزقازيق")</f>
        <v>الزقازيق</v>
      </c>
      <c r="D883" s="5" t="str">
        <f ca="1">IFERROR(__xludf.DUMMYFUNCTION("""COMPUTED_VALUE"""),"مركز أشعة")</f>
        <v>مركز أشعة</v>
      </c>
      <c r="E883" s="5" t="str">
        <f ca="1">IFERROR(__xludf.DUMMYFUNCTION("""COMPUTED_VALUE"""),"مركز أشعة")</f>
        <v>مركز أشعة</v>
      </c>
      <c r="F883" s="5" t="str">
        <f ca="1">IFERROR(__xludf.DUMMYFUNCTION("""COMPUTED_VALUE"""),"مركز الأشعة التشخيصية")</f>
        <v>مركز الأشعة التشخيصية</v>
      </c>
      <c r="G883" s="5" t="str">
        <f ca="1">IFERROR(__xludf.DUMMYFUNCTION("""COMPUTED_VALUE"""),"تكنوسكان")</f>
        <v>تكنوسكان</v>
      </c>
      <c r="H883" s="5" t="str">
        <f ca="1">IFERROR(__xludf.DUMMYFUNCTION("""COMPUTED_VALUE"""),"فرع ميدان المنتزة-الزقازيق-الشرقية")</f>
        <v>فرع ميدان المنتزة-الزقازيق-الشرقية</v>
      </c>
      <c r="I883" s="6"/>
      <c r="J883" s="6" t="str">
        <f ca="1">IFERROR(__xludf.DUMMYFUNCTION("""COMPUTED_VALUE"""),"19989")</f>
        <v>19989</v>
      </c>
      <c r="K883" s="6" t="str">
        <f ca="1">IFERROR(__xludf.DUMMYFUNCTION("""COMPUTED_VALUE"""),"29% على جميع الخدمات")</f>
        <v>29% على جميع الخدمات</v>
      </c>
    </row>
    <row r="884" spans="1:11" x14ac:dyDescent="0.25">
      <c r="A884" s="4" t="str">
        <f ca="1">IFERROR(__xludf.DUMMYFUNCTION("""COMPUTED_VALUE"""),"3017")</f>
        <v>3017</v>
      </c>
      <c r="B884" s="5" t="str">
        <f ca="1">IFERROR(__xludf.DUMMYFUNCTION("""COMPUTED_VALUE"""),"الشرقية")</f>
        <v>الشرقية</v>
      </c>
      <c r="C884" s="5" t="str">
        <f ca="1">IFERROR(__xludf.DUMMYFUNCTION("""COMPUTED_VALUE"""),"الزقازيق")</f>
        <v>الزقازيق</v>
      </c>
      <c r="D884" s="5" t="str">
        <f ca="1">IFERROR(__xludf.DUMMYFUNCTION("""COMPUTED_VALUE"""),"مركز أشعة")</f>
        <v>مركز أشعة</v>
      </c>
      <c r="E884" s="5" t="str">
        <f ca="1">IFERROR(__xludf.DUMMYFUNCTION("""COMPUTED_VALUE"""),"مركز أشعة")</f>
        <v>مركز أشعة</v>
      </c>
      <c r="F884" s="5" t="str">
        <f ca="1">IFERROR(__xludf.DUMMYFUNCTION("""COMPUTED_VALUE"""),"مركز الأشعة التشخيصية")</f>
        <v>مركز الأشعة التشخيصية</v>
      </c>
      <c r="G884" s="5" t="str">
        <f ca="1">IFERROR(__xludf.DUMMYFUNCTION("""COMPUTED_VALUE"""),"مركز أشعة د-خالد عبد العزيز (سنو سكان)")</f>
        <v>مركز أشعة د-خالد عبد العزيز (سنو سكان)</v>
      </c>
      <c r="H884" s="5" t="str">
        <f ca="1">IFERROR(__xludf.DUMMYFUNCTION("""COMPUTED_VALUE"""),"52ش القومية بجوار مدرسة القومية الزقازيق-الزقازيق-الشرقية")</f>
        <v>52ش القومية بجوار مدرسة القومية الزقازيق-الزقازيق-الشرقية</v>
      </c>
      <c r="I884" s="6" t="str">
        <f ca="1">IFERROR(__xludf.DUMMYFUNCTION("""COMPUTED_VALUE"""),"20552361045")</f>
        <v>20552361045</v>
      </c>
      <c r="J884" s="6"/>
      <c r="K884" s="6" t="str">
        <f ca="1">IFERROR(__xludf.DUMMYFUNCTION("""COMPUTED_VALUE"""),"خصم 20% علي جميع الاشعة و خصم 15% علي المقطعية و الرنين")</f>
        <v>خصم 20% علي جميع الاشعة و خصم 15% علي المقطعية و الرنين</v>
      </c>
    </row>
    <row r="885" spans="1:11" x14ac:dyDescent="0.25">
      <c r="A885" s="4" t="str">
        <f ca="1">IFERROR(__xludf.DUMMYFUNCTION("""COMPUTED_VALUE"""),"3017-B")</f>
        <v>3017-B</v>
      </c>
      <c r="B885" s="5" t="str">
        <f ca="1">IFERROR(__xludf.DUMMYFUNCTION("""COMPUTED_VALUE"""),"الشرقية")</f>
        <v>الشرقية</v>
      </c>
      <c r="C885" s="5" t="str">
        <f ca="1">IFERROR(__xludf.DUMMYFUNCTION("""COMPUTED_VALUE"""),"الزقازيق")</f>
        <v>الزقازيق</v>
      </c>
      <c r="D885" s="5" t="str">
        <f ca="1">IFERROR(__xludf.DUMMYFUNCTION("""COMPUTED_VALUE"""),"مركز أشعة")</f>
        <v>مركز أشعة</v>
      </c>
      <c r="E885" s="5" t="str">
        <f ca="1">IFERROR(__xludf.DUMMYFUNCTION("""COMPUTED_VALUE"""),"مركز أشعة")</f>
        <v>مركز أشعة</v>
      </c>
      <c r="F885" s="5" t="str">
        <f ca="1">IFERROR(__xludf.DUMMYFUNCTION("""COMPUTED_VALUE"""),"مركز الأشعة التشخيصية")</f>
        <v>مركز الأشعة التشخيصية</v>
      </c>
      <c r="G885" s="5" t="str">
        <f ca="1">IFERROR(__xludf.DUMMYFUNCTION("""COMPUTED_VALUE"""),"مركز أشعة د-خالد عبد العزيز (سنو سكان)")</f>
        <v>مركز أشعة د-خالد عبد العزيز (سنو سكان)</v>
      </c>
      <c r="H885" s="5" t="str">
        <f ca="1">IFERROR(__xludf.DUMMYFUNCTION("""COMPUTED_VALUE"""),"شارع محمد العزبي - القومية -الزقازيق-الشرقية")</f>
        <v>شارع محمد العزبي - القومية -الزقازيق-الشرقية</v>
      </c>
      <c r="I885" s="6" t="str">
        <f ca="1">IFERROR(__xludf.DUMMYFUNCTION("""COMPUTED_VALUE"""),"20552320551")</f>
        <v>20552320551</v>
      </c>
      <c r="J885" s="6"/>
      <c r="K885" s="6" t="str">
        <f ca="1">IFERROR(__xludf.DUMMYFUNCTION("""COMPUTED_VALUE"""),"خصم 20% علي جميع الاشعة و خصم 15% علي المقطعية و الرنين")</f>
        <v>خصم 20% علي جميع الاشعة و خصم 15% علي المقطعية و الرنين</v>
      </c>
    </row>
    <row r="886" spans="1:11" x14ac:dyDescent="0.25">
      <c r="A886" s="4" t="str">
        <f ca="1">IFERROR(__xludf.DUMMYFUNCTION("""COMPUTED_VALUE"""),"2273-B")</f>
        <v>2273-B</v>
      </c>
      <c r="B886" s="5" t="str">
        <f ca="1">IFERROR(__xludf.DUMMYFUNCTION("""COMPUTED_VALUE"""),"الشرقية")</f>
        <v>الشرقية</v>
      </c>
      <c r="C886" s="5" t="str">
        <f ca="1">IFERROR(__xludf.DUMMYFUNCTION("""COMPUTED_VALUE"""),"العاشر من رمضان")</f>
        <v>العاشر من رمضان</v>
      </c>
      <c r="D886" s="5" t="str">
        <f ca="1">IFERROR(__xludf.DUMMYFUNCTION("""COMPUTED_VALUE"""),"مركز أشعة")</f>
        <v>مركز أشعة</v>
      </c>
      <c r="E886" s="5" t="str">
        <f ca="1">IFERROR(__xludf.DUMMYFUNCTION("""COMPUTED_VALUE"""),"مركز أشعة")</f>
        <v>مركز أشعة</v>
      </c>
      <c r="F886" s="5" t="str">
        <f ca="1">IFERROR(__xludf.DUMMYFUNCTION("""COMPUTED_VALUE"""),"مركز الأشعة التشخيصية")</f>
        <v>مركز الأشعة التشخيصية</v>
      </c>
      <c r="G886" s="5" t="str">
        <f ca="1">IFERROR(__xludf.DUMMYFUNCTION("""COMPUTED_VALUE"""),"تكنوسكان")</f>
        <v>تكنوسكان</v>
      </c>
      <c r="H886" s="5" t="str">
        <f ca="1">IFERROR(__xludf.DUMMYFUNCTION("""COMPUTED_VALUE"""),"الأردنية برج سنيكو 3 بجوارقصر الثقافة-العاشر من رمضان-الشرقية")</f>
        <v>الأردنية برج سنيكو 3 بجوارقصر الثقافة-العاشر من رمضان-الشرقية</v>
      </c>
      <c r="I886" s="6"/>
      <c r="J886" s="6" t="str">
        <f ca="1">IFERROR(__xludf.DUMMYFUNCTION("""COMPUTED_VALUE"""),"19989")</f>
        <v>19989</v>
      </c>
      <c r="K886" s="6" t="str">
        <f ca="1">IFERROR(__xludf.DUMMYFUNCTION("""COMPUTED_VALUE"""),"29% على جميع الخدمات")</f>
        <v>29% على جميع الخدمات</v>
      </c>
    </row>
    <row r="887" spans="1:11" x14ac:dyDescent="0.25">
      <c r="A887" s="4" t="str">
        <f ca="1">IFERROR(__xludf.DUMMYFUNCTION("""COMPUTED_VALUE"""),"3571")</f>
        <v>3571</v>
      </c>
      <c r="B887" s="5" t="str">
        <f ca="1">IFERROR(__xludf.DUMMYFUNCTION("""COMPUTED_VALUE"""),"الغربية")</f>
        <v>الغربية</v>
      </c>
      <c r="C887" s="5" t="str">
        <f ca="1">IFERROR(__xludf.DUMMYFUNCTION("""COMPUTED_VALUE"""),"المحلة الكبرى")</f>
        <v>المحلة الكبرى</v>
      </c>
      <c r="D887" s="5" t="str">
        <f ca="1">IFERROR(__xludf.DUMMYFUNCTION("""COMPUTED_VALUE"""),"مركز أشعة")</f>
        <v>مركز أشعة</v>
      </c>
      <c r="E887" s="5" t="str">
        <f ca="1">IFERROR(__xludf.DUMMYFUNCTION("""COMPUTED_VALUE"""),"مركز أشعة")</f>
        <v>مركز أشعة</v>
      </c>
      <c r="F887" s="5" t="str">
        <f ca="1">IFERROR(__xludf.DUMMYFUNCTION("""COMPUTED_VALUE"""),"مركز الأشعة التشخيصية")</f>
        <v>مركز الأشعة التشخيصية</v>
      </c>
      <c r="G887" s="5" t="str">
        <f ca="1">IFERROR(__xludf.DUMMYFUNCTION("""COMPUTED_VALUE"""),"مركز أشعة المنصورة")</f>
        <v>مركز أشعة المنصورة</v>
      </c>
      <c r="H887" s="5" t="str">
        <f ca="1">IFERROR(__xludf.DUMMYFUNCTION("""COMPUTED_VALUE"""),"المحله الكبرى شارع مدحت متفرع من شارع 23 يوليو -امام سينما الجوهرة-المحلة الكبرى-الغربية")</f>
        <v>المحله الكبرى شارع مدحت متفرع من شارع 23 يوليو -امام سينما الجوهرة-المحلة الكبرى-الغربية</v>
      </c>
      <c r="I887" s="6" t="str">
        <f ca="1">IFERROR(__xludf.DUMMYFUNCTION("""COMPUTED_VALUE"""),"20402226566")</f>
        <v>20402226566</v>
      </c>
      <c r="J887" s="6"/>
      <c r="K887" s="6" t="str">
        <f ca="1">IFERROR(__xludf.DUMMYFUNCTION("""COMPUTED_VALUE"""),"خصم 15% علي جميع الخدمات")</f>
        <v>خصم 15% علي جميع الخدمات</v>
      </c>
    </row>
    <row r="888" spans="1:11" x14ac:dyDescent="0.25">
      <c r="A888" s="4" t="str">
        <f ca="1">IFERROR(__xludf.DUMMYFUNCTION("""COMPUTED_VALUE"""),"104024")</f>
        <v>104024</v>
      </c>
      <c r="B888" s="5" t="str">
        <f ca="1">IFERROR(__xludf.DUMMYFUNCTION("""COMPUTED_VALUE"""),"الغربية")</f>
        <v>الغربية</v>
      </c>
      <c r="C888" s="5" t="str">
        <f ca="1">IFERROR(__xludf.DUMMYFUNCTION("""COMPUTED_VALUE"""),"طنطا")</f>
        <v>طنطا</v>
      </c>
      <c r="D888" s="5" t="str">
        <f ca="1">IFERROR(__xludf.DUMMYFUNCTION("""COMPUTED_VALUE"""),"مركز أشعة")</f>
        <v>مركز أشعة</v>
      </c>
      <c r="E888" s="5" t="str">
        <f ca="1">IFERROR(__xludf.DUMMYFUNCTION("""COMPUTED_VALUE"""),"مركز أشعة")</f>
        <v>مركز أشعة</v>
      </c>
      <c r="F888" s="5" t="str">
        <f ca="1">IFERROR(__xludf.DUMMYFUNCTION("""COMPUTED_VALUE"""),"مركز الأشعة التشخيصية")</f>
        <v>مركز الأشعة التشخيصية</v>
      </c>
      <c r="G888" s="5" t="str">
        <f ca="1">IFERROR(__xludf.DUMMYFUNCTION("""COMPUTED_VALUE"""),"مركز النخبة للأشعة والتحاليل")</f>
        <v>مركز النخبة للأشعة والتحاليل</v>
      </c>
      <c r="H888" s="5" t="str">
        <f ca="1">IFERROR(__xludf.DUMMYFUNCTION("""COMPUTED_VALUE"""),"1 شارع المديرية امام المحطة-برج الرياض الزجاجى-طنطا-الغربية")</f>
        <v>1 شارع المديرية امام المحطة-برج الرياض الزجاجى-طنطا-الغربية</v>
      </c>
      <c r="I888" s="6" t="str">
        <f ca="1">IFERROR(__xludf.DUMMYFUNCTION("""COMPUTED_VALUE"""),"20403405466")</f>
        <v>20403405466</v>
      </c>
      <c r="J888" s="6"/>
      <c r="K888" s="6" t="str">
        <f ca="1">IFERROR(__xludf.DUMMYFUNCTION("""COMPUTED_VALUE"""),"خصم 25%علي الاسعار النقدي")</f>
        <v>خصم 25%علي الاسعار النقدي</v>
      </c>
    </row>
    <row r="889" spans="1:11" x14ac:dyDescent="0.25">
      <c r="A889" s="4" t="str">
        <f ca="1">IFERROR(__xludf.DUMMYFUNCTION("""COMPUTED_VALUE"""),"3572")</f>
        <v>3572</v>
      </c>
      <c r="B889" s="5" t="str">
        <f ca="1">IFERROR(__xludf.DUMMYFUNCTION("""COMPUTED_VALUE"""),"الغربية")</f>
        <v>الغربية</v>
      </c>
      <c r="C889" s="5" t="str">
        <f ca="1">IFERROR(__xludf.DUMMYFUNCTION("""COMPUTED_VALUE"""),"طنطا")</f>
        <v>طنطا</v>
      </c>
      <c r="D889" s="5" t="str">
        <f ca="1">IFERROR(__xludf.DUMMYFUNCTION("""COMPUTED_VALUE"""),"مركز أشعة")</f>
        <v>مركز أشعة</v>
      </c>
      <c r="E889" s="5" t="str">
        <f ca="1">IFERROR(__xludf.DUMMYFUNCTION("""COMPUTED_VALUE"""),"مركز أشعة")</f>
        <v>مركز أشعة</v>
      </c>
      <c r="F889" s="5" t="str">
        <f ca="1">IFERROR(__xludf.DUMMYFUNCTION("""COMPUTED_VALUE"""),"مركز الأشعة التشخيصية")</f>
        <v>مركز الأشعة التشخيصية</v>
      </c>
      <c r="G889" s="5" t="str">
        <f ca="1">IFERROR(__xludf.DUMMYFUNCTION("""COMPUTED_VALUE"""),"مركز رزيق للأشعة")</f>
        <v>مركز رزيق للأشعة</v>
      </c>
      <c r="H889" s="5" t="str">
        <f ca="1">IFERROR(__xludf.DUMMYFUNCTION("""COMPUTED_VALUE"""),"6شارع الحكيم بجوار مستشفى الحميات-طنطا-الغربية")</f>
        <v>6شارع الحكيم بجوار مستشفى الحميات-طنطا-الغربية</v>
      </c>
      <c r="I889" s="6" t="str">
        <f ca="1">IFERROR(__xludf.DUMMYFUNCTION("""COMPUTED_VALUE"""),"20403334045")</f>
        <v>20403334045</v>
      </c>
      <c r="J889" s="6"/>
      <c r="K889" s="6" t="str">
        <f ca="1">IFERROR(__xludf.DUMMYFUNCTION("""COMPUTED_VALUE"""),"خصم 25% علي جميع الاشعة و خصم 10% علي الصبغة ")</f>
        <v xml:space="preserve">خصم 25% علي جميع الاشعة و خصم 10% علي الصبغة </v>
      </c>
    </row>
    <row r="890" spans="1:11" x14ac:dyDescent="0.25">
      <c r="A890" s="4" t="str">
        <f ca="1">IFERROR(__xludf.DUMMYFUNCTION("""COMPUTED_VALUE"""),"104270-B")</f>
        <v>104270-B</v>
      </c>
      <c r="B890" s="5" t="str">
        <f ca="1">IFERROR(__xludf.DUMMYFUNCTION("""COMPUTED_VALUE"""),"الغربية")</f>
        <v>الغربية</v>
      </c>
      <c r="C890" s="5" t="str">
        <f ca="1">IFERROR(__xludf.DUMMYFUNCTION("""COMPUTED_VALUE"""),"طنطا")</f>
        <v>طنطا</v>
      </c>
      <c r="D890" s="5" t="str">
        <f ca="1">IFERROR(__xludf.DUMMYFUNCTION("""COMPUTED_VALUE"""),"مركز أشعة")</f>
        <v>مركز أشعة</v>
      </c>
      <c r="E890" s="5" t="str">
        <f ca="1">IFERROR(__xludf.DUMMYFUNCTION("""COMPUTED_VALUE"""),"مركز أشعة")</f>
        <v>مركز أشعة</v>
      </c>
      <c r="F890" s="5" t="str">
        <f ca="1">IFERROR(__xludf.DUMMYFUNCTION("""COMPUTED_VALUE"""),"مركز الأشعة التشخيصية")</f>
        <v>مركز الأشعة التشخيصية</v>
      </c>
      <c r="G890" s="5" t="str">
        <f ca="1">IFERROR(__xludf.DUMMYFUNCTION("""COMPUTED_VALUE"""),"مركز سما للأشعة التشخيصية")</f>
        <v>مركز سما للأشعة التشخيصية</v>
      </c>
      <c r="H890" s="5" t="str">
        <f ca="1">IFERROR(__xludf.DUMMYFUNCTION("""COMPUTED_VALUE"""),"طنطا - شارع الدكتور نجاتى - متفرع من شارع البحر  بجوار صيدلية جمعه - أمام معهد الأورام  - طنطا - الغربية")</f>
        <v>طنطا - شارع الدكتور نجاتى - متفرع من شارع البحر  بجوار صيدلية جمعه - أمام معهد الأورام  - طنطا - الغربية</v>
      </c>
      <c r="I890" s="6" t="str">
        <f ca="1">IFERROR(__xludf.DUMMYFUNCTION("""COMPUTED_VALUE"""),"20403358424")</f>
        <v>20403358424</v>
      </c>
      <c r="J890" s="6"/>
      <c r="K890" s="6" t="str">
        <f ca="1">IFERROR(__xludf.DUMMYFUNCTION("""COMPUTED_VALUE"""),"15% على جميع الخدمات")</f>
        <v>15% على جميع الخدمات</v>
      </c>
    </row>
    <row r="891" spans="1:11" x14ac:dyDescent="0.25">
      <c r="A891" s="4" t="str">
        <f ca="1">IFERROR(__xludf.DUMMYFUNCTION("""COMPUTED_VALUE"""),"2273-B")</f>
        <v>2273-B</v>
      </c>
      <c r="B891" s="5" t="str">
        <f ca="1">IFERROR(__xludf.DUMMYFUNCTION("""COMPUTED_VALUE"""),"الجيزة")</f>
        <v>الجيزة</v>
      </c>
      <c r="C891" s="5" t="str">
        <f ca="1">IFERROR(__xludf.DUMMYFUNCTION("""COMPUTED_VALUE"""),"الجيزة")</f>
        <v>الجيزة</v>
      </c>
      <c r="D891" s="5" t="str">
        <f ca="1">IFERROR(__xludf.DUMMYFUNCTION("""COMPUTED_VALUE"""),"مركز أشعة")</f>
        <v>مركز أشعة</v>
      </c>
      <c r="E891" s="5" t="str">
        <f ca="1">IFERROR(__xludf.DUMMYFUNCTION("""COMPUTED_VALUE"""),"مركز أشعة")</f>
        <v>مركز أشعة</v>
      </c>
      <c r="F891" s="5" t="str">
        <f ca="1">IFERROR(__xludf.DUMMYFUNCTION("""COMPUTED_VALUE"""),"مركز الأشعة التشخيصية")</f>
        <v>مركز الأشعة التشخيصية</v>
      </c>
      <c r="G891" s="5" t="str">
        <f ca="1">IFERROR(__xludf.DUMMYFUNCTION("""COMPUTED_VALUE"""),"تكنوسكان")</f>
        <v>تكنوسكان</v>
      </c>
      <c r="H891" s="5" t="str">
        <f ca="1">IFERROR(__xludf.DUMMYFUNCTION("""COMPUTED_VALUE"""),"24شارع مراد- الجيزة")</f>
        <v>24شارع مراد- الجيزة</v>
      </c>
      <c r="I891" s="6"/>
      <c r="J891" s="6" t="str">
        <f ca="1">IFERROR(__xludf.DUMMYFUNCTION("""COMPUTED_VALUE"""),"19989")</f>
        <v>19989</v>
      </c>
      <c r="K891" s="6" t="str">
        <f ca="1">IFERROR(__xludf.DUMMYFUNCTION("""COMPUTED_VALUE"""),"29% على جميع الخدمات")</f>
        <v>29% على جميع الخدمات</v>
      </c>
    </row>
    <row r="892" spans="1:11" x14ac:dyDescent="0.25">
      <c r="A892" s="4" t="str">
        <f ca="1">IFERROR(__xludf.DUMMYFUNCTION("""COMPUTED_VALUE"""),"103307-B")</f>
        <v>103307-B</v>
      </c>
      <c r="B892" s="5" t="str">
        <f ca="1">IFERROR(__xludf.DUMMYFUNCTION("""COMPUTED_VALUE"""),"الجيزة")</f>
        <v>الجيزة</v>
      </c>
      <c r="C892" s="5" t="str">
        <f ca="1">IFERROR(__xludf.DUMMYFUNCTION("""COMPUTED_VALUE"""),"الجيزة")</f>
        <v>الجيزة</v>
      </c>
      <c r="D892" s="5" t="str">
        <f ca="1">IFERROR(__xludf.DUMMYFUNCTION("""COMPUTED_VALUE"""),"مركز أشعة و تحاليل")</f>
        <v>مركز أشعة و تحاليل</v>
      </c>
      <c r="E892" s="5" t="str">
        <f ca="1">IFERROR(__xludf.DUMMYFUNCTION("""COMPUTED_VALUE""")," أشعة و تحاليل")</f>
        <v xml:space="preserve"> أشعة و تحاليل</v>
      </c>
      <c r="F892" s="5" t="str">
        <f ca="1">IFERROR(__xludf.DUMMYFUNCTION("""COMPUTED_VALUE""")," أشعة و تحاليل")</f>
        <v xml:space="preserve"> أشعة و تحاليل</v>
      </c>
      <c r="G892" s="5" t="str">
        <f ca="1">IFERROR(__xludf.DUMMYFUNCTION("""COMPUTED_VALUE"""),"مركز القاهرة للأشعة (كايرو سكان)")</f>
        <v>مركز القاهرة للأشعة (كايرو سكان)</v>
      </c>
      <c r="H892" s="5" t="str">
        <f ca="1">IFERROR(__xludf.DUMMYFUNCTION("""COMPUTED_VALUE"""),"15 شارع مراد فوق سوبر ماركت اولاد رجب- الجيزة")</f>
        <v>15 شارع مراد فوق سوبر ماركت اولاد رجب- الجيزة</v>
      </c>
      <c r="I892" s="6"/>
      <c r="J892" s="6" t="str">
        <f ca="1">IFERROR(__xludf.DUMMYFUNCTION("""COMPUTED_VALUE"""),"19144")</f>
        <v>19144</v>
      </c>
      <c r="K892" s="6" t="str">
        <f ca="1">IFERROR(__xludf.DUMMYFUNCTION("""COMPUTED_VALUE"""),"29% على جميع الخدمات")</f>
        <v>29% على جميع الخدمات</v>
      </c>
    </row>
    <row r="893" spans="1:11" x14ac:dyDescent="0.25">
      <c r="A893" s="4" t="str">
        <f ca="1">IFERROR(__xludf.DUMMYFUNCTION("""COMPUTED_VALUE"""),"1884-B")</f>
        <v>1884-B</v>
      </c>
      <c r="B893" s="5" t="str">
        <f ca="1">IFERROR(__xludf.DUMMYFUNCTION("""COMPUTED_VALUE"""),"الجيزة")</f>
        <v>الجيزة</v>
      </c>
      <c r="C893" s="5" t="str">
        <f ca="1">IFERROR(__xludf.DUMMYFUNCTION("""COMPUTED_VALUE"""),"الشيخ زايد")</f>
        <v>الشيخ زايد</v>
      </c>
      <c r="D893" s="5" t="str">
        <f ca="1">IFERROR(__xludf.DUMMYFUNCTION("""COMPUTED_VALUE"""),"مركز أشعة")</f>
        <v>مركز أشعة</v>
      </c>
      <c r="E893" s="5" t="str">
        <f ca="1">IFERROR(__xludf.DUMMYFUNCTION("""COMPUTED_VALUE"""),"مركز أشعة")</f>
        <v>مركز أشعة</v>
      </c>
      <c r="F893" s="5" t="str">
        <f ca="1">IFERROR(__xludf.DUMMYFUNCTION("""COMPUTED_VALUE"""),"مركز الأشعة التشخيصية")</f>
        <v>مركز الأشعة التشخيصية</v>
      </c>
      <c r="G893" s="5" t="str">
        <f ca="1">IFERROR(__xludf.DUMMYFUNCTION("""COMPUTED_VALUE"""),"ميجا سكان")</f>
        <v>ميجا سكان</v>
      </c>
      <c r="H893" s="5" t="str">
        <f ca="1">IFERROR(__xludf.DUMMYFUNCTION("""COMPUTED_VALUE"""),"توين تاور - بعد سيراميكا كليوباترا - محور زايد - الشيخ زايد - الجيزة .")</f>
        <v>توين تاور - بعد سيراميكا كليوباترا - محور زايد - الشيخ زايد - الجيزة .</v>
      </c>
      <c r="I893" s="6" t="str">
        <f ca="1">IFERROR(__xludf.DUMMYFUNCTION("""COMPUTED_VALUE"""),"20237939050")</f>
        <v>20237939050</v>
      </c>
      <c r="J893" s="6"/>
      <c r="K893" s="6" t="str">
        <f ca="1">IFERROR(__xludf.DUMMYFUNCTION("""COMPUTED_VALUE"""),"25% نسبة خصم")</f>
        <v>25% نسبة خصم</v>
      </c>
    </row>
    <row r="894" spans="1:11" x14ac:dyDescent="0.25">
      <c r="A894" s="4" t="str">
        <f ca="1">IFERROR(__xludf.DUMMYFUNCTION("""COMPUTED_VALUE"""),"2273-B")</f>
        <v>2273-B</v>
      </c>
      <c r="B894" s="5" t="str">
        <f ca="1">IFERROR(__xludf.DUMMYFUNCTION("""COMPUTED_VALUE"""),"القاهرة")</f>
        <v>القاهرة</v>
      </c>
      <c r="C894" s="5" t="str">
        <f ca="1">IFERROR(__xludf.DUMMYFUNCTION("""COMPUTED_VALUE"""),"القاهرة الجديدة")</f>
        <v>القاهرة الجديدة</v>
      </c>
      <c r="D894" s="5" t="str">
        <f ca="1">IFERROR(__xludf.DUMMYFUNCTION("""COMPUTED_VALUE"""),"مركز أشعة")</f>
        <v>مركز أشعة</v>
      </c>
      <c r="E894" s="5" t="str">
        <f ca="1">IFERROR(__xludf.DUMMYFUNCTION("""COMPUTED_VALUE"""),"مركز أشعة")</f>
        <v>مركز أشعة</v>
      </c>
      <c r="F894" s="5" t="str">
        <f ca="1">IFERROR(__xludf.DUMMYFUNCTION("""COMPUTED_VALUE"""),"مركز الأشعة التشخيصية")</f>
        <v>مركز الأشعة التشخيصية</v>
      </c>
      <c r="G894" s="5" t="str">
        <f ca="1">IFERROR(__xludf.DUMMYFUNCTION("""COMPUTED_VALUE"""),"تكنوسكان (صحة المراة)")</f>
        <v>تكنوسكان (صحة المراة)</v>
      </c>
      <c r="H894" s="5" t="str">
        <f ca="1">IFERROR(__xludf.DUMMYFUNCTION("""COMPUTED_VALUE"""),"القطعة رقم 43 ج مركز الخدمات- الحي الاول - التجمع الخامس-القاهرة الجديدة-القاهرة")</f>
        <v>القطعة رقم 43 ج مركز الخدمات- الحي الاول - التجمع الخامس-القاهرة الجديدة-القاهرة</v>
      </c>
      <c r="I894" s="6"/>
      <c r="J894" s="6" t="str">
        <f ca="1">IFERROR(__xludf.DUMMYFUNCTION("""COMPUTED_VALUE"""),"19989")</f>
        <v>19989</v>
      </c>
      <c r="K894" s="6" t="str">
        <f ca="1">IFERROR(__xludf.DUMMYFUNCTION("""COMPUTED_VALUE"""),"29% على جميع الخدمات")</f>
        <v>29% على جميع الخدمات</v>
      </c>
    </row>
    <row r="895" spans="1:11" x14ac:dyDescent="0.25">
      <c r="A895" s="4" t="str">
        <f ca="1">IFERROR(__xludf.DUMMYFUNCTION("""COMPUTED_VALUE"""),"2273-B")</f>
        <v>2273-B</v>
      </c>
      <c r="B895" s="5" t="str">
        <f ca="1">IFERROR(__xludf.DUMMYFUNCTION("""COMPUTED_VALUE"""),"القاهرة")</f>
        <v>القاهرة</v>
      </c>
      <c r="C895" s="5" t="str">
        <f ca="1">IFERROR(__xludf.DUMMYFUNCTION("""COMPUTED_VALUE"""),"المعادى")</f>
        <v>المعادى</v>
      </c>
      <c r="D895" s="5" t="str">
        <f ca="1">IFERROR(__xludf.DUMMYFUNCTION("""COMPUTED_VALUE"""),"مركز أشعة")</f>
        <v>مركز أشعة</v>
      </c>
      <c r="E895" s="5" t="str">
        <f ca="1">IFERROR(__xludf.DUMMYFUNCTION("""COMPUTED_VALUE"""),"مركز أشعة")</f>
        <v>مركز أشعة</v>
      </c>
      <c r="F895" s="5" t="str">
        <f ca="1">IFERROR(__xludf.DUMMYFUNCTION("""COMPUTED_VALUE"""),"مركز الأشعة التشخيصية")</f>
        <v>مركز الأشعة التشخيصية</v>
      </c>
      <c r="G895" s="5" t="str">
        <f ca="1">IFERROR(__xludf.DUMMYFUNCTION("""COMPUTED_VALUE"""),"تكنوسكان")</f>
        <v>تكنوسكان</v>
      </c>
      <c r="H895" s="5" t="str">
        <f ca="1">IFERROR(__xludf.DUMMYFUNCTION("""COMPUTED_VALUE"""),"ميدان الحرية 2شارع 150رقم 5-المعادي-القاهرة")</f>
        <v>ميدان الحرية 2شارع 150رقم 5-المعادي-القاهرة</v>
      </c>
      <c r="I895" s="6"/>
      <c r="J895" s="6" t="str">
        <f ca="1">IFERROR(__xludf.DUMMYFUNCTION("""COMPUTED_VALUE"""),"19989")</f>
        <v>19989</v>
      </c>
      <c r="K895" s="6" t="str">
        <f ca="1">IFERROR(__xludf.DUMMYFUNCTION("""COMPUTED_VALUE"""),"29% على جميع الخدمات")</f>
        <v>29% على جميع الخدمات</v>
      </c>
    </row>
    <row r="896" spans="1:11" x14ac:dyDescent="0.25">
      <c r="A896" s="4" t="str">
        <f ca="1">IFERROR(__xludf.DUMMYFUNCTION("""COMPUTED_VALUE"""),"103307-B")</f>
        <v>103307-B</v>
      </c>
      <c r="B896" s="5" t="str">
        <f ca="1">IFERROR(__xludf.DUMMYFUNCTION("""COMPUTED_VALUE"""),"القاهرة")</f>
        <v>القاهرة</v>
      </c>
      <c r="C896" s="5" t="str">
        <f ca="1">IFERROR(__xludf.DUMMYFUNCTION("""COMPUTED_VALUE"""),"المعادى")</f>
        <v>المعادى</v>
      </c>
      <c r="D896" s="5" t="str">
        <f ca="1">IFERROR(__xludf.DUMMYFUNCTION("""COMPUTED_VALUE"""),"مركز أشعة و تحاليل")</f>
        <v>مركز أشعة و تحاليل</v>
      </c>
      <c r="E896" s="5" t="str">
        <f ca="1">IFERROR(__xludf.DUMMYFUNCTION("""COMPUTED_VALUE""")," أشعة و تحاليل")</f>
        <v xml:space="preserve"> أشعة و تحاليل</v>
      </c>
      <c r="F896" s="5" t="str">
        <f ca="1">IFERROR(__xludf.DUMMYFUNCTION("""COMPUTED_VALUE""")," أشعة و تحاليل")</f>
        <v xml:space="preserve"> أشعة و تحاليل</v>
      </c>
      <c r="G896" s="5" t="str">
        <f ca="1">IFERROR(__xludf.DUMMYFUNCTION("""COMPUTED_VALUE"""),"مركز القاهرة للأشعة (كايرو سكان)")</f>
        <v>مركز القاهرة للأشعة (كايرو سكان)</v>
      </c>
      <c r="H896" s="5" t="str">
        <f ca="1">IFERROR(__xludf.DUMMYFUNCTION("""COMPUTED_VALUE"""),"43 شارع الجزائر فوق سوبر ماركت اولاد رجب-المعادي الجديدة-القاهرة")</f>
        <v>43 شارع الجزائر فوق سوبر ماركت اولاد رجب-المعادي الجديدة-القاهرة</v>
      </c>
      <c r="I896" s="6" t="str">
        <f ca="1">IFERROR(__xludf.DUMMYFUNCTION("""COMPUTED_VALUE"""),"20229704068")</f>
        <v>20229704068</v>
      </c>
      <c r="J896" s="6" t="str">
        <f ca="1">IFERROR(__xludf.DUMMYFUNCTION("""COMPUTED_VALUE"""),"19144")</f>
        <v>19144</v>
      </c>
      <c r="K896" s="6" t="str">
        <f ca="1">IFERROR(__xludf.DUMMYFUNCTION("""COMPUTED_VALUE"""),"29% على جميع الخدمات")</f>
        <v>29% على جميع الخدمات</v>
      </c>
    </row>
    <row r="897" spans="1:11" x14ac:dyDescent="0.25">
      <c r="A897" s="4" t="str">
        <f ca="1">IFERROR(__xludf.DUMMYFUNCTION("""COMPUTED_VALUE"""),"2273")</f>
        <v>2273</v>
      </c>
      <c r="B897" s="5" t="str">
        <f ca="1">IFERROR(__xludf.DUMMYFUNCTION("""COMPUTED_VALUE"""),"الجيزة")</f>
        <v>الجيزة</v>
      </c>
      <c r="C897" s="5" t="str">
        <f ca="1">IFERROR(__xludf.DUMMYFUNCTION("""COMPUTED_VALUE"""),"المهندسين")</f>
        <v>المهندسين</v>
      </c>
      <c r="D897" s="5" t="str">
        <f ca="1">IFERROR(__xludf.DUMMYFUNCTION("""COMPUTED_VALUE"""),"مركز أشعة")</f>
        <v>مركز أشعة</v>
      </c>
      <c r="E897" s="5" t="str">
        <f ca="1">IFERROR(__xludf.DUMMYFUNCTION("""COMPUTED_VALUE"""),"مركز أشعة")</f>
        <v>مركز أشعة</v>
      </c>
      <c r="F897" s="5" t="str">
        <f ca="1">IFERROR(__xludf.DUMMYFUNCTION("""COMPUTED_VALUE"""),"مركز الأشعة التشخيصية")</f>
        <v>مركز الأشعة التشخيصية</v>
      </c>
      <c r="G897" s="5" t="str">
        <f ca="1">IFERROR(__xludf.DUMMYFUNCTION("""COMPUTED_VALUE"""),"تكنوسكان")</f>
        <v>تكنوسكان</v>
      </c>
      <c r="H897" s="5" t="str">
        <f ca="1">IFERROR(__xludf.DUMMYFUNCTION("""COMPUTED_VALUE"""),"45شارع أنس بن مالك متفرع من شارع شهاب-المهندسين- الجيزة")</f>
        <v>45شارع أنس بن مالك متفرع من شارع شهاب-المهندسين- الجيزة</v>
      </c>
      <c r="I897" s="6" t="str">
        <f ca="1">IFERROR(__xludf.DUMMYFUNCTION("""COMPUTED_VALUE"""),"201000086318")</f>
        <v>201000086318</v>
      </c>
      <c r="J897" s="6" t="str">
        <f ca="1">IFERROR(__xludf.DUMMYFUNCTION("""COMPUTED_VALUE"""),"19989")</f>
        <v>19989</v>
      </c>
      <c r="K897" s="6" t="str">
        <f ca="1">IFERROR(__xludf.DUMMYFUNCTION("""COMPUTED_VALUE"""),"29% على جميع الخدمات")</f>
        <v>29% على جميع الخدمات</v>
      </c>
    </row>
    <row r="898" spans="1:11" x14ac:dyDescent="0.25">
      <c r="A898" s="4" t="str">
        <f ca="1">IFERROR(__xludf.DUMMYFUNCTION("""COMPUTED_VALUE"""),"103307")</f>
        <v>103307</v>
      </c>
      <c r="B898" s="5" t="str">
        <f ca="1">IFERROR(__xludf.DUMMYFUNCTION("""COMPUTED_VALUE"""),"الجيزة")</f>
        <v>الجيزة</v>
      </c>
      <c r="C898" s="5" t="str">
        <f ca="1">IFERROR(__xludf.DUMMYFUNCTION("""COMPUTED_VALUE"""),"المهندسين")</f>
        <v>المهندسين</v>
      </c>
      <c r="D898" s="5" t="str">
        <f ca="1">IFERROR(__xludf.DUMMYFUNCTION("""COMPUTED_VALUE"""),"مركز أشعة و تحاليل")</f>
        <v>مركز أشعة و تحاليل</v>
      </c>
      <c r="E898" s="5" t="str">
        <f ca="1">IFERROR(__xludf.DUMMYFUNCTION("""COMPUTED_VALUE""")," أشعة و تحاليل")</f>
        <v xml:space="preserve"> أشعة و تحاليل</v>
      </c>
      <c r="F898" s="5" t="str">
        <f ca="1">IFERROR(__xludf.DUMMYFUNCTION("""COMPUTED_VALUE""")," أشعة و تحاليل")</f>
        <v xml:space="preserve"> أشعة و تحاليل</v>
      </c>
      <c r="G898" s="5" t="str">
        <f ca="1">IFERROR(__xludf.DUMMYFUNCTION("""COMPUTED_VALUE"""),"مركز القاهرة للأشعة (كايرو سكان)")</f>
        <v>مركز القاهرة للأشعة (كايرو سكان)</v>
      </c>
      <c r="H898" s="5" t="str">
        <f ca="1">IFERROR(__xludf.DUMMYFUNCTION("""COMPUTED_VALUE"""),"35 شارع سليمان أباظة. -المهندسين- الجيزة")</f>
        <v>35 شارع سليمان أباظة. -المهندسين- الجيزة</v>
      </c>
      <c r="I898" s="6" t="str">
        <f ca="1">IFERROR(__xludf.DUMMYFUNCTION("""COMPUTED_VALUE"""),"20233380405")</f>
        <v>20233380405</v>
      </c>
      <c r="J898" s="6" t="str">
        <f ca="1">IFERROR(__xludf.DUMMYFUNCTION("""COMPUTED_VALUE"""),"19144")</f>
        <v>19144</v>
      </c>
      <c r="K898" s="6" t="str">
        <f ca="1">IFERROR(__xludf.DUMMYFUNCTION("""COMPUTED_VALUE"""),"29% على جميع الخدمات")</f>
        <v>29% على جميع الخدمات</v>
      </c>
    </row>
    <row r="899" spans="1:11" x14ac:dyDescent="0.25">
      <c r="A899" s="4" t="str">
        <f ca="1">IFERROR(__xludf.DUMMYFUNCTION("""COMPUTED_VALUE"""),"103307-B")</f>
        <v>103307-B</v>
      </c>
      <c r="B899" s="5" t="str">
        <f ca="1">IFERROR(__xludf.DUMMYFUNCTION("""COMPUTED_VALUE"""),"الجيزة")</f>
        <v>الجيزة</v>
      </c>
      <c r="C899" s="5" t="str">
        <f ca="1">IFERROR(__xludf.DUMMYFUNCTION("""COMPUTED_VALUE"""),"المهندسين")</f>
        <v>المهندسين</v>
      </c>
      <c r="D899" s="5" t="str">
        <f ca="1">IFERROR(__xludf.DUMMYFUNCTION("""COMPUTED_VALUE"""),"مركز أشعة و تحاليل")</f>
        <v>مركز أشعة و تحاليل</v>
      </c>
      <c r="E899" s="5" t="str">
        <f ca="1">IFERROR(__xludf.DUMMYFUNCTION("""COMPUTED_VALUE""")," أشعة و تحاليل")</f>
        <v xml:space="preserve"> أشعة و تحاليل</v>
      </c>
      <c r="F899" s="5" t="str">
        <f ca="1">IFERROR(__xludf.DUMMYFUNCTION("""COMPUTED_VALUE""")," أشعة و تحاليل")</f>
        <v xml:space="preserve"> أشعة و تحاليل</v>
      </c>
      <c r="G899" s="5" t="str">
        <f ca="1">IFERROR(__xludf.DUMMYFUNCTION("""COMPUTED_VALUE"""),"مركز القاهرة للأشعة (كايرو سكان)")</f>
        <v>مركز القاهرة للأشعة (كايرو سكان)</v>
      </c>
      <c r="H899" s="5" t="str">
        <f ca="1">IFERROR(__xludf.DUMMYFUNCTION("""COMPUTED_VALUE"""),"55شارع عبد المنعم رياض-الدور الاول و الدور الرابع عشر .-المهندسين- الجيزة")</f>
        <v>55شارع عبد المنعم رياض-الدور الاول و الدور الرابع عشر .-المهندسين- الجيزة</v>
      </c>
      <c r="I899" s="6" t="str">
        <f ca="1">IFERROR(__xludf.DUMMYFUNCTION("""COMPUTED_VALUE"""),"20233055970")</f>
        <v>20233055970</v>
      </c>
      <c r="J899" s="6" t="str">
        <f ca="1">IFERROR(__xludf.DUMMYFUNCTION("""COMPUTED_VALUE"""),"19144")</f>
        <v>19144</v>
      </c>
      <c r="K899" s="6" t="str">
        <f ca="1">IFERROR(__xludf.DUMMYFUNCTION("""COMPUTED_VALUE"""),"29% على جميع الخدمات")</f>
        <v>29% على جميع الخدمات</v>
      </c>
    </row>
    <row r="900" spans="1:11" x14ac:dyDescent="0.25">
      <c r="A900" s="4" t="str">
        <f ca="1">IFERROR(__xludf.DUMMYFUNCTION("""COMPUTED_VALUE"""),"1884")</f>
        <v>1884</v>
      </c>
      <c r="B900" s="5" t="str">
        <f ca="1">IFERROR(__xludf.DUMMYFUNCTION("""COMPUTED_VALUE"""),"الجيزة")</f>
        <v>الجيزة</v>
      </c>
      <c r="C900" s="5" t="str">
        <f ca="1">IFERROR(__xludf.DUMMYFUNCTION("""COMPUTED_VALUE"""),"المهندسين")</f>
        <v>المهندسين</v>
      </c>
      <c r="D900" s="5" t="str">
        <f ca="1">IFERROR(__xludf.DUMMYFUNCTION("""COMPUTED_VALUE"""),"مركز أشعة")</f>
        <v>مركز أشعة</v>
      </c>
      <c r="E900" s="5" t="str">
        <f ca="1">IFERROR(__xludf.DUMMYFUNCTION("""COMPUTED_VALUE"""),"مركز أشعة")</f>
        <v>مركز أشعة</v>
      </c>
      <c r="F900" s="5" t="str">
        <f ca="1">IFERROR(__xludf.DUMMYFUNCTION("""COMPUTED_VALUE"""),"مركز الأشعة التشخيصية")</f>
        <v>مركز الأشعة التشخيصية</v>
      </c>
      <c r="G900" s="5" t="str">
        <f ca="1">IFERROR(__xludf.DUMMYFUNCTION("""COMPUTED_VALUE"""),"ميجا سكان")</f>
        <v>ميجا سكان</v>
      </c>
      <c r="H900" s="5" t="str">
        <f ca="1">IFERROR(__xludf.DUMMYFUNCTION("""COMPUTED_VALUE"""),"44 شارع سوريا - المهندسين-المهندسين- الجيزة")</f>
        <v>44 شارع سوريا - المهندسين-المهندسين- الجيزة</v>
      </c>
      <c r="I900" s="6" t="str">
        <f ca="1">IFERROR(__xludf.DUMMYFUNCTION("""COMPUTED_VALUE"""),"20237625577")</f>
        <v>20237625577</v>
      </c>
      <c r="J900" s="6"/>
      <c r="K900" s="6" t="str">
        <f ca="1">IFERROR(__xludf.DUMMYFUNCTION("""COMPUTED_VALUE"""),"25% نسبة خصم")</f>
        <v>25% نسبة خصم</v>
      </c>
    </row>
    <row r="901" spans="1:11" x14ac:dyDescent="0.25">
      <c r="A901" s="4" t="str">
        <f ca="1">IFERROR(__xludf.DUMMYFUNCTION("""COMPUTED_VALUE"""),"3625")</f>
        <v>3625</v>
      </c>
      <c r="B901" s="5" t="str">
        <f ca="1">IFERROR(__xludf.DUMMYFUNCTION("""COMPUTED_VALUE"""),"القاهرة")</f>
        <v>القاهرة</v>
      </c>
      <c r="C901" s="5" t="str">
        <f ca="1">IFERROR(__xludf.DUMMYFUNCTION("""COMPUTED_VALUE"""),"حلمية الزيتون")</f>
        <v>حلمية الزيتون</v>
      </c>
      <c r="D901" s="5" t="str">
        <f ca="1">IFERROR(__xludf.DUMMYFUNCTION("""COMPUTED_VALUE"""),"مركز أشعة")</f>
        <v>مركز أشعة</v>
      </c>
      <c r="E901" s="5" t="str">
        <f ca="1">IFERROR(__xludf.DUMMYFUNCTION("""COMPUTED_VALUE"""),"مركز أشعة")</f>
        <v>مركز أشعة</v>
      </c>
      <c r="F901" s="5" t="str">
        <f ca="1">IFERROR(__xludf.DUMMYFUNCTION("""COMPUTED_VALUE"""),"مركز الأشعة التشخيصية")</f>
        <v>مركز الأشعة التشخيصية</v>
      </c>
      <c r="G901" s="5" t="str">
        <f ca="1">IFERROR(__xludf.DUMMYFUNCTION("""COMPUTED_VALUE"""),"مركز سيتي سكان للأشعة")</f>
        <v>مركز سيتي سكان للأشعة</v>
      </c>
      <c r="H901" s="5" t="str">
        <f ca="1">IFERROR(__xludf.DUMMYFUNCTION("""COMPUTED_VALUE"""),"45ميدان ابن الحكم - عمارات بيت العز - مدخل ب/ حلمية الزيتون--حلمية الزيتون-القاهرة امام نادى 6اكتوبر للقوات المسلحه")</f>
        <v>45ميدان ابن الحكم - عمارات بيت العز - مدخل ب/ حلمية الزيتون--حلمية الزيتون-القاهرة امام نادى 6اكتوبر للقوات المسلحه</v>
      </c>
      <c r="I901" s="6" t="str">
        <f ca="1">IFERROR(__xludf.DUMMYFUNCTION("""COMPUTED_VALUE"""),"20226428547")</f>
        <v>20226428547</v>
      </c>
      <c r="J901" s="6"/>
      <c r="K901" s="6" t="str">
        <f ca="1">IFERROR(__xludf.DUMMYFUNCTION("""COMPUTED_VALUE"""),"20% على الاشعة المقطعية ,30% على اشعة الرنين ,50% على اشعة السونار ,قمية الاشعة العادية 100, ما عدا صبغة الرنين المغناطيسى")</f>
        <v>20% على الاشعة المقطعية ,30% على اشعة الرنين ,50% على اشعة السونار ,قمية الاشعة العادية 100, ما عدا صبغة الرنين المغناطيسى</v>
      </c>
    </row>
    <row r="902" spans="1:11" x14ac:dyDescent="0.25">
      <c r="A902" s="4" t="str">
        <f ca="1">IFERROR(__xludf.DUMMYFUNCTION("""COMPUTED_VALUE"""),"1794")</f>
        <v>1794</v>
      </c>
      <c r="B902" s="5" t="str">
        <f ca="1">IFERROR(__xludf.DUMMYFUNCTION("""COMPUTED_VALUE"""),"القاهرة")</f>
        <v>القاهرة</v>
      </c>
      <c r="C902" s="5" t="str">
        <f ca="1">IFERROR(__xludf.DUMMYFUNCTION("""COMPUTED_VALUE"""),"رمسيس")</f>
        <v>رمسيس</v>
      </c>
      <c r="D902" s="5" t="str">
        <f ca="1">IFERROR(__xludf.DUMMYFUNCTION("""COMPUTED_VALUE"""),"مركز أشعة")</f>
        <v>مركز أشعة</v>
      </c>
      <c r="E902" s="5" t="str">
        <f ca="1">IFERROR(__xludf.DUMMYFUNCTION("""COMPUTED_VALUE"""),"مركز أشعة")</f>
        <v>مركز أشعة</v>
      </c>
      <c r="F902" s="5" t="str">
        <f ca="1">IFERROR(__xludf.DUMMYFUNCTION("""COMPUTED_VALUE"""),"مركز الأشعة التشخيصية")</f>
        <v>مركز الأشعة التشخيصية</v>
      </c>
      <c r="G902" s="5" t="str">
        <f ca="1">IFERROR(__xludf.DUMMYFUNCTION("""COMPUTED_VALUE"""),"مركز الحياة سكان للاشعه")</f>
        <v>مركز الحياة سكان للاشعه</v>
      </c>
      <c r="H902" s="5" t="str">
        <f ca="1">IFERROR(__xludf.DUMMYFUNCTION("""COMPUTED_VALUE"""),"37 ش عماد الدين عمارة النهضة رمسيس-رمسيس-القاهرة")</f>
        <v>37 ش عماد الدين عمارة النهضة رمسيس-رمسيس-القاهرة</v>
      </c>
      <c r="I902" s="6" t="str">
        <f ca="1">IFERROR(__xludf.DUMMYFUNCTION("""COMPUTED_VALUE"""),"201020975550")</f>
        <v>201020975550</v>
      </c>
      <c r="J902" s="6"/>
      <c r="K902" s="6" t="str">
        <f ca="1">IFERROR(__xludf.DUMMYFUNCTION("""COMPUTED_VALUE"""),"20% علي جميع الفحوصات ، 10% علي المقطعيه ما عدا التخدير و الصبغه.")</f>
        <v>20% علي جميع الفحوصات ، 10% علي المقطعيه ما عدا التخدير و الصبغه.</v>
      </c>
    </row>
    <row r="903" spans="1:11" x14ac:dyDescent="0.25">
      <c r="A903" s="4" t="str">
        <f ca="1">IFERROR(__xludf.DUMMYFUNCTION("""COMPUTED_VALUE"""),"2273-B")</f>
        <v>2273-B</v>
      </c>
      <c r="B903" s="5" t="str">
        <f ca="1">IFERROR(__xludf.DUMMYFUNCTION("""COMPUTED_VALUE"""),"القاهرة")</f>
        <v>القاهرة</v>
      </c>
      <c r="C903" s="5" t="str">
        <f ca="1">IFERROR(__xludf.DUMMYFUNCTION("""COMPUTED_VALUE"""),"شبرا")</f>
        <v>شبرا</v>
      </c>
      <c r="D903" s="5" t="str">
        <f ca="1">IFERROR(__xludf.DUMMYFUNCTION("""COMPUTED_VALUE"""),"مركز أشعة")</f>
        <v>مركز أشعة</v>
      </c>
      <c r="E903" s="5" t="str">
        <f ca="1">IFERROR(__xludf.DUMMYFUNCTION("""COMPUTED_VALUE"""),"مركز أشعة")</f>
        <v>مركز أشعة</v>
      </c>
      <c r="F903" s="5" t="str">
        <f ca="1">IFERROR(__xludf.DUMMYFUNCTION("""COMPUTED_VALUE"""),"مركز الأشعة التشخيصية")</f>
        <v>مركز الأشعة التشخيصية</v>
      </c>
      <c r="G903" s="5" t="str">
        <f ca="1">IFERROR(__xludf.DUMMYFUNCTION("""COMPUTED_VALUE"""),"تكنوسكان")</f>
        <v>تكنوسكان</v>
      </c>
      <c r="H903" s="5" t="str">
        <f ca="1">IFERROR(__xludf.DUMMYFUNCTION("""COMPUTED_VALUE"""),"بجوار محطة مترو الخلفاوى/ 230 ش شبرا-شبرا-القاهرة")</f>
        <v>بجوار محطة مترو الخلفاوى/ 230 ش شبرا-شبرا-القاهرة</v>
      </c>
      <c r="I903" s="6"/>
      <c r="J903" s="6" t="str">
        <f ca="1">IFERROR(__xludf.DUMMYFUNCTION("""COMPUTED_VALUE"""),"19989")</f>
        <v>19989</v>
      </c>
      <c r="K903" s="6" t="str">
        <f ca="1">IFERROR(__xludf.DUMMYFUNCTION("""COMPUTED_VALUE"""),"29% على جميع الخدمات")</f>
        <v>29% على جميع الخدمات</v>
      </c>
    </row>
    <row r="904" spans="1:11" x14ac:dyDescent="0.25">
      <c r="A904" s="4" t="str">
        <f ca="1">IFERROR(__xludf.DUMMYFUNCTION("""COMPUTED_VALUE"""),"103307-B")</f>
        <v>103307-B</v>
      </c>
      <c r="B904" s="5" t="str">
        <f ca="1">IFERROR(__xludf.DUMMYFUNCTION("""COMPUTED_VALUE"""),"القاهرة")</f>
        <v>القاهرة</v>
      </c>
      <c r="C904" s="5" t="str">
        <f ca="1">IFERROR(__xludf.DUMMYFUNCTION("""COMPUTED_VALUE"""),"شبرا")</f>
        <v>شبرا</v>
      </c>
      <c r="D904" s="5" t="str">
        <f ca="1">IFERROR(__xludf.DUMMYFUNCTION("""COMPUTED_VALUE"""),"مركز أشعة و تحاليل")</f>
        <v>مركز أشعة و تحاليل</v>
      </c>
      <c r="E904" s="5" t="str">
        <f ca="1">IFERROR(__xludf.DUMMYFUNCTION("""COMPUTED_VALUE""")," أشعة و تحاليل")</f>
        <v xml:space="preserve"> أشعة و تحاليل</v>
      </c>
      <c r="F904" s="5" t="str">
        <f ca="1">IFERROR(__xludf.DUMMYFUNCTION("""COMPUTED_VALUE""")," أشعة و تحاليل")</f>
        <v xml:space="preserve"> أشعة و تحاليل</v>
      </c>
      <c r="G904" s="5" t="str">
        <f ca="1">IFERROR(__xludf.DUMMYFUNCTION("""COMPUTED_VALUE"""),"مركز القاهرة للأشعة (كايرو سكان)")</f>
        <v>مركز القاهرة للأشعة (كايرو سكان)</v>
      </c>
      <c r="H904" s="5" t="str">
        <f ca="1">IFERROR(__xludf.DUMMYFUNCTION("""COMPUTED_VALUE"""),"66 شارع شبرا بعد مدرسة التوفيقية-شبرا-القاهرة")</f>
        <v>66 شارع شبرا بعد مدرسة التوفيقية-شبرا-القاهرة</v>
      </c>
      <c r="I904" s="6"/>
      <c r="J904" s="6" t="str">
        <f ca="1">IFERROR(__xludf.DUMMYFUNCTION("""COMPUTED_VALUE"""),"19144")</f>
        <v>19144</v>
      </c>
      <c r="K904" s="6" t="str">
        <f ca="1">IFERROR(__xludf.DUMMYFUNCTION("""COMPUTED_VALUE"""),"29% على جميع الخدمات")</f>
        <v>29% على جميع الخدمات</v>
      </c>
    </row>
    <row r="905" spans="1:11" x14ac:dyDescent="0.25">
      <c r="A905" s="4" t="str">
        <f ca="1">IFERROR(__xludf.DUMMYFUNCTION("""COMPUTED_VALUE"""),"104325")</f>
        <v>104325</v>
      </c>
      <c r="B905" s="5" t="str">
        <f ca="1">IFERROR(__xludf.DUMMYFUNCTION("""COMPUTED_VALUE"""),"القاهرة")</f>
        <v>القاهرة</v>
      </c>
      <c r="C905" s="5" t="str">
        <f ca="1">IFERROR(__xludf.DUMMYFUNCTION("""COMPUTED_VALUE"""),"عين شمس")</f>
        <v>عين شمس</v>
      </c>
      <c r="D905" s="5" t="str">
        <f ca="1">IFERROR(__xludf.DUMMYFUNCTION("""COMPUTED_VALUE"""),"مركز أشعة و تحاليل")</f>
        <v>مركز أشعة و تحاليل</v>
      </c>
      <c r="E905" s="5" t="str">
        <f ca="1">IFERROR(__xludf.DUMMYFUNCTION("""COMPUTED_VALUE""")," أشعة و تحاليل")</f>
        <v xml:space="preserve"> أشعة و تحاليل</v>
      </c>
      <c r="F905" s="5" t="str">
        <f ca="1">IFERROR(__xludf.DUMMYFUNCTION("""COMPUTED_VALUE""")," أشعة و تحاليل")</f>
        <v xml:space="preserve"> أشعة و تحاليل</v>
      </c>
      <c r="G905" s="5" t="str">
        <f ca="1">IFERROR(__xludf.DUMMYFUNCTION("""COMPUTED_VALUE"""),"مركز الكرنك للأشعة والتحاليل")</f>
        <v>مركز الكرنك للأشعة والتحاليل</v>
      </c>
      <c r="H905" s="5" t="str">
        <f ca="1">IFERROR(__xludf.DUMMYFUNCTION("""COMPUTED_VALUE"""),"83ش عين شمس تقاطع أحمد عصمت - بجوار كنتاكي - اعلي مطعم كوج دور- عين شمس")</f>
        <v>83ش عين شمس تقاطع أحمد عصمت - بجوار كنتاكي - اعلي مطعم كوج دور- عين شمس</v>
      </c>
      <c r="I905" s="6" t="str">
        <f ca="1">IFERROR(__xludf.DUMMYFUNCTION("""COMPUTED_VALUE"""),"20224923702")</f>
        <v>20224923702</v>
      </c>
      <c r="J905" s="6"/>
      <c r="K905" s="6" t="str">
        <f ca="1">IFERROR(__xludf.DUMMYFUNCTION("""COMPUTED_VALUE"""),"20% علي كل الخددمات ، 25% علي جهاز MRI closed")</f>
        <v>20% علي كل الخددمات ، 25% علي جهاز MRI closed</v>
      </c>
    </row>
    <row r="906" spans="1:11" x14ac:dyDescent="0.25">
      <c r="A906" s="4" t="str">
        <f ca="1">IFERROR(__xludf.DUMMYFUNCTION("""COMPUTED_VALUE"""),"103307-B")</f>
        <v>103307-B</v>
      </c>
      <c r="B906" s="5" t="str">
        <f ca="1">IFERROR(__xludf.DUMMYFUNCTION("""COMPUTED_VALUE"""),"الجيزة")</f>
        <v>الجيزة</v>
      </c>
      <c r="C906" s="5" t="str">
        <f ca="1">IFERROR(__xludf.DUMMYFUNCTION("""COMPUTED_VALUE"""),"فيصل")</f>
        <v>فيصل</v>
      </c>
      <c r="D906" s="5" t="str">
        <f ca="1">IFERROR(__xludf.DUMMYFUNCTION("""COMPUTED_VALUE"""),"مركز أشعة و تحاليل")</f>
        <v>مركز أشعة و تحاليل</v>
      </c>
      <c r="E906" s="5" t="str">
        <f ca="1">IFERROR(__xludf.DUMMYFUNCTION("""COMPUTED_VALUE""")," أشعة و تحاليل")</f>
        <v xml:space="preserve"> أشعة و تحاليل</v>
      </c>
      <c r="F906" s="5" t="str">
        <f ca="1">IFERROR(__xludf.DUMMYFUNCTION("""COMPUTED_VALUE""")," أشعة و تحاليل")</f>
        <v xml:space="preserve"> أشعة و تحاليل</v>
      </c>
      <c r="G906" s="5" t="str">
        <f ca="1">IFERROR(__xludf.DUMMYFUNCTION("""COMPUTED_VALUE"""),"مركز القاهرة للأشعة (كايرو سكان)")</f>
        <v>مركز القاهرة للأشعة (كايرو سكان)</v>
      </c>
      <c r="H906" s="5" t="str">
        <f ca="1">IFERROR(__xludf.DUMMYFUNCTION("""COMPUTED_VALUE"""),"319 شارع فيصل - بجوار النساجون الشرقيون")</f>
        <v>319 شارع فيصل - بجوار النساجون الشرقيون</v>
      </c>
      <c r="I906" s="6"/>
      <c r="J906" s="6" t="str">
        <f ca="1">IFERROR(__xludf.DUMMYFUNCTION("""COMPUTED_VALUE"""),"19144")</f>
        <v>19144</v>
      </c>
      <c r="K906" s="6" t="str">
        <f ca="1">IFERROR(__xludf.DUMMYFUNCTION("""COMPUTED_VALUE"""),"29% على جميع الخدمات")</f>
        <v>29% على جميع الخدمات</v>
      </c>
    </row>
    <row r="907" spans="1:11" x14ac:dyDescent="0.25">
      <c r="A907" s="4" t="str">
        <f ca="1">IFERROR(__xludf.DUMMYFUNCTION("""COMPUTED_VALUE"""),"104564")</f>
        <v>104564</v>
      </c>
      <c r="B907" s="5" t="str">
        <f ca="1">IFERROR(__xludf.DUMMYFUNCTION("""COMPUTED_VALUE"""),"القاهرة")</f>
        <v>القاهرة</v>
      </c>
      <c r="C907" s="5" t="str">
        <f ca="1">IFERROR(__xludf.DUMMYFUNCTION("""COMPUTED_VALUE"""),"مدينة نصر")</f>
        <v>مدينة نصر</v>
      </c>
      <c r="D907" s="5" t="str">
        <f ca="1">IFERROR(__xludf.DUMMYFUNCTION("""COMPUTED_VALUE"""),"مركز أشعة")</f>
        <v>مركز أشعة</v>
      </c>
      <c r="E907" s="5" t="str">
        <f ca="1">IFERROR(__xludf.DUMMYFUNCTION("""COMPUTED_VALUE"""),"مركز أشعة")</f>
        <v>مركز أشعة</v>
      </c>
      <c r="F907" s="5" t="str">
        <f ca="1">IFERROR(__xludf.DUMMYFUNCTION("""COMPUTED_VALUE"""),"مركز الأشعة التشخيصية")</f>
        <v>مركز الأشعة التشخيصية</v>
      </c>
      <c r="G907" s="5" t="str">
        <f ca="1">IFERROR(__xludf.DUMMYFUNCTION("""COMPUTED_VALUE"""),"توب سكان لاب للأشعة والتحاليل")</f>
        <v>توب سكان لاب للأشعة والتحاليل</v>
      </c>
      <c r="H907" s="5" t="str">
        <f ca="1">IFERROR(__xludf.DUMMYFUNCTION("""COMPUTED_VALUE"""),"16شارع النزهة - ميدان الساعة - مدينة نصر - القاهرة")</f>
        <v>16شارع النزهة - ميدان الساعة - مدينة نصر - القاهرة</v>
      </c>
      <c r="I907" s="6" t="str">
        <f ca="1">IFERROR(__xludf.DUMMYFUNCTION("""COMPUTED_VALUE"""),"20223192418")</f>
        <v>20223192418</v>
      </c>
      <c r="J907" s="6"/>
      <c r="K907" s="6" t="str">
        <f ca="1">IFERROR(__xludf.DUMMYFUNCTION("""COMPUTED_VALUE"""),"خصم 40% علي التحاليل، 30% علي الأشعه علي الأسعار النقدي المعلنه.")</f>
        <v>خصم 40% علي التحاليل، 30% علي الأشعه علي الأسعار النقدي المعلنه.</v>
      </c>
    </row>
    <row r="908" spans="1:11" x14ac:dyDescent="0.25">
      <c r="A908" s="4" t="str">
        <f ca="1">IFERROR(__xludf.DUMMYFUNCTION("""COMPUTED_VALUE"""),"2257-B")</f>
        <v>2257-B</v>
      </c>
      <c r="B908" s="5" t="str">
        <f ca="1">IFERROR(__xludf.DUMMYFUNCTION("""COMPUTED_VALUE"""),"القاهرة")</f>
        <v>القاهرة</v>
      </c>
      <c r="C908" s="5" t="str">
        <f ca="1">IFERROR(__xludf.DUMMYFUNCTION("""COMPUTED_VALUE"""),"مدينة نصر")</f>
        <v>مدينة نصر</v>
      </c>
      <c r="D908" s="5" t="str">
        <f ca="1">IFERROR(__xludf.DUMMYFUNCTION("""COMPUTED_VALUE"""),"مركز أشعة")</f>
        <v>مركز أشعة</v>
      </c>
      <c r="E908" s="5" t="str">
        <f ca="1">IFERROR(__xludf.DUMMYFUNCTION("""COMPUTED_VALUE"""),"مركز أشعة")</f>
        <v>مركز أشعة</v>
      </c>
      <c r="F908" s="5" t="str">
        <f ca="1">IFERROR(__xludf.DUMMYFUNCTION("""COMPUTED_VALUE"""),"مركز الأشعة التشخيصية")</f>
        <v>مركز الأشعة التشخيصية</v>
      </c>
      <c r="G908" s="5" t="str">
        <f ca="1">IFERROR(__xludf.DUMMYFUNCTION("""COMPUTED_VALUE"""),"مصر للأشعة")</f>
        <v>مصر للأشعة</v>
      </c>
      <c r="H908" s="5" t="str">
        <f ca="1">IFERROR(__xludf.DUMMYFUNCTION("""COMPUTED_VALUE"""),"8 ش مصطفى النحاس- مدينة نصر-مدينة نصر-القاهرة")</f>
        <v>8 ش مصطفى النحاس- مدينة نصر-مدينة نصر-القاهرة</v>
      </c>
      <c r="I908" s="6" t="str">
        <f ca="1">IFERROR(__xludf.DUMMYFUNCTION("""COMPUTED_VALUE"""),"19773")</f>
        <v>19773</v>
      </c>
      <c r="J908" s="6"/>
      <c r="K908" s="6" t="str">
        <f ca="1">IFERROR(__xludf.DUMMYFUNCTION("""COMPUTED_VALUE"""),"15% علي الأشعة و 5% علي  PET CT و العينات و فحوص الرنين ")</f>
        <v xml:space="preserve">15% علي الأشعة و 5% علي  PET CT و العينات و فحوص الرنين </v>
      </c>
    </row>
    <row r="909" spans="1:11" x14ac:dyDescent="0.25">
      <c r="A909" s="4" t="str">
        <f ca="1">IFERROR(__xludf.DUMMYFUNCTION("""COMPUTED_VALUE"""),"2273-B")</f>
        <v>2273-B</v>
      </c>
      <c r="B909" s="5" t="str">
        <f ca="1">IFERROR(__xludf.DUMMYFUNCTION("""COMPUTED_VALUE"""),"القاهرة")</f>
        <v>القاهرة</v>
      </c>
      <c r="C909" s="5" t="str">
        <f ca="1">IFERROR(__xludf.DUMMYFUNCTION("""COMPUTED_VALUE"""),"مصر الجديدة")</f>
        <v>مصر الجديدة</v>
      </c>
      <c r="D909" s="5" t="str">
        <f ca="1">IFERROR(__xludf.DUMMYFUNCTION("""COMPUTED_VALUE"""),"مركز أشعة")</f>
        <v>مركز أشعة</v>
      </c>
      <c r="E909" s="5" t="str">
        <f ca="1">IFERROR(__xludf.DUMMYFUNCTION("""COMPUTED_VALUE"""),"مركز أشعة")</f>
        <v>مركز أشعة</v>
      </c>
      <c r="F909" s="5" t="str">
        <f ca="1">IFERROR(__xludf.DUMMYFUNCTION("""COMPUTED_VALUE"""),"مركز الأشعة التشخيصية")</f>
        <v>مركز الأشعة التشخيصية</v>
      </c>
      <c r="G909" s="5" t="str">
        <f ca="1">IFERROR(__xludf.DUMMYFUNCTION("""COMPUTED_VALUE"""),"تكنوسكان")</f>
        <v>تكنوسكان</v>
      </c>
      <c r="H909" s="5" t="str">
        <f ca="1">IFERROR(__xludf.DUMMYFUNCTION("""COMPUTED_VALUE"""),"ميدان صلاح الدين 8 شارع رشيد من عثمان بن عفان -مصر الجديدة-القاهرة")</f>
        <v>ميدان صلاح الدين 8 شارع رشيد من عثمان بن عفان -مصر الجديدة-القاهرة</v>
      </c>
      <c r="I909" s="6"/>
      <c r="J909" s="6" t="str">
        <f ca="1">IFERROR(__xludf.DUMMYFUNCTION("""COMPUTED_VALUE"""),"19989")</f>
        <v>19989</v>
      </c>
      <c r="K909" s="6" t="str">
        <f ca="1">IFERROR(__xludf.DUMMYFUNCTION("""COMPUTED_VALUE"""),"29% على جميع الخدمات")</f>
        <v>29% على جميع الخدمات</v>
      </c>
    </row>
    <row r="910" spans="1:11" x14ac:dyDescent="0.25">
      <c r="A910" s="4" t="str">
        <f ca="1">IFERROR(__xludf.DUMMYFUNCTION("""COMPUTED_VALUE"""),"103307-B")</f>
        <v>103307-B</v>
      </c>
      <c r="B910" s="5" t="str">
        <f ca="1">IFERROR(__xludf.DUMMYFUNCTION("""COMPUTED_VALUE"""),"القاهرة")</f>
        <v>القاهرة</v>
      </c>
      <c r="C910" s="5" t="str">
        <f ca="1">IFERROR(__xludf.DUMMYFUNCTION("""COMPUTED_VALUE"""),"مصر الجديدة")</f>
        <v>مصر الجديدة</v>
      </c>
      <c r="D910" s="5" t="str">
        <f ca="1">IFERROR(__xludf.DUMMYFUNCTION("""COMPUTED_VALUE"""),"مركز أشعة و تحاليل")</f>
        <v>مركز أشعة و تحاليل</v>
      </c>
      <c r="E910" s="5" t="str">
        <f ca="1">IFERROR(__xludf.DUMMYFUNCTION("""COMPUTED_VALUE""")," أشعة و تحاليل")</f>
        <v xml:space="preserve"> أشعة و تحاليل</v>
      </c>
      <c r="F910" s="5" t="str">
        <f ca="1">IFERROR(__xludf.DUMMYFUNCTION("""COMPUTED_VALUE""")," أشعة و تحاليل")</f>
        <v xml:space="preserve"> أشعة و تحاليل</v>
      </c>
      <c r="G910" s="5" t="str">
        <f ca="1">IFERROR(__xludf.DUMMYFUNCTION("""COMPUTED_VALUE"""),"مركز القاهرة للأشعة (كايرو سكان)")</f>
        <v>مركز القاهرة للأشعة (كايرو سكان)</v>
      </c>
      <c r="H910" s="5" t="str">
        <f ca="1">IFERROR(__xludf.DUMMYFUNCTION("""COMPUTED_VALUE"""),"18 شارع القبة بعد كنيسة السبتية-روكسى-مصر الجديدة-القاهرة")</f>
        <v>18 شارع القبة بعد كنيسة السبتية-روكسى-مصر الجديدة-القاهرة</v>
      </c>
      <c r="I910" s="6"/>
      <c r="J910" s="6" t="str">
        <f ca="1">IFERROR(__xludf.DUMMYFUNCTION("""COMPUTED_VALUE"""),"19144")</f>
        <v>19144</v>
      </c>
      <c r="K910" s="6" t="str">
        <f ca="1">IFERROR(__xludf.DUMMYFUNCTION("""COMPUTED_VALUE"""),"29% على جميع الخدمات")</f>
        <v>29% على جميع الخدمات</v>
      </c>
    </row>
    <row r="911" spans="1:11" x14ac:dyDescent="0.25">
      <c r="A911" s="4" t="str">
        <f ca="1">IFERROR(__xludf.DUMMYFUNCTION("""COMPUTED_VALUE"""),"103307-B")</f>
        <v>103307-B</v>
      </c>
      <c r="B911" s="5" t="str">
        <f ca="1">IFERROR(__xludf.DUMMYFUNCTION("""COMPUTED_VALUE"""),"القاهرة")</f>
        <v>القاهرة</v>
      </c>
      <c r="C911" s="5" t="str">
        <f ca="1">IFERROR(__xludf.DUMMYFUNCTION("""COMPUTED_VALUE"""),"مصر الجديدة")</f>
        <v>مصر الجديدة</v>
      </c>
      <c r="D911" s="5" t="str">
        <f ca="1">IFERROR(__xludf.DUMMYFUNCTION("""COMPUTED_VALUE"""),"مركز أشعة و تحاليل")</f>
        <v>مركز أشعة و تحاليل</v>
      </c>
      <c r="E911" s="5" t="str">
        <f ca="1">IFERROR(__xludf.DUMMYFUNCTION("""COMPUTED_VALUE""")," أشعة و تحاليل")</f>
        <v xml:space="preserve"> أشعة و تحاليل</v>
      </c>
      <c r="F911" s="5" t="str">
        <f ca="1">IFERROR(__xludf.DUMMYFUNCTION("""COMPUTED_VALUE""")," أشعة و تحاليل")</f>
        <v xml:space="preserve"> أشعة و تحاليل</v>
      </c>
      <c r="G911" s="5" t="str">
        <f ca="1">IFERROR(__xludf.DUMMYFUNCTION("""COMPUTED_VALUE"""),"مركز القاهرة للأشعة (كايرو سكان)")</f>
        <v>مركز القاهرة للأشعة (كايرو سكان)</v>
      </c>
      <c r="H911" s="5" t="str">
        <f ca="1">IFERROR(__xludf.DUMMYFUNCTION("""COMPUTED_VALUE"""),"7 شارع فريد سميكة امام نادى الشمس-مصر الجديدة-القاهرة")</f>
        <v>7 شارع فريد سميكة امام نادى الشمس-مصر الجديدة-القاهرة</v>
      </c>
      <c r="I911" s="6" t="str">
        <f ca="1">IFERROR(__xludf.DUMMYFUNCTION("""COMPUTED_VALUE"""),"20226365444")</f>
        <v>20226365444</v>
      </c>
      <c r="J911" s="6" t="str">
        <f ca="1">IFERROR(__xludf.DUMMYFUNCTION("""COMPUTED_VALUE"""),"19144")</f>
        <v>19144</v>
      </c>
      <c r="K911" s="6" t="str">
        <f ca="1">IFERROR(__xludf.DUMMYFUNCTION("""COMPUTED_VALUE"""),"29% على جميع الخدمات")</f>
        <v>29% على جميع الخدمات</v>
      </c>
    </row>
    <row r="912" spans="1:11" x14ac:dyDescent="0.25">
      <c r="A912" s="4" t="str">
        <f ca="1">IFERROR(__xludf.DUMMYFUNCTION("""COMPUTED_VALUE"""),"2257-B")</f>
        <v>2257-B</v>
      </c>
      <c r="B912" s="5" t="str">
        <f ca="1">IFERROR(__xludf.DUMMYFUNCTION("""COMPUTED_VALUE"""),"القاهرة")</f>
        <v>القاهرة</v>
      </c>
      <c r="C912" s="5" t="str">
        <f ca="1">IFERROR(__xludf.DUMMYFUNCTION("""COMPUTED_VALUE"""),"مصر الجديدة")</f>
        <v>مصر الجديدة</v>
      </c>
      <c r="D912" s="5" t="str">
        <f ca="1">IFERROR(__xludf.DUMMYFUNCTION("""COMPUTED_VALUE"""),"مركز أشعة")</f>
        <v>مركز أشعة</v>
      </c>
      <c r="E912" s="5" t="str">
        <f ca="1">IFERROR(__xludf.DUMMYFUNCTION("""COMPUTED_VALUE"""),"مركز أشعة")</f>
        <v>مركز أشعة</v>
      </c>
      <c r="F912" s="5" t="str">
        <f ca="1">IFERROR(__xludf.DUMMYFUNCTION("""COMPUTED_VALUE"""),"مركز الأشعة التشخيصية")</f>
        <v>مركز الأشعة التشخيصية</v>
      </c>
      <c r="G912" s="5" t="str">
        <f ca="1">IFERROR(__xludf.DUMMYFUNCTION("""COMPUTED_VALUE"""),"مصر للأشعة")</f>
        <v>مصر للأشعة</v>
      </c>
      <c r="H912" s="5" t="str">
        <f ca="1">IFERROR(__xludf.DUMMYFUNCTION("""COMPUTED_VALUE"""),"11شارع الميرغني-مصر الجديدة-القاهرة")</f>
        <v>11شارع الميرغني-مصر الجديدة-القاهرة</v>
      </c>
      <c r="I912" s="6" t="str">
        <f ca="1">IFERROR(__xludf.DUMMYFUNCTION("""COMPUTED_VALUE"""),"19773")</f>
        <v>19773</v>
      </c>
      <c r="J912" s="6"/>
      <c r="K912" s="6" t="str">
        <f ca="1">IFERROR(__xludf.DUMMYFUNCTION("""COMPUTED_VALUE"""),"15% علي الأشعة و 5% علي  PET CT و العينات و فحوص الرنين ")</f>
        <v xml:space="preserve">15% علي الأشعة و 5% علي  PET CT و العينات و فحوص الرنين </v>
      </c>
    </row>
    <row r="913" spans="1:11" x14ac:dyDescent="0.25">
      <c r="A913" s="4" t="str">
        <f ca="1">IFERROR(__xludf.DUMMYFUNCTION("""COMPUTED_VALUE"""),"2257")</f>
        <v>2257</v>
      </c>
      <c r="B913" s="5" t="str">
        <f ca="1">IFERROR(__xludf.DUMMYFUNCTION("""COMPUTED_VALUE"""),"القاهرة")</f>
        <v>القاهرة</v>
      </c>
      <c r="C913" s="5" t="str">
        <f ca="1">IFERROR(__xludf.DUMMYFUNCTION("""COMPUTED_VALUE"""),"مصر الجديدة")</f>
        <v>مصر الجديدة</v>
      </c>
      <c r="D913" s="5" t="str">
        <f ca="1">IFERROR(__xludf.DUMMYFUNCTION("""COMPUTED_VALUE"""),"مركز أشعة")</f>
        <v>مركز أشعة</v>
      </c>
      <c r="E913" s="5" t="str">
        <f ca="1">IFERROR(__xludf.DUMMYFUNCTION("""COMPUTED_VALUE"""),"مركز أشعة")</f>
        <v>مركز أشعة</v>
      </c>
      <c r="F913" s="5" t="str">
        <f ca="1">IFERROR(__xludf.DUMMYFUNCTION("""COMPUTED_VALUE"""),"مركز الأشعة التشخيصية")</f>
        <v>مركز الأشعة التشخيصية</v>
      </c>
      <c r="G913" s="5" t="str">
        <f ca="1">IFERROR(__xludf.DUMMYFUNCTION("""COMPUTED_VALUE"""),"مصر للأشعة")</f>
        <v>مصر للأشعة</v>
      </c>
      <c r="H913" s="5" t="str">
        <f ca="1">IFERROR(__xludf.DUMMYFUNCTION("""COMPUTED_VALUE"""),"8 شارع الخليفة المأمون-مصر الجديدة-القاهرة")</f>
        <v>8 شارع الخليفة المأمون-مصر الجديدة-القاهرة</v>
      </c>
      <c r="I913" s="6" t="str">
        <f ca="1">IFERROR(__xludf.DUMMYFUNCTION("""COMPUTED_VALUE"""),"19773")</f>
        <v>19773</v>
      </c>
      <c r="J913" s="6"/>
      <c r="K913" s="6" t="str">
        <f ca="1">IFERROR(__xludf.DUMMYFUNCTION("""COMPUTED_VALUE"""),"15% علي الأشعة و 5% علي  PET CT و العينات و فحوص الرنين ")</f>
        <v xml:space="preserve">15% علي الأشعة و 5% علي  PET CT و العينات و فحوص الرنين </v>
      </c>
    </row>
    <row r="914" spans="1:11" x14ac:dyDescent="0.25">
      <c r="A914" s="4" t="str">
        <f ca="1">IFERROR(__xludf.DUMMYFUNCTION("""COMPUTED_VALUE"""),"1838")</f>
        <v>1838</v>
      </c>
      <c r="B914" s="5" t="str">
        <f ca="1">IFERROR(__xludf.DUMMYFUNCTION("""COMPUTED_VALUE"""),"الجيزة")</f>
        <v>الجيزة</v>
      </c>
      <c r="C914" s="5" t="str">
        <f ca="1">IFERROR(__xludf.DUMMYFUNCTION("""COMPUTED_VALUE"""),"ميدان الجيزة")</f>
        <v>ميدان الجيزة</v>
      </c>
      <c r="D914" s="5" t="str">
        <f ca="1">IFERROR(__xludf.DUMMYFUNCTION("""COMPUTED_VALUE"""),"مركز أشعة")</f>
        <v>مركز أشعة</v>
      </c>
      <c r="E914" s="5" t="str">
        <f ca="1">IFERROR(__xludf.DUMMYFUNCTION("""COMPUTED_VALUE"""),"مركز أشعة")</f>
        <v>مركز أشعة</v>
      </c>
      <c r="F914" s="5" t="str">
        <f ca="1">IFERROR(__xludf.DUMMYFUNCTION("""COMPUTED_VALUE"""),"مركز الأشعة التشخيصية")</f>
        <v>مركز الأشعة التشخيصية</v>
      </c>
      <c r="G914" s="5" t="str">
        <f ca="1">IFERROR(__xludf.DUMMYFUNCTION("""COMPUTED_VALUE"""),"مركز الجيزة للاشعة")</f>
        <v>مركز الجيزة للاشعة</v>
      </c>
      <c r="H914" s="5" t="str">
        <f ca="1">IFERROR(__xludf.DUMMYFUNCTION("""COMPUTED_VALUE"""),"5ش مراد- ميدان الجيزة- الجيزة")</f>
        <v>5ش مراد- ميدان الجيزة- الجيزة</v>
      </c>
      <c r="I914" s="6" t="str">
        <f ca="1">IFERROR(__xludf.DUMMYFUNCTION("""COMPUTED_VALUE"""),"20237746030")</f>
        <v>20237746030</v>
      </c>
      <c r="J914" s="6"/>
      <c r="K914" s="6" t="str">
        <f ca="1">IFERROR(__xludf.DUMMYFUNCTION("""COMPUTED_VALUE"""),"30% علي الأسعار النقدي المعلنة ")</f>
        <v xml:space="preserve">30% علي الأسعار النقدي المعلنة </v>
      </c>
    </row>
    <row r="915" spans="1:11" x14ac:dyDescent="0.25">
      <c r="A915" s="4" t="str">
        <f ca="1">IFERROR(__xludf.DUMMYFUNCTION("""COMPUTED_VALUE"""),"1884-B")</f>
        <v>1884-B</v>
      </c>
      <c r="B915" s="5" t="str">
        <f ca="1">IFERROR(__xludf.DUMMYFUNCTION("""COMPUTED_VALUE"""),"الجيزة")</f>
        <v>الجيزة</v>
      </c>
      <c r="C915" s="5" t="str">
        <f ca="1">IFERROR(__xludf.DUMMYFUNCTION("""COMPUTED_VALUE"""),"ميدان الجيزة")</f>
        <v>ميدان الجيزة</v>
      </c>
      <c r="D915" s="5" t="str">
        <f ca="1">IFERROR(__xludf.DUMMYFUNCTION("""COMPUTED_VALUE"""),"مركز أشعة")</f>
        <v>مركز أشعة</v>
      </c>
      <c r="E915" s="5" t="str">
        <f ca="1">IFERROR(__xludf.DUMMYFUNCTION("""COMPUTED_VALUE"""),"مركز أشعة")</f>
        <v>مركز أشعة</v>
      </c>
      <c r="F915" s="5" t="str">
        <f ca="1">IFERROR(__xludf.DUMMYFUNCTION("""COMPUTED_VALUE"""),"مركز الأشعة التشخيصية")</f>
        <v>مركز الأشعة التشخيصية</v>
      </c>
      <c r="G915" s="5" t="str">
        <f ca="1">IFERROR(__xludf.DUMMYFUNCTION("""COMPUTED_VALUE"""),"ميجا سكان")</f>
        <v>ميجا سكان</v>
      </c>
      <c r="H915" s="5" t="str">
        <f ca="1">IFERROR(__xludf.DUMMYFUNCTION("""COMPUTED_VALUE"""),"10 شارع مراد – ميدان الجيزة- الجيزة")</f>
        <v>10 شارع مراد – ميدان الجيزة- الجيزة</v>
      </c>
      <c r="I915" s="6" t="str">
        <f ca="1">IFERROR(__xludf.DUMMYFUNCTION("""COMPUTED_VALUE"""),"20223573702")</f>
        <v>20223573702</v>
      </c>
      <c r="J915" s="6"/>
      <c r="K915" s="6" t="str">
        <f ca="1">IFERROR(__xludf.DUMMYFUNCTION("""COMPUTED_VALUE"""),"25% نسبة خصم")</f>
        <v>25% نسبة خصم</v>
      </c>
    </row>
    <row r="916" spans="1:11" x14ac:dyDescent="0.25">
      <c r="A916" s="4" t="str">
        <f ca="1">IFERROR(__xludf.DUMMYFUNCTION("""COMPUTED_VALUE"""),"1884-B")</f>
        <v>1884-B</v>
      </c>
      <c r="B916" s="5" t="str">
        <f ca="1">IFERROR(__xludf.DUMMYFUNCTION("""COMPUTED_VALUE"""),"القاهرة")</f>
        <v>القاهرة</v>
      </c>
      <c r="C916" s="5" t="str">
        <f ca="1">IFERROR(__xludf.DUMMYFUNCTION("""COMPUTED_VALUE"""),"وسط البلد")</f>
        <v>وسط البلد</v>
      </c>
      <c r="D916" s="5" t="str">
        <f ca="1">IFERROR(__xludf.DUMMYFUNCTION("""COMPUTED_VALUE"""),"مركز أشعة")</f>
        <v>مركز أشعة</v>
      </c>
      <c r="E916" s="5" t="str">
        <f ca="1">IFERROR(__xludf.DUMMYFUNCTION("""COMPUTED_VALUE"""),"مركز أشعة")</f>
        <v>مركز أشعة</v>
      </c>
      <c r="F916" s="5" t="str">
        <f ca="1">IFERROR(__xludf.DUMMYFUNCTION("""COMPUTED_VALUE"""),"مركز الأشعة التشخيصية")</f>
        <v>مركز الأشعة التشخيصية</v>
      </c>
      <c r="G916" s="5" t="str">
        <f ca="1">IFERROR(__xludf.DUMMYFUNCTION("""COMPUTED_VALUE"""),"ميجا سكان")</f>
        <v>ميجا سكان</v>
      </c>
      <c r="H916" s="5" t="str">
        <f ca="1">IFERROR(__xludf.DUMMYFUNCTION("""COMPUTED_VALUE"""),"180 شارع التحرير - ميدان الفلكى-وسط البلد-القاهرة")</f>
        <v>180 شارع التحرير - ميدان الفلكى-وسط البلد-القاهرة</v>
      </c>
      <c r="I916" s="6" t="str">
        <f ca="1">IFERROR(__xludf.DUMMYFUNCTION("""COMPUTED_VALUE"""),"20227944430")</f>
        <v>20227944430</v>
      </c>
      <c r="J916" s="6"/>
      <c r="K916" s="6" t="str">
        <f ca="1">IFERROR(__xludf.DUMMYFUNCTION("""COMPUTED_VALUE"""),"25% نسبة خصم")</f>
        <v>25% نسبة خصم</v>
      </c>
    </row>
    <row r="917" spans="1:11" x14ac:dyDescent="0.25">
      <c r="A917" s="4" t="str">
        <f ca="1">IFERROR(__xludf.DUMMYFUNCTION("""COMPUTED_VALUE"""),"104270")</f>
        <v>104270</v>
      </c>
      <c r="B917" s="5" t="str">
        <f ca="1">IFERROR(__xludf.DUMMYFUNCTION("""COMPUTED_VALUE"""),"القليوبية")</f>
        <v>القليوبية</v>
      </c>
      <c r="C917" s="5" t="str">
        <f ca="1">IFERROR(__xludf.DUMMYFUNCTION("""COMPUTED_VALUE"""),"بنها")</f>
        <v>بنها</v>
      </c>
      <c r="D917" s="5" t="str">
        <f ca="1">IFERROR(__xludf.DUMMYFUNCTION("""COMPUTED_VALUE"""),"مركز أشعة")</f>
        <v>مركز أشعة</v>
      </c>
      <c r="E917" s="5" t="str">
        <f ca="1">IFERROR(__xludf.DUMMYFUNCTION("""COMPUTED_VALUE"""),"مركز أشعة")</f>
        <v>مركز أشعة</v>
      </c>
      <c r="F917" s="5" t="str">
        <f ca="1">IFERROR(__xludf.DUMMYFUNCTION("""COMPUTED_VALUE"""),"مركز الأشعة التشخيصية")</f>
        <v>مركز الأشعة التشخيصية</v>
      </c>
      <c r="G917" s="5" t="str">
        <f ca="1">IFERROR(__xludf.DUMMYFUNCTION("""COMPUTED_VALUE"""),"مركز سما للأشعة التشخيصية")</f>
        <v>مركز سما للأشعة التشخيصية</v>
      </c>
      <c r="H917" s="5" t="str">
        <f ca="1">IFERROR(__xludf.DUMMYFUNCTION("""COMPUTED_VALUE"""),"ش النجدة - أمام مدرسة ناصر الإعدادية - خلف إستقبال مستشفي الجامعة - بنها - القليوبية")</f>
        <v>ش النجدة - أمام مدرسة ناصر الإعدادية - خلف إستقبال مستشفي الجامعة - بنها - القليوبية</v>
      </c>
      <c r="I917" s="6" t="str">
        <f ca="1">IFERROR(__xludf.DUMMYFUNCTION("""COMPUTED_VALUE"""),"20133236262")</f>
        <v>20133236262</v>
      </c>
      <c r="J917" s="6"/>
      <c r="K917" s="6" t="str">
        <f ca="1">IFERROR(__xludf.DUMMYFUNCTION("""COMPUTED_VALUE"""),"15% على جميع الخدمات")</f>
        <v>15% على جميع الخدمات</v>
      </c>
    </row>
    <row r="918" spans="1:11" x14ac:dyDescent="0.25">
      <c r="A918" s="4" t="str">
        <f ca="1">IFERROR(__xludf.DUMMYFUNCTION("""COMPUTED_VALUE"""),"2273-B")</f>
        <v>2273-B</v>
      </c>
      <c r="B918" s="5" t="str">
        <f ca="1">IFERROR(__xludf.DUMMYFUNCTION("""COMPUTED_VALUE"""),"القليوبية")</f>
        <v>القليوبية</v>
      </c>
      <c r="C918" s="5" t="str">
        <f ca="1">IFERROR(__xludf.DUMMYFUNCTION("""COMPUTED_VALUE"""),"شبرا الخيمة")</f>
        <v>شبرا الخيمة</v>
      </c>
      <c r="D918" s="5" t="str">
        <f ca="1">IFERROR(__xludf.DUMMYFUNCTION("""COMPUTED_VALUE"""),"مركز أشعة")</f>
        <v>مركز أشعة</v>
      </c>
      <c r="E918" s="5" t="str">
        <f ca="1">IFERROR(__xludf.DUMMYFUNCTION("""COMPUTED_VALUE"""),"مركز أشعة")</f>
        <v>مركز أشعة</v>
      </c>
      <c r="F918" s="5" t="str">
        <f ca="1">IFERROR(__xludf.DUMMYFUNCTION("""COMPUTED_VALUE"""),"مركز الأشعة التشخيصية")</f>
        <v>مركز الأشعة التشخيصية</v>
      </c>
      <c r="G918" s="5" t="str">
        <f ca="1">IFERROR(__xludf.DUMMYFUNCTION("""COMPUTED_VALUE"""),"تكنوسكان")</f>
        <v>تكنوسكان</v>
      </c>
      <c r="H918" s="5" t="str">
        <f ca="1">IFERROR(__xludf.DUMMYFUNCTION("""COMPUTED_VALUE"""),"شارع السادات من شارع 15 مايو - مدينة الفتح -شبرا الخيمة-القليوبية")</f>
        <v>شارع السادات من شارع 15 مايو - مدينة الفتح -شبرا الخيمة-القليوبية</v>
      </c>
      <c r="I918" s="6"/>
      <c r="J918" s="6" t="str">
        <f ca="1">IFERROR(__xludf.DUMMYFUNCTION("""COMPUTED_VALUE"""),"19989")</f>
        <v>19989</v>
      </c>
      <c r="K918" s="6" t="str">
        <f ca="1">IFERROR(__xludf.DUMMYFUNCTION("""COMPUTED_VALUE"""),"29% على جميع الخدمات")</f>
        <v>29% على جميع الخدمات</v>
      </c>
    </row>
    <row r="919" spans="1:11" x14ac:dyDescent="0.25">
      <c r="A919" s="4" t="str">
        <f ca="1">IFERROR(__xludf.DUMMYFUNCTION("""COMPUTED_VALUE"""),"104270-B")</f>
        <v>104270-B</v>
      </c>
      <c r="B919" s="5" t="str">
        <f ca="1">IFERROR(__xludf.DUMMYFUNCTION("""COMPUTED_VALUE"""),"القليوبية")</f>
        <v>القليوبية</v>
      </c>
      <c r="C919" s="5" t="str">
        <f ca="1">IFERROR(__xludf.DUMMYFUNCTION("""COMPUTED_VALUE"""),"طوخ")</f>
        <v>طوخ</v>
      </c>
      <c r="D919" s="5" t="str">
        <f ca="1">IFERROR(__xludf.DUMMYFUNCTION("""COMPUTED_VALUE"""),"مركز أشعة")</f>
        <v>مركز أشعة</v>
      </c>
      <c r="E919" s="5" t="str">
        <f ca="1">IFERROR(__xludf.DUMMYFUNCTION("""COMPUTED_VALUE"""),"مركز أشعة")</f>
        <v>مركز أشعة</v>
      </c>
      <c r="F919" s="5" t="str">
        <f ca="1">IFERROR(__xludf.DUMMYFUNCTION("""COMPUTED_VALUE"""),"مركز الأشعة التشخيصية")</f>
        <v>مركز الأشعة التشخيصية</v>
      </c>
      <c r="G919" s="5" t="str">
        <f ca="1">IFERROR(__xludf.DUMMYFUNCTION("""COMPUTED_VALUE"""),"مركز سما للأشعة التشخيصية")</f>
        <v>مركز سما للأشعة التشخيصية</v>
      </c>
      <c r="H919" s="5" t="str">
        <f ca="1">IFERROR(__xludf.DUMMYFUNCTION("""COMPUTED_VALUE"""),"طوخ - شارع النقراشى ( شارع حمام السباحة ) - أمام مدرسة طوخ الخاصة")</f>
        <v>طوخ - شارع النقراشى ( شارع حمام السباحة ) - أمام مدرسة طوخ الخاصة</v>
      </c>
      <c r="I919" s="6" t="str">
        <f ca="1">IFERROR(__xludf.DUMMYFUNCTION("""COMPUTED_VALUE"""),"20132469303")</f>
        <v>20132469303</v>
      </c>
      <c r="J919" s="6"/>
      <c r="K919" s="6" t="str">
        <f ca="1">IFERROR(__xludf.DUMMYFUNCTION("""COMPUTED_VALUE"""),"15% على جميع الخدمات")</f>
        <v>15% على جميع الخدمات</v>
      </c>
    </row>
    <row r="920" spans="1:11" x14ac:dyDescent="0.25">
      <c r="A920" s="4" t="str">
        <f ca="1">IFERROR(__xludf.DUMMYFUNCTION("""COMPUTED_VALUE"""),"103356")</f>
        <v>103356</v>
      </c>
      <c r="B920" s="5" t="str">
        <f ca="1">IFERROR(__xludf.DUMMYFUNCTION("""COMPUTED_VALUE"""),"المنوفية")</f>
        <v>المنوفية</v>
      </c>
      <c r="C920" s="5" t="str">
        <f ca="1">IFERROR(__xludf.DUMMYFUNCTION("""COMPUTED_VALUE"""),"اشمون")</f>
        <v>اشمون</v>
      </c>
      <c r="D920" s="5" t="str">
        <f ca="1">IFERROR(__xludf.DUMMYFUNCTION("""COMPUTED_VALUE"""),"مركز أشعة")</f>
        <v>مركز أشعة</v>
      </c>
      <c r="E920" s="5" t="str">
        <f ca="1">IFERROR(__xludf.DUMMYFUNCTION("""COMPUTED_VALUE"""),"مركز أشعة")</f>
        <v>مركز أشعة</v>
      </c>
      <c r="F920" s="5" t="str">
        <f ca="1">IFERROR(__xludf.DUMMYFUNCTION("""COMPUTED_VALUE"""),"مركز الأشعة التشخيصية")</f>
        <v>مركز الأشعة التشخيصية</v>
      </c>
      <c r="G920" s="5" t="str">
        <f ca="1">IFERROR(__xludf.DUMMYFUNCTION("""COMPUTED_VALUE"""),"مركز دار الأشعة - المنوفية")</f>
        <v>مركز دار الأشعة - المنوفية</v>
      </c>
      <c r="H920" s="5" t="str">
        <f ca="1">IFERROR(__xludf.DUMMYFUNCTION("""COMPUTED_VALUE"""),"برج الزهاء ميدان صيدناوي-اشمون-المنوفية")</f>
        <v>برج الزهاء ميدان صيدناوي-اشمون-المنوفية</v>
      </c>
      <c r="I920" s="6" t="str">
        <f ca="1">IFERROR(__xludf.DUMMYFUNCTION("""COMPUTED_VALUE"""),"20483430990")</f>
        <v>20483430990</v>
      </c>
      <c r="J920" s="6"/>
      <c r="K920" s="6" t="str">
        <f ca="1">IFERROR(__xludf.DUMMYFUNCTION("""COMPUTED_VALUE"""),"نقابه 2013")</f>
        <v>نقابه 2013</v>
      </c>
    </row>
    <row r="921" spans="1:11" x14ac:dyDescent="0.25">
      <c r="A921" s="4" t="str">
        <f ca="1">IFERROR(__xludf.DUMMYFUNCTION("""COMPUTED_VALUE"""),"104540-B")</f>
        <v>104540-B</v>
      </c>
      <c r="B921" s="5" t="str">
        <f ca="1">IFERROR(__xludf.DUMMYFUNCTION("""COMPUTED_VALUE"""),"المنوفية")</f>
        <v>المنوفية</v>
      </c>
      <c r="C921" s="5" t="str">
        <f ca="1">IFERROR(__xludf.DUMMYFUNCTION("""COMPUTED_VALUE"""),"شبين الكوم")</f>
        <v>شبين الكوم</v>
      </c>
      <c r="D921" s="5" t="str">
        <f ca="1">IFERROR(__xludf.DUMMYFUNCTION("""COMPUTED_VALUE"""),"مركز أشعة")</f>
        <v>مركز أشعة</v>
      </c>
      <c r="E921" s="5" t="str">
        <f ca="1">IFERROR(__xludf.DUMMYFUNCTION("""COMPUTED_VALUE"""),"مركز أشعة")</f>
        <v>مركز أشعة</v>
      </c>
      <c r="F921" s="5" t="str">
        <f ca="1">IFERROR(__xludf.DUMMYFUNCTION("""COMPUTED_VALUE"""),"مركز الأشعة التشخيصية")</f>
        <v>مركز الأشعة التشخيصية</v>
      </c>
      <c r="G921" s="5" t="str">
        <f ca="1">IFERROR(__xludf.DUMMYFUNCTION("""COMPUTED_VALUE"""),"مركز طيبة للأشعة ( طيبة سكان )")</f>
        <v>مركز طيبة للأشعة ( طيبة سكان )</v>
      </c>
      <c r="H921" s="5" t="str">
        <f ca="1">IFERROR(__xludf.DUMMYFUNCTION("""COMPUTED_VALUE"""),"عمارة الميدان - الدور الاول والثاني - شبين الكوم - المنوفية .")</f>
        <v>عمارة الميدان - الدور الاول والثاني - شبين الكوم - المنوفية .</v>
      </c>
      <c r="I921" s="6" t="str">
        <f ca="1">IFERROR(__xludf.DUMMYFUNCTION("""COMPUTED_VALUE"""),"20482334777")</f>
        <v>20482334777</v>
      </c>
      <c r="J921" s="6"/>
      <c r="K921" s="6" t="str">
        <f ca="1">IFERROR(__xludf.DUMMYFUNCTION("""COMPUTED_VALUE"""),"خصم 30 % علي الاسعار النقدي")</f>
        <v>خصم 30 % علي الاسعار النقدي</v>
      </c>
    </row>
    <row r="922" spans="1:11" x14ac:dyDescent="0.25">
      <c r="A922" s="4" t="str">
        <f ca="1">IFERROR(__xludf.DUMMYFUNCTION("""COMPUTED_VALUE"""),"104540")</f>
        <v>104540</v>
      </c>
      <c r="B922" s="5" t="str">
        <f ca="1">IFERROR(__xludf.DUMMYFUNCTION("""COMPUTED_VALUE"""),"المنوفية")</f>
        <v>المنوفية</v>
      </c>
      <c r="C922" s="5" t="str">
        <f ca="1">IFERROR(__xludf.DUMMYFUNCTION("""COMPUTED_VALUE"""),"شبين الكوم")</f>
        <v>شبين الكوم</v>
      </c>
      <c r="D922" s="5" t="str">
        <f ca="1">IFERROR(__xludf.DUMMYFUNCTION("""COMPUTED_VALUE"""),"مركز أشعة")</f>
        <v>مركز أشعة</v>
      </c>
      <c r="E922" s="5" t="str">
        <f ca="1">IFERROR(__xludf.DUMMYFUNCTION("""COMPUTED_VALUE"""),"مركز أشعة")</f>
        <v>مركز أشعة</v>
      </c>
      <c r="F922" s="5" t="str">
        <f ca="1">IFERROR(__xludf.DUMMYFUNCTION("""COMPUTED_VALUE"""),"مركز الأشعة التشخيصية")</f>
        <v>مركز الأشعة التشخيصية</v>
      </c>
      <c r="G922" s="5" t="str">
        <f ca="1">IFERROR(__xludf.DUMMYFUNCTION("""COMPUTED_VALUE"""),"مركز طيبة للأشعة ( طيبة سكان )")</f>
        <v>مركز طيبة للأشعة ( طيبة سكان )</v>
      </c>
      <c r="H922" s="5" t="str">
        <f ca="1">IFERROR(__xludf.DUMMYFUNCTION("""COMPUTED_VALUE"""),"ميدان شرف - برج الزهراء - الدور الرابع-شبين الكوم-المنوفية")</f>
        <v>ميدان شرف - برج الزهراء - الدور الرابع-شبين الكوم-المنوفية</v>
      </c>
      <c r="I922" s="6" t="str">
        <f ca="1">IFERROR(__xludf.DUMMYFUNCTION("""COMPUTED_VALUE"""),"01068962914")</f>
        <v>01068962914</v>
      </c>
      <c r="J922" s="6"/>
      <c r="K922" s="6" t="str">
        <f ca="1">IFERROR(__xludf.DUMMYFUNCTION("""COMPUTED_VALUE"""),"خصم 30 % علي الاسعار النقدي")</f>
        <v>خصم 30 % علي الاسعار النقدي</v>
      </c>
    </row>
    <row r="923" spans="1:11" x14ac:dyDescent="0.25">
      <c r="A923" s="4" t="str">
        <f ca="1">IFERROR(__xludf.DUMMYFUNCTION("""COMPUTED_VALUE"""),"104540-B")</f>
        <v>104540-B</v>
      </c>
      <c r="B923" s="5" t="str">
        <f ca="1">IFERROR(__xludf.DUMMYFUNCTION("""COMPUTED_VALUE"""),"أسوان")</f>
        <v>أسوان</v>
      </c>
      <c r="C923" s="5" t="str">
        <f ca="1">IFERROR(__xludf.DUMMYFUNCTION("""COMPUTED_VALUE"""),"ادفو")</f>
        <v>ادفو</v>
      </c>
      <c r="D923" s="5" t="str">
        <f ca="1">IFERROR(__xludf.DUMMYFUNCTION("""COMPUTED_VALUE"""),"مركز أشعة")</f>
        <v>مركز أشعة</v>
      </c>
      <c r="E923" s="5" t="str">
        <f ca="1">IFERROR(__xludf.DUMMYFUNCTION("""COMPUTED_VALUE"""),"مركز أشعة")</f>
        <v>مركز أشعة</v>
      </c>
      <c r="F923" s="5" t="str">
        <f ca="1">IFERROR(__xludf.DUMMYFUNCTION("""COMPUTED_VALUE"""),"مركز الأشعة التشخيصية")</f>
        <v>مركز الأشعة التشخيصية</v>
      </c>
      <c r="G923" s="5" t="str">
        <f ca="1">IFERROR(__xludf.DUMMYFUNCTION("""COMPUTED_VALUE"""),"مركز طيبة للأشعة ( طيبة سكان )")</f>
        <v>مركز طيبة للأشعة ( طيبة سكان )</v>
      </c>
      <c r="H923" s="5" t="str">
        <f ca="1">IFERROR(__xludf.DUMMYFUNCTION("""COMPUTED_VALUE"""),"كورنيش النيل بجوار البنك الأهلي - إدفو - أسوان")</f>
        <v>كورنيش النيل بجوار البنك الأهلي - إدفو - أسوان</v>
      </c>
      <c r="I923" s="6" t="str">
        <f ca="1">IFERROR(__xludf.DUMMYFUNCTION("""COMPUTED_VALUE"""),"01101101807")</f>
        <v>01101101807</v>
      </c>
      <c r="J923" s="6"/>
      <c r="K923" s="6" t="str">
        <f ca="1">IFERROR(__xludf.DUMMYFUNCTION("""COMPUTED_VALUE"""),"خصم 30 % علي الاسعار النقدي")</f>
        <v>خصم 30 % علي الاسعار النقدي</v>
      </c>
    </row>
    <row r="924" spans="1:11" x14ac:dyDescent="0.25">
      <c r="A924" s="4" t="str">
        <f ca="1">IFERROR(__xludf.DUMMYFUNCTION("""COMPUTED_VALUE"""),"2273-B")</f>
        <v>2273-B</v>
      </c>
      <c r="B924" s="5" t="str">
        <f ca="1">IFERROR(__xludf.DUMMYFUNCTION("""COMPUTED_VALUE"""),"مرسى مطروح")</f>
        <v>مرسى مطروح</v>
      </c>
      <c r="C924" s="5" t="str">
        <f ca="1">IFERROR(__xludf.DUMMYFUNCTION("""COMPUTED_VALUE"""),"مرسى مطروح")</f>
        <v>مرسى مطروح</v>
      </c>
      <c r="D924" s="5" t="str">
        <f ca="1">IFERROR(__xludf.DUMMYFUNCTION("""COMPUTED_VALUE"""),"مركز أشعة")</f>
        <v>مركز أشعة</v>
      </c>
      <c r="E924" s="5" t="str">
        <f ca="1">IFERROR(__xludf.DUMMYFUNCTION("""COMPUTED_VALUE"""),"مركز أشعة")</f>
        <v>مركز أشعة</v>
      </c>
      <c r="F924" s="5" t="str">
        <f ca="1">IFERROR(__xludf.DUMMYFUNCTION("""COMPUTED_VALUE"""),"مركز الأشعة التشخيصية")</f>
        <v>مركز الأشعة التشخيصية</v>
      </c>
      <c r="G924" s="5" t="str">
        <f ca="1">IFERROR(__xludf.DUMMYFUNCTION("""COMPUTED_VALUE"""),"تكنوسكان")</f>
        <v>تكنوسكان</v>
      </c>
      <c r="H924" s="5" t="str">
        <f ca="1">IFERROR(__xludf.DUMMYFUNCTION("""COMPUTED_VALUE"""),"تقاطع شارع عبد الله عيسى- شارع بورسعيد- مرسى مطروح")</f>
        <v>تقاطع شارع عبد الله عيسى- شارع بورسعيد- مرسى مطروح</v>
      </c>
      <c r="I924" s="6"/>
      <c r="J924" s="6" t="str">
        <f ca="1">IFERROR(__xludf.DUMMYFUNCTION("""COMPUTED_VALUE"""),"19989")</f>
        <v>19989</v>
      </c>
      <c r="K924" s="6" t="str">
        <f ca="1">IFERROR(__xludf.DUMMYFUNCTION("""COMPUTED_VALUE"""),"29% على جميع الخدمات")</f>
        <v>29% على جميع الخدمات</v>
      </c>
    </row>
    <row r="925" spans="1:11" x14ac:dyDescent="0.25">
      <c r="A925" s="4" t="str">
        <f ca="1">IFERROR(__xludf.DUMMYFUNCTION("""COMPUTED_VALUE"""),"104780")</f>
        <v>104780</v>
      </c>
      <c r="B925" s="5" t="str">
        <f ca="1">IFERROR(__xludf.DUMMYFUNCTION("""COMPUTED_VALUE"""),"بني سويف")</f>
        <v>بني سويف</v>
      </c>
      <c r="C925" s="5" t="str">
        <f ca="1">IFERROR(__xludf.DUMMYFUNCTION("""COMPUTED_VALUE"""),"بني سويف")</f>
        <v>بني سويف</v>
      </c>
      <c r="D925" s="5" t="str">
        <f ca="1">IFERROR(__xludf.DUMMYFUNCTION("""COMPUTED_VALUE"""),"مركز أشعة")</f>
        <v>مركز أشعة</v>
      </c>
      <c r="E925" s="5" t="str">
        <f ca="1">IFERROR(__xludf.DUMMYFUNCTION("""COMPUTED_VALUE"""),"مركز أشعة")</f>
        <v>مركز أشعة</v>
      </c>
      <c r="F925" s="5" t="str">
        <f ca="1">IFERROR(__xludf.DUMMYFUNCTION("""COMPUTED_VALUE"""),"مركز الأشعة التشخيصية")</f>
        <v>مركز الأشعة التشخيصية</v>
      </c>
      <c r="G925" s="5" t="str">
        <f ca="1">IFERROR(__xludf.DUMMYFUNCTION("""COMPUTED_VALUE"""),"مركز جاما للأشعة والموجات الصوتية")</f>
        <v>مركز جاما للأشعة والموجات الصوتية</v>
      </c>
      <c r="H925" s="5" t="str">
        <f ca="1">IFERROR(__xludf.DUMMYFUNCTION("""COMPUTED_VALUE"""),"ميدان الزراعيين - بجوار نقابة الزراعيين - بني سويف")</f>
        <v>ميدان الزراعيين - بجوار نقابة الزراعيين - بني سويف</v>
      </c>
      <c r="I925" s="6" t="str">
        <f ca="1">IFERROR(__xludf.DUMMYFUNCTION("""COMPUTED_VALUE"""),"01014148587")</f>
        <v>01014148587</v>
      </c>
      <c r="J925" s="6"/>
      <c r="K925" s="6" t="str">
        <f ca="1">IFERROR(__xludf.DUMMYFUNCTION("""COMPUTED_VALUE"""),"خصم 25% علي جميع الأشعة و خصم 15% علي الأشعة بالصبغة")</f>
        <v>خصم 25% علي جميع الأشعة و خصم 15% علي الأشعة بالصبغة</v>
      </c>
    </row>
    <row r="926" spans="1:11" x14ac:dyDescent="0.25">
      <c r="A926" s="4" t="str">
        <f ca="1">IFERROR(__xludf.DUMMYFUNCTION("""COMPUTED_VALUE"""),"2194-B")</f>
        <v>2194-B</v>
      </c>
      <c r="B926" s="5" t="str">
        <f ca="1">IFERROR(__xludf.DUMMYFUNCTION("""COMPUTED_VALUE"""),"دمياط")</f>
        <v>دمياط</v>
      </c>
      <c r="C926" s="5" t="str">
        <f ca="1">IFERROR(__xludf.DUMMYFUNCTION("""COMPUTED_VALUE"""),"دمياط")</f>
        <v>دمياط</v>
      </c>
      <c r="D926" s="5" t="str">
        <f ca="1">IFERROR(__xludf.DUMMYFUNCTION("""COMPUTED_VALUE"""),"مركز أشعة")</f>
        <v>مركز أشعة</v>
      </c>
      <c r="E926" s="5" t="str">
        <f ca="1">IFERROR(__xludf.DUMMYFUNCTION("""COMPUTED_VALUE"""),"مركز أشعة")</f>
        <v>مركز أشعة</v>
      </c>
      <c r="F926" s="5" t="str">
        <f ca="1">IFERROR(__xludf.DUMMYFUNCTION("""COMPUTED_VALUE"""),"مركز الأشعة التشخيصية")</f>
        <v>مركز الأشعة التشخيصية</v>
      </c>
      <c r="G926" s="5" t="str">
        <f ca="1">IFERROR(__xludf.DUMMYFUNCTION("""COMPUTED_VALUE"""),"مراكز الايمان للاشعة و المسح الذري")</f>
        <v>مراكز الايمان للاشعة و المسح الذري</v>
      </c>
      <c r="H926" s="5" t="str">
        <f ca="1">IFERROR(__xludf.DUMMYFUNCTION("""COMPUTED_VALUE"""),"شارع عبدالرحيم نافع بجوار شركة مصر المحروسة للسياحة - خلف مسجد المظلوم دمياط")</f>
        <v>شارع عبدالرحيم نافع بجوار شركة مصر المحروسة للسياحة - خلف مسجد المظلوم دمياط</v>
      </c>
      <c r="I926" s="6" t="str">
        <f ca="1">IFERROR(__xludf.DUMMYFUNCTION("""COMPUTED_VALUE"""),"01028460655")</f>
        <v>01028460655</v>
      </c>
      <c r="J926" s="6" t="str">
        <f ca="1">IFERROR(__xludf.DUMMYFUNCTION("""COMPUTED_VALUE"""),"16961")</f>
        <v>16961</v>
      </c>
      <c r="K926" s="6" t="str">
        <f ca="1">IFERROR(__xludf.DUMMYFUNCTION("""COMPUTED_VALUE"""),"20% على جميع الخدمات")</f>
        <v>20% على جميع الخدمات</v>
      </c>
    </row>
    <row r="927" spans="1:11" x14ac:dyDescent="0.25">
      <c r="A927" s="4" t="str">
        <f ca="1">IFERROR(__xludf.DUMMYFUNCTION("""COMPUTED_VALUE"""),"104795")</f>
        <v>104795</v>
      </c>
      <c r="B927" s="5" t="str">
        <f ca="1">IFERROR(__xludf.DUMMYFUNCTION("""COMPUTED_VALUE"""),"بني سويف")</f>
        <v>بني سويف</v>
      </c>
      <c r="C927" s="5" t="str">
        <f ca="1">IFERROR(__xludf.DUMMYFUNCTION("""COMPUTED_VALUE"""),"بني سويف")</f>
        <v>بني سويف</v>
      </c>
      <c r="D927" s="5" t="str">
        <f ca="1">IFERROR(__xludf.DUMMYFUNCTION("""COMPUTED_VALUE"""),"مركز أشعة و تحاليل")</f>
        <v>مركز أشعة و تحاليل</v>
      </c>
      <c r="E927" s="5" t="str">
        <f ca="1">IFERROR(__xludf.DUMMYFUNCTION("""COMPUTED_VALUE""")," أشعة و تحاليل")</f>
        <v xml:space="preserve"> أشعة و تحاليل</v>
      </c>
      <c r="F927" s="5" t="str">
        <f ca="1">IFERROR(__xludf.DUMMYFUNCTION("""COMPUTED_VALUE""")," أشعة و تحاليل")</f>
        <v xml:space="preserve"> أشعة و تحاليل</v>
      </c>
      <c r="G927" s="5" t="str">
        <f ca="1">IFERROR(__xludf.DUMMYFUNCTION("""COMPUTED_VALUE"""),"مركز طيبة للاشعة ( طيبة هيلثكير للخدمات الطبية )")</f>
        <v>مركز طيبة للاشعة ( طيبة هيلثكير للخدمات الطبية )</v>
      </c>
      <c r="H927" s="5" t="str">
        <f ca="1">IFERROR(__xludf.DUMMYFUNCTION("""COMPUTED_VALUE"""),"شارع بورسعيد - برج الندي- بجوار مدرسة الثانوية بنات القديمة-بني سويف")</f>
        <v>شارع بورسعيد - برج الندي- بجوار مدرسة الثانوية بنات القديمة-بني سويف</v>
      </c>
      <c r="I927" s="6" t="str">
        <f ca="1">IFERROR(__xludf.DUMMYFUNCTION("""COMPUTED_VALUE"""),"01100774858")</f>
        <v>01100774858</v>
      </c>
      <c r="J927" s="6"/>
      <c r="K927" s="6" t="str">
        <f ca="1">IFERROR(__xludf.DUMMYFUNCTION("""COMPUTED_VALUE"""),"20% علي الاشعة السينية و دبلر و الايكو و خصم 10% علي الاشعة المقطعية و الرنين")</f>
        <v>20% علي الاشعة السينية و دبلر و الايكو و خصم 10% علي الاشعة المقطعية و الرنين</v>
      </c>
    </row>
    <row r="928" spans="1:11" x14ac:dyDescent="0.25">
      <c r="A928" s="4" t="str">
        <f ca="1">IFERROR(__xludf.DUMMYFUNCTION("""COMPUTED_VALUE"""),"104780-B")</f>
        <v>104780-B</v>
      </c>
      <c r="B928" s="5" t="str">
        <f ca="1">IFERROR(__xludf.DUMMYFUNCTION("""COMPUTED_VALUE"""),"بني سويف")</f>
        <v>بني سويف</v>
      </c>
      <c r="C928" s="5" t="str">
        <f ca="1">IFERROR(__xludf.DUMMYFUNCTION("""COMPUTED_VALUE"""),"الواسطى")</f>
        <v>الواسطى</v>
      </c>
      <c r="D928" s="5" t="str">
        <f ca="1">IFERROR(__xludf.DUMMYFUNCTION("""COMPUTED_VALUE"""),"مركز أشعة")</f>
        <v>مركز أشعة</v>
      </c>
      <c r="E928" s="5" t="str">
        <f ca="1">IFERROR(__xludf.DUMMYFUNCTION("""COMPUTED_VALUE"""),"مركز أشعة")</f>
        <v>مركز أشعة</v>
      </c>
      <c r="F928" s="5" t="str">
        <f ca="1">IFERROR(__xludf.DUMMYFUNCTION("""COMPUTED_VALUE"""),"مركز الأشعة التشخيصية")</f>
        <v>مركز الأشعة التشخيصية</v>
      </c>
      <c r="G928" s="5" t="str">
        <f ca="1">IFERROR(__xludf.DUMMYFUNCTION("""COMPUTED_VALUE"""),"مركز جاما للأشعة والموجات الصوتية")</f>
        <v>مركز جاما للأشعة والموجات الصوتية</v>
      </c>
      <c r="H928" s="5" t="str">
        <f ca="1">IFERROR(__xludf.DUMMYFUNCTION("""COMPUTED_VALUE"""),"ش الجمهورية - خلف مركز الشرطة - الواسطى - بني سويف")</f>
        <v>ش الجمهورية - خلف مركز الشرطة - الواسطى - بني سويف</v>
      </c>
      <c r="I928" s="6" t="str">
        <f ca="1">IFERROR(__xludf.DUMMYFUNCTION("""COMPUTED_VALUE"""),"01122999253")</f>
        <v>01122999253</v>
      </c>
      <c r="J928" s="6"/>
      <c r="K928" s="6" t="str">
        <f ca="1">IFERROR(__xludf.DUMMYFUNCTION("""COMPUTED_VALUE"""),"خصم 25% علي جميع الأشعة و خصم 15% علي الأشعة بالصبغة")</f>
        <v>خصم 25% علي جميع الأشعة و خصم 15% علي الأشعة بالصبغة</v>
      </c>
    </row>
    <row r="929" spans="1:11" x14ac:dyDescent="0.25">
      <c r="A929" s="4" t="str">
        <f ca="1">IFERROR(__xludf.DUMMYFUNCTION("""COMPUTED_VALUE"""),"104780-B")</f>
        <v>104780-B</v>
      </c>
      <c r="B929" s="5" t="str">
        <f ca="1">IFERROR(__xludf.DUMMYFUNCTION("""COMPUTED_VALUE"""),"بني سويف")</f>
        <v>بني سويف</v>
      </c>
      <c r="C929" s="5" t="str">
        <f ca="1">IFERROR(__xludf.DUMMYFUNCTION("""COMPUTED_VALUE"""),"ببا")</f>
        <v>ببا</v>
      </c>
      <c r="D929" s="5" t="str">
        <f ca="1">IFERROR(__xludf.DUMMYFUNCTION("""COMPUTED_VALUE"""),"مركز أشعة")</f>
        <v>مركز أشعة</v>
      </c>
      <c r="E929" s="5" t="str">
        <f ca="1">IFERROR(__xludf.DUMMYFUNCTION("""COMPUTED_VALUE"""),"مركز أشعة")</f>
        <v>مركز أشعة</v>
      </c>
      <c r="F929" s="5" t="str">
        <f ca="1">IFERROR(__xludf.DUMMYFUNCTION("""COMPUTED_VALUE"""),"مركز الأشعة التشخيصية")</f>
        <v>مركز الأشعة التشخيصية</v>
      </c>
      <c r="G929" s="5" t="str">
        <f ca="1">IFERROR(__xludf.DUMMYFUNCTION("""COMPUTED_VALUE"""),"مركز جاما للأشعة والموجات الصوتية")</f>
        <v>مركز جاما للأشعة والموجات الصوتية</v>
      </c>
      <c r="H929" s="5" t="str">
        <f ca="1">IFERROR(__xludf.DUMMYFUNCTION("""COMPUTED_VALUE"""),"ش المستشفى الاميري أعلى حلواني المحمدي - ببا - بني سويف")</f>
        <v>ش المستشفى الاميري أعلى حلواني المحمدي - ببا - بني سويف</v>
      </c>
      <c r="I929" s="6" t="str">
        <f ca="1">IFERROR(__xludf.DUMMYFUNCTION("""COMPUTED_VALUE"""),"201280852876")</f>
        <v>201280852876</v>
      </c>
      <c r="J929" s="6"/>
      <c r="K929" s="6" t="str">
        <f ca="1">IFERROR(__xludf.DUMMYFUNCTION("""COMPUTED_VALUE"""),"خصم 25% علي جميع الأشعة و خصم 15% علي الأشعة بالصبغة")</f>
        <v>خصم 25% علي جميع الأشعة و خصم 15% علي الأشعة بالصبغة</v>
      </c>
    </row>
    <row r="930" spans="1:11" x14ac:dyDescent="0.25">
      <c r="A930" s="4" t="str">
        <f ca="1">IFERROR(__xludf.DUMMYFUNCTION("""COMPUTED_VALUE"""),"104809-B")</f>
        <v>104809-B</v>
      </c>
      <c r="B930" s="5" t="str">
        <f ca="1">IFERROR(__xludf.DUMMYFUNCTION("""COMPUTED_VALUE"""),"أسوان")</f>
        <v>أسوان</v>
      </c>
      <c r="C930" s="5" t="str">
        <f ca="1">IFERROR(__xludf.DUMMYFUNCTION("""COMPUTED_VALUE"""),"كوم امبو")</f>
        <v>كوم امبو</v>
      </c>
      <c r="D930" s="5" t="str">
        <f ca="1">IFERROR(__xludf.DUMMYFUNCTION("""COMPUTED_VALUE"""),"مركز أشعة")</f>
        <v>مركز أشعة</v>
      </c>
      <c r="E930" s="5" t="str">
        <f ca="1">IFERROR(__xludf.DUMMYFUNCTION("""COMPUTED_VALUE"""),"مركز أشعة")</f>
        <v>مركز أشعة</v>
      </c>
      <c r="F930" s="5" t="str">
        <f ca="1">IFERROR(__xludf.DUMMYFUNCTION("""COMPUTED_VALUE"""),"مركز الأشعة التشخيصية")</f>
        <v>مركز الأشعة التشخيصية</v>
      </c>
      <c r="G930" s="5" t="str">
        <f ca="1">IFERROR(__xludf.DUMMYFUNCTION("""COMPUTED_VALUE"""),"مركز ايجي سكان للأشعة والتحاليل الطبية")</f>
        <v>مركز ايجي سكان للأشعة والتحاليل الطبية</v>
      </c>
      <c r="H930" s="5" t="str">
        <f ca="1">IFERROR(__xludf.DUMMYFUNCTION("""COMPUTED_VALUE"""),"السبعين – بجوار نادي الشعب أمام ترعه كاسل -كوم امبو - أسوان")</f>
        <v>السبعين – بجوار نادي الشعب أمام ترعه كاسل -كوم امبو - أسوان</v>
      </c>
      <c r="I930" s="6" t="str">
        <f ca="1">IFERROR(__xludf.DUMMYFUNCTION("""COMPUTED_VALUE"""),"20973501198")</f>
        <v>20973501198</v>
      </c>
      <c r="J930" s="6"/>
      <c r="K930" s="6" t="str">
        <f ca="1">IFERROR(__xludf.DUMMYFUNCTION("""COMPUTED_VALUE"""),"خصم 30% علي النحاليل، 20% علي الأشعه")</f>
        <v>خصم 30% علي النحاليل، 20% علي الأشعه</v>
      </c>
    </row>
    <row r="931" spans="1:11" x14ac:dyDescent="0.25">
      <c r="A931" s="4" t="str">
        <f ca="1">IFERROR(__xludf.DUMMYFUNCTION("""COMPUTED_VALUE"""),"104809")</f>
        <v>104809</v>
      </c>
      <c r="B931" s="5" t="str">
        <f ca="1">IFERROR(__xludf.DUMMYFUNCTION("""COMPUTED_VALUE"""),"أسوان")</f>
        <v>أسوان</v>
      </c>
      <c r="C931" s="5" t="str">
        <f ca="1">IFERROR(__xludf.DUMMYFUNCTION("""COMPUTED_VALUE"""),"أسوان")</f>
        <v>أسوان</v>
      </c>
      <c r="D931" s="5" t="str">
        <f ca="1">IFERROR(__xludf.DUMMYFUNCTION("""COMPUTED_VALUE"""),"مركز أشعة")</f>
        <v>مركز أشعة</v>
      </c>
      <c r="E931" s="5" t="str">
        <f ca="1">IFERROR(__xludf.DUMMYFUNCTION("""COMPUTED_VALUE"""),"مركز أشعة")</f>
        <v>مركز أشعة</v>
      </c>
      <c r="F931" s="5" t="str">
        <f ca="1">IFERROR(__xludf.DUMMYFUNCTION("""COMPUTED_VALUE"""),"مركز الأشعة التشخيصية")</f>
        <v>مركز الأشعة التشخيصية</v>
      </c>
      <c r="G931" s="5" t="str">
        <f ca="1">IFERROR(__xludf.DUMMYFUNCTION("""COMPUTED_VALUE"""),"مركز ايجي سكان للأشعة والتحاليل الطبية")</f>
        <v>مركز ايجي سكان للأشعة والتحاليل الطبية</v>
      </c>
      <c r="H931" s="5" t="str">
        <f ca="1">IFERROR(__xludf.DUMMYFUNCTION("""COMPUTED_VALUE"""),"كسر الحجر – أمام مستشفى النيل التخصصى - أسوان")</f>
        <v>كسر الحجر – أمام مستشفى النيل التخصصى - أسوان</v>
      </c>
      <c r="I931" s="6" t="str">
        <f ca="1">IFERROR(__xludf.DUMMYFUNCTION("""COMPUTED_VALUE"""),"20972308607")</f>
        <v>20972308607</v>
      </c>
      <c r="J931" s="6"/>
      <c r="K931" s="6" t="str">
        <f ca="1">IFERROR(__xludf.DUMMYFUNCTION("""COMPUTED_VALUE"""),"خصم 30% علي النحاليل، 20% علي الأشعه")</f>
        <v>خصم 30% علي النحاليل، 20% علي الأشعه</v>
      </c>
    </row>
    <row r="932" spans="1:11" x14ac:dyDescent="0.25">
      <c r="A932" s="4" t="str">
        <f ca="1">IFERROR(__xludf.DUMMYFUNCTION("""COMPUTED_VALUE"""),"104892-B")</f>
        <v>104892-B</v>
      </c>
      <c r="B932" s="5" t="str">
        <f ca="1">IFERROR(__xludf.DUMMYFUNCTION("""COMPUTED_VALUE"""),"الشرقية")</f>
        <v>الشرقية</v>
      </c>
      <c r="C932" s="5" t="str">
        <f ca="1">IFERROR(__xludf.DUMMYFUNCTION("""COMPUTED_VALUE"""),"بلبيس")</f>
        <v>بلبيس</v>
      </c>
      <c r="D932" s="5" t="str">
        <f ca="1">IFERROR(__xludf.DUMMYFUNCTION("""COMPUTED_VALUE"""),"مركز أشعة")</f>
        <v>مركز أشعة</v>
      </c>
      <c r="E932" s="5" t="str">
        <f ca="1">IFERROR(__xludf.DUMMYFUNCTION("""COMPUTED_VALUE"""),"مركز أشعة")</f>
        <v>مركز أشعة</v>
      </c>
      <c r="F932" s="5" t="str">
        <f ca="1">IFERROR(__xludf.DUMMYFUNCTION("""COMPUTED_VALUE"""),"مركز الأشعة التشخيصية")</f>
        <v>مركز الأشعة التشخيصية</v>
      </c>
      <c r="G932" s="5" t="str">
        <f ca="1">IFERROR(__xludf.DUMMYFUNCTION("""COMPUTED_VALUE"""),"مركز دار الاشعة (د/ احمد حسن حسن رزق)")</f>
        <v>مركز دار الاشعة (د/ احمد حسن حسن رزق)</v>
      </c>
      <c r="H932" s="5" t="str">
        <f ca="1">IFERROR(__xludf.DUMMYFUNCTION("""COMPUTED_VALUE"""),"شارع بورسعيد- خلف بنك مصر - الدور الارضى -بلبيس - الشرقية")</f>
        <v>شارع بورسعيد- خلف بنك مصر - الدور الارضى -بلبيس - الشرقية</v>
      </c>
      <c r="I932" s="6" t="str">
        <f ca="1">IFERROR(__xludf.DUMMYFUNCTION("""COMPUTED_VALUE"""),"20552860727")</f>
        <v>20552860727</v>
      </c>
      <c r="J932" s="6"/>
      <c r="K932" s="6" t="str">
        <f ca="1">IFERROR(__xludf.DUMMYFUNCTION("""COMPUTED_VALUE"""),"خصم يصل الي 20%")</f>
        <v>خصم يصل الي 20%</v>
      </c>
    </row>
    <row r="933" spans="1:11" x14ac:dyDescent="0.25">
      <c r="A933" s="4" t="str">
        <f ca="1">IFERROR(__xludf.DUMMYFUNCTION("""COMPUTED_VALUE"""),"104892-B")</f>
        <v>104892-B</v>
      </c>
      <c r="B933" s="5" t="str">
        <f ca="1">IFERROR(__xludf.DUMMYFUNCTION("""COMPUTED_VALUE"""),"الشرقية")</f>
        <v>الشرقية</v>
      </c>
      <c r="C933" s="5" t="str">
        <f ca="1">IFERROR(__xludf.DUMMYFUNCTION("""COMPUTED_VALUE"""),"أبو حماد")</f>
        <v>أبو حماد</v>
      </c>
      <c r="D933" s="5" t="str">
        <f ca="1">IFERROR(__xludf.DUMMYFUNCTION("""COMPUTED_VALUE"""),"مركز أشعة")</f>
        <v>مركز أشعة</v>
      </c>
      <c r="E933" s="5" t="str">
        <f ca="1">IFERROR(__xludf.DUMMYFUNCTION("""COMPUTED_VALUE"""),"مركز أشعة")</f>
        <v>مركز أشعة</v>
      </c>
      <c r="F933" s="5" t="str">
        <f ca="1">IFERROR(__xludf.DUMMYFUNCTION("""COMPUTED_VALUE"""),"مركز الأشعة التشخيصية")</f>
        <v>مركز الأشعة التشخيصية</v>
      </c>
      <c r="G933" s="5" t="str">
        <f ca="1">IFERROR(__xludf.DUMMYFUNCTION("""COMPUTED_VALUE"""),"مركز دار الاشعة (د/ احمد حسن حسن رزق)")</f>
        <v>مركز دار الاشعة (د/ احمد حسن حسن رزق)</v>
      </c>
      <c r="H933" s="5" t="str">
        <f ca="1">IFERROR(__xludf.DUMMYFUNCTION("""COMPUTED_VALUE"""),"شارع بورسعيد-خلف مدرسة السادات الاعدادية - ابو حماد - الشرقية")</f>
        <v>شارع بورسعيد-خلف مدرسة السادات الاعدادية - ابو حماد - الشرقية</v>
      </c>
      <c r="I933" s="6" t="str">
        <f ca="1">IFERROR(__xludf.DUMMYFUNCTION("""COMPUTED_VALUE"""),"20553407475")</f>
        <v>20553407475</v>
      </c>
      <c r="J933" s="6"/>
      <c r="K933" s="6" t="str">
        <f ca="1">IFERROR(__xludf.DUMMYFUNCTION("""COMPUTED_VALUE"""),"خصم يصل الي 20%")</f>
        <v>خصم يصل الي 20%</v>
      </c>
    </row>
    <row r="934" spans="1:11" x14ac:dyDescent="0.25">
      <c r="A934" s="4" t="str">
        <f ca="1">IFERROR(__xludf.DUMMYFUNCTION("""COMPUTED_VALUE"""),"104920")</f>
        <v>104920</v>
      </c>
      <c r="B934" s="5" t="str">
        <f ca="1">IFERROR(__xludf.DUMMYFUNCTION("""COMPUTED_VALUE"""),"السويس")</f>
        <v>السويس</v>
      </c>
      <c r="C934" s="5" t="str">
        <f ca="1">IFERROR(__xludf.DUMMYFUNCTION("""COMPUTED_VALUE"""),"السويس")</f>
        <v>السويس</v>
      </c>
      <c r="D934" s="5" t="str">
        <f ca="1">IFERROR(__xludf.DUMMYFUNCTION("""COMPUTED_VALUE"""),"مركز أشعة")</f>
        <v>مركز أشعة</v>
      </c>
      <c r="E934" s="5" t="str">
        <f ca="1">IFERROR(__xludf.DUMMYFUNCTION("""COMPUTED_VALUE"""),"مركز أشعة")</f>
        <v>مركز أشعة</v>
      </c>
      <c r="F934" s="5" t="str">
        <f ca="1">IFERROR(__xludf.DUMMYFUNCTION("""COMPUTED_VALUE"""),"مركز الأشعة التشخيصية")</f>
        <v>مركز الأشعة التشخيصية</v>
      </c>
      <c r="G934" s="5" t="str">
        <f ca="1">IFERROR(__xludf.DUMMYFUNCTION("""COMPUTED_VALUE"""),"د/ تامر محمد السيد البوهى (مركز البوهى للاشعة التشخيصية والرنين المغناطيسى)")</f>
        <v>د/ تامر محمد السيد البوهى (مركز البوهى للاشعة التشخيصية والرنين المغناطيسى)</v>
      </c>
      <c r="H934" s="5" t="str">
        <f ca="1">IFERROR(__xludf.DUMMYFUNCTION("""COMPUTED_VALUE"""),"3شارع الشهداء- السويس")</f>
        <v>3شارع الشهداء- السويس</v>
      </c>
      <c r="I934" s="6" t="str">
        <f ca="1">IFERROR(__xludf.DUMMYFUNCTION("""COMPUTED_VALUE"""),"20623308699")</f>
        <v>20623308699</v>
      </c>
      <c r="J934" s="6"/>
      <c r="K934" s="6" t="str">
        <f ca="1">IFERROR(__xludf.DUMMYFUNCTION("""COMPUTED_VALUE"""),"خصم 30% علي الاسعار النقدي المعلنة")</f>
        <v>خصم 30% علي الاسعار النقدي المعلنة</v>
      </c>
    </row>
    <row r="935" spans="1:11" x14ac:dyDescent="0.25">
      <c r="A935" s="4" t="str">
        <f ca="1">IFERROR(__xludf.DUMMYFUNCTION("""COMPUTED_VALUE"""),"103823")</f>
        <v>103823</v>
      </c>
      <c r="B935" s="5" t="str">
        <f ca="1">IFERROR(__xludf.DUMMYFUNCTION("""COMPUTED_VALUE"""),"الغربية")</f>
        <v>الغربية</v>
      </c>
      <c r="C935" s="5" t="str">
        <f ca="1">IFERROR(__xludf.DUMMYFUNCTION("""COMPUTED_VALUE"""),"طنطا")</f>
        <v>طنطا</v>
      </c>
      <c r="D935" s="5" t="str">
        <f ca="1">IFERROR(__xludf.DUMMYFUNCTION("""COMPUTED_VALUE"""),"هيئة الأطباء")</f>
        <v>هيئة الأطباء</v>
      </c>
      <c r="E935" s="5" t="str">
        <f ca="1">IFERROR(__xludf.DUMMYFUNCTION("""COMPUTED_VALUE"""),"جلدية وتناسلية")</f>
        <v>جلدية وتناسلية</v>
      </c>
      <c r="F935" s="5" t="str">
        <f ca="1">IFERROR(__xludf.DUMMYFUNCTION("""COMPUTED_VALUE"""),"جلدية وتناسلية")</f>
        <v>جلدية وتناسلية</v>
      </c>
      <c r="G935" s="5" t="str">
        <f ca="1">IFERROR(__xludf.DUMMYFUNCTION("""COMPUTED_VALUE"""),"د/ فتحي شفيق سعيد")</f>
        <v>د/ فتحي شفيق سعيد</v>
      </c>
      <c r="H935" s="5" t="str">
        <f ca="1">IFERROR(__xludf.DUMMYFUNCTION("""COMPUTED_VALUE"""),"6 شارع المديرية بجوار محطة بنزين التعاون-طنطا-الغربية")</f>
        <v>6 شارع المديرية بجوار محطة بنزين التعاون-طنطا-الغربية</v>
      </c>
      <c r="I935" s="6" t="str">
        <f ca="1">IFERROR(__xludf.DUMMYFUNCTION("""COMPUTED_VALUE"""),"201001706444")</f>
        <v>201001706444</v>
      </c>
      <c r="J935" s="6"/>
      <c r="K935" s="6" t="str">
        <f ca="1">IFERROR(__xludf.DUMMYFUNCTION("""COMPUTED_VALUE"""),"الكشف : 30,نقابه 2014")</f>
        <v>الكشف : 30,نقابه 2014</v>
      </c>
    </row>
    <row r="936" spans="1:11" x14ac:dyDescent="0.25">
      <c r="A936" s="4" t="str">
        <f ca="1">IFERROR(__xludf.DUMMYFUNCTION("""COMPUTED_VALUE"""),"3272")</f>
        <v>3272</v>
      </c>
      <c r="B936" s="5" t="str">
        <f ca="1">IFERROR(__xludf.DUMMYFUNCTION("""COMPUTED_VALUE"""),"القاهرة")</f>
        <v>القاهرة</v>
      </c>
      <c r="C936" s="5" t="str">
        <f ca="1">IFERROR(__xludf.DUMMYFUNCTION("""COMPUTED_VALUE"""),"حدائق القبة")</f>
        <v>حدائق القبة</v>
      </c>
      <c r="D936" s="5" t="str">
        <f ca="1">IFERROR(__xludf.DUMMYFUNCTION("""COMPUTED_VALUE"""),"هيئة الأطباء")</f>
        <v>هيئة الأطباء</v>
      </c>
      <c r="E936" s="5" t="str">
        <f ca="1">IFERROR(__xludf.DUMMYFUNCTION("""COMPUTED_VALUE"""),"جلدية وتناسلية")</f>
        <v>جلدية وتناسلية</v>
      </c>
      <c r="F936" s="5" t="str">
        <f ca="1">IFERROR(__xludf.DUMMYFUNCTION("""COMPUTED_VALUE"""),"جلدية وتناسلية")</f>
        <v>جلدية وتناسلية</v>
      </c>
      <c r="G936" s="5" t="str">
        <f ca="1">IFERROR(__xludf.DUMMYFUNCTION("""COMPUTED_VALUE"""),"د/ هشام علي عسل")</f>
        <v>د/ هشام علي عسل</v>
      </c>
      <c r="H936" s="5" t="str">
        <f ca="1">IFERROR(__xludf.DUMMYFUNCTION("""COMPUTED_VALUE"""),"24شارع 10 - الويلى الكبير- بجوار قسم حدائق القبة-حدائق القبة-القاهرة")</f>
        <v>24شارع 10 - الويلى الكبير- بجوار قسم حدائق القبة-حدائق القبة-القاهرة</v>
      </c>
      <c r="I936" s="6" t="str">
        <f ca="1">IFERROR(__xludf.DUMMYFUNCTION("""COMPUTED_VALUE"""),"20226014395")</f>
        <v>20226014395</v>
      </c>
      <c r="J936" s="6"/>
      <c r="K936" s="6" t="str">
        <f ca="1">IFERROR(__xludf.DUMMYFUNCTION("""COMPUTED_VALUE"""),"30% علي الأسعار النقدي المعلنه")</f>
        <v>30% علي الأسعار النقدي المعلنه</v>
      </c>
    </row>
    <row r="937" spans="1:11" x14ac:dyDescent="0.25">
      <c r="A937" s="4" t="str">
        <f ca="1">IFERROR(__xludf.DUMMYFUNCTION("""COMPUTED_VALUE"""),"2984")</f>
        <v>2984</v>
      </c>
      <c r="B937" s="5" t="str">
        <f ca="1">IFERROR(__xludf.DUMMYFUNCTION("""COMPUTED_VALUE"""),"القاهرة")</f>
        <v>القاهرة</v>
      </c>
      <c r="C937" s="5" t="str">
        <f ca="1">IFERROR(__xludf.DUMMYFUNCTION("""COMPUTED_VALUE"""),"مصر الجديدة")</f>
        <v>مصر الجديدة</v>
      </c>
      <c r="D937" s="5" t="str">
        <f ca="1">IFERROR(__xludf.DUMMYFUNCTION("""COMPUTED_VALUE"""),"هيئة الأطباء")</f>
        <v>هيئة الأطباء</v>
      </c>
      <c r="E937" s="5" t="str">
        <f ca="1">IFERROR(__xludf.DUMMYFUNCTION("""COMPUTED_VALUE"""),"جلدية وتناسلية")</f>
        <v>جلدية وتناسلية</v>
      </c>
      <c r="F937" s="5" t="str">
        <f ca="1">IFERROR(__xludf.DUMMYFUNCTION("""COMPUTED_VALUE"""),"جلدية وتناسلية")</f>
        <v>جلدية وتناسلية</v>
      </c>
      <c r="G937" s="5" t="str">
        <f ca="1">IFERROR(__xludf.DUMMYFUNCTION("""COMPUTED_VALUE"""),"د/ مصطفى احمد محمود همام")</f>
        <v>د/ مصطفى احمد محمود همام</v>
      </c>
      <c r="H937" s="5" t="str">
        <f ca="1">IFERROR(__xludf.DUMMYFUNCTION("""COMPUTED_VALUE"""),"4شارع السيد الميرغنى روكسى   -مصر الجديدة-القاهرة")</f>
        <v>4شارع السيد الميرغنى روكسى   -مصر الجديدة-القاهرة</v>
      </c>
      <c r="I937" s="6" t="str">
        <f ca="1">IFERROR(__xludf.DUMMYFUNCTION("""COMPUTED_VALUE"""),"201222207617")</f>
        <v>201222207617</v>
      </c>
      <c r="J937" s="6"/>
      <c r="K937" s="6" t="str">
        <f ca="1">IFERROR(__xludf.DUMMYFUNCTION("""COMPUTED_VALUE"""),"الكشف:75")</f>
        <v>الكشف:75</v>
      </c>
    </row>
    <row r="938" spans="1:11" x14ac:dyDescent="0.25">
      <c r="A938" s="4" t="str">
        <f ca="1">IFERROR(__xludf.DUMMYFUNCTION("""COMPUTED_VALUE"""),"2978")</f>
        <v>2978</v>
      </c>
      <c r="B938" s="5" t="str">
        <f ca="1">IFERROR(__xludf.DUMMYFUNCTION("""COMPUTED_VALUE"""),"القاهرة")</f>
        <v>القاهرة</v>
      </c>
      <c r="C938" s="5" t="str">
        <f ca="1">IFERROR(__xludf.DUMMYFUNCTION("""COMPUTED_VALUE"""),"مصر الجديدة")</f>
        <v>مصر الجديدة</v>
      </c>
      <c r="D938" s="5" t="str">
        <f ca="1">IFERROR(__xludf.DUMMYFUNCTION("""COMPUTED_VALUE"""),"هيئة الأطباء")</f>
        <v>هيئة الأطباء</v>
      </c>
      <c r="E938" s="5" t="str">
        <f ca="1">IFERROR(__xludf.DUMMYFUNCTION("""COMPUTED_VALUE"""),"جلدية وتناسلية")</f>
        <v>جلدية وتناسلية</v>
      </c>
      <c r="F938" s="5" t="str">
        <f ca="1">IFERROR(__xludf.DUMMYFUNCTION("""COMPUTED_VALUE"""),"جلدية وتناسلية")</f>
        <v>جلدية وتناسلية</v>
      </c>
      <c r="G938" s="5" t="str">
        <f ca="1">IFERROR(__xludf.DUMMYFUNCTION("""COMPUTED_VALUE"""),"د/ نادر فؤاد رجب")</f>
        <v>د/ نادر فؤاد رجب</v>
      </c>
      <c r="H938" s="5" t="str">
        <f ca="1">IFERROR(__xludf.DUMMYFUNCTION("""COMPUTED_VALUE"""),"17 شارع بيروت-مصر الجديدة-القاهرة")</f>
        <v>17 شارع بيروت-مصر الجديدة-القاهرة</v>
      </c>
      <c r="I938" s="6" t="str">
        <f ca="1">IFERROR(__xludf.DUMMYFUNCTION("""COMPUTED_VALUE"""),"20222566395")</f>
        <v>20222566395</v>
      </c>
      <c r="J938" s="6"/>
      <c r="K938" s="6" t="str">
        <f ca="1">IFERROR(__xludf.DUMMYFUNCTION("""COMPUTED_VALUE"""),"25% على جميع الخدمات")</f>
        <v>25% على جميع الخدمات</v>
      </c>
    </row>
    <row r="939" spans="1:11" x14ac:dyDescent="0.25">
      <c r="A939" s="4" t="str">
        <f ca="1">IFERROR(__xludf.DUMMYFUNCTION("""COMPUTED_VALUE"""),"3296")</f>
        <v>3296</v>
      </c>
      <c r="B939" s="5" t="str">
        <f ca="1">IFERROR(__xludf.DUMMYFUNCTION("""COMPUTED_VALUE"""),"بورسعيد")</f>
        <v>بورسعيد</v>
      </c>
      <c r="C939" s="5" t="str">
        <f ca="1">IFERROR(__xludf.DUMMYFUNCTION("""COMPUTED_VALUE"""),"بورسعيد")</f>
        <v>بورسعيد</v>
      </c>
      <c r="D939" s="5" t="str">
        <f ca="1">IFERROR(__xludf.DUMMYFUNCTION("""COMPUTED_VALUE"""),"هيئة الأطباء")</f>
        <v>هيئة الأطباء</v>
      </c>
      <c r="E939" s="5" t="str">
        <f ca="1">IFERROR(__xludf.DUMMYFUNCTION("""COMPUTED_VALUE"""),"جلدية وتناسلية")</f>
        <v>جلدية وتناسلية</v>
      </c>
      <c r="F939" s="5" t="str">
        <f ca="1">IFERROR(__xludf.DUMMYFUNCTION("""COMPUTED_VALUE"""),"جلدية وتناسلية")</f>
        <v>جلدية وتناسلية</v>
      </c>
      <c r="G939" s="5" t="str">
        <f ca="1">IFERROR(__xludf.DUMMYFUNCTION("""COMPUTED_VALUE"""),"د/ درويش الدسوقي محمد اسماعيل")</f>
        <v>د/ درويش الدسوقي محمد اسماعيل</v>
      </c>
      <c r="H939" s="5" t="str">
        <f ca="1">IFERROR(__xludf.DUMMYFUNCTION("""COMPUTED_VALUE"""),"36 ش سعد زغلول الثلاثيني - أمام محلات البوري سنتر - بورسعيد")</f>
        <v>36 ش سعد زغلول الثلاثيني - أمام محلات البوري سنتر - بورسعيد</v>
      </c>
      <c r="I939" s="6" t="str">
        <f ca="1">IFERROR(__xludf.DUMMYFUNCTION("""COMPUTED_VALUE"""),"0663253670")</f>
        <v>0663253670</v>
      </c>
      <c r="J939" s="6"/>
      <c r="K939" s="6" t="str">
        <f ca="1">IFERROR(__xludf.DUMMYFUNCTION("""COMPUTED_VALUE"""),"خصم 30% علي الأسعار النقدي المعلنة")</f>
        <v>خصم 30% علي الأسعار النقدي المعلنة</v>
      </c>
    </row>
    <row r="940" spans="1:11" x14ac:dyDescent="0.25">
      <c r="A940" s="4" t="str">
        <f ca="1">IFERROR(__xludf.DUMMYFUNCTION("""COMPUTED_VALUE"""),"1763-B")</f>
        <v>1763-B</v>
      </c>
      <c r="B940" s="5" t="str">
        <f ca="1">IFERROR(__xludf.DUMMYFUNCTION("""COMPUTED_VALUE"""),"الشرقية")</f>
        <v>الشرقية</v>
      </c>
      <c r="C940" s="5" t="str">
        <f ca="1">IFERROR(__xludf.DUMMYFUNCTION("""COMPUTED_VALUE"""),"العاشر من رمضان")</f>
        <v>العاشر من رمضان</v>
      </c>
      <c r="D940" s="5" t="str">
        <f ca="1">IFERROR(__xludf.DUMMYFUNCTION("""COMPUTED_VALUE"""),"هيئة الأطباء")</f>
        <v>هيئة الأطباء</v>
      </c>
      <c r="E940" s="5" t="str">
        <f ca="1">IFERROR(__xludf.DUMMYFUNCTION("""COMPUTED_VALUE"""),"اسنان")</f>
        <v>اسنان</v>
      </c>
      <c r="F940" s="5" t="str">
        <f ca="1">IFERROR(__xludf.DUMMYFUNCTION("""COMPUTED_VALUE"""),"جراحة الفم والأسنان")</f>
        <v>جراحة الفم والأسنان</v>
      </c>
      <c r="G940" s="5" t="str">
        <f ca="1">IFERROR(__xludf.DUMMYFUNCTION("""COMPUTED_VALUE"""),"المركز المصري الاول لطب الأسنان ( د/ حسين محمد طاهر)")</f>
        <v>المركز المصري الاول لطب الأسنان ( د/ حسين محمد طاهر)</v>
      </c>
      <c r="H940" s="5" t="str">
        <f ca="1">IFERROR(__xludf.DUMMYFUNCTION("""COMPUTED_VALUE"""),"مجاورة 39- عمارة رقم 10- شقة 101-العاشر من رمضان-الشرقية")</f>
        <v>مجاورة 39- عمارة رقم 10- شقة 101-العاشر من رمضان-الشرقية</v>
      </c>
      <c r="I940" s="6" t="str">
        <f ca="1">IFERROR(__xludf.DUMMYFUNCTION("""COMPUTED_VALUE"""),"201225350308")</f>
        <v>201225350308</v>
      </c>
      <c r="J940" s="6"/>
      <c r="K940" s="6" t="str">
        <f ca="1">IFERROR(__xludf.DUMMYFUNCTION("""COMPUTED_VALUE"""),"30% على الكشوفات ,10% على التركيبات ,10% على الإجراءات ,5% على الزراعات")</f>
        <v>30% على الكشوفات ,10% على التركيبات ,10% على الإجراءات ,5% على الزراعات</v>
      </c>
    </row>
    <row r="941" spans="1:11" x14ac:dyDescent="0.25">
      <c r="A941" s="4" t="str">
        <f ca="1">IFERROR(__xludf.DUMMYFUNCTION("""COMPUTED_VALUE"""),"103259")</f>
        <v>103259</v>
      </c>
      <c r="B941" s="5" t="str">
        <f ca="1">IFERROR(__xludf.DUMMYFUNCTION("""COMPUTED_VALUE"""),"القاهرة")</f>
        <v>القاهرة</v>
      </c>
      <c r="C941" s="5" t="str">
        <f ca="1">IFERROR(__xludf.DUMMYFUNCTION("""COMPUTED_VALUE"""),"الازبكية")</f>
        <v>الازبكية</v>
      </c>
      <c r="D941" s="5" t="str">
        <f ca="1">IFERROR(__xludf.DUMMYFUNCTION("""COMPUTED_VALUE"""),"هيئة الأطباء")</f>
        <v>هيئة الأطباء</v>
      </c>
      <c r="E941" s="5" t="str">
        <f ca="1">IFERROR(__xludf.DUMMYFUNCTION("""COMPUTED_VALUE"""),"اسنان")</f>
        <v>اسنان</v>
      </c>
      <c r="F941" s="5" t="str">
        <f ca="1">IFERROR(__xludf.DUMMYFUNCTION("""COMPUTED_VALUE"""),"جراحة الفم والأسنان")</f>
        <v>جراحة الفم والأسنان</v>
      </c>
      <c r="G941" s="5" t="str">
        <f ca="1">IFERROR(__xludf.DUMMYFUNCTION("""COMPUTED_VALUE"""),"د/ ندى فرنسيس")</f>
        <v>د/ ندى فرنسيس</v>
      </c>
      <c r="H941" s="5" t="str">
        <f ca="1">IFERROR(__xludf.DUMMYFUNCTION("""COMPUTED_VALUE"""),"10 شارع زكي سابقا (سيد درويش حاليا) - التوفيقية-الازبكية-القاهرة")</f>
        <v>10 شارع زكي سابقا (سيد درويش حاليا) - التوفيقية-الازبكية-القاهرة</v>
      </c>
      <c r="I941" s="6" t="str">
        <f ca="1">IFERROR(__xludf.DUMMYFUNCTION("""COMPUTED_VALUE"""),"20225755274")</f>
        <v>20225755274</v>
      </c>
      <c r="J941" s="6"/>
      <c r="K941" s="6" t="str">
        <f ca="1">IFERROR(__xludf.DUMMYFUNCTION("""COMPUTED_VALUE"""),"خصم 50% علي الكشوفات و خصم 25% علي جميع الخدمات النقدي المعلنة")</f>
        <v>خصم 50% علي الكشوفات و خصم 25% علي جميع الخدمات النقدي المعلنة</v>
      </c>
    </row>
    <row r="942" spans="1:11" x14ac:dyDescent="0.25">
      <c r="A942" s="4" t="str">
        <f ca="1">IFERROR(__xludf.DUMMYFUNCTION("""COMPUTED_VALUE"""),"103930")</f>
        <v>103930</v>
      </c>
      <c r="B942" s="5" t="str">
        <f ca="1">IFERROR(__xludf.DUMMYFUNCTION("""COMPUTED_VALUE"""),"الجيزة")</f>
        <v>الجيزة</v>
      </c>
      <c r="C942" s="5" t="str">
        <f ca="1">IFERROR(__xludf.DUMMYFUNCTION("""COMPUTED_VALUE"""),"العجوزة")</f>
        <v>العجوزة</v>
      </c>
      <c r="D942" s="5" t="str">
        <f ca="1">IFERROR(__xludf.DUMMYFUNCTION("""COMPUTED_VALUE"""),"هيئة الأطباء")</f>
        <v>هيئة الأطباء</v>
      </c>
      <c r="E942" s="5" t="str">
        <f ca="1">IFERROR(__xludf.DUMMYFUNCTION("""COMPUTED_VALUE"""),"اسنان")</f>
        <v>اسنان</v>
      </c>
      <c r="F942" s="5" t="str">
        <f ca="1">IFERROR(__xludf.DUMMYFUNCTION("""COMPUTED_VALUE"""),"جراحة الفم والأسنان")</f>
        <v>جراحة الفم والأسنان</v>
      </c>
      <c r="G942" s="5" t="str">
        <f ca="1">IFERROR(__xludf.DUMMYFUNCTION("""COMPUTED_VALUE"""),"د/ محمود هانى محمود عبد الحميد لاشين")</f>
        <v>د/ محمود هانى محمود عبد الحميد لاشين</v>
      </c>
      <c r="H942" s="5" t="str">
        <f ca="1">IFERROR(__xludf.DUMMYFUNCTION("""COMPUTED_VALUE"""),"29 شارع نوال - العجوزة")</f>
        <v>29 شارع نوال - العجوزة</v>
      </c>
      <c r="I942" s="6" t="str">
        <f ca="1">IFERROR(__xludf.DUMMYFUNCTION("""COMPUTED_VALUE"""),"20237625659")</f>
        <v>20237625659</v>
      </c>
      <c r="J942" s="6"/>
      <c r="K942" s="6" t="str">
        <f ca="1">IFERROR(__xludf.DUMMYFUNCTION("""COMPUTED_VALUE"""),"خصم 30% علي الأسعار النقدي المعلنة")</f>
        <v>خصم 30% علي الأسعار النقدي المعلنة</v>
      </c>
    </row>
    <row r="943" spans="1:11" x14ac:dyDescent="0.25">
      <c r="A943" s="4" t="str">
        <f ca="1">IFERROR(__xludf.DUMMYFUNCTION("""COMPUTED_VALUE"""),"3936-B")</f>
        <v>3936-B</v>
      </c>
      <c r="B943" s="5" t="str">
        <f ca="1">IFERROR(__xludf.DUMMYFUNCTION("""COMPUTED_VALUE"""),"الجيزة")</f>
        <v>الجيزة</v>
      </c>
      <c r="C943" s="5" t="str">
        <f ca="1">IFERROR(__xludf.DUMMYFUNCTION("""COMPUTED_VALUE"""),"المهندسين")</f>
        <v>المهندسين</v>
      </c>
      <c r="D943" s="5" t="str">
        <f ca="1">IFERROR(__xludf.DUMMYFUNCTION("""COMPUTED_VALUE"""),"هيئة الأطباء")</f>
        <v>هيئة الأطباء</v>
      </c>
      <c r="E943" s="5" t="str">
        <f ca="1">IFERROR(__xludf.DUMMYFUNCTION("""COMPUTED_VALUE"""),"اسنان")</f>
        <v>اسنان</v>
      </c>
      <c r="F943" s="5" t="str">
        <f ca="1">IFERROR(__xludf.DUMMYFUNCTION("""COMPUTED_VALUE"""),"جراحة الفم والأسنان")</f>
        <v>جراحة الفم والأسنان</v>
      </c>
      <c r="G943" s="5" t="str">
        <f ca="1">IFERROR(__xludf.DUMMYFUNCTION("""COMPUTED_VALUE"""),"د/ هشام أحمد عيسى")</f>
        <v>د/ هشام أحمد عيسى</v>
      </c>
      <c r="H943" s="5" t="str">
        <f ca="1">IFERROR(__xludf.DUMMYFUNCTION("""COMPUTED_VALUE"""),"26 شارع عدن ناصية شارع شهاب - بجوار بلاتينيوم مول - المهندسين - الجيزة .")</f>
        <v>26 شارع عدن ناصية شارع شهاب - بجوار بلاتينيوم مول - المهندسين - الجيزة .</v>
      </c>
      <c r="I943" s="6" t="str">
        <f ca="1">IFERROR(__xludf.DUMMYFUNCTION("""COMPUTED_VALUE"""),"20237491676")</f>
        <v>20237491676</v>
      </c>
      <c r="J943" s="6"/>
      <c r="K943" s="6" t="str">
        <f ca="1">IFERROR(__xludf.DUMMYFUNCTION("""COMPUTED_VALUE"""),"50% علي الكشوفات و 25% علي باقي الخدمات النقدي المعلنة")</f>
        <v>50% علي الكشوفات و 25% علي باقي الخدمات النقدي المعلنة</v>
      </c>
    </row>
    <row r="944" spans="1:11" x14ac:dyDescent="0.25">
      <c r="A944" s="4" t="str">
        <f ca="1">IFERROR(__xludf.DUMMYFUNCTION("""COMPUTED_VALUE"""),"3325")</f>
        <v>3325</v>
      </c>
      <c r="B944" s="5" t="str">
        <f ca="1">IFERROR(__xludf.DUMMYFUNCTION("""COMPUTED_VALUE"""),"الجيزة")</f>
        <v>الجيزة</v>
      </c>
      <c r="C944" s="5" t="str">
        <f ca="1">IFERROR(__xludf.DUMMYFUNCTION("""COMPUTED_VALUE"""),"المهندسين")</f>
        <v>المهندسين</v>
      </c>
      <c r="D944" s="5" t="str">
        <f ca="1">IFERROR(__xludf.DUMMYFUNCTION("""COMPUTED_VALUE"""),"هيئة الأطباء")</f>
        <v>هيئة الأطباء</v>
      </c>
      <c r="E944" s="5" t="str">
        <f ca="1">IFERROR(__xludf.DUMMYFUNCTION("""COMPUTED_VALUE"""),"اسنان")</f>
        <v>اسنان</v>
      </c>
      <c r="F944" s="5" t="str">
        <f ca="1">IFERROR(__xludf.DUMMYFUNCTION("""COMPUTED_VALUE"""),"جراحة الفم والأسنان")</f>
        <v>جراحة الفم والأسنان</v>
      </c>
      <c r="G944" s="5" t="str">
        <f ca="1">IFERROR(__xludf.DUMMYFUNCTION("""COMPUTED_VALUE"""),"د/ وليد احمد طارق عبدالحميد ابو زيد ( وليد طارق طنطاوي)")</f>
        <v>د/ وليد احمد طارق عبدالحميد ابو زيد ( وليد طارق طنطاوي)</v>
      </c>
      <c r="H944" s="5" t="str">
        <f ca="1">IFERROR(__xludf.DUMMYFUNCTION("""COMPUTED_VALUE"""),"35 ش جامعة الدول -المهندسين- الجيزة")</f>
        <v>35 ش جامعة الدول -المهندسين- الجيزة</v>
      </c>
      <c r="I944" s="6" t="str">
        <f ca="1">IFERROR(__xludf.DUMMYFUNCTION("""COMPUTED_VALUE"""),"20233387298")</f>
        <v>20233387298</v>
      </c>
      <c r="J944" s="6"/>
      <c r="K944" s="6" t="str">
        <f ca="1">IFERROR(__xludf.DUMMYFUNCTION("""COMPUTED_VALUE"""),"خصم 30% علي الأسعار النقدي المعلنة")</f>
        <v>خصم 30% علي الأسعار النقدي المعلنة</v>
      </c>
    </row>
    <row r="945" spans="1:11" x14ac:dyDescent="0.25">
      <c r="A945" s="4" t="str">
        <f ca="1">IFERROR(__xludf.DUMMYFUNCTION("""COMPUTED_VALUE"""),"1763-B")</f>
        <v>1763-B</v>
      </c>
      <c r="B945" s="5" t="str">
        <f ca="1">IFERROR(__xludf.DUMMYFUNCTION("""COMPUTED_VALUE"""),"القاهرة")</f>
        <v>القاهرة</v>
      </c>
      <c r="C945" s="5" t="str">
        <f ca="1">IFERROR(__xludf.DUMMYFUNCTION("""COMPUTED_VALUE"""),"حلمية الزيتون")</f>
        <v>حلمية الزيتون</v>
      </c>
      <c r="D945" s="5" t="str">
        <f ca="1">IFERROR(__xludf.DUMMYFUNCTION("""COMPUTED_VALUE"""),"هيئة الأطباء")</f>
        <v>هيئة الأطباء</v>
      </c>
      <c r="E945" s="5" t="str">
        <f ca="1">IFERROR(__xludf.DUMMYFUNCTION("""COMPUTED_VALUE"""),"اسنان")</f>
        <v>اسنان</v>
      </c>
      <c r="F945" s="5" t="str">
        <f ca="1">IFERROR(__xludf.DUMMYFUNCTION("""COMPUTED_VALUE"""),"جراحة الفم والأسنان")</f>
        <v>جراحة الفم والأسنان</v>
      </c>
      <c r="G945" s="5" t="str">
        <f ca="1">IFERROR(__xludf.DUMMYFUNCTION("""COMPUTED_VALUE"""),"المركز المصري الاول لطب الأسنان ( د/ حسين محمد طاهر)")</f>
        <v>المركز المصري الاول لطب الأسنان ( د/ حسين محمد طاهر)</v>
      </c>
      <c r="H945" s="5" t="str">
        <f ca="1">IFERROR(__xludf.DUMMYFUNCTION("""COMPUTED_VALUE"""),"الزيتون - 64-66 شارع سليم الاول - ابراج ميامي - برج رقم 1 - الدور الثاني-جسر السويس-القاهرة")</f>
        <v>الزيتون - 64-66 شارع سليم الاول - ابراج ميامي - برج رقم 1 - الدور الثاني-جسر السويس-القاهرة</v>
      </c>
      <c r="I945" s="6" t="str">
        <f ca="1">IFERROR(__xludf.DUMMYFUNCTION("""COMPUTED_VALUE"""),"201114995382")</f>
        <v>201114995382</v>
      </c>
      <c r="J945" s="6"/>
      <c r="K945" s="6" t="str">
        <f ca="1">IFERROR(__xludf.DUMMYFUNCTION("""COMPUTED_VALUE"""),"30% على الكشوفات ,10% على التركيبات ,10% على الإجراءات ,5% على الزراعات")</f>
        <v>30% على الكشوفات ,10% على التركيبات ,10% على الإجراءات ,5% على الزراعات</v>
      </c>
    </row>
    <row r="946" spans="1:11" x14ac:dyDescent="0.25">
      <c r="A946" s="4" t="str">
        <f ca="1">IFERROR(__xludf.DUMMYFUNCTION("""COMPUTED_VALUE"""),"3936")</f>
        <v>3936</v>
      </c>
      <c r="B946" s="5" t="str">
        <f ca="1">IFERROR(__xludf.DUMMYFUNCTION("""COMPUTED_VALUE"""),"القاهرة")</f>
        <v>القاهرة</v>
      </c>
      <c r="C946" s="5" t="str">
        <f ca="1">IFERROR(__xludf.DUMMYFUNCTION("""COMPUTED_VALUE"""),"شبرا")</f>
        <v>شبرا</v>
      </c>
      <c r="D946" s="5" t="str">
        <f ca="1">IFERROR(__xludf.DUMMYFUNCTION("""COMPUTED_VALUE"""),"هيئة الأطباء")</f>
        <v>هيئة الأطباء</v>
      </c>
      <c r="E946" s="5" t="str">
        <f ca="1">IFERROR(__xludf.DUMMYFUNCTION("""COMPUTED_VALUE"""),"اسنان")</f>
        <v>اسنان</v>
      </c>
      <c r="F946" s="5" t="str">
        <f ca="1">IFERROR(__xludf.DUMMYFUNCTION("""COMPUTED_VALUE"""),"جراحة الفم والأسنان")</f>
        <v>جراحة الفم والأسنان</v>
      </c>
      <c r="G946" s="5" t="str">
        <f ca="1">IFERROR(__xludf.DUMMYFUNCTION("""COMPUTED_VALUE"""),"د/ هشام أحمد عيسى")</f>
        <v>د/ هشام أحمد عيسى</v>
      </c>
      <c r="H946" s="5" t="str">
        <f ca="1">IFERROR(__xludf.DUMMYFUNCTION("""COMPUTED_VALUE"""),"10شارع حسن المغربي - شبرا")</f>
        <v>10شارع حسن المغربي - شبرا</v>
      </c>
      <c r="I946" s="6" t="str">
        <f ca="1">IFERROR(__xludf.DUMMYFUNCTION("""COMPUTED_VALUE"""),"20222007908")</f>
        <v>20222007908</v>
      </c>
      <c r="J946" s="6"/>
      <c r="K946" s="6" t="str">
        <f ca="1">IFERROR(__xludf.DUMMYFUNCTION("""COMPUTED_VALUE"""),"50% علي الكشوفات و 25% علي باقي الخدمات النقدي المعلنة")</f>
        <v>50% علي الكشوفات و 25% علي باقي الخدمات النقدي المعلنة</v>
      </c>
    </row>
    <row r="947" spans="1:11" x14ac:dyDescent="0.25">
      <c r="A947" s="4" t="str">
        <f ca="1">IFERROR(__xludf.DUMMYFUNCTION("""COMPUTED_VALUE"""),"2169")</f>
        <v>2169</v>
      </c>
      <c r="B947" s="5" t="str">
        <f ca="1">IFERROR(__xludf.DUMMYFUNCTION("""COMPUTED_VALUE"""),"القاهرة")</f>
        <v>القاهرة</v>
      </c>
      <c r="C947" s="5" t="str">
        <f ca="1">IFERROR(__xludf.DUMMYFUNCTION("""COMPUTED_VALUE"""),"مدينة نصر")</f>
        <v>مدينة نصر</v>
      </c>
      <c r="D947" s="5" t="str">
        <f ca="1">IFERROR(__xludf.DUMMYFUNCTION("""COMPUTED_VALUE"""),"هيئة الأطباء")</f>
        <v>هيئة الأطباء</v>
      </c>
      <c r="E947" s="5" t="str">
        <f ca="1">IFERROR(__xludf.DUMMYFUNCTION("""COMPUTED_VALUE"""),"اسنان")</f>
        <v>اسنان</v>
      </c>
      <c r="F947" s="5" t="str">
        <f ca="1">IFERROR(__xludf.DUMMYFUNCTION("""COMPUTED_VALUE"""),"جراحة الفم والأسنان")</f>
        <v>جراحة الفم والأسنان</v>
      </c>
      <c r="G947" s="5" t="str">
        <f ca="1">IFERROR(__xludf.DUMMYFUNCTION("""COMPUTED_VALUE"""),"مركز طيبة التخصصي لطب الاسنان (د/ احمد ابو الليل)")</f>
        <v>مركز طيبة التخصصي لطب الاسنان (د/ احمد ابو الليل)</v>
      </c>
      <c r="H947" s="5" t="str">
        <f ca="1">IFERROR(__xludf.DUMMYFUNCTION("""COMPUTED_VALUE"""),"1/4 ابراج الحمد - شارع انور المفتي خلف طيبة مول-مدينة نصر-القاهرة")</f>
        <v>1/4 ابراج الحمد - شارع انور المفتي خلف طيبة مول-مدينة نصر-القاهرة</v>
      </c>
      <c r="I947" s="6" t="str">
        <f ca="1">IFERROR(__xludf.DUMMYFUNCTION("""COMPUTED_VALUE"""),"20224046621")</f>
        <v>20224046621</v>
      </c>
      <c r="J947" s="6"/>
      <c r="K947" s="6" t="str">
        <f ca="1">IFERROR(__xludf.DUMMYFUNCTION("""COMPUTED_VALUE"""),"خصم 50% علي الكشف و 10% علي الخدمات")</f>
        <v>خصم 50% علي الكشف و 10% علي الخدمات</v>
      </c>
    </row>
    <row r="948" spans="1:11" x14ac:dyDescent="0.25">
      <c r="A948" s="4" t="str">
        <f ca="1">IFERROR(__xludf.DUMMYFUNCTION("""COMPUTED_VALUE"""),"3933")</f>
        <v>3933</v>
      </c>
      <c r="B948" s="5" t="str">
        <f ca="1">IFERROR(__xludf.DUMMYFUNCTION("""COMPUTED_VALUE"""),"القاهرة")</f>
        <v>القاهرة</v>
      </c>
      <c r="C948" s="5" t="str">
        <f ca="1">IFERROR(__xludf.DUMMYFUNCTION("""COMPUTED_VALUE"""),"مصر الجديدة")</f>
        <v>مصر الجديدة</v>
      </c>
      <c r="D948" s="5" t="str">
        <f ca="1">IFERROR(__xludf.DUMMYFUNCTION("""COMPUTED_VALUE"""),"هيئة الأطباء")</f>
        <v>هيئة الأطباء</v>
      </c>
      <c r="E948" s="5" t="str">
        <f ca="1">IFERROR(__xludf.DUMMYFUNCTION("""COMPUTED_VALUE"""),"اسنان")</f>
        <v>اسنان</v>
      </c>
      <c r="F948" s="5" t="str">
        <f ca="1">IFERROR(__xludf.DUMMYFUNCTION("""COMPUTED_VALUE"""),"جراحة الفم والأسنان")</f>
        <v>جراحة الفم والأسنان</v>
      </c>
      <c r="G948" s="5" t="str">
        <f ca="1">IFERROR(__xludf.DUMMYFUNCTION("""COMPUTED_VALUE"""),"د/ عماد عياد فهيم")</f>
        <v>د/ عماد عياد فهيم</v>
      </c>
      <c r="H948" s="5" t="str">
        <f ca="1">IFERROR(__xludf.DUMMYFUNCTION("""COMPUTED_VALUE"""),"27أ شارع بغداد سنتر الكوربة ميدان الكوربة -مصر الجديدة-القاهرة")</f>
        <v>27أ شارع بغداد سنتر الكوربة ميدان الكوربة -مصر الجديدة-القاهرة</v>
      </c>
      <c r="I948" s="6" t="str">
        <f ca="1">IFERROR(__xludf.DUMMYFUNCTION("""COMPUTED_VALUE"""),"20224151336")</f>
        <v>20224151336</v>
      </c>
      <c r="J948" s="6"/>
      <c r="K948" s="6" t="str">
        <f ca="1">IFERROR(__xludf.DUMMYFUNCTION("""COMPUTED_VALUE"""),"خصم 25% علي الأسعار النقدي المعلنة")</f>
        <v>خصم 25% علي الأسعار النقدي المعلنة</v>
      </c>
    </row>
    <row r="949" spans="1:11" x14ac:dyDescent="0.25">
      <c r="A949" s="4" t="str">
        <f ca="1">IFERROR(__xludf.DUMMYFUNCTION("""COMPUTED_VALUE"""),"1763-B")</f>
        <v>1763-B</v>
      </c>
      <c r="B949" s="5" t="str">
        <f ca="1">IFERROR(__xludf.DUMMYFUNCTION("""COMPUTED_VALUE"""),"القاهرة")</f>
        <v>القاهرة</v>
      </c>
      <c r="C949" s="5" t="str">
        <f ca="1">IFERROR(__xludf.DUMMYFUNCTION("""COMPUTED_VALUE"""),"وسط البلد")</f>
        <v>وسط البلد</v>
      </c>
      <c r="D949" s="5" t="str">
        <f ca="1">IFERROR(__xludf.DUMMYFUNCTION("""COMPUTED_VALUE"""),"هيئة الأطباء")</f>
        <v>هيئة الأطباء</v>
      </c>
      <c r="E949" s="5" t="str">
        <f ca="1">IFERROR(__xludf.DUMMYFUNCTION("""COMPUTED_VALUE"""),"اسنان")</f>
        <v>اسنان</v>
      </c>
      <c r="F949" s="5" t="str">
        <f ca="1">IFERROR(__xludf.DUMMYFUNCTION("""COMPUTED_VALUE"""),"جراحة الفم والأسنان")</f>
        <v>جراحة الفم والأسنان</v>
      </c>
      <c r="G949" s="5" t="str">
        <f ca="1">IFERROR(__xludf.DUMMYFUNCTION("""COMPUTED_VALUE"""),"المركز المصري الاول لطب الأسنان ( د/ حسين محمد طاهر)")</f>
        <v>المركز المصري الاول لطب الأسنان ( د/ حسين محمد طاهر)</v>
      </c>
      <c r="H949" s="5" t="str">
        <f ca="1">IFERROR(__xludf.DUMMYFUNCTION("""COMPUTED_VALUE"""),"16 ش شريف - بجوار البنك المركزي و البنك الاهلي الرئيسي-وسط البلد-القاهرة")</f>
        <v>16 ش شريف - بجوار البنك المركزي و البنك الاهلي الرئيسي-وسط البلد-القاهرة</v>
      </c>
      <c r="I949" s="6" t="str">
        <f ca="1">IFERROR(__xludf.DUMMYFUNCTION("""COMPUTED_VALUE"""),"0223910508")</f>
        <v>0223910508</v>
      </c>
      <c r="J949" s="6"/>
      <c r="K949" s="6" t="str">
        <f ca="1">IFERROR(__xludf.DUMMYFUNCTION("""COMPUTED_VALUE"""),"30% على الكشوفات ,10% على التركيبات ,10% على الإجراءات ,5% على الزراعات")</f>
        <v>30% على الكشوفات ,10% على التركيبات ,10% على الإجراءات ,5% على الزراعات</v>
      </c>
    </row>
    <row r="950" spans="1:11" x14ac:dyDescent="0.25">
      <c r="A950" s="4" t="str">
        <f ca="1">IFERROR(__xludf.DUMMYFUNCTION("""COMPUTED_VALUE"""),"104088")</f>
        <v>104088</v>
      </c>
      <c r="B950" s="5" t="str">
        <f ca="1">IFERROR(__xludf.DUMMYFUNCTION("""COMPUTED_VALUE"""),"القليوبية")</f>
        <v>القليوبية</v>
      </c>
      <c r="C950" s="5" t="str">
        <f ca="1">IFERROR(__xludf.DUMMYFUNCTION("""COMPUTED_VALUE"""),"بنها")</f>
        <v>بنها</v>
      </c>
      <c r="D950" s="5" t="str">
        <f ca="1">IFERROR(__xludf.DUMMYFUNCTION("""COMPUTED_VALUE"""),"هيئة الأطباء")</f>
        <v>هيئة الأطباء</v>
      </c>
      <c r="E950" s="5" t="str">
        <f ca="1">IFERROR(__xludf.DUMMYFUNCTION("""COMPUTED_VALUE"""),"اسنان")</f>
        <v>اسنان</v>
      </c>
      <c r="F950" s="5" t="str">
        <f ca="1">IFERROR(__xludf.DUMMYFUNCTION("""COMPUTED_VALUE"""),"جراحة الفم والأسنان")</f>
        <v>جراحة الفم والأسنان</v>
      </c>
      <c r="G950" s="5" t="str">
        <f ca="1">IFERROR(__xludf.DUMMYFUNCTION("""COMPUTED_VALUE"""),"د/ مايكل منصور سلامه")</f>
        <v>د/ مايكل منصور سلامه</v>
      </c>
      <c r="H950" s="5" t="str">
        <f ca="1">IFERROR(__xludf.DUMMYFUNCTION("""COMPUTED_VALUE"""),"خلف محطة القطار-امام محلات السبيلي-المنشيه-بنها-القليوبية")</f>
        <v>خلف محطة القطار-امام محلات السبيلي-المنشيه-بنها-القليوبية</v>
      </c>
      <c r="I950" s="6" t="str">
        <f ca="1">IFERROR(__xludf.DUMMYFUNCTION("""COMPUTED_VALUE"""),"201002862757")</f>
        <v>201002862757</v>
      </c>
      <c r="J950" s="6"/>
      <c r="K950" s="6" t="str">
        <f ca="1">IFERROR(__xludf.DUMMYFUNCTION("""COMPUTED_VALUE"""),"خصم 50% علي الكشف و 25% علي الخدمات")</f>
        <v>خصم 50% علي الكشف و 25% علي الخدمات</v>
      </c>
    </row>
    <row r="951" spans="1:11" x14ac:dyDescent="0.25">
      <c r="A951" s="4" t="str">
        <f ca="1">IFERROR(__xludf.DUMMYFUNCTION("""COMPUTED_VALUE"""),"103872")</f>
        <v>103872</v>
      </c>
      <c r="B951" s="5" t="str">
        <f ca="1">IFERROR(__xludf.DUMMYFUNCTION("""COMPUTED_VALUE"""),"الوادى الجديد")</f>
        <v>الوادى الجديد</v>
      </c>
      <c r="C951" s="5" t="str">
        <f ca="1">IFERROR(__xludf.DUMMYFUNCTION("""COMPUTED_VALUE"""),"الخارجة")</f>
        <v>الخارجة</v>
      </c>
      <c r="D951" s="5" t="str">
        <f ca="1">IFERROR(__xludf.DUMMYFUNCTION("""COMPUTED_VALUE"""),"هيئة الأطباء")</f>
        <v>هيئة الأطباء</v>
      </c>
      <c r="E951" s="5" t="str">
        <f ca="1">IFERROR(__xludf.DUMMYFUNCTION("""COMPUTED_VALUE"""),"اسنان")</f>
        <v>اسنان</v>
      </c>
      <c r="F951" s="5" t="str">
        <f ca="1">IFERROR(__xludf.DUMMYFUNCTION("""COMPUTED_VALUE"""),"جراحة الفم والأسنان")</f>
        <v>جراحة الفم والأسنان</v>
      </c>
      <c r="G951" s="5" t="str">
        <f ca="1">IFERROR(__xludf.DUMMYFUNCTION("""COMPUTED_VALUE"""),"د/ حسام الصفتى")</f>
        <v>د/ حسام الصفتى</v>
      </c>
      <c r="H951" s="5" t="str">
        <f ca="1">IFERROR(__xludf.DUMMYFUNCTION("""COMPUTED_VALUE"""),"شارع النبوي المهندس امام كلية التربية اعلى صيدلية د/ بيشوى -الخارجة -الخارجة-الوادى الجديد")</f>
        <v>شارع النبوي المهندس امام كلية التربية اعلى صيدلية د/ بيشوى -الخارجة -الخارجة-الوادى الجديد</v>
      </c>
      <c r="I951" s="6" t="str">
        <f ca="1">IFERROR(__xludf.DUMMYFUNCTION("""COMPUTED_VALUE"""),"20927920131")</f>
        <v>20927920131</v>
      </c>
      <c r="J951" s="6"/>
      <c r="K951" s="6" t="str">
        <f ca="1">IFERROR(__xludf.DUMMYFUNCTION("""COMPUTED_VALUE"""),"كشف موحد 35 ج وباقي الخدمات طبقا ل نقابة 2016")</f>
        <v>كشف موحد 35 ج وباقي الخدمات طبقا ل نقابة 2016</v>
      </c>
    </row>
    <row r="952" spans="1:11" x14ac:dyDescent="0.25">
      <c r="A952" s="4" t="str">
        <f ca="1">IFERROR(__xludf.DUMMYFUNCTION("""COMPUTED_VALUE"""),"104613")</f>
        <v>104613</v>
      </c>
      <c r="B952" s="5" t="str">
        <f ca="1">IFERROR(__xludf.DUMMYFUNCTION("""COMPUTED_VALUE"""),"القاهرة")</f>
        <v>القاهرة</v>
      </c>
      <c r="C952" s="5" t="str">
        <f ca="1">IFERROR(__xludf.DUMMYFUNCTION("""COMPUTED_VALUE"""),"السيدة زينب")</f>
        <v>السيدة زينب</v>
      </c>
      <c r="D952" s="5" t="str">
        <f ca="1">IFERROR(__xludf.DUMMYFUNCTION("""COMPUTED_VALUE"""),"هيئة الأطباء")</f>
        <v>هيئة الأطباء</v>
      </c>
      <c r="E952" s="5" t="str">
        <f ca="1">IFERROR(__xludf.DUMMYFUNCTION("""COMPUTED_VALUE"""),"اسنان")</f>
        <v>اسنان</v>
      </c>
      <c r="F952" s="5" t="str">
        <f ca="1">IFERROR(__xludf.DUMMYFUNCTION("""COMPUTED_VALUE"""),"جراحة الفم والأسنان")</f>
        <v>جراحة الفم والأسنان</v>
      </c>
      <c r="G952" s="5" t="str">
        <f ca="1">IFERROR(__xludf.DUMMYFUNCTION("""COMPUTED_VALUE"""),"د/أسامة سراج الدين أحمد محمد")</f>
        <v>د/أسامة سراج الدين أحمد محمد</v>
      </c>
      <c r="H952" s="5" t="str">
        <f ca="1">IFERROR(__xludf.DUMMYFUNCTION("""COMPUTED_VALUE"""),"73شارع مجلس الشعب - متفرع من شارع بورسعيد - السيدة زينب - القاهرة")</f>
        <v>73شارع مجلس الشعب - متفرع من شارع بورسعيد - السيدة زينب - القاهرة</v>
      </c>
      <c r="I952" s="6" t="str">
        <f ca="1">IFERROR(__xludf.DUMMYFUNCTION("""COMPUTED_VALUE"""),"20223906933")</f>
        <v>20223906933</v>
      </c>
      <c r="J952" s="6"/>
      <c r="K952" s="6" t="str">
        <f ca="1">IFERROR(__xludf.DUMMYFUNCTION("""COMPUTED_VALUE"""),"الكشف:25 نقابه 2014")</f>
        <v>الكشف:25 نقابه 2014</v>
      </c>
    </row>
    <row r="953" spans="1:11" x14ac:dyDescent="0.25">
      <c r="A953" s="4" t="str">
        <f ca="1">IFERROR(__xludf.DUMMYFUNCTION("""COMPUTED_VALUE"""),"104755")</f>
        <v>104755</v>
      </c>
      <c r="B953" s="5" t="str">
        <f ca="1">IFERROR(__xludf.DUMMYFUNCTION("""COMPUTED_VALUE"""),"القاهرة")</f>
        <v>القاهرة</v>
      </c>
      <c r="C953" s="5" t="str">
        <f ca="1">IFERROR(__xludf.DUMMYFUNCTION("""COMPUTED_VALUE"""),"رمسيس")</f>
        <v>رمسيس</v>
      </c>
      <c r="D953" s="5" t="str">
        <f ca="1">IFERROR(__xludf.DUMMYFUNCTION("""COMPUTED_VALUE"""),"هيئة الأطباء")</f>
        <v>هيئة الأطباء</v>
      </c>
      <c r="E953" s="5" t="str">
        <f ca="1">IFERROR(__xludf.DUMMYFUNCTION("""COMPUTED_VALUE"""),"اسنان")</f>
        <v>اسنان</v>
      </c>
      <c r="F953" s="5" t="str">
        <f ca="1">IFERROR(__xludf.DUMMYFUNCTION("""COMPUTED_VALUE"""),"جراحة الفم والأسنان")</f>
        <v>جراحة الفم والأسنان</v>
      </c>
      <c r="G953" s="5" t="str">
        <f ca="1">IFERROR(__xludf.DUMMYFUNCTION("""COMPUTED_VALUE"""),"د/أحمد فتحي حسين النص عبدالغني")</f>
        <v>د/أحمد فتحي حسين النص عبدالغني</v>
      </c>
      <c r="H953" s="5" t="str">
        <f ca="1">IFERROR(__xludf.DUMMYFUNCTION("""COMPUTED_VALUE"""),"2ميدان فخري - الظاهر - رمسيس - القاهرة")</f>
        <v>2ميدان فخري - الظاهر - رمسيس - القاهرة</v>
      </c>
      <c r="I953" s="6" t="str">
        <f ca="1">IFERROR(__xludf.DUMMYFUNCTION("""COMPUTED_VALUE"""),"201100226666")</f>
        <v>201100226666</v>
      </c>
      <c r="J953" s="6"/>
      <c r="K953" s="6" t="str">
        <f ca="1">IFERROR(__xludf.DUMMYFUNCTION("""COMPUTED_VALUE"""),"خصم 25% علي الأسعار النقدي المعلنة")</f>
        <v>خصم 25% علي الأسعار النقدي المعلنة</v>
      </c>
    </row>
    <row r="954" spans="1:11" x14ac:dyDescent="0.25">
      <c r="A954" s="4" t="str">
        <f ca="1">IFERROR(__xludf.DUMMYFUNCTION("""COMPUTED_VALUE"""),"103480")</f>
        <v>103480</v>
      </c>
      <c r="B954" s="5" t="str">
        <f ca="1">IFERROR(__xludf.DUMMYFUNCTION("""COMPUTED_VALUE"""),"الجيزة")</f>
        <v>الجيزة</v>
      </c>
      <c r="C954" s="5" t="str">
        <f ca="1">IFERROR(__xludf.DUMMYFUNCTION("""COMPUTED_VALUE"""),"المهندسين")</f>
        <v>المهندسين</v>
      </c>
      <c r="D954" s="5" t="str">
        <f ca="1">IFERROR(__xludf.DUMMYFUNCTION("""COMPUTED_VALUE"""),"مستشفى")</f>
        <v>مستشفى</v>
      </c>
      <c r="E954" s="5" t="str">
        <f ca="1">IFERROR(__xludf.DUMMYFUNCTION("""COMPUTED_VALUE"""),"مستشفي طبي متخصص")</f>
        <v>مستشفي طبي متخصص</v>
      </c>
      <c r="F954" s="5" t="str">
        <f ca="1">IFERROR(__xludf.DUMMYFUNCTION("""COMPUTED_VALUE"""),"صدرية")</f>
        <v>صدرية</v>
      </c>
      <c r="G954" s="5" t="str">
        <f ca="1">IFERROR(__xludf.DUMMYFUNCTION("""COMPUTED_VALUE"""),"مركز الفا للامراض الصدرية")</f>
        <v>مركز الفا للامراض الصدرية</v>
      </c>
      <c r="H954" s="5" t="str">
        <f ca="1">IFERROR(__xludf.DUMMYFUNCTION("""COMPUTED_VALUE"""),"1 ميدان الحجاز - برج الصفا الطبي-المهندسين- الجيزة")</f>
        <v>1 ميدان الحجاز - برج الصفا الطبي-المهندسين- الجيزة</v>
      </c>
      <c r="I954" s="6" t="str">
        <f ca="1">IFERROR(__xludf.DUMMYFUNCTION("""COMPUTED_VALUE"""),"20233384040")</f>
        <v>20233384040</v>
      </c>
      <c r="J954" s="6"/>
      <c r="K954" s="6" t="str">
        <f ca="1">IFERROR(__xludf.DUMMYFUNCTION("""COMPUTED_VALUE"""),"40% على الكشوفات ,20%على الفحوصات الطبية .10%على خدمات قسم المناظير")</f>
        <v>40% على الكشوفات ,20%على الفحوصات الطبية .10%على خدمات قسم المناظير</v>
      </c>
    </row>
    <row r="955" spans="1:11" x14ac:dyDescent="0.25">
      <c r="A955" s="4" t="str">
        <f ca="1">IFERROR(__xludf.DUMMYFUNCTION("""COMPUTED_VALUE"""),"103400")</f>
        <v>103400</v>
      </c>
      <c r="B955" s="5" t="str">
        <f ca="1">IFERROR(__xludf.DUMMYFUNCTION("""COMPUTED_VALUE"""),"الاسكندرية")</f>
        <v>الاسكندرية</v>
      </c>
      <c r="C955" s="5" t="str">
        <f ca="1">IFERROR(__xludf.DUMMYFUNCTION("""COMPUTED_VALUE"""),"زيزينيا")</f>
        <v>زيزينيا</v>
      </c>
      <c r="D955" s="5" t="str">
        <f ca="1">IFERROR(__xludf.DUMMYFUNCTION("""COMPUTED_VALUE"""),"هيئة الأطباء")</f>
        <v>هيئة الأطباء</v>
      </c>
      <c r="E955" s="5" t="str">
        <f ca="1">IFERROR(__xludf.DUMMYFUNCTION("""COMPUTED_VALUE"""),"باطنة")</f>
        <v>باطنة</v>
      </c>
      <c r="F955" s="5" t="str">
        <f ca="1">IFERROR(__xludf.DUMMYFUNCTION("""COMPUTED_VALUE"""),"قلب واوعية دموية")</f>
        <v>قلب واوعية دموية</v>
      </c>
      <c r="G955" s="5" t="str">
        <f ca="1">IFERROR(__xludf.DUMMYFUNCTION("""COMPUTED_VALUE"""),"د/ عمرو صبري")</f>
        <v>د/ عمرو صبري</v>
      </c>
      <c r="H955" s="5" t="str">
        <f ca="1">IFERROR(__xludf.DUMMYFUNCTION("""COMPUTED_VALUE"""),"5ب - شارع المهندس محمد شوقي - زيزينيا خلف البنك الأهلي المصري-الاسكندرية")</f>
        <v>5ب - شارع المهندس محمد شوقي - زيزينيا خلف البنك الأهلي المصري-الاسكندرية</v>
      </c>
      <c r="I955" s="6" t="str">
        <f ca="1">IFERROR(__xludf.DUMMYFUNCTION("""COMPUTED_VALUE"""),"2035766770")</f>
        <v>2035766770</v>
      </c>
      <c r="J955" s="6"/>
      <c r="K955" s="6" t="str">
        <f ca="1">IFERROR(__xludf.DUMMYFUNCTION("""COMPUTED_VALUE"""),"الكشف 80 جنية")</f>
        <v>الكشف 80 جنية</v>
      </c>
    </row>
    <row r="956" spans="1:11" x14ac:dyDescent="0.25">
      <c r="A956" s="4" t="str">
        <f ca="1">IFERROR(__xludf.DUMMYFUNCTION("""COMPUTED_VALUE"""),"3947")</f>
        <v>3947</v>
      </c>
      <c r="B956" s="5" t="str">
        <f ca="1">IFERROR(__xludf.DUMMYFUNCTION("""COMPUTED_VALUE"""),"الإسماعيلية")</f>
        <v>الإسماعيلية</v>
      </c>
      <c r="C956" s="5" t="str">
        <f ca="1">IFERROR(__xludf.DUMMYFUNCTION("""COMPUTED_VALUE"""),"الإسماعيلية")</f>
        <v>الإسماعيلية</v>
      </c>
      <c r="D956" s="5" t="str">
        <f ca="1">IFERROR(__xludf.DUMMYFUNCTION("""COMPUTED_VALUE"""),"هيئة الأطباء")</f>
        <v>هيئة الأطباء</v>
      </c>
      <c r="E956" s="5" t="str">
        <f ca="1">IFERROR(__xludf.DUMMYFUNCTION("""COMPUTED_VALUE"""),"باطنة")</f>
        <v>باطنة</v>
      </c>
      <c r="F956" s="5" t="str">
        <f ca="1">IFERROR(__xludf.DUMMYFUNCTION("""COMPUTED_VALUE"""),"قلب واوعية دموية")</f>
        <v>قلب واوعية دموية</v>
      </c>
      <c r="G956" s="5" t="str">
        <f ca="1">IFERROR(__xludf.DUMMYFUNCTION("""COMPUTED_VALUE"""),"د/ محمد عبد المنعم الفى")</f>
        <v>د/ محمد عبد المنعم الفى</v>
      </c>
      <c r="H956" s="5" t="str">
        <f ca="1">IFERROR(__xludf.DUMMYFUNCTION("""COMPUTED_VALUE"""),"8شارع عمرو والتحرير امام صيدلية طلعت الدولية حى الافرنج -الاسماعيلية")</f>
        <v>8شارع عمرو والتحرير امام صيدلية طلعت الدولية حى الافرنج -الاسماعيلية</v>
      </c>
      <c r="I956" s="6" t="str">
        <f ca="1">IFERROR(__xludf.DUMMYFUNCTION("""COMPUTED_VALUE"""),"20643912350")</f>
        <v>20643912350</v>
      </c>
      <c r="J956" s="6"/>
      <c r="K956" s="6" t="str">
        <f ca="1">IFERROR(__xludf.DUMMYFUNCTION("""COMPUTED_VALUE"""),"الكشف : 65 جنية")</f>
        <v>الكشف : 65 جنية</v>
      </c>
    </row>
    <row r="957" spans="1:11" x14ac:dyDescent="0.25">
      <c r="A957" s="4" t="str">
        <f ca="1">IFERROR(__xludf.DUMMYFUNCTION("""COMPUTED_VALUE"""),"3196")</f>
        <v>3196</v>
      </c>
      <c r="B957" s="5" t="str">
        <f ca="1">IFERROR(__xludf.DUMMYFUNCTION("""COMPUTED_VALUE"""),"الغربية")</f>
        <v>الغربية</v>
      </c>
      <c r="C957" s="5" t="str">
        <f ca="1">IFERROR(__xludf.DUMMYFUNCTION("""COMPUTED_VALUE"""),"طنطا")</f>
        <v>طنطا</v>
      </c>
      <c r="D957" s="5" t="str">
        <f ca="1">IFERROR(__xludf.DUMMYFUNCTION("""COMPUTED_VALUE"""),"مركز أشعة")</f>
        <v>مركز أشعة</v>
      </c>
      <c r="E957" s="5" t="str">
        <f ca="1">IFERROR(__xludf.DUMMYFUNCTION("""COMPUTED_VALUE"""),"مركز أشعة")</f>
        <v>مركز أشعة</v>
      </c>
      <c r="F957" s="5" t="str">
        <f ca="1">IFERROR(__xludf.DUMMYFUNCTION("""COMPUTED_VALUE"""),"قلب واوعية دموية")</f>
        <v>قلب واوعية دموية</v>
      </c>
      <c r="G957" s="5" t="str">
        <f ca="1">IFERROR(__xludf.DUMMYFUNCTION("""COMPUTED_VALUE"""),"المركز المصرى لتشخيص القلب والاوعية الدموية")</f>
        <v>المركز المصرى لتشخيص القلب والاوعية الدموية</v>
      </c>
      <c r="H957" s="5" t="str">
        <f ca="1">IFERROR(__xludf.DUMMYFUNCTION("""COMPUTED_VALUE"""),"71ش البحر امام مستشفى الجامعة اسفل معمل المختبر بجوار البنك العقارى-طنطا-الغربية")</f>
        <v>71ش البحر امام مستشفى الجامعة اسفل معمل المختبر بجوار البنك العقارى-طنطا-الغربية</v>
      </c>
      <c r="I957" s="6" t="str">
        <f ca="1">IFERROR(__xludf.DUMMYFUNCTION("""COMPUTED_VALUE"""),"20403319620")</f>
        <v>20403319620</v>
      </c>
      <c r="J957" s="6"/>
      <c r="K957" s="6" t="str">
        <f ca="1">IFERROR(__xludf.DUMMYFUNCTION("""COMPUTED_VALUE"""),"20% على جميع الخدمات")</f>
        <v>20% على جميع الخدمات</v>
      </c>
    </row>
    <row r="958" spans="1:11" x14ac:dyDescent="0.25">
      <c r="A958" s="4" t="str">
        <f ca="1">IFERROR(__xludf.DUMMYFUNCTION("""COMPUTED_VALUE"""),"3546")</f>
        <v>3546</v>
      </c>
      <c r="B958" s="5" t="str">
        <f ca="1">IFERROR(__xludf.DUMMYFUNCTION("""COMPUTED_VALUE"""),"الغربية")</f>
        <v>الغربية</v>
      </c>
      <c r="C958" s="5" t="str">
        <f ca="1">IFERROR(__xludf.DUMMYFUNCTION("""COMPUTED_VALUE"""),"طنطا")</f>
        <v>طنطا</v>
      </c>
      <c r="D958" s="5" t="str">
        <f ca="1">IFERROR(__xludf.DUMMYFUNCTION("""COMPUTED_VALUE"""),"مستشفى")</f>
        <v>مستشفى</v>
      </c>
      <c r="E958" s="5" t="str">
        <f ca="1">IFERROR(__xludf.DUMMYFUNCTION("""COMPUTED_VALUE"""),"مستشفي طبي متخصص")</f>
        <v>مستشفي طبي متخصص</v>
      </c>
      <c r="F958" s="5" t="str">
        <f ca="1">IFERROR(__xludf.DUMMYFUNCTION("""COMPUTED_VALUE"""),"قلب واوعية دموية")</f>
        <v>قلب واوعية دموية</v>
      </c>
      <c r="G958" s="5" t="str">
        <f ca="1">IFERROR(__xludf.DUMMYFUNCTION("""COMPUTED_VALUE"""),"مركز ام القرى للقلب والاوعية الدموية")</f>
        <v>مركز ام القرى للقلب والاوعية الدموية</v>
      </c>
      <c r="H958" s="5" t="str">
        <f ca="1">IFERROR(__xludf.DUMMYFUNCTION("""COMPUTED_VALUE"""),"امام مديرية التموين والتجارة -امام  الاستاد- طنطا-الغربية")</f>
        <v>امام مديرية التموين والتجارة -امام  الاستاد- طنطا-الغربية</v>
      </c>
      <c r="I958" s="6" t="str">
        <f ca="1">IFERROR(__xludf.DUMMYFUNCTION("""COMPUTED_VALUE"""),"20403576034/9")</f>
        <v>20403576034/9</v>
      </c>
      <c r="J958" s="6"/>
      <c r="K958" s="6" t="str">
        <f ca="1">IFERROR(__xludf.DUMMYFUNCTION("""COMPUTED_VALUE"""),"المؤسسه العلاجيه 2010")</f>
        <v>المؤسسه العلاجيه 2010</v>
      </c>
    </row>
    <row r="959" spans="1:11" x14ac:dyDescent="0.25">
      <c r="A959" s="4" t="str">
        <f ca="1">IFERROR(__xludf.DUMMYFUNCTION("""COMPUTED_VALUE"""),"2921")</f>
        <v>2921</v>
      </c>
      <c r="B959" s="5" t="str">
        <f ca="1">IFERROR(__xludf.DUMMYFUNCTION("""COMPUTED_VALUE"""),"الجيزة")</f>
        <v>الجيزة</v>
      </c>
      <c r="C959" s="5" t="str">
        <f ca="1">IFERROR(__xludf.DUMMYFUNCTION("""COMPUTED_VALUE"""),"الدقي")</f>
        <v>الدقي</v>
      </c>
      <c r="D959" s="5" t="str">
        <f ca="1">IFERROR(__xludf.DUMMYFUNCTION("""COMPUTED_VALUE"""),"مستشفى")</f>
        <v>مستشفى</v>
      </c>
      <c r="E959" s="5" t="str">
        <f ca="1">IFERROR(__xludf.DUMMYFUNCTION("""COMPUTED_VALUE"""),"مستشفي طبي متخصص")</f>
        <v>مستشفي طبي متخصص</v>
      </c>
      <c r="F959" s="5" t="str">
        <f ca="1">IFERROR(__xludf.DUMMYFUNCTION("""COMPUTED_VALUE"""),"قلب واوعية دموية")</f>
        <v>قلب واوعية دموية</v>
      </c>
      <c r="G959" s="5" t="str">
        <f ca="1">IFERROR(__xludf.DUMMYFUNCTION("""COMPUTED_VALUE"""),"كارديوتك للرعاية الطبية")</f>
        <v>كارديوتك للرعاية الطبية</v>
      </c>
      <c r="H959" s="5" t="str">
        <f ca="1">IFERROR(__xludf.DUMMYFUNCTION("""COMPUTED_VALUE"""),"3شارع الأحرار - مستشفى ابراهيم بدران-الدقي- الجيزة")</f>
        <v>3شارع الأحرار - مستشفى ابراهيم بدران-الدقي- الجيزة</v>
      </c>
      <c r="I959" s="6" t="str">
        <f ca="1">IFERROR(__xludf.DUMMYFUNCTION("""COMPUTED_VALUE"""),"20233369071")</f>
        <v>20233369071</v>
      </c>
      <c r="J959" s="6"/>
      <c r="K959" s="6" t="str">
        <f ca="1">IFERROR(__xludf.DUMMYFUNCTION("""COMPUTED_VALUE"""),"50% على الكشف ,20% على باقى الخدمات")</f>
        <v>50% على الكشف ,20% على باقى الخدمات</v>
      </c>
    </row>
    <row r="960" spans="1:11" x14ac:dyDescent="0.25">
      <c r="A960" s="4" t="str">
        <f ca="1">IFERROR(__xludf.DUMMYFUNCTION("""COMPUTED_VALUE"""),"4677")</f>
        <v>4677</v>
      </c>
      <c r="B960" s="5" t="str">
        <f ca="1">IFERROR(__xludf.DUMMYFUNCTION("""COMPUTED_VALUE"""),"الجيزة")</f>
        <v>الجيزة</v>
      </c>
      <c r="C960" s="5" t="str">
        <f ca="1">IFERROR(__xludf.DUMMYFUNCTION("""COMPUTED_VALUE"""),"الدقي")</f>
        <v>الدقي</v>
      </c>
      <c r="D960" s="5" t="str">
        <f ca="1">IFERROR(__xludf.DUMMYFUNCTION("""COMPUTED_VALUE"""),"مستشفى")</f>
        <v>مستشفى</v>
      </c>
      <c r="E960" s="5" t="str">
        <f ca="1">IFERROR(__xludf.DUMMYFUNCTION("""COMPUTED_VALUE"""),"مستشفي طبي متخصص")</f>
        <v>مستشفي طبي متخصص</v>
      </c>
      <c r="F960" s="5" t="str">
        <f ca="1">IFERROR(__xludf.DUMMYFUNCTION("""COMPUTED_VALUE"""),"قلب واوعية دموية")</f>
        <v>قلب واوعية دموية</v>
      </c>
      <c r="G960" s="5" t="str">
        <f ca="1">IFERROR(__xludf.DUMMYFUNCTION("""COMPUTED_VALUE"""),"مركز مصر للقلب والقسطرة والأوعية الدموية")</f>
        <v>مركز مصر للقلب والقسطرة والأوعية الدموية</v>
      </c>
      <c r="H960" s="5" t="str">
        <f ca="1">IFERROR(__xludf.DUMMYFUNCTION("""COMPUTED_VALUE"""),"30شارع أحمد الشاطورى متفرع من شارع الدقى-الدقي- الجيزة")</f>
        <v>30شارع أحمد الشاطورى متفرع من شارع الدقى-الدقي- الجيزة</v>
      </c>
      <c r="I960" s="6" t="str">
        <f ca="1">IFERROR(__xludf.DUMMYFUNCTION("""COMPUTED_VALUE"""),"201033304331")</f>
        <v>201033304331</v>
      </c>
      <c r="J960" s="6"/>
      <c r="K960" s="6" t="str">
        <f ca="1">IFERROR(__xludf.DUMMYFUNCTION("""COMPUTED_VALUE"""),"20% علي جميع الخدمات الداخلي و الخارجي ما عدا الأدويه و المستلزمات و خدمات الرعايه و اتعاب الاطباء علي الأسعار النقدي المعلنه.")</f>
        <v>20% علي جميع الخدمات الداخلي و الخارجي ما عدا الأدويه و المستلزمات و خدمات الرعايه و اتعاب الاطباء علي الأسعار النقدي المعلنه.</v>
      </c>
    </row>
    <row r="961" spans="1:11" x14ac:dyDescent="0.25">
      <c r="A961" s="4" t="str">
        <f ca="1">IFERROR(__xludf.DUMMYFUNCTION("""COMPUTED_VALUE"""),"103730")</f>
        <v>103730</v>
      </c>
      <c r="B961" s="5" t="str">
        <f ca="1">IFERROR(__xludf.DUMMYFUNCTION("""COMPUTED_VALUE"""),"الجيزة")</f>
        <v>الجيزة</v>
      </c>
      <c r="C961" s="5" t="str">
        <f ca="1">IFERROR(__xludf.DUMMYFUNCTION("""COMPUTED_VALUE"""),"الدقي")</f>
        <v>الدقي</v>
      </c>
      <c r="D961" s="5" t="str">
        <f ca="1">IFERROR(__xludf.DUMMYFUNCTION("""COMPUTED_VALUE"""),"مستشفى")</f>
        <v>مستشفى</v>
      </c>
      <c r="E961" s="5" t="str">
        <f ca="1">IFERROR(__xludf.DUMMYFUNCTION("""COMPUTED_VALUE"""),"مستشفي طبي متخصص")</f>
        <v>مستشفي طبي متخصص</v>
      </c>
      <c r="F961" s="5" t="str">
        <f ca="1">IFERROR(__xludf.DUMMYFUNCTION("""COMPUTED_VALUE"""),"قلب واوعية دموية")</f>
        <v>قلب واوعية دموية</v>
      </c>
      <c r="G961" s="5" t="str">
        <f ca="1">IFERROR(__xludf.DUMMYFUNCTION("""COMPUTED_VALUE"""),"مركز هارت بليس لرعاية و علاج امراض القلب")</f>
        <v>مركز هارت بليس لرعاية و علاج امراض القلب</v>
      </c>
      <c r="H961" s="5" t="str">
        <f ca="1">IFERROR(__xludf.DUMMYFUNCTION("""COMPUTED_VALUE"""),"5 شارع عمان-داخل مستشفي دار الطب-الدقي - الجيزة")</f>
        <v>5 شارع عمان-داخل مستشفي دار الطب-الدقي - الجيزة</v>
      </c>
      <c r="I961" s="6" t="str">
        <f ca="1">IFERROR(__xludf.DUMMYFUNCTION("""COMPUTED_VALUE"""),"20237601120")</f>
        <v>20237601120</v>
      </c>
      <c r="J961" s="6" t="str">
        <f ca="1">IFERROR(__xludf.DUMMYFUNCTION("""COMPUTED_VALUE"""),"16709")</f>
        <v>16709</v>
      </c>
      <c r="K961" s="6" t="str">
        <f ca="1">IFERROR(__xludf.DUMMYFUNCTION("""COMPUTED_VALUE"""),"20% نسبة خصم")</f>
        <v>20% نسبة خصم</v>
      </c>
    </row>
    <row r="962" spans="1:11" x14ac:dyDescent="0.25">
      <c r="A962" s="4" t="str">
        <f ca="1">IFERROR(__xludf.DUMMYFUNCTION("""COMPUTED_VALUE"""),"3250")</f>
        <v>3250</v>
      </c>
      <c r="B962" s="5" t="str">
        <f ca="1">IFERROR(__xludf.DUMMYFUNCTION("""COMPUTED_VALUE"""),"الجيزة")</f>
        <v>الجيزة</v>
      </c>
      <c r="C962" s="5" t="str">
        <f ca="1">IFERROR(__xludf.DUMMYFUNCTION("""COMPUTED_VALUE"""),"الدقي")</f>
        <v>الدقي</v>
      </c>
      <c r="D962" s="5" t="str">
        <f ca="1">IFERROR(__xludf.DUMMYFUNCTION("""COMPUTED_VALUE"""),"هيئة الأطباء")</f>
        <v>هيئة الأطباء</v>
      </c>
      <c r="E962" s="5" t="str">
        <f ca="1">IFERROR(__xludf.DUMMYFUNCTION("""COMPUTED_VALUE"""),"باطنة")</f>
        <v>باطنة</v>
      </c>
      <c r="F962" s="5" t="str">
        <f ca="1">IFERROR(__xludf.DUMMYFUNCTION("""COMPUTED_VALUE"""),"قلب واوعية دموية")</f>
        <v>قلب واوعية دموية</v>
      </c>
      <c r="G962" s="5" t="str">
        <f ca="1">IFERROR(__xludf.DUMMYFUNCTION("""COMPUTED_VALUE"""),"د/ حسام الدين محمد محمد منصور")</f>
        <v>د/ حسام الدين محمد محمد منصور</v>
      </c>
      <c r="H962" s="5" t="str">
        <f ca="1">IFERROR(__xludf.DUMMYFUNCTION("""COMPUTED_VALUE"""),"97شارع التحرير-الدقي- الجيزة")</f>
        <v>97شارع التحرير-الدقي- الجيزة</v>
      </c>
      <c r="I962" s="6" t="str">
        <f ca="1">IFERROR(__xludf.DUMMYFUNCTION("""COMPUTED_VALUE"""),"20237497096")</f>
        <v>20237497096</v>
      </c>
      <c r="J962" s="6"/>
      <c r="K962" s="6" t="str">
        <f ca="1">IFERROR(__xludf.DUMMYFUNCTION("""COMPUTED_VALUE"""),"خصم 50% علي الأسعار النقدي المعلنة")</f>
        <v>خصم 50% علي الأسعار النقدي المعلنة</v>
      </c>
    </row>
    <row r="963" spans="1:11" x14ac:dyDescent="0.25">
      <c r="A963" s="4" t="str">
        <f ca="1">IFERROR(__xludf.DUMMYFUNCTION("""COMPUTED_VALUE"""),"103843")</f>
        <v>103843</v>
      </c>
      <c r="B963" s="5" t="str">
        <f ca="1">IFERROR(__xludf.DUMMYFUNCTION("""COMPUTED_VALUE"""),"الجيزة")</f>
        <v>الجيزة</v>
      </c>
      <c r="C963" s="5" t="str">
        <f ca="1">IFERROR(__xludf.DUMMYFUNCTION("""COMPUTED_VALUE"""),"الدقي")</f>
        <v>الدقي</v>
      </c>
      <c r="D963" s="5" t="str">
        <f ca="1">IFERROR(__xludf.DUMMYFUNCTION("""COMPUTED_VALUE"""),"هيئة الأطباء")</f>
        <v>هيئة الأطباء</v>
      </c>
      <c r="E963" s="5" t="str">
        <f ca="1">IFERROR(__xludf.DUMMYFUNCTION("""COMPUTED_VALUE"""),"باطنة")</f>
        <v>باطنة</v>
      </c>
      <c r="F963" s="5" t="str">
        <f ca="1">IFERROR(__xludf.DUMMYFUNCTION("""COMPUTED_VALUE"""),"قلب واوعية دموية")</f>
        <v>قلب واوعية دموية</v>
      </c>
      <c r="G963" s="5" t="str">
        <f ca="1">IFERROR(__xludf.DUMMYFUNCTION("""COMPUTED_VALUE"""),"د/ محمد سليم محمد سليم")</f>
        <v>د/ محمد سليم محمد سليم</v>
      </c>
      <c r="H963" s="5" t="str">
        <f ca="1">IFERROR(__xludf.DUMMYFUNCTION("""COMPUTED_VALUE"""),"42 شارع الدقى - عمارة مصر للتامين - الدور التاسع الدقى")</f>
        <v>42 شارع الدقى - عمارة مصر للتامين - الدور التاسع الدقى</v>
      </c>
      <c r="I963" s="6" t="str">
        <f ca="1">IFERROR(__xludf.DUMMYFUNCTION("""COMPUTED_VALUE"""),"20233379745")</f>
        <v>20233379745</v>
      </c>
      <c r="J963" s="6"/>
      <c r="K963" s="6" t="str">
        <f ca="1">IFERROR(__xludf.DUMMYFUNCTION("""COMPUTED_VALUE"""),"خصم 30% علي الاسعار النقدي")</f>
        <v>خصم 30% علي الاسعار النقدي</v>
      </c>
    </row>
    <row r="964" spans="1:11" x14ac:dyDescent="0.25">
      <c r="A964" s="4" t="str">
        <f ca="1">IFERROR(__xludf.DUMMYFUNCTION("""COMPUTED_VALUE"""),"2920")</f>
        <v>2920</v>
      </c>
      <c r="B964" s="5" t="str">
        <f ca="1">IFERROR(__xludf.DUMMYFUNCTION("""COMPUTED_VALUE"""),"الجيزة")</f>
        <v>الجيزة</v>
      </c>
      <c r="C964" s="5" t="str">
        <f ca="1">IFERROR(__xludf.DUMMYFUNCTION("""COMPUTED_VALUE"""),"المهندسين")</f>
        <v>المهندسين</v>
      </c>
      <c r="D964" s="5" t="str">
        <f ca="1">IFERROR(__xludf.DUMMYFUNCTION("""COMPUTED_VALUE"""),"مستشفى")</f>
        <v>مستشفى</v>
      </c>
      <c r="E964" s="5" t="str">
        <f ca="1">IFERROR(__xludf.DUMMYFUNCTION("""COMPUTED_VALUE"""),"مستشفي طبي متخصص")</f>
        <v>مستشفي طبي متخصص</v>
      </c>
      <c r="F964" s="5" t="str">
        <f ca="1">IFERROR(__xludf.DUMMYFUNCTION("""COMPUTED_VALUE"""),"قلب واوعية دموية")</f>
        <v>قلب واوعية دموية</v>
      </c>
      <c r="G964" s="5" t="str">
        <f ca="1">IFERROR(__xludf.DUMMYFUNCTION("""COMPUTED_VALUE"""),"مركز القاهرة للقسطرة (كايرو كاث)")</f>
        <v>مركز القاهرة للقسطرة (كايرو كاث)</v>
      </c>
      <c r="H964" s="5" t="str">
        <f ca="1">IFERROR(__xludf.DUMMYFUNCTION("""COMPUTED_VALUE"""),"55شارع عبد المنعم رياض برج الجيزة الطبى-المهندسين-المهندسين- الجيزة")</f>
        <v>55شارع عبد المنعم رياض برج الجيزة الطبى-المهندسين-المهندسين- الجيزة</v>
      </c>
      <c r="I964" s="6" t="str">
        <f ca="1">IFERROR(__xludf.DUMMYFUNCTION("""COMPUTED_VALUE"""),"20233039671")</f>
        <v>20233039671</v>
      </c>
      <c r="J964" s="6"/>
      <c r="K964" s="6" t="str">
        <f ca="1">IFERROR(__xludf.DUMMYFUNCTION("""COMPUTED_VALUE"""),"خصم 30%علي العيادات الخارجيه ، 30%علي خدمات فحوصات القلب ، 10%علي القسطره، 15% على خدمات CCU")</f>
        <v>خصم 30%علي العيادات الخارجيه ، 30%علي خدمات فحوصات القلب ، 10%علي القسطره، 15% على خدمات CCU</v>
      </c>
    </row>
    <row r="965" spans="1:11" x14ac:dyDescent="0.25">
      <c r="A965" s="4" t="str">
        <f ca="1">IFERROR(__xludf.DUMMYFUNCTION("""COMPUTED_VALUE"""),"2083")</f>
        <v>2083</v>
      </c>
      <c r="B965" s="5" t="str">
        <f ca="1">IFERROR(__xludf.DUMMYFUNCTION("""COMPUTED_VALUE"""),"القاهرة")</f>
        <v>القاهرة</v>
      </c>
      <c r="C965" s="5" t="str">
        <f ca="1">IFERROR(__xludf.DUMMYFUNCTION("""COMPUTED_VALUE"""),"مصر الجديدة")</f>
        <v>مصر الجديدة</v>
      </c>
      <c r="D965" s="5" t="str">
        <f ca="1">IFERROR(__xludf.DUMMYFUNCTION("""COMPUTED_VALUE"""),"مستشفى")</f>
        <v>مستشفى</v>
      </c>
      <c r="E965" s="5" t="str">
        <f ca="1">IFERROR(__xludf.DUMMYFUNCTION("""COMPUTED_VALUE"""),"مستشفي طبي متخصص")</f>
        <v>مستشفي طبي متخصص</v>
      </c>
      <c r="F965" s="5" t="str">
        <f ca="1">IFERROR(__xludf.DUMMYFUNCTION("""COMPUTED_VALUE"""),"قلب واوعية دموية")</f>
        <v>قلب واوعية دموية</v>
      </c>
      <c r="G965" s="5" t="str">
        <f ca="1">IFERROR(__xludf.DUMMYFUNCTION("""COMPUTED_VALUE"""),"مركز علاجات القلب والأوعية الدموية - مستشفى الدرة")</f>
        <v>مركز علاجات القلب والأوعية الدموية - مستشفى الدرة</v>
      </c>
      <c r="H965" s="5" t="str">
        <f ca="1">IFERROR(__xludf.DUMMYFUNCTION("""COMPUTED_VALUE"""),"91شارع محمد فريد - ميدان الحجاز - .-مصر الجديدة-القاهرة")</f>
        <v>91شارع محمد فريد - ميدان الحجاز - .-مصر الجديدة-القاهرة</v>
      </c>
      <c r="I965" s="6" t="str">
        <f ca="1">IFERROR(__xludf.DUMMYFUNCTION("""COMPUTED_VALUE"""),"20222411110")</f>
        <v>20222411110</v>
      </c>
      <c r="J965" s="6" t="str">
        <f ca="1">IFERROR(__xludf.DUMMYFUNCTION("""COMPUTED_VALUE"""),"16711")</f>
        <v>16711</v>
      </c>
      <c r="K965" s="6" t="str">
        <f ca="1">IFERROR(__xludf.DUMMYFUNCTION("""COMPUTED_VALUE"""),"50%على الكشوفات ,30% على الاشعة والتحليل ,5% على خدمات علاجالالام ,5% على خدمات كهرو فسيولوجية القلب")</f>
        <v>50%على الكشوفات ,30% على الاشعة والتحليل ,5% على خدمات علاجالالام ,5% على خدمات كهرو فسيولوجية القلب</v>
      </c>
    </row>
    <row r="966" spans="1:11" x14ac:dyDescent="0.25">
      <c r="A966" s="4" t="str">
        <f ca="1">IFERROR(__xludf.DUMMYFUNCTION("""COMPUTED_VALUE"""),"2003")</f>
        <v>2003</v>
      </c>
      <c r="B966" s="5" t="str">
        <f ca="1">IFERROR(__xludf.DUMMYFUNCTION("""COMPUTED_VALUE"""),"القاهرة")</f>
        <v>القاهرة</v>
      </c>
      <c r="C966" s="5" t="str">
        <f ca="1">IFERROR(__xludf.DUMMYFUNCTION("""COMPUTED_VALUE"""),"مصر الجديدة")</f>
        <v>مصر الجديدة</v>
      </c>
      <c r="D966" s="5" t="str">
        <f ca="1">IFERROR(__xludf.DUMMYFUNCTION("""COMPUTED_VALUE"""),"هيئة الأطباء")</f>
        <v>هيئة الأطباء</v>
      </c>
      <c r="E966" s="5" t="str">
        <f ca="1">IFERROR(__xludf.DUMMYFUNCTION("""COMPUTED_VALUE"""),"باطنة")</f>
        <v>باطنة</v>
      </c>
      <c r="F966" s="5" t="str">
        <f ca="1">IFERROR(__xludf.DUMMYFUNCTION("""COMPUTED_VALUE"""),"قلب واوعية دموية")</f>
        <v>قلب واوعية دموية</v>
      </c>
      <c r="G966" s="5" t="str">
        <f ca="1">IFERROR(__xludf.DUMMYFUNCTION("""COMPUTED_VALUE"""),"د/ عادل جمال")</f>
        <v>د/ عادل جمال</v>
      </c>
      <c r="H966" s="5" t="str">
        <f ca="1">IFERROR(__xludf.DUMMYFUNCTION("""COMPUTED_VALUE"""),"55 شارع  الحجاز بجوار التوحيد والنور امام مسجد الخلفاء الراشدين - مصر الجديدة")</f>
        <v>55 شارع  الحجاز بجوار التوحيد والنور امام مسجد الخلفاء الراشدين - مصر الجديدة</v>
      </c>
      <c r="I966" s="6" t="str">
        <f ca="1">IFERROR(__xludf.DUMMYFUNCTION("""COMPUTED_VALUE"""),"201224412515")</f>
        <v>201224412515</v>
      </c>
      <c r="J966" s="6"/>
      <c r="K966" s="6" t="str">
        <f ca="1">IFERROR(__xludf.DUMMYFUNCTION("""COMPUTED_VALUE"""),"الكشف : 110")</f>
        <v>الكشف : 110</v>
      </c>
    </row>
    <row r="967" spans="1:11" x14ac:dyDescent="0.25">
      <c r="A967" s="4" t="str">
        <f ca="1">IFERROR(__xludf.DUMMYFUNCTION("""COMPUTED_VALUE"""),"2274")</f>
        <v>2274</v>
      </c>
      <c r="B967" s="5" t="str">
        <f ca="1">IFERROR(__xludf.DUMMYFUNCTION("""COMPUTED_VALUE"""),"القليوبية")</f>
        <v>القليوبية</v>
      </c>
      <c r="C967" s="5" t="str">
        <f ca="1">IFERROR(__xludf.DUMMYFUNCTION("""COMPUTED_VALUE"""),"بنها")</f>
        <v>بنها</v>
      </c>
      <c r="D967" s="5" t="str">
        <f ca="1">IFERROR(__xludf.DUMMYFUNCTION("""COMPUTED_VALUE"""),"هيئة الأطباء")</f>
        <v>هيئة الأطباء</v>
      </c>
      <c r="E967" s="5" t="str">
        <f ca="1">IFERROR(__xludf.DUMMYFUNCTION("""COMPUTED_VALUE"""),"باطنة")</f>
        <v>باطنة</v>
      </c>
      <c r="F967" s="5" t="str">
        <f ca="1">IFERROR(__xludf.DUMMYFUNCTION("""COMPUTED_VALUE"""),"قلب واوعية دموية")</f>
        <v>قلب واوعية دموية</v>
      </c>
      <c r="G967" s="5" t="str">
        <f ca="1">IFERROR(__xludf.DUMMYFUNCTION("""COMPUTED_VALUE"""),"د/ أسامة سند عرفة")</f>
        <v>د/ أسامة سند عرفة</v>
      </c>
      <c r="H967" s="5" t="str">
        <f ca="1">IFERROR(__xludf.DUMMYFUNCTION("""COMPUTED_VALUE"""),"المنشية 13 شارع وهبى-بنها-القليوبية")</f>
        <v>المنشية 13 شارع وهبى-بنها-القليوبية</v>
      </c>
      <c r="I967" s="6" t="str">
        <f ca="1">IFERROR(__xludf.DUMMYFUNCTION("""COMPUTED_VALUE"""),"20133229522")</f>
        <v>20133229522</v>
      </c>
      <c r="J967" s="6"/>
      <c r="K967" s="6" t="str">
        <f ca="1">IFERROR(__xludf.DUMMYFUNCTION("""COMPUTED_VALUE"""),"خصم 30% علي الأسعار النقدي المعلنه")</f>
        <v>خصم 30% علي الأسعار النقدي المعلنه</v>
      </c>
    </row>
    <row r="968" spans="1:11" x14ac:dyDescent="0.25">
      <c r="A968" s="4" t="str">
        <f ca="1">IFERROR(__xludf.DUMMYFUNCTION("""COMPUTED_VALUE"""),"3335")</f>
        <v>3335</v>
      </c>
      <c r="B968" s="5" t="str">
        <f ca="1">IFERROR(__xludf.DUMMYFUNCTION("""COMPUTED_VALUE"""),"المنوفية")</f>
        <v>المنوفية</v>
      </c>
      <c r="C968" s="5" t="str">
        <f ca="1">IFERROR(__xludf.DUMMYFUNCTION("""COMPUTED_VALUE"""),"شبين الكوم")</f>
        <v>شبين الكوم</v>
      </c>
      <c r="D968" s="5" t="str">
        <f ca="1">IFERROR(__xludf.DUMMYFUNCTION("""COMPUTED_VALUE"""),"مستشفى")</f>
        <v>مستشفى</v>
      </c>
      <c r="E968" s="5" t="str">
        <f ca="1">IFERROR(__xludf.DUMMYFUNCTION("""COMPUTED_VALUE"""),"مستشفي طبي متخصص")</f>
        <v>مستشفي طبي متخصص</v>
      </c>
      <c r="F968" s="5" t="str">
        <f ca="1">IFERROR(__xludf.DUMMYFUNCTION("""COMPUTED_VALUE"""),"قلب واوعية دموية")</f>
        <v>قلب واوعية دموية</v>
      </c>
      <c r="G968" s="5" t="str">
        <f ca="1">IFERROR(__xludf.DUMMYFUNCTION("""COMPUTED_VALUE"""),"شركة نايل كاث مركز القلب")</f>
        <v>شركة نايل كاث مركز القلب</v>
      </c>
      <c r="H968" s="5" t="str">
        <f ca="1">IFERROR(__xludf.DUMMYFUNCTION("""COMPUTED_VALUE"""),"برج أبو بوسف أمام المعهد الكبد-شبين الكوم-المنوفية")</f>
        <v>برج أبو بوسف أمام المعهد الكبد-شبين الكوم-المنوفية</v>
      </c>
      <c r="I968" s="6" t="str">
        <f ca="1">IFERROR(__xludf.DUMMYFUNCTION("""COMPUTED_VALUE"""),"20482334771")</f>
        <v>20482334771</v>
      </c>
      <c r="J968" s="6"/>
      <c r="K968" s="6" t="str">
        <f ca="1">IFERROR(__xludf.DUMMYFUNCTION("""COMPUTED_VALUE"""),"المؤسسه العلاجيه 2016")</f>
        <v>المؤسسه العلاجيه 2016</v>
      </c>
    </row>
    <row r="969" spans="1:11" x14ac:dyDescent="0.25">
      <c r="A969" s="4" t="str">
        <f ca="1">IFERROR(__xludf.DUMMYFUNCTION("""COMPUTED_VALUE"""),"3984")</f>
        <v>3984</v>
      </c>
      <c r="B969" s="5" t="str">
        <f ca="1">IFERROR(__xludf.DUMMYFUNCTION("""COMPUTED_VALUE"""),"المنوفية")</f>
        <v>المنوفية</v>
      </c>
      <c r="C969" s="5" t="str">
        <f ca="1">IFERROR(__xludf.DUMMYFUNCTION("""COMPUTED_VALUE"""),"شبين الكوم")</f>
        <v>شبين الكوم</v>
      </c>
      <c r="D969" s="5" t="str">
        <f ca="1">IFERROR(__xludf.DUMMYFUNCTION("""COMPUTED_VALUE"""),"مستشفى")</f>
        <v>مستشفى</v>
      </c>
      <c r="E969" s="5" t="str">
        <f ca="1">IFERROR(__xludf.DUMMYFUNCTION("""COMPUTED_VALUE"""),"مستشفي طبي متخصص")</f>
        <v>مستشفي طبي متخصص</v>
      </c>
      <c r="F969" s="5" t="str">
        <f ca="1">IFERROR(__xludf.DUMMYFUNCTION("""COMPUTED_VALUE"""),"قلب واوعية دموية")</f>
        <v>قلب واوعية دموية</v>
      </c>
      <c r="G969" s="5" t="str">
        <f ca="1">IFERROR(__xludf.DUMMYFUNCTION("""COMPUTED_VALUE"""),"مركز الفؤاد لقسطرة القلب")</f>
        <v>مركز الفؤاد لقسطرة القلب</v>
      </c>
      <c r="H969" s="5" t="str">
        <f ca="1">IFERROR(__xludf.DUMMYFUNCTION("""COMPUTED_VALUE"""),"6شارع بنك مصر-شبين الكوم-المنوفية")</f>
        <v>6شارع بنك مصر-شبين الكوم-المنوفية</v>
      </c>
      <c r="I969" s="6" t="str">
        <f ca="1">IFERROR(__xludf.DUMMYFUNCTION("""COMPUTED_VALUE"""),"20482319299")</f>
        <v>20482319299</v>
      </c>
      <c r="J969" s="6"/>
      <c r="K969" s="6" t="str">
        <f ca="1">IFERROR(__xludf.DUMMYFUNCTION("""COMPUTED_VALUE"""),"المؤسسه العلاجيه 2007")</f>
        <v>المؤسسه العلاجيه 2007</v>
      </c>
    </row>
    <row r="970" spans="1:11" x14ac:dyDescent="0.25">
      <c r="A970" s="4" t="str">
        <f ca="1">IFERROR(__xludf.DUMMYFUNCTION("""COMPUTED_VALUE"""),"103768")</f>
        <v>103768</v>
      </c>
      <c r="B970" s="5" t="str">
        <f ca="1">IFERROR(__xludf.DUMMYFUNCTION("""COMPUTED_VALUE"""),"المنوفية")</f>
        <v>المنوفية</v>
      </c>
      <c r="C970" s="5" t="str">
        <f ca="1">IFERROR(__xludf.DUMMYFUNCTION("""COMPUTED_VALUE"""),"شبين الكوم")</f>
        <v>شبين الكوم</v>
      </c>
      <c r="D970" s="5" t="str">
        <f ca="1">IFERROR(__xludf.DUMMYFUNCTION("""COMPUTED_VALUE"""),"هيئة الأطباء")</f>
        <v>هيئة الأطباء</v>
      </c>
      <c r="E970" s="5" t="str">
        <f ca="1">IFERROR(__xludf.DUMMYFUNCTION("""COMPUTED_VALUE"""),"باطنة")</f>
        <v>باطنة</v>
      </c>
      <c r="F970" s="5" t="str">
        <f ca="1">IFERROR(__xludf.DUMMYFUNCTION("""COMPUTED_VALUE"""),"قلب واوعية دموية")</f>
        <v>قلب واوعية دموية</v>
      </c>
      <c r="G970" s="5" t="str">
        <f ca="1">IFERROR(__xludf.DUMMYFUNCTION("""COMPUTED_VALUE"""),"د/ غادة محمود سلطان")</f>
        <v>د/ غادة محمود سلطان</v>
      </c>
      <c r="H970" s="5" t="str">
        <f ca="1">IFERROR(__xludf.DUMMYFUNCTION("""COMPUTED_VALUE"""),"ميدان شرف - برج الفيروز -شبين الكوم-المنوفية")</f>
        <v>ميدان شرف - برج الفيروز -شبين الكوم-المنوفية</v>
      </c>
      <c r="I970" s="6" t="str">
        <f ca="1">IFERROR(__xludf.DUMMYFUNCTION("""COMPUTED_VALUE"""),"201009992865")</f>
        <v>201009992865</v>
      </c>
      <c r="J970" s="6"/>
      <c r="K970" s="6" t="str">
        <f ca="1">IFERROR(__xludf.DUMMYFUNCTION("""COMPUTED_VALUE"""),"الكشف: 40")</f>
        <v>الكشف: 40</v>
      </c>
    </row>
    <row r="971" spans="1:11" x14ac:dyDescent="0.25">
      <c r="A971" s="4" t="str">
        <f ca="1">IFERROR(__xludf.DUMMYFUNCTION("""COMPUTED_VALUE"""),"104158")</f>
        <v>104158</v>
      </c>
      <c r="B971" s="5" t="str">
        <f ca="1">IFERROR(__xludf.DUMMYFUNCTION("""COMPUTED_VALUE"""),"الوادى الجديد")</f>
        <v>الوادى الجديد</v>
      </c>
      <c r="C971" s="5" t="str">
        <f ca="1">IFERROR(__xludf.DUMMYFUNCTION("""COMPUTED_VALUE"""),"الخارجة")</f>
        <v>الخارجة</v>
      </c>
      <c r="D971" s="5" t="str">
        <f ca="1">IFERROR(__xludf.DUMMYFUNCTION("""COMPUTED_VALUE"""),"هيئة الأطباء")</f>
        <v>هيئة الأطباء</v>
      </c>
      <c r="E971" s="5" t="str">
        <f ca="1">IFERROR(__xludf.DUMMYFUNCTION("""COMPUTED_VALUE"""),"باطنة")</f>
        <v>باطنة</v>
      </c>
      <c r="F971" s="5" t="str">
        <f ca="1">IFERROR(__xludf.DUMMYFUNCTION("""COMPUTED_VALUE"""),"قلب واوعية دموية")</f>
        <v>قلب واوعية دموية</v>
      </c>
      <c r="G971" s="5" t="str">
        <f ca="1">IFERROR(__xludf.DUMMYFUNCTION("""COMPUTED_VALUE"""),"د/ مؤمن محمد اسماعيل")</f>
        <v>د/ مؤمن محمد اسماعيل</v>
      </c>
      <c r="H971" s="5" t="str">
        <f ca="1">IFERROR(__xludf.DUMMYFUNCTION("""COMPUTED_VALUE"""),"مساكن النبوي المهندس - عمارة 9 - الخارجة - الوادي الجديد")</f>
        <v>مساكن النبوي المهندس - عمارة 9 - الخارجة - الوادي الجديد</v>
      </c>
      <c r="I971" s="6" t="str">
        <f ca="1">IFERROR(__xludf.DUMMYFUNCTION("""COMPUTED_VALUE"""),"20927925305")</f>
        <v>20927925305</v>
      </c>
      <c r="J971" s="6"/>
      <c r="K971" s="6" t="str">
        <f ca="1">IFERROR(__xludf.DUMMYFUNCTION("""COMPUTED_VALUE"""),"خصم 30% علي أسعار النقدي المعلنة")</f>
        <v>خصم 30% علي أسعار النقدي المعلنة</v>
      </c>
    </row>
    <row r="972" spans="1:11" x14ac:dyDescent="0.25">
      <c r="A972" s="4" t="str">
        <f ca="1">IFERROR(__xludf.DUMMYFUNCTION("""COMPUTED_VALUE"""),"3662")</f>
        <v>3662</v>
      </c>
      <c r="B972" s="5" t="str">
        <f ca="1">IFERROR(__xludf.DUMMYFUNCTION("""COMPUTED_VALUE"""),"أسيوط")</f>
        <v>أسيوط</v>
      </c>
      <c r="C972" s="5" t="str">
        <f ca="1">IFERROR(__xludf.DUMMYFUNCTION("""COMPUTED_VALUE"""),"أسيوط")</f>
        <v>أسيوط</v>
      </c>
      <c r="D972" s="5" t="str">
        <f ca="1">IFERROR(__xludf.DUMMYFUNCTION("""COMPUTED_VALUE"""),"هيئة الأطباء")</f>
        <v>هيئة الأطباء</v>
      </c>
      <c r="E972" s="5" t="str">
        <f ca="1">IFERROR(__xludf.DUMMYFUNCTION("""COMPUTED_VALUE"""),"باطنة")</f>
        <v>باطنة</v>
      </c>
      <c r="F972" s="5" t="str">
        <f ca="1">IFERROR(__xludf.DUMMYFUNCTION("""COMPUTED_VALUE"""),"قلب واوعية دموية")</f>
        <v>قلب واوعية دموية</v>
      </c>
      <c r="G972" s="5" t="str">
        <f ca="1">IFERROR(__xludf.DUMMYFUNCTION("""COMPUTED_VALUE"""),"د/ محمد حسام حسن المغربي")</f>
        <v>د/ محمد حسام حسن المغربي</v>
      </c>
      <c r="H972" s="5" t="str">
        <f ca="1">IFERROR(__xludf.DUMMYFUNCTION("""COMPUTED_VALUE"""),"برج التوحيد بالسادات اعلى ضرائب المبيعات برج رقم 2  شقة 501 - أسيوط")</f>
        <v>برج التوحيد بالسادات اعلى ضرائب المبيعات برج رقم 2  شقة 501 - أسيوط</v>
      </c>
      <c r="I972" s="6" t="str">
        <f ca="1">IFERROR(__xludf.DUMMYFUNCTION("""COMPUTED_VALUE"""),"20882144030")</f>
        <v>20882144030</v>
      </c>
      <c r="J972" s="6"/>
      <c r="K972" s="6" t="str">
        <f ca="1">IFERROR(__xludf.DUMMYFUNCTION("""COMPUTED_VALUE"""),"الكشف : 70 , رسم قلب : 25")</f>
        <v>الكشف : 70 , رسم قلب : 25</v>
      </c>
    </row>
    <row r="973" spans="1:11" x14ac:dyDescent="0.25">
      <c r="A973" s="4" t="str">
        <f ca="1">IFERROR(__xludf.DUMMYFUNCTION("""COMPUTED_VALUE"""),"3297")</f>
        <v>3297</v>
      </c>
      <c r="B973" s="5" t="str">
        <f ca="1">IFERROR(__xludf.DUMMYFUNCTION("""COMPUTED_VALUE"""),"بورسعيد")</f>
        <v>بورسعيد</v>
      </c>
      <c r="C973" s="5" t="str">
        <f ca="1">IFERROR(__xludf.DUMMYFUNCTION("""COMPUTED_VALUE"""),"بورسعيد")</f>
        <v>بورسعيد</v>
      </c>
      <c r="D973" s="5" t="str">
        <f ca="1">IFERROR(__xludf.DUMMYFUNCTION("""COMPUTED_VALUE"""),"هيئة الأطباء")</f>
        <v>هيئة الأطباء</v>
      </c>
      <c r="E973" s="5" t="str">
        <f ca="1">IFERROR(__xludf.DUMMYFUNCTION("""COMPUTED_VALUE"""),"باطنة")</f>
        <v>باطنة</v>
      </c>
      <c r="F973" s="5" t="str">
        <f ca="1">IFERROR(__xludf.DUMMYFUNCTION("""COMPUTED_VALUE"""),"قلب واوعية دموية")</f>
        <v>قلب واوعية دموية</v>
      </c>
      <c r="G973" s="5" t="str">
        <f ca="1">IFERROR(__xludf.DUMMYFUNCTION("""COMPUTED_VALUE"""),"د/ أيمن ابراهيم الجندي")</f>
        <v>د/ أيمن ابراهيم الجندي</v>
      </c>
      <c r="H973" s="5" t="str">
        <f ca="1">IFERROR(__xludf.DUMMYFUNCTION("""COMPUTED_VALUE"""),"شارع بنما وعرفان رقم 6-بورسعيد")</f>
        <v>شارع بنما وعرفان رقم 6-بورسعيد</v>
      </c>
      <c r="I973" s="6" t="str">
        <f ca="1">IFERROR(__xludf.DUMMYFUNCTION("""COMPUTED_VALUE"""),"20663351777")</f>
        <v>20663351777</v>
      </c>
      <c r="J973" s="6"/>
      <c r="K973" s="6" t="str">
        <f ca="1">IFERROR(__xludf.DUMMYFUNCTION("""COMPUTED_VALUE"""),"الكشف 90 جنية")</f>
        <v>الكشف 90 جنية</v>
      </c>
    </row>
    <row r="974" spans="1:11" x14ac:dyDescent="0.25">
      <c r="A974" s="4" t="str">
        <f ca="1">IFERROR(__xludf.DUMMYFUNCTION("""COMPUTED_VALUE"""),"3179")</f>
        <v>3179</v>
      </c>
      <c r="B974" s="5" t="str">
        <f ca="1">IFERROR(__xludf.DUMMYFUNCTION("""COMPUTED_VALUE"""),"سوهاج")</f>
        <v>سوهاج</v>
      </c>
      <c r="C974" s="5" t="str">
        <f ca="1">IFERROR(__xludf.DUMMYFUNCTION("""COMPUTED_VALUE"""),"سوهاج")</f>
        <v>سوهاج</v>
      </c>
      <c r="D974" s="5" t="str">
        <f ca="1">IFERROR(__xludf.DUMMYFUNCTION("""COMPUTED_VALUE"""),"هيئة الأطباء")</f>
        <v>هيئة الأطباء</v>
      </c>
      <c r="E974" s="5" t="str">
        <f ca="1">IFERROR(__xludf.DUMMYFUNCTION("""COMPUTED_VALUE"""),"باطنة")</f>
        <v>باطنة</v>
      </c>
      <c r="F974" s="5" t="str">
        <f ca="1">IFERROR(__xludf.DUMMYFUNCTION("""COMPUTED_VALUE"""),"قلب واوعية دموية")</f>
        <v>قلب واوعية دموية</v>
      </c>
      <c r="G974" s="5" t="str">
        <f ca="1">IFERROR(__xludf.DUMMYFUNCTION("""COMPUTED_VALUE"""),"د/ رفيق رمسيس عوض")</f>
        <v>د/ رفيق رمسيس عوض</v>
      </c>
      <c r="H974" s="5" t="str">
        <f ca="1">IFERROR(__xludf.DUMMYFUNCTION("""COMPUTED_VALUE"""),"شارع عبدالمنعم رياض ممر عجور ، الدور الاول علوى")</f>
        <v>شارع عبدالمنعم رياض ممر عجور ، الدور الاول علوى</v>
      </c>
      <c r="I974" s="6" t="str">
        <f ca="1">IFERROR(__xludf.DUMMYFUNCTION("""COMPUTED_VALUE"""),"1006382567")</f>
        <v>1006382567</v>
      </c>
      <c r="J974" s="6"/>
      <c r="K974" s="6" t="str">
        <f ca="1">IFERROR(__xludf.DUMMYFUNCTION("""COMPUTED_VALUE"""),"الكشف :70جنية")</f>
        <v>الكشف :70جنية</v>
      </c>
    </row>
    <row r="975" spans="1:11" x14ac:dyDescent="0.25">
      <c r="A975" s="4" t="str">
        <f ca="1">IFERROR(__xludf.DUMMYFUNCTION("""COMPUTED_VALUE"""),"3705")</f>
        <v>3705</v>
      </c>
      <c r="B975" s="5" t="str">
        <f ca="1">IFERROR(__xludf.DUMMYFUNCTION("""COMPUTED_VALUE"""),"قنا")</f>
        <v>قنا</v>
      </c>
      <c r="C975" s="5" t="str">
        <f ca="1">IFERROR(__xludf.DUMMYFUNCTION("""COMPUTED_VALUE"""),"قنا")</f>
        <v>قنا</v>
      </c>
      <c r="D975" s="5" t="str">
        <f ca="1">IFERROR(__xludf.DUMMYFUNCTION("""COMPUTED_VALUE"""),"هيئة الأطباء")</f>
        <v>هيئة الأطباء</v>
      </c>
      <c r="E975" s="5" t="str">
        <f ca="1">IFERROR(__xludf.DUMMYFUNCTION("""COMPUTED_VALUE"""),"باطنة")</f>
        <v>باطنة</v>
      </c>
      <c r="F975" s="5" t="str">
        <f ca="1">IFERROR(__xludf.DUMMYFUNCTION("""COMPUTED_VALUE"""),"قلب واوعية دموية")</f>
        <v>قلب واوعية دموية</v>
      </c>
      <c r="G975" s="5" t="str">
        <f ca="1">IFERROR(__xludf.DUMMYFUNCTION("""COMPUTED_VALUE"""),"د/ جمال رمضان الطويل (محمد جمال رمضان)")</f>
        <v>د/ جمال رمضان الطويل (محمد جمال رمضان)</v>
      </c>
      <c r="H975" s="5" t="str">
        <f ca="1">IFERROR(__xludf.DUMMYFUNCTION("""COMPUTED_VALUE"""),"عمارة الاندلس - شارع 23 يوليو خلف نادي الشرطة-قنا")</f>
        <v>عمارة الاندلس - شارع 23 يوليو خلف نادي الشرطة-قنا</v>
      </c>
      <c r="I975" s="6" t="str">
        <f ca="1">IFERROR(__xludf.DUMMYFUNCTION("""COMPUTED_VALUE"""),"20963325132")</f>
        <v>20963325132</v>
      </c>
      <c r="J975" s="6"/>
      <c r="K975" s="6" t="str">
        <f ca="1">IFERROR(__xludf.DUMMYFUNCTION("""COMPUTED_VALUE"""),"خصم 30% علي أسعار جميع الخدمات النقدي المعلنة")</f>
        <v>خصم 30% علي أسعار جميع الخدمات النقدي المعلنة</v>
      </c>
    </row>
    <row r="976" spans="1:11" x14ac:dyDescent="0.25">
      <c r="A976" s="4" t="str">
        <f ca="1">IFERROR(__xludf.DUMMYFUNCTION("""COMPUTED_VALUE"""),"2908")</f>
        <v>2908</v>
      </c>
      <c r="B976" s="5" t="str">
        <f ca="1">IFERROR(__xludf.DUMMYFUNCTION("""COMPUTED_VALUE"""),"الاسكندرية")</f>
        <v>الاسكندرية</v>
      </c>
      <c r="C976" s="5" t="str">
        <f ca="1">IFERROR(__xludf.DUMMYFUNCTION("""COMPUTED_VALUE"""),"الازاريطا")</f>
        <v>الازاريطا</v>
      </c>
      <c r="D976" s="5" t="str">
        <f ca="1">IFERROR(__xludf.DUMMYFUNCTION("""COMPUTED_VALUE"""),"مستشفى")</f>
        <v>مستشفى</v>
      </c>
      <c r="E976" s="5" t="str">
        <f ca="1">IFERROR(__xludf.DUMMYFUNCTION("""COMPUTED_VALUE"""),"مستشفي طبي متكامل")</f>
        <v>مستشفي طبي متكامل</v>
      </c>
      <c r="F976" s="5" t="str">
        <f ca="1">IFERROR(__xludf.DUMMYFUNCTION("""COMPUTED_VALUE"""),"جميع التخصصات الطبية")</f>
        <v>جميع التخصصات الطبية</v>
      </c>
      <c r="G976" s="5" t="str">
        <f ca="1">IFERROR(__xludf.DUMMYFUNCTION("""COMPUTED_VALUE"""),"مستشفى السلامة (الشلالات)")</f>
        <v>مستشفى السلامة (الشلالات)</v>
      </c>
      <c r="H976" s="5" t="str">
        <f ca="1">IFERROR(__xludf.DUMMYFUNCTION("""COMPUTED_VALUE"""),"7شارع محمد محمد مطاوع - الشلالات-الازاريطا-الاسكندرية")</f>
        <v>7شارع محمد محمد مطاوع - الشلالات-الازاريطا-الاسكندرية</v>
      </c>
      <c r="I976" s="6" t="str">
        <f ca="1">IFERROR(__xludf.DUMMYFUNCTION("""COMPUTED_VALUE"""),"2034880900")</f>
        <v>2034880900</v>
      </c>
      <c r="J976" s="6" t="str">
        <f ca="1">IFERROR(__xludf.DUMMYFUNCTION("""COMPUTED_VALUE"""),"16781")</f>
        <v>16781</v>
      </c>
      <c r="K976" s="6" t="str">
        <f ca="1">IFERROR(__xludf.DUMMYFUNCTION("""COMPUTED_VALUE"""),"55% على خدمات القسم الخارجي و 49 % علي خدمات التحاليل والأشعة بالقسم الخارجي و 45 % علي كشوفات الطوارئ ,45% على خدمات القسم الداخلى ,تطبيق نسبة زيادة 25% علي الاقامة بالغرفة المفردة و الاقامة النهارية و اتعاب الاطباء و اجور المساعدين و التخدير و الرعاية ا"&amp;"لمركزة و رعاية القلب تطبق علي الاسعار السارية لعام 2023 مع الاحنفاظ بنفس نسب الخصومات و تطبيق نسبة زياده 20% علي خدمات العلاج الطبيعي  علي الاسعار السارية لعام 2023 مع الاحنفاظ بنفس نسب الخصومات.")</f>
        <v>55% على خدمات القسم الخارجي و 49 % علي خدمات التحاليل والأشعة بالقسم الخارجي و 45 % علي كشوفات الطوارئ ,45% على خدمات القسم الداخلى ,تطبيق نسبة زيادة 25% علي الاقامة بالغرفة المفردة و الاقامة النهارية و اتعاب الاطباء و اجور المساعدين و التخدير و الرعاية المركزة و رعاية القلب تطبق علي الاسعار السارية لعام 2023 مع الاحنفاظ بنفس نسب الخصومات و تطبيق نسبة زياده 20% علي خدمات العلاج الطبيعي  علي الاسعار السارية لعام 2023 مع الاحنفاظ بنفس نسب الخصومات.</v>
      </c>
    </row>
    <row r="977" spans="1:11" x14ac:dyDescent="0.25">
      <c r="A977" s="4" t="str">
        <f ca="1">IFERROR(__xludf.DUMMYFUNCTION("""COMPUTED_VALUE"""),"1745")</f>
        <v>1745</v>
      </c>
      <c r="B977" s="5" t="str">
        <f ca="1">IFERROR(__xludf.DUMMYFUNCTION("""COMPUTED_VALUE"""),"الاسكندرية")</f>
        <v>الاسكندرية</v>
      </c>
      <c r="C977" s="5" t="str">
        <f ca="1">IFERROR(__xludf.DUMMYFUNCTION("""COMPUTED_VALUE"""),"العجمي")</f>
        <v>العجمي</v>
      </c>
      <c r="D977" s="5" t="str">
        <f ca="1">IFERROR(__xludf.DUMMYFUNCTION("""COMPUTED_VALUE"""),"مستشفى")</f>
        <v>مستشفى</v>
      </c>
      <c r="E977" s="5" t="str">
        <f ca="1">IFERROR(__xludf.DUMMYFUNCTION("""COMPUTED_VALUE"""),"مستشفي طبي متكامل")</f>
        <v>مستشفي طبي متكامل</v>
      </c>
      <c r="F977" s="5" t="str">
        <f ca="1">IFERROR(__xludf.DUMMYFUNCTION("""COMPUTED_VALUE"""),"جميع التخصصات الطبية")</f>
        <v>جميع التخصصات الطبية</v>
      </c>
      <c r="G977" s="5" t="str">
        <f ca="1">IFERROR(__xludf.DUMMYFUNCTION("""COMPUTED_VALUE"""),"مستشفى مبرة العصافرة غرب")</f>
        <v>مستشفى مبرة العصافرة غرب</v>
      </c>
      <c r="H977" s="5" t="str">
        <f ca="1">IFERROR(__xludf.DUMMYFUNCTION("""COMPUTED_VALUE"""),"ميدان الكيلو 21 - العجمي-الاسكندرية")</f>
        <v>ميدان الكيلو 21 - العجمي-الاسكندرية</v>
      </c>
      <c r="I977" s="6" t="str">
        <f ca="1">IFERROR(__xludf.DUMMYFUNCTION("""COMPUTED_VALUE"""),"2033183073")</f>
        <v>2033183073</v>
      </c>
      <c r="J977" s="6"/>
      <c r="K977" s="6" t="str">
        <f ca="1">IFERROR(__xludf.DUMMYFUNCTION("""COMPUTED_VALUE"""),"خصم 10% علي جميع بنود اللائحه فيما عدا المستلزمات و الادوية و الباكدجات و الغسيل الكلوي و الدم و مشتقاته و اي اجراءات تتم خارج المستشفي و الاجهزة الطبية")</f>
        <v>خصم 10% علي جميع بنود اللائحه فيما عدا المستلزمات و الادوية و الباكدجات و الغسيل الكلوي و الدم و مشتقاته و اي اجراءات تتم خارج المستشفي و الاجهزة الطبية</v>
      </c>
    </row>
    <row r="978" spans="1:11" x14ac:dyDescent="0.25">
      <c r="A978" s="4" t="str">
        <f ca="1">IFERROR(__xludf.DUMMYFUNCTION("""COMPUTED_VALUE"""),"103317")</f>
        <v>103317</v>
      </c>
      <c r="B978" s="5" t="str">
        <f ca="1">IFERROR(__xludf.DUMMYFUNCTION("""COMPUTED_VALUE"""),"الاسكندرية")</f>
        <v>الاسكندرية</v>
      </c>
      <c r="C978" s="5" t="str">
        <f ca="1">IFERROR(__xludf.DUMMYFUNCTION("""COMPUTED_VALUE"""),"بولكي")</f>
        <v>بولكي</v>
      </c>
      <c r="D978" s="5" t="str">
        <f ca="1">IFERROR(__xludf.DUMMYFUNCTION("""COMPUTED_VALUE"""),"مستشفى")</f>
        <v>مستشفى</v>
      </c>
      <c r="E978" s="5" t="str">
        <f ca="1">IFERROR(__xludf.DUMMYFUNCTION("""COMPUTED_VALUE"""),"مستشفي طبي متكامل")</f>
        <v>مستشفي طبي متكامل</v>
      </c>
      <c r="F978" s="5" t="str">
        <f ca="1">IFERROR(__xludf.DUMMYFUNCTION("""COMPUTED_VALUE"""),"جميع التخصصات الطبية")</f>
        <v>جميع التخصصات الطبية</v>
      </c>
      <c r="G978" s="5" t="str">
        <f ca="1">IFERROR(__xludf.DUMMYFUNCTION("""COMPUTED_VALUE"""),"مستشفى د/ إبراهيم ندا التخصصي")</f>
        <v>مستشفى د/ إبراهيم ندا التخصصي</v>
      </c>
      <c r="H978" s="5" t="str">
        <f ca="1">IFERROR(__xludf.DUMMYFUNCTION("""COMPUTED_VALUE"""),"57 شارع الطيار احمد سعود متفرع من شارع مصكفى كامل بولكى-الاسكندرية")</f>
        <v>57 شارع الطيار احمد سعود متفرع من شارع مصكفى كامل بولكى-الاسكندرية</v>
      </c>
      <c r="I978" s="6" t="str">
        <f ca="1">IFERROR(__xludf.DUMMYFUNCTION("""COMPUTED_VALUE"""),"2035411553")</f>
        <v>2035411553</v>
      </c>
      <c r="J978" s="6"/>
      <c r="K978" s="6" t="str">
        <f ca="1">IFERROR(__xludf.DUMMYFUNCTION("""COMPUTED_VALUE"""),"نقابه 2017 , الكشف : 75 جنية")</f>
        <v>نقابه 2017 , الكشف : 75 جنية</v>
      </c>
    </row>
    <row r="979" spans="1:11" x14ac:dyDescent="0.25">
      <c r="A979" s="4" t="str">
        <f ca="1">IFERROR(__xludf.DUMMYFUNCTION("""COMPUTED_VALUE"""),"1937")</f>
        <v>1937</v>
      </c>
      <c r="B979" s="5" t="str">
        <f ca="1">IFERROR(__xludf.DUMMYFUNCTION("""COMPUTED_VALUE"""),"الاسكندرية")</f>
        <v>الاسكندرية</v>
      </c>
      <c r="C979" s="5" t="str">
        <f ca="1">IFERROR(__xludf.DUMMYFUNCTION("""COMPUTED_VALUE"""),"جليم")</f>
        <v>جليم</v>
      </c>
      <c r="D979" s="5" t="str">
        <f ca="1">IFERROR(__xludf.DUMMYFUNCTION("""COMPUTED_VALUE"""),"مستشفى")</f>
        <v>مستشفى</v>
      </c>
      <c r="E979" s="5" t="str">
        <f ca="1">IFERROR(__xludf.DUMMYFUNCTION("""COMPUTED_VALUE"""),"مستشفي طبي متكامل")</f>
        <v>مستشفي طبي متكامل</v>
      </c>
      <c r="F979" s="5" t="str">
        <f ca="1">IFERROR(__xludf.DUMMYFUNCTION("""COMPUTED_VALUE"""),"جميع التخصصات الطبية")</f>
        <v>جميع التخصصات الطبية</v>
      </c>
      <c r="G979" s="5" t="str">
        <f ca="1">IFERROR(__xludf.DUMMYFUNCTION("""COMPUTED_VALUE"""),"مستشفى الشروق -الاسكندرية")</f>
        <v>مستشفى الشروق -الاسكندرية</v>
      </c>
      <c r="H979" s="5" t="str">
        <f ca="1">IFERROR(__xludf.DUMMYFUNCTION("""COMPUTED_VALUE"""),"9شارع مصطفى فهمي - جليم  -الاسكندرية")</f>
        <v>9شارع مصطفى فهمي - جليم  -الاسكندرية</v>
      </c>
      <c r="I979" s="6" t="str">
        <f ca="1">IFERROR(__xludf.DUMMYFUNCTION("""COMPUTED_VALUE"""),"2035856549")</f>
        <v>2035856549</v>
      </c>
      <c r="J979" s="6"/>
      <c r="K979" s="6" t="str">
        <f ca="1">IFERROR(__xludf.DUMMYFUNCTION("""COMPUTED_VALUE"""),"25% علي جميع الخدمات  و تطبيق نسبة خصم 5% تطبق علي الأسعار النقدي المعلنة")</f>
        <v>25% علي جميع الخدمات  و تطبيق نسبة خصم 5% تطبق علي الأسعار النقدي المعلنة</v>
      </c>
    </row>
    <row r="980" spans="1:11" x14ac:dyDescent="0.25">
      <c r="A980" s="4" t="str">
        <f ca="1">IFERROR(__xludf.DUMMYFUNCTION("""COMPUTED_VALUE"""),"2263")</f>
        <v>2263</v>
      </c>
      <c r="B980" s="5" t="str">
        <f ca="1">IFERROR(__xludf.DUMMYFUNCTION("""COMPUTED_VALUE"""),"الاسكندرية")</f>
        <v>الاسكندرية</v>
      </c>
      <c r="C980" s="5" t="str">
        <f ca="1">IFERROR(__xludf.DUMMYFUNCTION("""COMPUTED_VALUE"""),"سموحة")</f>
        <v>سموحة</v>
      </c>
      <c r="D980" s="5" t="str">
        <f ca="1">IFERROR(__xludf.DUMMYFUNCTION("""COMPUTED_VALUE"""),"مستشفى")</f>
        <v>مستشفى</v>
      </c>
      <c r="E980" s="5" t="str">
        <f ca="1">IFERROR(__xludf.DUMMYFUNCTION("""COMPUTED_VALUE"""),"مستشفي طبي متكامل")</f>
        <v>مستشفي طبي متكامل</v>
      </c>
      <c r="F980" s="5" t="str">
        <f ca="1">IFERROR(__xludf.DUMMYFUNCTION("""COMPUTED_VALUE"""),"جميع التخصصات الطبية")</f>
        <v>جميع التخصصات الطبية</v>
      </c>
      <c r="G980" s="5" t="str">
        <f ca="1">IFERROR(__xludf.DUMMYFUNCTION("""COMPUTED_VALUE"""),"المركز الطبي الجديد الاسكندرية (مركز الإسكندرية الطبي)")</f>
        <v>المركز الطبي الجديد الاسكندرية (مركز الإسكندرية الطبي)</v>
      </c>
      <c r="H980" s="5" t="str">
        <f ca="1">IFERROR(__xludf.DUMMYFUNCTION("""COMPUTED_VALUE"""),"طريق 14 مايو-  سموحة-الاسكندرية")</f>
        <v>طريق 14 مايو-  سموحة-الاسكندرية</v>
      </c>
      <c r="I980" s="6" t="str">
        <f ca="1">IFERROR(__xludf.DUMMYFUNCTION("""COMPUTED_VALUE"""),"20034266500")</f>
        <v>20034266500</v>
      </c>
      <c r="J980" s="6"/>
      <c r="K980" s="6" t="str">
        <f ca="1">IFERROR(__xludf.DUMMYFUNCTION("""COMPUTED_VALUE"""),"خصم يصل الي 25%")</f>
        <v>خصم يصل الي 25%</v>
      </c>
    </row>
    <row r="981" spans="1:11" x14ac:dyDescent="0.25">
      <c r="A981" s="4" t="str">
        <f ca="1">IFERROR(__xludf.DUMMYFUNCTION("""COMPUTED_VALUE"""),"4107")</f>
        <v>4107</v>
      </c>
      <c r="B981" s="5" t="str">
        <f ca="1">IFERROR(__xludf.DUMMYFUNCTION("""COMPUTED_VALUE"""),"الاسكندرية")</f>
        <v>الاسكندرية</v>
      </c>
      <c r="C981" s="5" t="str">
        <f ca="1">IFERROR(__xludf.DUMMYFUNCTION("""COMPUTED_VALUE"""),"سموحة")</f>
        <v>سموحة</v>
      </c>
      <c r="D981" s="5" t="str">
        <f ca="1">IFERROR(__xludf.DUMMYFUNCTION("""COMPUTED_VALUE"""),"مستشفى")</f>
        <v>مستشفى</v>
      </c>
      <c r="E981" s="5" t="str">
        <f ca="1">IFERROR(__xludf.DUMMYFUNCTION("""COMPUTED_VALUE"""),"مستشفي طبي متكامل")</f>
        <v>مستشفي طبي متكامل</v>
      </c>
      <c r="F981" s="5" t="str">
        <f ca="1">IFERROR(__xludf.DUMMYFUNCTION("""COMPUTED_VALUE"""),"جميع التخصصات الطبية")</f>
        <v>جميع التخصصات الطبية</v>
      </c>
      <c r="G981" s="5" t="str">
        <f ca="1">IFERROR(__xludf.DUMMYFUNCTION("""COMPUTED_VALUE"""),"مستشفى السلامة ( سموحه )")</f>
        <v>مستشفى السلامة ( سموحه )</v>
      </c>
      <c r="H981" s="5" t="str">
        <f ca="1">IFERROR(__xludf.DUMMYFUNCTION("""COMPUTED_VALUE"""),"35ش بهاء الدين غتوري تقاطع شارع د سيد فهمي الاسكندرية-سموحة-الاسكندرية")</f>
        <v>35ش بهاء الدين غتوري تقاطع شارع د سيد فهمي الاسكندرية-سموحة-الاسكندرية</v>
      </c>
      <c r="I981" s="6" t="str">
        <f ca="1">IFERROR(__xludf.DUMMYFUNCTION("""COMPUTED_VALUE"""),"2034275188")</f>
        <v>2034275188</v>
      </c>
      <c r="J981" s="6" t="str">
        <f ca="1">IFERROR(__xludf.DUMMYFUNCTION("""COMPUTED_VALUE"""),"16781")</f>
        <v>16781</v>
      </c>
      <c r="K981" s="6" t="str">
        <f ca="1">IFERROR(__xludf.DUMMYFUNCTION("""COMPUTED_VALUE"""),"45% على خدمات القسم الخارجي و خدمات التحاليل والأشعة بالقسم الخارجي وكشوفات الطوارئ ,35% على خدمات القسم الداخلى ,ماعدا المناظير وكشوفات العيادات الخارجية باكدجات القسطرة والاشعة التداخلية وبنك الدم والمستلزمات والأجهزة الطبية والأدوية فصل البلازما والاست"&amp;"شارات الطبية بالقسم الداخلى والاتفاقيات الشاملة والدمغة ,15%خدمة        ")</f>
        <v xml:space="preserve">45% على خدمات القسم الخارجي و خدمات التحاليل والأشعة بالقسم الخارجي وكشوفات الطوارئ ,35% على خدمات القسم الداخلى ,ماعدا المناظير وكشوفات العيادات الخارجية باكدجات القسطرة والاشعة التداخلية وبنك الدم والمستلزمات والأجهزة الطبية والأدوية فصل البلازما والاستشارات الطبية بالقسم الداخلى والاتفاقيات الشاملة والدمغة ,15%خدمة        </v>
      </c>
    </row>
    <row r="982" spans="1:11" x14ac:dyDescent="0.25">
      <c r="A982" s="4" t="str">
        <f ca="1">IFERROR(__xludf.DUMMYFUNCTION("""COMPUTED_VALUE"""),"3805")</f>
        <v>3805</v>
      </c>
      <c r="B982" s="5" t="str">
        <f ca="1">IFERROR(__xludf.DUMMYFUNCTION("""COMPUTED_VALUE"""),"الاسكندرية")</f>
        <v>الاسكندرية</v>
      </c>
      <c r="C982" s="5" t="str">
        <f ca="1">IFERROR(__xludf.DUMMYFUNCTION("""COMPUTED_VALUE"""),"فيكتوريا")</f>
        <v>فيكتوريا</v>
      </c>
      <c r="D982" s="5" t="str">
        <f ca="1">IFERROR(__xludf.DUMMYFUNCTION("""COMPUTED_VALUE"""),"مستشفى")</f>
        <v>مستشفى</v>
      </c>
      <c r="E982" s="5" t="str">
        <f ca="1">IFERROR(__xludf.DUMMYFUNCTION("""COMPUTED_VALUE"""),"مستشفي طبي متكامل")</f>
        <v>مستشفي طبي متكامل</v>
      </c>
      <c r="F982" s="5" t="str">
        <f ca="1">IFERROR(__xludf.DUMMYFUNCTION("""COMPUTED_VALUE"""),"جميع التخصصات الطبية")</f>
        <v>جميع التخصصات الطبية</v>
      </c>
      <c r="G982" s="5" t="str">
        <f ca="1">IFERROR(__xludf.DUMMYFUNCTION("""COMPUTED_VALUE"""),"مستشفى الثغر التخصصي")</f>
        <v>مستشفى الثغر التخصصي</v>
      </c>
      <c r="H982" s="5" t="str">
        <f ca="1">IFERROR(__xludf.DUMMYFUNCTION("""COMPUTED_VALUE"""),"14شارع الجلاء-فيكتوريا-الاسكندرية")</f>
        <v>14شارع الجلاء-فيكتوريا-الاسكندرية</v>
      </c>
      <c r="I982" s="6" t="str">
        <f ca="1">IFERROR(__xludf.DUMMYFUNCTION("""COMPUTED_VALUE"""),"2035744720")</f>
        <v>2035744720</v>
      </c>
      <c r="J982" s="6"/>
      <c r="K982" s="6" t="str">
        <f ca="1">IFERROR(__xludf.DUMMYFUNCTION("""COMPUTED_VALUE"""),"خصم يصل الي 25%")</f>
        <v>خصم يصل الي 25%</v>
      </c>
    </row>
    <row r="983" spans="1:11" x14ac:dyDescent="0.25">
      <c r="A983" s="4" t="str">
        <f ca="1">IFERROR(__xludf.DUMMYFUNCTION("""COMPUTED_VALUE"""),"2261")</f>
        <v>2261</v>
      </c>
      <c r="B983" s="5" t="str">
        <f ca="1">IFERROR(__xludf.DUMMYFUNCTION("""COMPUTED_VALUE"""),"الاسكندرية")</f>
        <v>الاسكندرية</v>
      </c>
      <c r="C983" s="5" t="str">
        <f ca="1">IFERROR(__xludf.DUMMYFUNCTION("""COMPUTED_VALUE"""),"فيكتوريا")</f>
        <v>فيكتوريا</v>
      </c>
      <c r="D983" s="5" t="str">
        <f ca="1">IFERROR(__xludf.DUMMYFUNCTION("""COMPUTED_VALUE"""),"مستشفى")</f>
        <v>مستشفى</v>
      </c>
      <c r="E983" s="5" t="str">
        <f ca="1">IFERROR(__xludf.DUMMYFUNCTION("""COMPUTED_VALUE"""),"مستشفي طبي متكامل")</f>
        <v>مستشفي طبي متكامل</v>
      </c>
      <c r="F983" s="5" t="str">
        <f ca="1">IFERROR(__xludf.DUMMYFUNCTION("""COMPUTED_VALUE"""),"جميع التخصصات الطبية")</f>
        <v>جميع التخصصات الطبية</v>
      </c>
      <c r="G983" s="5" t="str">
        <f ca="1">IFERROR(__xludf.DUMMYFUNCTION("""COMPUTED_VALUE"""),"مستشفى طيبة -الاسكندرية")</f>
        <v>مستشفى طيبة -الاسكندرية</v>
      </c>
      <c r="H983" s="5" t="str">
        <f ca="1">IFERROR(__xludf.DUMMYFUNCTION("""COMPUTED_VALUE"""),"أول شارع جمال عبد الناصر –  فيكتوريا    -الاسكندرية")</f>
        <v>أول شارع جمال عبد الناصر –  فيكتوريا    -الاسكندرية</v>
      </c>
      <c r="I983" s="6" t="str">
        <f ca="1">IFERROR(__xludf.DUMMYFUNCTION("""COMPUTED_VALUE"""),"2033590666")</f>
        <v>2033590666</v>
      </c>
      <c r="J983" s="6"/>
      <c r="K983" s="6" t="str">
        <f ca="1">IFERROR(__xludf.DUMMYFUNCTION("""COMPUTED_VALUE"""),"20% علي كل الخدمات الداخلي والخارجي ما عدا الادوية والمستلزمات طبية والاتفاقات الشاملة
")</f>
        <v xml:space="preserve">20% علي كل الخدمات الداخلي والخارجي ما عدا الادوية والمستلزمات طبية والاتفاقات الشاملة
</v>
      </c>
    </row>
    <row r="984" spans="1:11" x14ac:dyDescent="0.25">
      <c r="A984" s="4" t="str">
        <f ca="1">IFERROR(__xludf.DUMMYFUNCTION("""COMPUTED_VALUE"""),"104227")</f>
        <v>104227</v>
      </c>
      <c r="B984" s="5" t="str">
        <f ca="1">IFERROR(__xludf.DUMMYFUNCTION("""COMPUTED_VALUE"""),"الاسكندرية")</f>
        <v>الاسكندرية</v>
      </c>
      <c r="C984" s="5" t="str">
        <f ca="1">IFERROR(__xludf.DUMMYFUNCTION("""COMPUTED_VALUE"""),"لوران")</f>
        <v>لوران</v>
      </c>
      <c r="D984" s="5" t="str">
        <f ca="1">IFERROR(__xludf.DUMMYFUNCTION("""COMPUTED_VALUE"""),"مستشفى")</f>
        <v>مستشفى</v>
      </c>
      <c r="E984" s="5" t="str">
        <f ca="1">IFERROR(__xludf.DUMMYFUNCTION("""COMPUTED_VALUE"""),"مستشفي طبي متكامل")</f>
        <v>مستشفي طبي متكامل</v>
      </c>
      <c r="F984" s="5" t="str">
        <f ca="1">IFERROR(__xludf.DUMMYFUNCTION("""COMPUTED_VALUE"""),"جميع التخصصات الطبية")</f>
        <v>جميع التخصصات الطبية</v>
      </c>
      <c r="G984" s="5" t="str">
        <f ca="1">IFERROR(__xludf.DUMMYFUNCTION("""COMPUTED_VALUE"""),"مستشفى الأقبال")</f>
        <v>مستشفى الأقبال</v>
      </c>
      <c r="H984" s="5" t="str">
        <f ca="1">IFERROR(__xludf.DUMMYFUNCTION("""COMPUTED_VALUE"""),"10 شارع حسين أمين متفرع من شارع الاقبال - الاسكندرية .")</f>
        <v>10 شارع حسين أمين متفرع من شارع الاقبال - الاسكندرية .</v>
      </c>
      <c r="I984" s="6" t="str">
        <f ca="1">IFERROR(__xludf.DUMMYFUNCTION("""COMPUTED_VALUE"""),"2033571693")</f>
        <v>2033571693</v>
      </c>
      <c r="J984" s="6"/>
      <c r="K984" s="6" t="str">
        <f ca="1">IFERROR(__xludf.DUMMYFUNCTION("""COMPUTED_VALUE"""),"15% على الداخلي والخارجي         ")</f>
        <v xml:space="preserve">15% على الداخلي والخارجي         </v>
      </c>
    </row>
    <row r="985" spans="1:11" x14ac:dyDescent="0.25">
      <c r="A985" s="4" t="str">
        <f ca="1">IFERROR(__xludf.DUMMYFUNCTION("""COMPUTED_VALUE"""),"3747")</f>
        <v>3747</v>
      </c>
      <c r="B985" s="5" t="str">
        <f ca="1">IFERROR(__xludf.DUMMYFUNCTION("""COMPUTED_VALUE"""),"الاسكندرية")</f>
        <v>الاسكندرية</v>
      </c>
      <c r="C985" s="5" t="str">
        <f ca="1">IFERROR(__xludf.DUMMYFUNCTION("""COMPUTED_VALUE"""),"لوران")</f>
        <v>لوران</v>
      </c>
      <c r="D985" s="5" t="str">
        <f ca="1">IFERROR(__xludf.DUMMYFUNCTION("""COMPUTED_VALUE"""),"مستشفى")</f>
        <v>مستشفى</v>
      </c>
      <c r="E985" s="5" t="str">
        <f ca="1">IFERROR(__xludf.DUMMYFUNCTION("""COMPUTED_VALUE"""),"مستشفي طبي متكامل")</f>
        <v>مستشفي طبي متكامل</v>
      </c>
      <c r="F985" s="5" t="str">
        <f ca="1">IFERROR(__xludf.DUMMYFUNCTION("""COMPUTED_VALUE"""),"جميع التخصصات الطبية")</f>
        <v>جميع التخصصات الطبية</v>
      </c>
      <c r="G985" s="5" t="str">
        <f ca="1">IFERROR(__xludf.DUMMYFUNCTION("""COMPUTED_VALUE"""),"مستشفى لوران")</f>
        <v>مستشفى لوران</v>
      </c>
      <c r="H985" s="5" t="str">
        <f ca="1">IFERROR(__xludf.DUMMYFUNCTION("""COMPUTED_VALUE"""),"13شارع شعراوي لوران-الاسكندرية")</f>
        <v>13شارع شعراوي لوران-الاسكندرية</v>
      </c>
      <c r="I985" s="6" t="str">
        <f ca="1">IFERROR(__xludf.DUMMYFUNCTION("""COMPUTED_VALUE"""),"2035834241")</f>
        <v>2035834241</v>
      </c>
      <c r="J985" s="6" t="str">
        <f ca="1">IFERROR(__xludf.DUMMYFUNCTION("""COMPUTED_VALUE"""),"19152")</f>
        <v>19152</v>
      </c>
      <c r="K985" s="6" t="str">
        <f ca="1">IFERROR(__xludf.DUMMYFUNCTION("""COMPUTED_VALUE"""),"خصم حتي 15%")</f>
        <v>خصم حتي 15%</v>
      </c>
    </row>
    <row r="986" spans="1:11" x14ac:dyDescent="0.25">
      <c r="A986" s="4" t="str">
        <f ca="1">IFERROR(__xludf.DUMMYFUNCTION("""COMPUTED_VALUE"""),"3801")</f>
        <v>3801</v>
      </c>
      <c r="B986" s="5" t="str">
        <f ca="1">IFERROR(__xludf.DUMMYFUNCTION("""COMPUTED_VALUE"""),"الاسكندرية")</f>
        <v>الاسكندرية</v>
      </c>
      <c r="C986" s="5" t="str">
        <f ca="1">IFERROR(__xludf.DUMMYFUNCTION("""COMPUTED_VALUE"""),"محرم بيك")</f>
        <v>محرم بيك</v>
      </c>
      <c r="D986" s="5" t="str">
        <f ca="1">IFERROR(__xludf.DUMMYFUNCTION("""COMPUTED_VALUE"""),"مستشفى")</f>
        <v>مستشفى</v>
      </c>
      <c r="E986" s="5" t="str">
        <f ca="1">IFERROR(__xludf.DUMMYFUNCTION("""COMPUTED_VALUE"""),"مستشفي طبي متكامل")</f>
        <v>مستشفي طبي متكامل</v>
      </c>
      <c r="F986" s="5" t="str">
        <f ca="1">IFERROR(__xludf.DUMMYFUNCTION("""COMPUTED_VALUE"""),"جميع التخصصات الطبية")</f>
        <v>جميع التخصصات الطبية</v>
      </c>
      <c r="G986" s="5" t="str">
        <f ca="1">IFERROR(__xludf.DUMMYFUNCTION("""COMPUTED_VALUE"""),"مستشفى مجموعة العزيز الطبية")</f>
        <v>مستشفى مجموعة العزيز الطبية</v>
      </c>
      <c r="H986" s="5" t="str">
        <f ca="1">IFERROR(__xludf.DUMMYFUNCTION("""COMPUTED_VALUE"""),"3شارع الرصافة - عمارات القضاة - بجوار فتح الله ماركت -محرم بيك -الاسكندرية")</f>
        <v>3شارع الرصافة - عمارات القضاة - بجوار فتح الله ماركت -محرم بيك -الاسكندرية</v>
      </c>
      <c r="I986" s="6" t="str">
        <f ca="1">IFERROR(__xludf.DUMMYFUNCTION("""COMPUTED_VALUE"""),"2033900399")</f>
        <v>2033900399</v>
      </c>
      <c r="J986" s="6"/>
      <c r="K986" s="6" t="str">
        <f ca="1">IFERROR(__xludf.DUMMYFUNCTION("""COMPUTED_VALUE"""),"خصم 25% علي الأسعار النقدي المعلنة")</f>
        <v>خصم 25% علي الأسعار النقدي المعلنة</v>
      </c>
    </row>
    <row r="987" spans="1:11" x14ac:dyDescent="0.25">
      <c r="A987" s="4" t="str">
        <f ca="1">IFERROR(__xludf.DUMMYFUNCTION("""COMPUTED_VALUE"""),"104334")</f>
        <v>104334</v>
      </c>
      <c r="B987" s="5" t="str">
        <f ca="1">IFERROR(__xludf.DUMMYFUNCTION("""COMPUTED_VALUE"""),"الأقصر")</f>
        <v>الأقصر</v>
      </c>
      <c r="C987" s="5" t="str">
        <f ca="1">IFERROR(__xludf.DUMMYFUNCTION("""COMPUTED_VALUE"""),"الأقصر")</f>
        <v>الأقصر</v>
      </c>
      <c r="D987" s="5" t="str">
        <f ca="1">IFERROR(__xludf.DUMMYFUNCTION("""COMPUTED_VALUE"""),"مستشفى")</f>
        <v>مستشفى</v>
      </c>
      <c r="E987" s="5" t="str">
        <f ca="1">IFERROR(__xludf.DUMMYFUNCTION("""COMPUTED_VALUE"""),"مستشفي طبي متكامل")</f>
        <v>مستشفي طبي متكامل</v>
      </c>
      <c r="F987" s="5" t="str">
        <f ca="1">IFERROR(__xludf.DUMMYFUNCTION("""COMPUTED_VALUE"""),"جميع التخصصات الطبية")</f>
        <v>جميع التخصصات الطبية</v>
      </c>
      <c r="G987" s="5" t="str">
        <f ca="1">IFERROR(__xludf.DUMMYFUNCTION("""COMPUTED_VALUE"""),"مستشفى كليوباترا - الأقصر")</f>
        <v>مستشفى كليوباترا - الأقصر</v>
      </c>
      <c r="H987" s="5" t="str">
        <f ca="1">IFERROR(__xludf.DUMMYFUNCTION("""COMPUTED_VALUE"""),"شارع كليوباترا - الأقصر")</f>
        <v>شارع كليوباترا - الأقصر</v>
      </c>
      <c r="I987" s="6" t="str">
        <f ca="1">IFERROR(__xludf.DUMMYFUNCTION("""COMPUTED_VALUE"""),"01210010278")</f>
        <v>01210010278</v>
      </c>
      <c r="J987" s="6"/>
      <c r="K987" s="6" t="str">
        <f ca="1">IFERROR(__xludf.DUMMYFUNCTION("""COMPUTED_VALUE"""),"20% نسبة خصم")</f>
        <v>20% نسبة خصم</v>
      </c>
    </row>
    <row r="988" spans="1:11" x14ac:dyDescent="0.25">
      <c r="A988" s="4" t="str">
        <f ca="1">IFERROR(__xludf.DUMMYFUNCTION("""COMPUTED_VALUE"""),"3072")</f>
        <v>3072</v>
      </c>
      <c r="B988" s="5" t="str">
        <f ca="1">IFERROR(__xludf.DUMMYFUNCTION("""COMPUTED_VALUE"""),"الإسماعيلية")</f>
        <v>الإسماعيلية</v>
      </c>
      <c r="C988" s="5" t="str">
        <f ca="1">IFERROR(__xludf.DUMMYFUNCTION("""COMPUTED_VALUE"""),"الإسماعيلية")</f>
        <v>الإسماعيلية</v>
      </c>
      <c r="D988" s="5" t="str">
        <f ca="1">IFERROR(__xludf.DUMMYFUNCTION("""COMPUTED_VALUE"""),"مستشفى")</f>
        <v>مستشفى</v>
      </c>
      <c r="E988" s="5" t="str">
        <f ca="1">IFERROR(__xludf.DUMMYFUNCTION("""COMPUTED_VALUE"""),"مستشفي طبي متكامل")</f>
        <v>مستشفي طبي متكامل</v>
      </c>
      <c r="F988" s="5" t="str">
        <f ca="1">IFERROR(__xludf.DUMMYFUNCTION("""COMPUTED_VALUE"""),"جميع التخصصات الطبية")</f>
        <v>جميع التخصصات الطبية</v>
      </c>
      <c r="G988" s="5" t="str">
        <f ca="1">IFERROR(__xludf.DUMMYFUNCTION("""COMPUTED_VALUE"""),"مستشفى الخير و البركة")</f>
        <v>مستشفى الخير و البركة</v>
      </c>
      <c r="H988" s="5" t="str">
        <f ca="1">IFERROR(__xludf.DUMMYFUNCTION("""COMPUTED_VALUE"""),"شارع الخير والبركة المتفرع من شارع شبين الكوم خلف الاستاد-الاسماعيلية")</f>
        <v>شارع الخير والبركة المتفرع من شارع شبين الكوم خلف الاستاد-الاسماعيلية</v>
      </c>
      <c r="I988" s="6" t="str">
        <f ca="1">IFERROR(__xludf.DUMMYFUNCTION("""COMPUTED_VALUE"""),"20643377714")</f>
        <v>20643377714</v>
      </c>
      <c r="J988" s="6"/>
      <c r="K988" s="6" t="str">
        <f ca="1">IFERROR(__xludf.DUMMYFUNCTION("""COMPUTED_VALUE"""),"الخصم المتفق عليه")</f>
        <v>الخصم المتفق عليه</v>
      </c>
    </row>
    <row r="989" spans="1:11" x14ac:dyDescent="0.25">
      <c r="A989" s="4" t="str">
        <f ca="1">IFERROR(__xludf.DUMMYFUNCTION("""COMPUTED_VALUE"""),"4702")</f>
        <v>4702</v>
      </c>
      <c r="B989" s="5" t="str">
        <f ca="1">IFERROR(__xludf.DUMMYFUNCTION("""COMPUTED_VALUE"""),"البحر الاحمر")</f>
        <v>البحر الاحمر</v>
      </c>
      <c r="C989" s="5" t="str">
        <f ca="1">IFERROR(__xludf.DUMMYFUNCTION("""COMPUTED_VALUE"""),"الغردقة")</f>
        <v>الغردقة</v>
      </c>
      <c r="D989" s="5" t="str">
        <f ca="1">IFERROR(__xludf.DUMMYFUNCTION("""COMPUTED_VALUE"""),"مستشفى")</f>
        <v>مستشفى</v>
      </c>
      <c r="E989" s="5" t="str">
        <f ca="1">IFERROR(__xludf.DUMMYFUNCTION("""COMPUTED_VALUE"""),"مستشفي طبي متكامل")</f>
        <v>مستشفي طبي متكامل</v>
      </c>
      <c r="F989" s="5" t="str">
        <f ca="1">IFERROR(__xludf.DUMMYFUNCTION("""COMPUTED_VALUE"""),"جميع التخصصات الطبية")</f>
        <v>جميع التخصصات الطبية</v>
      </c>
      <c r="G989" s="5" t="str">
        <f ca="1">IFERROR(__xludf.DUMMYFUNCTION("""COMPUTED_VALUE"""),"مستشفى المصرى")</f>
        <v>مستشفى المصرى</v>
      </c>
      <c r="H989" s="5" t="str">
        <f ca="1">IFERROR(__xludf.DUMMYFUNCTION("""COMPUTED_VALUE"""),"حى الكوثر 283 قسم الميناء- بجوار الممشى السياحى-الغردقة-البحر الاحمر")</f>
        <v>حى الكوثر 283 قسم الميناء- بجوار الممشى السياحى-الغردقة-البحر الاحمر</v>
      </c>
      <c r="I989" s="6" t="str">
        <f ca="1">IFERROR(__xludf.DUMMYFUNCTION("""COMPUTED_VALUE"""),"20653450318")</f>
        <v>20653450318</v>
      </c>
      <c r="J989" s="6"/>
      <c r="K989" s="6" t="str">
        <f ca="1">IFERROR(__xludf.DUMMYFUNCTION("""COMPUTED_VALUE"""),"20%على جميع الخدمات ماعدا اتعاب الأطباء وبنك الدم والأدوية والمستلزمات والاجهزه الخارجية")</f>
        <v>20%على جميع الخدمات ماعدا اتعاب الأطباء وبنك الدم والأدوية والمستلزمات والاجهزه الخارجية</v>
      </c>
    </row>
    <row r="990" spans="1:11" x14ac:dyDescent="0.25">
      <c r="A990" s="4" t="str">
        <f ca="1">IFERROR(__xludf.DUMMYFUNCTION("""COMPUTED_VALUE"""),"104028")</f>
        <v>104028</v>
      </c>
      <c r="B990" s="5" t="str">
        <f ca="1">IFERROR(__xludf.DUMMYFUNCTION("""COMPUTED_VALUE"""),"البحيرة")</f>
        <v>البحيرة</v>
      </c>
      <c r="C990" s="5" t="str">
        <f ca="1">IFERROR(__xludf.DUMMYFUNCTION("""COMPUTED_VALUE"""),"ادكو")</f>
        <v>ادكو</v>
      </c>
      <c r="D990" s="5" t="str">
        <f ca="1">IFERROR(__xludf.DUMMYFUNCTION("""COMPUTED_VALUE"""),"مستشفى")</f>
        <v>مستشفى</v>
      </c>
      <c r="E990" s="5" t="str">
        <f ca="1">IFERROR(__xludf.DUMMYFUNCTION("""COMPUTED_VALUE"""),"مستشفي طبي متكامل")</f>
        <v>مستشفي طبي متكامل</v>
      </c>
      <c r="F990" s="5" t="str">
        <f ca="1">IFERROR(__xludf.DUMMYFUNCTION("""COMPUTED_VALUE"""),"جميع التخصصات الطبية")</f>
        <v>جميع التخصصات الطبية</v>
      </c>
      <c r="G990" s="5" t="str">
        <f ca="1">IFERROR(__xludf.DUMMYFUNCTION("""COMPUTED_VALUE"""),"عيادة الجمهورية الشاملة")</f>
        <v>عيادة الجمهورية الشاملة</v>
      </c>
      <c r="H990" s="5" t="str">
        <f ca="1">IFERROR(__xludf.DUMMYFUNCTION("""COMPUTED_VALUE"""),"خط رشيد من شارع الجمهورية-ادكو-البحيرة")</f>
        <v>خط رشيد من شارع الجمهورية-ادكو-البحيرة</v>
      </c>
      <c r="I990" s="6" t="str">
        <f ca="1">IFERROR(__xludf.DUMMYFUNCTION("""COMPUTED_VALUE"""),"201221201714")</f>
        <v>201221201714</v>
      </c>
      <c r="J990" s="6"/>
      <c r="K990" s="6" t="str">
        <f ca="1">IFERROR(__xludf.DUMMYFUNCTION("""COMPUTED_VALUE"""),"خصم يصل الي 30%")</f>
        <v>خصم يصل الي 30%</v>
      </c>
    </row>
    <row r="991" spans="1:11" x14ac:dyDescent="0.25">
      <c r="A991" s="4" t="str">
        <f ca="1">IFERROR(__xludf.DUMMYFUNCTION("""COMPUTED_VALUE"""),"4808")</f>
        <v>4808</v>
      </c>
      <c r="B991" s="5" t="str">
        <f ca="1">IFERROR(__xludf.DUMMYFUNCTION("""COMPUTED_VALUE"""),"البحيرة")</f>
        <v>البحيرة</v>
      </c>
      <c r="C991" s="5" t="str">
        <f ca="1">IFERROR(__xludf.DUMMYFUNCTION("""COMPUTED_VALUE"""),"ايتاي البارود")</f>
        <v>ايتاي البارود</v>
      </c>
      <c r="D991" s="5" t="str">
        <f ca="1">IFERROR(__xludf.DUMMYFUNCTION("""COMPUTED_VALUE"""),"مستشفى")</f>
        <v>مستشفى</v>
      </c>
      <c r="E991" s="5" t="str">
        <f ca="1">IFERROR(__xludf.DUMMYFUNCTION("""COMPUTED_VALUE"""),"مستشفي طبي متكامل")</f>
        <v>مستشفي طبي متكامل</v>
      </c>
      <c r="F991" s="5" t="str">
        <f ca="1">IFERROR(__xludf.DUMMYFUNCTION("""COMPUTED_VALUE"""),"جميع التخصصات الطبية")</f>
        <v>جميع التخصصات الطبية</v>
      </c>
      <c r="G991" s="5" t="str">
        <f ca="1">IFERROR(__xludf.DUMMYFUNCTION("""COMPUTED_VALUE"""),"مستشفى الشفاء التخصصى")</f>
        <v>مستشفى الشفاء التخصصى</v>
      </c>
      <c r="H991" s="5" t="str">
        <f ca="1">IFERROR(__xludf.DUMMYFUNCTION("""COMPUTED_VALUE"""),"بجوار الساحة الشعبية-ايتاي البارود-البحيرة")</f>
        <v>بجوار الساحة الشعبية-ايتاي البارود-البحيرة</v>
      </c>
      <c r="I991" s="6" t="str">
        <f ca="1">IFERROR(__xludf.DUMMYFUNCTION("""COMPUTED_VALUE"""),"20453441172")</f>
        <v>20453441172</v>
      </c>
      <c r="J991" s="6"/>
      <c r="K991" s="6" t="str">
        <f ca="1">IFERROR(__xludf.DUMMYFUNCTION("""COMPUTED_VALUE"""),"خصم 25% علي الأسعار النقدي المعلنة")</f>
        <v>خصم 25% علي الأسعار النقدي المعلنة</v>
      </c>
    </row>
    <row r="992" spans="1:11" x14ac:dyDescent="0.25">
      <c r="A992" s="4" t="str">
        <f ca="1">IFERROR(__xludf.DUMMYFUNCTION("""COMPUTED_VALUE"""),"2200")</f>
        <v>2200</v>
      </c>
      <c r="B992" s="5" t="str">
        <f ca="1">IFERROR(__xludf.DUMMYFUNCTION("""COMPUTED_VALUE"""),"البحيرة")</f>
        <v>البحيرة</v>
      </c>
      <c r="C992" s="5" t="str">
        <f ca="1">IFERROR(__xludf.DUMMYFUNCTION("""COMPUTED_VALUE"""),"دمنهور")</f>
        <v>دمنهور</v>
      </c>
      <c r="D992" s="5" t="str">
        <f ca="1">IFERROR(__xludf.DUMMYFUNCTION("""COMPUTED_VALUE"""),"مستشفى")</f>
        <v>مستشفى</v>
      </c>
      <c r="E992" s="5" t="str">
        <f ca="1">IFERROR(__xludf.DUMMYFUNCTION("""COMPUTED_VALUE"""),"مستشفي طبي متكامل")</f>
        <v>مستشفي طبي متكامل</v>
      </c>
      <c r="F992" s="5" t="str">
        <f ca="1">IFERROR(__xludf.DUMMYFUNCTION("""COMPUTED_VALUE"""),"جميع التخصصات الطبية")</f>
        <v>جميع التخصصات الطبية</v>
      </c>
      <c r="G992" s="5" t="str">
        <f ca="1">IFERROR(__xludf.DUMMYFUNCTION("""COMPUTED_VALUE"""),"مستشفى الفاروق التخصصي")</f>
        <v>مستشفى الفاروق التخصصي</v>
      </c>
      <c r="H992" s="5" t="str">
        <f ca="1">IFERROR(__xludf.DUMMYFUNCTION("""COMPUTED_VALUE"""),"امتداد شارع الحميات - بجوار الموقف الجديد-دمنهور-البحيرة")</f>
        <v>امتداد شارع الحميات - بجوار الموقف الجديد-دمنهور-البحيرة</v>
      </c>
      <c r="I992" s="6" t="str">
        <f ca="1">IFERROR(__xludf.DUMMYFUNCTION("""COMPUTED_VALUE"""),"0453142636")</f>
        <v>0453142636</v>
      </c>
      <c r="J992" s="6"/>
      <c r="K992" s="6" t="str">
        <f ca="1">IFERROR(__xludf.DUMMYFUNCTION("""COMPUTED_VALUE"""),"15% على الداخلى ,15% الخارجي")</f>
        <v>15% على الداخلى ,15% الخارجي</v>
      </c>
    </row>
    <row r="993" spans="1:11" x14ac:dyDescent="0.25">
      <c r="A993" s="4" t="str">
        <f ca="1">IFERROR(__xludf.DUMMYFUNCTION("""COMPUTED_VALUE"""),"104140")</f>
        <v>104140</v>
      </c>
      <c r="B993" s="5" t="str">
        <f ca="1">IFERROR(__xludf.DUMMYFUNCTION("""COMPUTED_VALUE"""),"البحيرة")</f>
        <v>البحيرة</v>
      </c>
      <c r="C993" s="5" t="str">
        <f ca="1">IFERROR(__xludf.DUMMYFUNCTION("""COMPUTED_VALUE"""),"رشيد")</f>
        <v>رشيد</v>
      </c>
      <c r="D993" s="5" t="str">
        <f ca="1">IFERROR(__xludf.DUMMYFUNCTION("""COMPUTED_VALUE"""),"مستشفى")</f>
        <v>مستشفى</v>
      </c>
      <c r="E993" s="5" t="str">
        <f ca="1">IFERROR(__xludf.DUMMYFUNCTION("""COMPUTED_VALUE"""),"مستشفي طبي متكامل")</f>
        <v>مستشفي طبي متكامل</v>
      </c>
      <c r="F993" s="5" t="str">
        <f ca="1">IFERROR(__xludf.DUMMYFUNCTION("""COMPUTED_VALUE"""),"جميع التخصصات الطبية")</f>
        <v>جميع التخصصات الطبية</v>
      </c>
      <c r="G993" s="5" t="str">
        <f ca="1">IFERROR(__xludf.DUMMYFUNCTION("""COMPUTED_VALUE"""),"مستشفى الدكتور باشا التخصصي")</f>
        <v>مستشفى الدكتور باشا التخصصي</v>
      </c>
      <c r="H993" s="5" t="str">
        <f ca="1">IFERROR(__xludf.DUMMYFUNCTION("""COMPUTED_VALUE"""),"شارع عبد السلام عارف-رشيد-البحيرة")</f>
        <v>شارع عبد السلام عارف-رشيد-البحيرة</v>
      </c>
      <c r="I993" s="6" t="str">
        <f ca="1">IFERROR(__xludf.DUMMYFUNCTION("""COMPUTED_VALUE"""),"20452925100")</f>
        <v>20452925100</v>
      </c>
      <c r="J993" s="6"/>
      <c r="K993" s="6" t="str">
        <f ca="1">IFERROR(__xludf.DUMMYFUNCTION("""COMPUTED_VALUE"""),"خصم 30% علي أسعار جميع الخدمات النقدي المعلنة")</f>
        <v>خصم 30% علي أسعار جميع الخدمات النقدي المعلنة</v>
      </c>
    </row>
    <row r="994" spans="1:11" x14ac:dyDescent="0.25">
      <c r="A994" s="4" t="str">
        <f ca="1">IFERROR(__xludf.DUMMYFUNCTION("""COMPUTED_VALUE"""),"103260")</f>
        <v>103260</v>
      </c>
      <c r="B994" s="5" t="str">
        <f ca="1">IFERROR(__xludf.DUMMYFUNCTION("""COMPUTED_VALUE"""),"البحيرة")</f>
        <v>البحيرة</v>
      </c>
      <c r="C994" s="5" t="str">
        <f ca="1">IFERROR(__xludf.DUMMYFUNCTION("""COMPUTED_VALUE"""),"كفر الدوار")</f>
        <v>كفر الدوار</v>
      </c>
      <c r="D994" s="5" t="str">
        <f ca="1">IFERROR(__xludf.DUMMYFUNCTION("""COMPUTED_VALUE"""),"مستشفى")</f>
        <v>مستشفى</v>
      </c>
      <c r="E994" s="5" t="str">
        <f ca="1">IFERROR(__xludf.DUMMYFUNCTION("""COMPUTED_VALUE"""),"مستشفي طبي متكامل")</f>
        <v>مستشفي طبي متكامل</v>
      </c>
      <c r="F994" s="5" t="str">
        <f ca="1">IFERROR(__xludf.DUMMYFUNCTION("""COMPUTED_VALUE"""),"جميع التخصصات الطبية")</f>
        <v>جميع التخصصات الطبية</v>
      </c>
      <c r="G994" s="5" t="str">
        <f ca="1">IFERROR(__xludf.DUMMYFUNCTION("""COMPUTED_VALUE"""),"مستشفى الصفا - كفر الدوار")</f>
        <v>مستشفى الصفا - كفر الدوار</v>
      </c>
      <c r="H994" s="5" t="str">
        <f ca="1">IFERROR(__xludf.DUMMYFUNCTION("""COMPUTED_VALUE"""),"برج بانوراما العمدة- مدخل كفر الدوار الجديد بجوار مسجد الفتح -كفر الدوار-البحيرة")</f>
        <v>برج بانوراما العمدة- مدخل كفر الدوار الجديد بجوار مسجد الفتح -كفر الدوار-البحيرة</v>
      </c>
      <c r="I994" s="6" t="str">
        <f ca="1">IFERROR(__xludf.DUMMYFUNCTION("""COMPUTED_VALUE"""),"20452243323")</f>
        <v>20452243323</v>
      </c>
      <c r="J994" s="6"/>
      <c r="K994" s="6" t="str">
        <f ca="1">IFERROR(__xludf.DUMMYFUNCTION("""COMPUTED_VALUE"""),"20% نسبة خصم")</f>
        <v>20% نسبة خصم</v>
      </c>
    </row>
    <row r="995" spans="1:11" x14ac:dyDescent="0.25">
      <c r="A995" s="4" t="str">
        <f ca="1">IFERROR(__xludf.DUMMYFUNCTION("""COMPUTED_VALUE"""),"3150")</f>
        <v>3150</v>
      </c>
      <c r="B995" s="5" t="str">
        <f ca="1">IFERROR(__xludf.DUMMYFUNCTION("""COMPUTED_VALUE"""),"البحيرة")</f>
        <v>البحيرة</v>
      </c>
      <c r="C995" s="5" t="str">
        <f ca="1">IFERROR(__xludf.DUMMYFUNCTION("""COMPUTED_VALUE"""),"كفر الدوار")</f>
        <v>كفر الدوار</v>
      </c>
      <c r="D995" s="5" t="str">
        <f ca="1">IFERROR(__xludf.DUMMYFUNCTION("""COMPUTED_VALUE"""),"مستشفى")</f>
        <v>مستشفى</v>
      </c>
      <c r="E995" s="5" t="str">
        <f ca="1">IFERROR(__xludf.DUMMYFUNCTION("""COMPUTED_VALUE"""),"مستشفي طبي متكامل")</f>
        <v>مستشفي طبي متكامل</v>
      </c>
      <c r="F995" s="5" t="str">
        <f ca="1">IFERROR(__xludf.DUMMYFUNCTION("""COMPUTED_VALUE"""),"جميع التخصصات الطبية")</f>
        <v>جميع التخصصات الطبية</v>
      </c>
      <c r="G995" s="5" t="str">
        <f ca="1">IFERROR(__xludf.DUMMYFUNCTION("""COMPUTED_VALUE"""),"مستشفى المستقبل")</f>
        <v>مستشفى المستقبل</v>
      </c>
      <c r="H995" s="5" t="str">
        <f ca="1">IFERROR(__xludf.DUMMYFUNCTION("""COMPUTED_VALUE"""),"الحدائق حى المستقبل -كفر الدوار-البحيرة")</f>
        <v>الحدائق حى المستقبل -كفر الدوار-البحيرة</v>
      </c>
      <c r="I995" s="6" t="str">
        <f ca="1">IFERROR(__xludf.DUMMYFUNCTION("""COMPUTED_VALUE"""),"20452248881")</f>
        <v>20452248881</v>
      </c>
      <c r="J995" s="6"/>
      <c r="K995" s="6" t="str">
        <f ca="1">IFERROR(__xludf.DUMMYFUNCTION("""COMPUTED_VALUE"""),"25% علي الكشف ،15% علي العمليات والخدمات الداخلي ،10% علي الخدمات الخارجي")</f>
        <v>25% علي الكشف ،15% علي العمليات والخدمات الداخلي ،10% علي الخدمات الخارجي</v>
      </c>
    </row>
    <row r="996" spans="1:11" x14ac:dyDescent="0.25">
      <c r="A996" s="4" t="str">
        <f ca="1">IFERROR(__xludf.DUMMYFUNCTION("""COMPUTED_VALUE"""),"3584")</f>
        <v>3584</v>
      </c>
      <c r="B996" s="5" t="str">
        <f ca="1">IFERROR(__xludf.DUMMYFUNCTION("""COMPUTED_VALUE"""),"البحيرة")</f>
        <v>البحيرة</v>
      </c>
      <c r="C996" s="5" t="str">
        <f ca="1">IFERROR(__xludf.DUMMYFUNCTION("""COMPUTED_VALUE"""),"كوم حمادة")</f>
        <v>كوم حمادة</v>
      </c>
      <c r="D996" s="5" t="str">
        <f ca="1">IFERROR(__xludf.DUMMYFUNCTION("""COMPUTED_VALUE"""),"مستشفى")</f>
        <v>مستشفى</v>
      </c>
      <c r="E996" s="5" t="str">
        <f ca="1">IFERROR(__xludf.DUMMYFUNCTION("""COMPUTED_VALUE"""),"مستشفي طبي متكامل")</f>
        <v>مستشفي طبي متكامل</v>
      </c>
      <c r="F996" s="5" t="str">
        <f ca="1">IFERROR(__xludf.DUMMYFUNCTION("""COMPUTED_VALUE"""),"جميع التخصصات الطبية")</f>
        <v>جميع التخصصات الطبية</v>
      </c>
      <c r="G996" s="5" t="str">
        <f ca="1">IFERROR(__xludf.DUMMYFUNCTION("""COMPUTED_VALUE"""),"مستشفى الحجاز التخصصي")</f>
        <v>مستشفى الحجاز التخصصي</v>
      </c>
      <c r="H996" s="5" t="str">
        <f ca="1">IFERROR(__xludf.DUMMYFUNCTION("""COMPUTED_VALUE"""),"شارع الجوهرة متفرع شارع التحرير أمام ادارة الصحية-كوم حمادة-البحيرة")</f>
        <v>شارع الجوهرة متفرع شارع التحرير أمام ادارة الصحية-كوم حمادة-البحيرة</v>
      </c>
      <c r="I996" s="6" t="str">
        <f ca="1">IFERROR(__xludf.DUMMYFUNCTION("""COMPUTED_VALUE"""),"20453682149")</f>
        <v>20453682149</v>
      </c>
      <c r="J996" s="6"/>
      <c r="K996" s="6" t="str">
        <f ca="1">IFERROR(__xludf.DUMMYFUNCTION("""COMPUTED_VALUE"""),"المؤسسه العلاجيه 2017 كشف: 50")</f>
        <v>المؤسسه العلاجيه 2017 كشف: 50</v>
      </c>
    </row>
    <row r="997" spans="1:11" x14ac:dyDescent="0.25">
      <c r="A997" s="4" t="str">
        <f ca="1">IFERROR(__xludf.DUMMYFUNCTION("""COMPUTED_VALUE"""),"1709")</f>
        <v>1709</v>
      </c>
      <c r="B997" s="5" t="str">
        <f ca="1">IFERROR(__xludf.DUMMYFUNCTION("""COMPUTED_VALUE"""),"الجيزة")</f>
        <v>الجيزة</v>
      </c>
      <c r="C997" s="5" t="str">
        <f ca="1">IFERROR(__xludf.DUMMYFUNCTION("""COMPUTED_VALUE"""),"العياط")</f>
        <v>العياط</v>
      </c>
      <c r="D997" s="5" t="str">
        <f ca="1">IFERROR(__xludf.DUMMYFUNCTION("""COMPUTED_VALUE"""),"مستشفى")</f>
        <v>مستشفى</v>
      </c>
      <c r="E997" s="5" t="str">
        <f ca="1">IFERROR(__xludf.DUMMYFUNCTION("""COMPUTED_VALUE"""),"مستشفي طبي متكامل")</f>
        <v>مستشفي طبي متكامل</v>
      </c>
      <c r="F997" s="5" t="str">
        <f ca="1">IFERROR(__xludf.DUMMYFUNCTION("""COMPUTED_VALUE"""),"جميع التخصصات الطبية")</f>
        <v>جميع التخصصات الطبية</v>
      </c>
      <c r="G997" s="5" t="str">
        <f ca="1">IFERROR(__xludf.DUMMYFUNCTION("""COMPUTED_VALUE"""),"مستشفى الزهراء التخصصى")</f>
        <v>مستشفى الزهراء التخصصى</v>
      </c>
      <c r="H997" s="5" t="str">
        <f ca="1">IFERROR(__xludf.DUMMYFUNCTION("""COMPUTED_VALUE"""),"العياط ش الجيش بجوار الادارة الزراعية-العياط-الجيزة")</f>
        <v>العياط ش الجيش بجوار الادارة الزراعية-العياط-الجيزة</v>
      </c>
      <c r="I997" s="6" t="str">
        <f ca="1">IFERROR(__xludf.DUMMYFUNCTION("""COMPUTED_VALUE"""),"01112010111")</f>
        <v>01112010111</v>
      </c>
      <c r="J997" s="6"/>
      <c r="K997" s="6" t="str">
        <f ca="1">IFERROR(__xludf.DUMMYFUNCTION("""COMPUTED_VALUE"""),"30% على جميع الخدمات         ")</f>
        <v xml:space="preserve">30% على جميع الخدمات         </v>
      </c>
    </row>
    <row r="998" spans="1:11" x14ac:dyDescent="0.25">
      <c r="A998" s="4" t="str">
        <f ca="1">IFERROR(__xludf.DUMMYFUNCTION("""COMPUTED_VALUE"""),"104260")</f>
        <v>104260</v>
      </c>
      <c r="B998" s="5" t="str">
        <f ca="1">IFERROR(__xludf.DUMMYFUNCTION("""COMPUTED_VALUE"""),"السويس")</f>
        <v>السويس</v>
      </c>
      <c r="C998" s="5" t="str">
        <f ca="1">IFERROR(__xludf.DUMMYFUNCTION("""COMPUTED_VALUE"""),"السويس")</f>
        <v>السويس</v>
      </c>
      <c r="D998" s="5" t="str">
        <f ca="1">IFERROR(__xludf.DUMMYFUNCTION("""COMPUTED_VALUE"""),"مستشفى")</f>
        <v>مستشفى</v>
      </c>
      <c r="E998" s="5" t="str">
        <f ca="1">IFERROR(__xludf.DUMMYFUNCTION("""COMPUTED_VALUE"""),"مستشفي طبي متكامل")</f>
        <v>مستشفي طبي متكامل</v>
      </c>
      <c r="F998" s="5" t="str">
        <f ca="1">IFERROR(__xludf.DUMMYFUNCTION("""COMPUTED_VALUE"""),"جميع التخصصات الطبية")</f>
        <v>جميع التخصصات الطبية</v>
      </c>
      <c r="G998" s="5" t="str">
        <f ca="1">IFERROR(__xludf.DUMMYFUNCTION("""COMPUTED_VALUE"""),"مستشفى ابن سينا الدولى")</f>
        <v>مستشفى ابن سينا الدولى</v>
      </c>
      <c r="H998" s="5" t="str">
        <f ca="1">IFERROR(__xludf.DUMMYFUNCTION("""COMPUTED_VALUE"""),"8 عمارة الجندول - شارع المدينه الرياضيه الملاحه - السويس.")</f>
        <v>8 عمارة الجندول - شارع المدينه الرياضيه الملاحه - السويس.</v>
      </c>
      <c r="I998" s="6" t="str">
        <f ca="1">IFERROR(__xludf.DUMMYFUNCTION("""COMPUTED_VALUE"""),"20623333225")</f>
        <v>20623333225</v>
      </c>
      <c r="J998" s="6"/>
      <c r="K998" s="6" t="str">
        <f ca="1">IFERROR(__xludf.DUMMYFUNCTION("""COMPUTED_VALUE"""),"الكشف 40 , كشف اسنان 70 , المؤسسه 2017")</f>
        <v>الكشف 40 , كشف اسنان 70 , المؤسسه 2017</v>
      </c>
    </row>
    <row r="999" spans="1:11" x14ac:dyDescent="0.25">
      <c r="A999" s="4" t="str">
        <f ca="1">IFERROR(__xludf.DUMMYFUNCTION("""COMPUTED_VALUE"""),"104115")</f>
        <v>104115</v>
      </c>
      <c r="B999" s="5" t="str">
        <f ca="1">IFERROR(__xludf.DUMMYFUNCTION("""COMPUTED_VALUE"""),"الشرقية")</f>
        <v>الشرقية</v>
      </c>
      <c r="C999" s="5" t="str">
        <f ca="1">IFERROR(__xludf.DUMMYFUNCTION("""COMPUTED_VALUE"""),"الابراهيمية")</f>
        <v>الابراهيمية</v>
      </c>
      <c r="D999" s="5" t="str">
        <f ca="1">IFERROR(__xludf.DUMMYFUNCTION("""COMPUTED_VALUE"""),"مستشفى")</f>
        <v>مستشفى</v>
      </c>
      <c r="E999" s="5" t="str">
        <f ca="1">IFERROR(__xludf.DUMMYFUNCTION("""COMPUTED_VALUE"""),"مستشفي طبي متكامل")</f>
        <v>مستشفي طبي متكامل</v>
      </c>
      <c r="F999" s="5" t="str">
        <f ca="1">IFERROR(__xludf.DUMMYFUNCTION("""COMPUTED_VALUE"""),"جميع التخصصات الطبية")</f>
        <v>جميع التخصصات الطبية</v>
      </c>
      <c r="G999" s="5" t="str">
        <f ca="1">IFERROR(__xludf.DUMMYFUNCTION("""COMPUTED_VALUE"""),"مستشفى الشروق - الإبراهيمية")</f>
        <v>مستشفى الشروق - الإبراهيمية</v>
      </c>
      <c r="H999" s="5" t="str">
        <f ca="1">IFERROR(__xludf.DUMMYFUNCTION("""COMPUTED_VALUE"""),"ميدان الصاغة - الإبراهيمية - الشرقية")</f>
        <v>ميدان الصاغة - الإبراهيمية - الشرقية</v>
      </c>
      <c r="I999" s="6" t="str">
        <f ca="1">IFERROR(__xludf.DUMMYFUNCTION("""COMPUTED_VALUE"""),"20552605781")</f>
        <v>20552605781</v>
      </c>
      <c r="J999" s="6"/>
      <c r="K999" s="6" t="str">
        <f ca="1">IFERROR(__xludf.DUMMYFUNCTION("""COMPUTED_VALUE"""),"المؤسسه العلاجيه 2016 الكشف 60 , كشف اسنان 30")</f>
        <v>المؤسسه العلاجيه 2016 الكشف 60 , كشف اسنان 30</v>
      </c>
    </row>
    <row r="1000" spans="1:11" x14ac:dyDescent="0.25">
      <c r="A1000" s="4" t="str">
        <f ca="1">IFERROR(__xludf.DUMMYFUNCTION("""COMPUTED_VALUE"""),"2065")</f>
        <v>2065</v>
      </c>
      <c r="B1000" s="5" t="str">
        <f ca="1">IFERROR(__xludf.DUMMYFUNCTION("""COMPUTED_VALUE"""),"الشرقية")</f>
        <v>الشرقية</v>
      </c>
      <c r="C1000" s="5" t="str">
        <f ca="1">IFERROR(__xludf.DUMMYFUNCTION("""COMPUTED_VALUE"""),"الزقازيق")</f>
        <v>الزقازيق</v>
      </c>
      <c r="D1000" s="5" t="str">
        <f ca="1">IFERROR(__xludf.DUMMYFUNCTION("""COMPUTED_VALUE"""),"مستشفى")</f>
        <v>مستشفى</v>
      </c>
      <c r="E1000" s="5" t="str">
        <f ca="1">IFERROR(__xludf.DUMMYFUNCTION("""COMPUTED_VALUE"""),"مستشفي طبي متكامل")</f>
        <v>مستشفي طبي متكامل</v>
      </c>
      <c r="F1000" s="5" t="str">
        <f ca="1">IFERROR(__xludf.DUMMYFUNCTION("""COMPUTED_VALUE"""),"جميع التخصصات الطبية")</f>
        <v>جميع التخصصات الطبية</v>
      </c>
      <c r="G1000" s="5" t="str">
        <f ca="1">IFERROR(__xludf.DUMMYFUNCTION("""COMPUTED_VALUE"""),"مستشفى التيسير الدولي")</f>
        <v>مستشفى التيسير الدولي</v>
      </c>
      <c r="H1000" s="5" t="str">
        <f ca="1">IFERROR(__xludf.DUMMYFUNCTION("""COMPUTED_VALUE"""),"منشية السادات - شارع موقف المنصوره-الزقازيق-الشرقية")</f>
        <v>منشية السادات - شارع موقف المنصوره-الزقازيق-الشرقية</v>
      </c>
      <c r="I1000" s="6" t="str">
        <f ca="1">IFERROR(__xludf.DUMMYFUNCTION("""COMPUTED_VALUE"""),"20552360727")</f>
        <v>20552360727</v>
      </c>
      <c r="J1000" s="6"/>
      <c r="K1000" s="6" t="str">
        <f ca="1">IFERROR(__xludf.DUMMYFUNCTION("""COMPUTED_VALUE"""),"خصم 50% علي لائحه الاسعار، عدا خدمات الاشعه و التحاليل يتم تقديم نسبة خصم 60%. و يتم تطبيق نسبة خصم 15% علي الباكدجات، عدا باكدجات الرمد يتم تطبيق خصم 10%. و لا يتم تطبيق الخصم علي القلب المفتوح.")</f>
        <v>خصم 50% علي لائحه الاسعار، عدا خدمات الاشعه و التحاليل يتم تقديم نسبة خصم 60%. و يتم تطبيق نسبة خصم 15% علي الباكدجات، عدا باكدجات الرمد يتم تطبيق خصم 10%. و لا يتم تطبيق الخصم علي القلب المفتوح.</v>
      </c>
    </row>
    <row r="1001" spans="1:11" x14ac:dyDescent="0.25">
      <c r="A1001" s="4" t="str">
        <f ca="1">IFERROR(__xludf.DUMMYFUNCTION("""COMPUTED_VALUE"""),"4473")</f>
        <v>4473</v>
      </c>
      <c r="B1001" s="5" t="str">
        <f ca="1">IFERROR(__xludf.DUMMYFUNCTION("""COMPUTED_VALUE"""),"الشرقية")</f>
        <v>الشرقية</v>
      </c>
      <c r="C1001" s="5" t="str">
        <f ca="1">IFERROR(__xludf.DUMMYFUNCTION("""COMPUTED_VALUE"""),"الزقازيق")</f>
        <v>الزقازيق</v>
      </c>
      <c r="D1001" s="5" t="str">
        <f ca="1">IFERROR(__xludf.DUMMYFUNCTION("""COMPUTED_VALUE"""),"مستشفى")</f>
        <v>مستشفى</v>
      </c>
      <c r="E1001" s="5" t="str">
        <f ca="1">IFERROR(__xludf.DUMMYFUNCTION("""COMPUTED_VALUE"""),"مستشفي طبي متكامل")</f>
        <v>مستشفي طبي متكامل</v>
      </c>
      <c r="F1001" s="5" t="str">
        <f ca="1">IFERROR(__xludf.DUMMYFUNCTION("""COMPUTED_VALUE"""),"جميع التخصصات الطبية")</f>
        <v>جميع التخصصات الطبية</v>
      </c>
      <c r="G1001" s="5" t="str">
        <f ca="1">IFERROR(__xludf.DUMMYFUNCTION("""COMPUTED_VALUE"""),"مستشفى المدينة الدولي")</f>
        <v>مستشفى المدينة الدولي</v>
      </c>
      <c r="H1001" s="5" t="str">
        <f ca="1">IFERROR(__xludf.DUMMYFUNCTION("""COMPUTED_VALUE"""),"حى الزهور امام مستشفى جامعه الزقازيق -الزقازيق-الشرقية")</f>
        <v>حى الزهور امام مستشفى جامعه الزقازيق -الزقازيق-الشرقية</v>
      </c>
      <c r="I1001" s="6" t="str">
        <f ca="1">IFERROR(__xludf.DUMMYFUNCTION("""COMPUTED_VALUE"""),"20552357221")</f>
        <v>20552357221</v>
      </c>
      <c r="J1001" s="6"/>
      <c r="K1001" s="6" t="str">
        <f ca="1">IFERROR(__xludf.DUMMYFUNCTION("""COMPUTED_VALUE"""),"خصم 30%علي جميع الخدمات فيما عدا المستلزمات و الادوية الطبية و بنك الدم")</f>
        <v>خصم 30%علي جميع الخدمات فيما عدا المستلزمات و الادوية الطبية و بنك الدم</v>
      </c>
    </row>
    <row r="1002" spans="1:11" x14ac:dyDescent="0.25">
      <c r="A1002" s="4" t="str">
        <f ca="1">IFERROR(__xludf.DUMMYFUNCTION("""COMPUTED_VALUE"""),"104531")</f>
        <v>104531</v>
      </c>
      <c r="B1002" s="5" t="str">
        <f ca="1">IFERROR(__xludf.DUMMYFUNCTION("""COMPUTED_VALUE"""),"الشرقية")</f>
        <v>الشرقية</v>
      </c>
      <c r="C1002" s="5" t="str">
        <f ca="1">IFERROR(__xludf.DUMMYFUNCTION("""COMPUTED_VALUE"""),"الزقازيق")</f>
        <v>الزقازيق</v>
      </c>
      <c r="D1002" s="5" t="str">
        <f ca="1">IFERROR(__xludf.DUMMYFUNCTION("""COMPUTED_VALUE"""),"مستشفى")</f>
        <v>مستشفى</v>
      </c>
      <c r="E1002" s="5" t="str">
        <f ca="1">IFERROR(__xludf.DUMMYFUNCTION("""COMPUTED_VALUE"""),"مستشفي طبي متكامل")</f>
        <v>مستشفي طبي متكامل</v>
      </c>
      <c r="F1002" s="5" t="str">
        <f ca="1">IFERROR(__xludf.DUMMYFUNCTION("""COMPUTED_VALUE"""),"جميع التخصصات الطبية")</f>
        <v>جميع التخصصات الطبية</v>
      </c>
      <c r="G1002" s="5" t="str">
        <f ca="1">IFERROR(__xludf.DUMMYFUNCTION("""COMPUTED_VALUE"""),"مستشفى المنتزه الدولي")</f>
        <v>مستشفى المنتزه الدولي</v>
      </c>
      <c r="H1002" s="5" t="str">
        <f ca="1">IFERROR(__xludf.DUMMYFUNCTION("""COMPUTED_VALUE"""),"3ش أبو الفتوح - ميدان المنتزه - الزقازيق - الشرقية .")</f>
        <v>3ش أبو الفتوح - ميدان المنتزه - الزقازيق - الشرقية .</v>
      </c>
      <c r="I1002" s="6" t="str">
        <f ca="1">IFERROR(__xludf.DUMMYFUNCTION("""COMPUTED_VALUE"""),"20552357778")</f>
        <v>20552357778</v>
      </c>
      <c r="J1002" s="6"/>
      <c r="K1002" s="6" t="str">
        <f ca="1">IFERROR(__xludf.DUMMYFUNCTION("""COMPUTED_VALUE"""),"المؤسسه العلاجيه 2016")</f>
        <v>المؤسسه العلاجيه 2016</v>
      </c>
    </row>
    <row r="1003" spans="1:11" x14ac:dyDescent="0.25">
      <c r="A1003" s="4" t="str">
        <f ca="1">IFERROR(__xludf.DUMMYFUNCTION("""COMPUTED_VALUE"""),"1948")</f>
        <v>1948</v>
      </c>
      <c r="B1003" s="5" t="str">
        <f ca="1">IFERROR(__xludf.DUMMYFUNCTION("""COMPUTED_VALUE"""),"الشرقية")</f>
        <v>الشرقية</v>
      </c>
      <c r="C1003" s="5" t="str">
        <f ca="1">IFERROR(__xludf.DUMMYFUNCTION("""COMPUTED_VALUE"""),"العاشر من رمضان")</f>
        <v>العاشر من رمضان</v>
      </c>
      <c r="D1003" s="5" t="str">
        <f ca="1">IFERROR(__xludf.DUMMYFUNCTION("""COMPUTED_VALUE"""),"مستشفى")</f>
        <v>مستشفى</v>
      </c>
      <c r="E1003" s="5" t="str">
        <f ca="1">IFERROR(__xludf.DUMMYFUNCTION("""COMPUTED_VALUE"""),"مستشفي طبي متكامل")</f>
        <v>مستشفي طبي متكامل</v>
      </c>
      <c r="F1003" s="5" t="str">
        <f ca="1">IFERROR(__xludf.DUMMYFUNCTION("""COMPUTED_VALUE"""),"جميع التخصصات الطبية")</f>
        <v>جميع التخصصات الطبية</v>
      </c>
      <c r="G1003" s="5" t="str">
        <f ca="1">IFERROR(__xludf.DUMMYFUNCTION("""COMPUTED_VALUE"""),"مستشفى الهلال الأخضر  - العاشر من رمضان")</f>
        <v>مستشفى الهلال الأخضر  - العاشر من رمضان</v>
      </c>
      <c r="H1003" s="5" t="str">
        <f ca="1">IFERROR(__xludf.DUMMYFUNCTION("""COMPUTED_VALUE"""),"العاشر من رمضان - المجاورة الثالثة بجوار مدرسة  السلام الابتدائية -العاشر من رمضان-الشرقية")</f>
        <v>العاشر من رمضان - المجاورة الثالثة بجوار مدرسة  السلام الابتدائية -العاشر من رمضان-الشرقية</v>
      </c>
      <c r="I1003" s="6" t="str">
        <f ca="1">IFERROR(__xludf.DUMMYFUNCTION("""COMPUTED_VALUE"""),"20554363031")</f>
        <v>20554363031</v>
      </c>
      <c r="J1003" s="6"/>
      <c r="K1003" s="6" t="str">
        <f ca="1">IFERROR(__xludf.DUMMYFUNCTION("""COMPUTED_VALUE"""),"30% خصم علي الأسعار النقدي المعلنة")</f>
        <v>30% خصم علي الأسعار النقدي المعلنة</v>
      </c>
    </row>
    <row r="1004" spans="1:11" x14ac:dyDescent="0.25">
      <c r="A1004" s="4" t="str">
        <f ca="1">IFERROR(__xludf.DUMMYFUNCTION("""COMPUTED_VALUE"""),"3323")</f>
        <v>3323</v>
      </c>
      <c r="B1004" s="5" t="str">
        <f ca="1">IFERROR(__xludf.DUMMYFUNCTION("""COMPUTED_VALUE"""),"الشرقية")</f>
        <v>الشرقية</v>
      </c>
      <c r="C1004" s="5" t="str">
        <f ca="1">IFERROR(__xludf.DUMMYFUNCTION("""COMPUTED_VALUE"""),"بلبيس")</f>
        <v>بلبيس</v>
      </c>
      <c r="D1004" s="5" t="str">
        <f ca="1">IFERROR(__xludf.DUMMYFUNCTION("""COMPUTED_VALUE"""),"مستشفى")</f>
        <v>مستشفى</v>
      </c>
      <c r="E1004" s="5" t="str">
        <f ca="1">IFERROR(__xludf.DUMMYFUNCTION("""COMPUTED_VALUE"""),"مستشفي طبي متكامل")</f>
        <v>مستشفي طبي متكامل</v>
      </c>
      <c r="F1004" s="5" t="str">
        <f ca="1">IFERROR(__xludf.DUMMYFUNCTION("""COMPUTED_VALUE"""),"جميع التخصصات الطبية")</f>
        <v>جميع التخصصات الطبية</v>
      </c>
      <c r="G1004" s="5" t="str">
        <f ca="1">IFERROR(__xludf.DUMMYFUNCTION("""COMPUTED_VALUE"""),"مستشفى الرحمة -الشرقية")</f>
        <v>مستشفى الرحمة -الشرقية</v>
      </c>
      <c r="H1004" s="5" t="str">
        <f ca="1">IFERROR(__xludf.DUMMYFUNCTION("""COMPUTED_VALUE"""),"شارع الكلية الجوية - بلبيس شرقية-بلبيس-الشرقية")</f>
        <v>شارع الكلية الجوية - بلبيس شرقية-بلبيس-الشرقية</v>
      </c>
      <c r="I1004" s="6" t="str">
        <f ca="1">IFERROR(__xludf.DUMMYFUNCTION("""COMPUTED_VALUE"""),"20552853073")</f>
        <v>20552853073</v>
      </c>
      <c r="J1004" s="6"/>
      <c r="K1004" s="6" t="str">
        <f ca="1">IFERROR(__xludf.DUMMYFUNCTION("""COMPUTED_VALUE"""),"خصم يصل الي 20%")</f>
        <v>خصم يصل الي 20%</v>
      </c>
    </row>
    <row r="1005" spans="1:11" x14ac:dyDescent="0.25">
      <c r="A1005" s="4" t="str">
        <f ca="1">IFERROR(__xludf.DUMMYFUNCTION("""COMPUTED_VALUE"""),"104489")</f>
        <v>104489</v>
      </c>
      <c r="B1005" s="5" t="str">
        <f ca="1">IFERROR(__xludf.DUMMYFUNCTION("""COMPUTED_VALUE"""),"الشرقية")</f>
        <v>الشرقية</v>
      </c>
      <c r="C1005" s="5" t="str">
        <f ca="1">IFERROR(__xludf.DUMMYFUNCTION("""COMPUTED_VALUE"""),"فاقوس")</f>
        <v>فاقوس</v>
      </c>
      <c r="D1005" s="5" t="str">
        <f ca="1">IFERROR(__xludf.DUMMYFUNCTION("""COMPUTED_VALUE"""),"مستشفى")</f>
        <v>مستشفى</v>
      </c>
      <c r="E1005" s="5" t="str">
        <f ca="1">IFERROR(__xludf.DUMMYFUNCTION("""COMPUTED_VALUE"""),"مستشفي طبي متكامل")</f>
        <v>مستشفي طبي متكامل</v>
      </c>
      <c r="F1005" s="5" t="str">
        <f ca="1">IFERROR(__xludf.DUMMYFUNCTION("""COMPUTED_VALUE"""),"جميع التخصصات الطبية")</f>
        <v>جميع التخصصات الطبية</v>
      </c>
      <c r="G1005" s="5" t="str">
        <f ca="1">IFERROR(__xludf.DUMMYFUNCTION("""COMPUTED_VALUE"""),"مستشفى الأمل الدولي")</f>
        <v>مستشفى الأمل الدولي</v>
      </c>
      <c r="H1005" s="5" t="str">
        <f ca="1">IFERROR(__xludf.DUMMYFUNCTION("""COMPUTED_VALUE"""),"شارع عبدالمنعم رياض - بجوار قسم شرطة فاقوس - فاقوس - الشرقية .")</f>
        <v>شارع عبدالمنعم رياض - بجوار قسم شرطة فاقوس - فاقوس - الشرقية .</v>
      </c>
      <c r="I1005" s="6" t="str">
        <f ca="1">IFERROR(__xludf.DUMMYFUNCTION("""COMPUTED_VALUE"""),"20553978382")</f>
        <v>20553978382</v>
      </c>
      <c r="J1005" s="6"/>
      <c r="K1005" s="6" t="str">
        <f ca="1">IFERROR(__xludf.DUMMYFUNCTION("""COMPUTED_VALUE"""),"الكشف : 75")</f>
        <v>الكشف : 75</v>
      </c>
    </row>
    <row r="1006" spans="1:11" x14ac:dyDescent="0.25">
      <c r="A1006" s="4" t="str">
        <f ca="1">IFERROR(__xludf.DUMMYFUNCTION("""COMPUTED_VALUE"""),"2327")</f>
        <v>2327</v>
      </c>
      <c r="B1006" s="5" t="str">
        <f ca="1">IFERROR(__xludf.DUMMYFUNCTION("""COMPUTED_VALUE"""),"الشرقية")</f>
        <v>الشرقية</v>
      </c>
      <c r="C1006" s="5" t="str">
        <f ca="1">IFERROR(__xludf.DUMMYFUNCTION("""COMPUTED_VALUE"""),"فاقوس")</f>
        <v>فاقوس</v>
      </c>
      <c r="D1006" s="5" t="str">
        <f ca="1">IFERROR(__xludf.DUMMYFUNCTION("""COMPUTED_VALUE"""),"مستشفى")</f>
        <v>مستشفى</v>
      </c>
      <c r="E1006" s="5" t="str">
        <f ca="1">IFERROR(__xludf.DUMMYFUNCTION("""COMPUTED_VALUE"""),"مستشفي طبي متكامل")</f>
        <v>مستشفي طبي متكامل</v>
      </c>
      <c r="F1006" s="5" t="str">
        <f ca="1">IFERROR(__xludf.DUMMYFUNCTION("""COMPUTED_VALUE"""),"جميع التخصصات الطبية")</f>
        <v>جميع التخصصات الطبية</v>
      </c>
      <c r="G1006" s="5" t="str">
        <f ca="1">IFERROR(__xludf.DUMMYFUNCTION("""COMPUTED_VALUE"""),"مستشفى دار الشفاء بفاقوس")</f>
        <v>مستشفى دار الشفاء بفاقوس</v>
      </c>
      <c r="H1006" s="5" t="str">
        <f ca="1">IFERROR(__xludf.DUMMYFUNCTION("""COMPUTED_VALUE"""),"شارع بورسعيد بجوار هندسة الري-فاقوس-الشرقية")</f>
        <v>شارع بورسعيد بجوار هندسة الري-فاقوس-الشرقية</v>
      </c>
      <c r="I1006" s="6" t="str">
        <f ca="1">IFERROR(__xludf.DUMMYFUNCTION("""COMPUTED_VALUE"""),"20553970076")</f>
        <v>20553970076</v>
      </c>
      <c r="J1006" s="6"/>
      <c r="K1006" s="6" t="str">
        <f ca="1">IFERROR(__xludf.DUMMYFUNCTION("""COMPUTED_VALUE"""),"الكشف 70 , كشف اسنان 50جنية. المؤسسه العلاجيه 2015")</f>
        <v>الكشف 70 , كشف اسنان 50جنية. المؤسسه العلاجيه 2015</v>
      </c>
    </row>
    <row r="1007" spans="1:11" x14ac:dyDescent="0.25">
      <c r="A1007" s="4" t="str">
        <f ca="1">IFERROR(__xludf.DUMMYFUNCTION("""COMPUTED_VALUE"""),"3180")</f>
        <v>3180</v>
      </c>
      <c r="B1007" s="5" t="str">
        <f ca="1">IFERROR(__xludf.DUMMYFUNCTION("""COMPUTED_VALUE"""),"الشرقية")</f>
        <v>الشرقية</v>
      </c>
      <c r="C1007" s="5" t="str">
        <f ca="1">IFERROR(__xludf.DUMMYFUNCTION("""COMPUTED_VALUE"""),"منيا القمح")</f>
        <v>منيا القمح</v>
      </c>
      <c r="D1007" s="5" t="str">
        <f ca="1">IFERROR(__xludf.DUMMYFUNCTION("""COMPUTED_VALUE"""),"مستشفى")</f>
        <v>مستشفى</v>
      </c>
      <c r="E1007" s="5" t="str">
        <f ca="1">IFERROR(__xludf.DUMMYFUNCTION("""COMPUTED_VALUE"""),"مستشفي طبي متكامل")</f>
        <v>مستشفي طبي متكامل</v>
      </c>
      <c r="F1007" s="5" t="str">
        <f ca="1">IFERROR(__xludf.DUMMYFUNCTION("""COMPUTED_VALUE"""),"جميع التخصصات الطبية")</f>
        <v>جميع التخصصات الطبية</v>
      </c>
      <c r="G1007" s="5" t="str">
        <f ca="1">IFERROR(__xludf.DUMMYFUNCTION("""COMPUTED_VALUE"""),"مستشفى جلال التخصصي")</f>
        <v>مستشفى جلال التخصصي</v>
      </c>
      <c r="H1007" s="5" t="str">
        <f ca="1">IFERROR(__xludf.DUMMYFUNCTION("""COMPUTED_VALUE"""),"شارع هندسة الري- منيا القمح-منيا القمح-الشرقية")</f>
        <v>شارع هندسة الري- منيا القمح-منيا القمح-الشرقية</v>
      </c>
      <c r="I1007" s="6" t="str">
        <f ca="1">IFERROR(__xludf.DUMMYFUNCTION("""COMPUTED_VALUE"""),"20553666940")</f>
        <v>20553666940</v>
      </c>
      <c r="J1007" s="6"/>
      <c r="K1007" s="6" t="str">
        <f ca="1">IFERROR(__xludf.DUMMYFUNCTION("""COMPUTED_VALUE"""),"20%على جميع الخدمات")</f>
        <v>20%على جميع الخدمات</v>
      </c>
    </row>
    <row r="1008" spans="1:11" x14ac:dyDescent="0.25">
      <c r="A1008" s="4" t="str">
        <f ca="1">IFERROR(__xludf.DUMMYFUNCTION("""COMPUTED_VALUE"""),"3901")</f>
        <v>3901</v>
      </c>
      <c r="B1008" s="5" t="str">
        <f ca="1">IFERROR(__xludf.DUMMYFUNCTION("""COMPUTED_VALUE"""),"الغربية")</f>
        <v>الغربية</v>
      </c>
      <c r="C1008" s="5" t="str">
        <f ca="1">IFERROR(__xludf.DUMMYFUNCTION("""COMPUTED_VALUE"""),"المحلة الكبرى")</f>
        <v>المحلة الكبرى</v>
      </c>
      <c r="D1008" s="5" t="str">
        <f ca="1">IFERROR(__xludf.DUMMYFUNCTION("""COMPUTED_VALUE"""),"مستشفى")</f>
        <v>مستشفى</v>
      </c>
      <c r="E1008" s="5" t="str">
        <f ca="1">IFERROR(__xludf.DUMMYFUNCTION("""COMPUTED_VALUE"""),"مستشفي طبي متكامل")</f>
        <v>مستشفي طبي متكامل</v>
      </c>
      <c r="F1008" s="5" t="str">
        <f ca="1">IFERROR(__xludf.DUMMYFUNCTION("""COMPUTED_VALUE"""),"جميع التخصصات الطبية")</f>
        <v>جميع التخصصات الطبية</v>
      </c>
      <c r="G1008" s="5" t="str">
        <f ca="1">IFERROR(__xludf.DUMMYFUNCTION("""COMPUTED_VALUE"""),"مستشفى مدينة الشفاء")</f>
        <v>مستشفى مدينة الشفاء</v>
      </c>
      <c r="H1008" s="5" t="str">
        <f ca="1">IFERROR(__xludf.DUMMYFUNCTION("""COMPUTED_VALUE"""),"4 شارع عطية البسيوني - متفرع من شارع شكري القوتلي-  امام صيدليه د.اكرم -المحلة الكبرى-الغربية")</f>
        <v>4 شارع عطية البسيوني - متفرع من شارع شكري القوتلي-  امام صيدليه د.اكرم -المحلة الكبرى-الغربية</v>
      </c>
      <c r="I1008" s="6" t="str">
        <f ca="1">IFERROR(__xludf.DUMMYFUNCTION("""COMPUTED_VALUE"""),"20402230146")</f>
        <v>20402230146</v>
      </c>
      <c r="J1008" s="6"/>
      <c r="K1008" s="6" t="str">
        <f ca="1">IFERROR(__xludf.DUMMYFUNCTION("""COMPUTED_VALUE"""),"10% على جميع الخدمات")</f>
        <v>10% على جميع الخدمات</v>
      </c>
    </row>
    <row r="1009" spans="1:11" x14ac:dyDescent="0.25">
      <c r="A1009" s="4" t="str">
        <f ca="1">IFERROR(__xludf.DUMMYFUNCTION("""COMPUTED_VALUE"""),"2071")</f>
        <v>2071</v>
      </c>
      <c r="B1009" s="5" t="str">
        <f ca="1">IFERROR(__xludf.DUMMYFUNCTION("""COMPUTED_VALUE"""),"الغربية")</f>
        <v>الغربية</v>
      </c>
      <c r="C1009" s="5" t="str">
        <f ca="1">IFERROR(__xludf.DUMMYFUNCTION("""COMPUTED_VALUE"""),"طنطا")</f>
        <v>طنطا</v>
      </c>
      <c r="D1009" s="5" t="str">
        <f ca="1">IFERROR(__xludf.DUMMYFUNCTION("""COMPUTED_VALUE"""),"مستشفى")</f>
        <v>مستشفى</v>
      </c>
      <c r="E1009" s="5" t="str">
        <f ca="1">IFERROR(__xludf.DUMMYFUNCTION("""COMPUTED_VALUE"""),"مستشفي طبي متكامل")</f>
        <v>مستشفي طبي متكامل</v>
      </c>
      <c r="F1009" s="5" t="str">
        <f ca="1">IFERROR(__xludf.DUMMYFUNCTION("""COMPUTED_VALUE"""),"جميع التخصصات الطبية")</f>
        <v>جميع التخصصات الطبية</v>
      </c>
      <c r="G1009" s="5" t="str">
        <f ca="1">IFERROR(__xludf.DUMMYFUNCTION("""COMPUTED_VALUE"""),"مستشفى أبو فرحة التخصصى")</f>
        <v>مستشفى أبو فرحة التخصصى</v>
      </c>
      <c r="H1009" s="5" t="str">
        <f ca="1">IFERROR(__xludf.DUMMYFUNCTION("""COMPUTED_VALUE"""),"شارع الإستاد الرياضى-طنطا-الغربية")</f>
        <v>شارع الإستاد الرياضى-طنطا-الغربية</v>
      </c>
      <c r="I1009" s="6" t="str">
        <f ca="1">IFERROR(__xludf.DUMMYFUNCTION("""COMPUTED_VALUE"""),"20403416626")</f>
        <v>20403416626</v>
      </c>
      <c r="J1009" s="6"/>
      <c r="K1009" s="6" t="str">
        <f ca="1">IFERROR(__xludf.DUMMYFUNCTION("""COMPUTED_VALUE"""),"المؤسسه العلاجيه 2016 الكشف70")</f>
        <v>المؤسسه العلاجيه 2016 الكشف70</v>
      </c>
    </row>
    <row r="1010" spans="1:11" x14ac:dyDescent="0.25">
      <c r="A1010" s="4" t="str">
        <f ca="1">IFERROR(__xludf.DUMMYFUNCTION("""COMPUTED_VALUE"""),"3496")</f>
        <v>3496</v>
      </c>
      <c r="B1010" s="5" t="str">
        <f ca="1">IFERROR(__xludf.DUMMYFUNCTION("""COMPUTED_VALUE"""),"الغربية")</f>
        <v>الغربية</v>
      </c>
      <c r="C1010" s="5" t="str">
        <f ca="1">IFERROR(__xludf.DUMMYFUNCTION("""COMPUTED_VALUE"""),"طنطا")</f>
        <v>طنطا</v>
      </c>
      <c r="D1010" s="5" t="str">
        <f ca="1">IFERROR(__xludf.DUMMYFUNCTION("""COMPUTED_VALUE"""),"مستشفى")</f>
        <v>مستشفى</v>
      </c>
      <c r="E1010" s="5" t="str">
        <f ca="1">IFERROR(__xludf.DUMMYFUNCTION("""COMPUTED_VALUE"""),"مستشفي طبي متكامل")</f>
        <v>مستشفي طبي متكامل</v>
      </c>
      <c r="F1010" s="5" t="str">
        <f ca="1">IFERROR(__xludf.DUMMYFUNCTION("""COMPUTED_VALUE"""),"جميع التخصصات الطبية")</f>
        <v>جميع التخصصات الطبية</v>
      </c>
      <c r="G1010" s="5" t="str">
        <f ca="1">IFERROR(__xludf.DUMMYFUNCTION("""COMPUTED_VALUE"""),"مستشفى دار الشفاء التخصصي")</f>
        <v>مستشفى دار الشفاء التخصصي</v>
      </c>
      <c r="H1010" s="5" t="str">
        <f ca="1">IFERROR(__xludf.DUMMYFUNCTION("""COMPUTED_VALUE"""),"ش معاوية تقاطع شارع عمرو بن العاصي ثانى -طنطا -الغربية")</f>
        <v>ش معاوية تقاطع شارع عمرو بن العاصي ثانى -طنطا -الغربية</v>
      </c>
      <c r="I1010" s="6" t="str">
        <f ca="1">IFERROR(__xludf.DUMMYFUNCTION("""COMPUTED_VALUE"""),"20403274001")</f>
        <v>20403274001</v>
      </c>
      <c r="J1010" s="6"/>
      <c r="K1010" s="6" t="str">
        <f ca="1">IFERROR(__xludf.DUMMYFUNCTION("""COMPUTED_VALUE"""),"خصم 50% علي الكشوفات وخصم 30% علي باقي الخدمات النقدي المعلنة")</f>
        <v>خصم 50% علي الكشوفات وخصم 30% علي باقي الخدمات النقدي المعلنة</v>
      </c>
    </row>
    <row r="1011" spans="1:11" x14ac:dyDescent="0.25">
      <c r="A1011" s="4" t="str">
        <f ca="1">IFERROR(__xludf.DUMMYFUNCTION("""COMPUTED_VALUE"""),"104485")</f>
        <v>104485</v>
      </c>
      <c r="B1011" s="5" t="str">
        <f ca="1">IFERROR(__xludf.DUMMYFUNCTION("""COMPUTED_VALUE"""),"الغربية")</f>
        <v>الغربية</v>
      </c>
      <c r="C1011" s="5" t="str">
        <f ca="1">IFERROR(__xludf.DUMMYFUNCTION("""COMPUTED_VALUE"""),"كفر الزيات")</f>
        <v>كفر الزيات</v>
      </c>
      <c r="D1011" s="5" t="str">
        <f ca="1">IFERROR(__xludf.DUMMYFUNCTION("""COMPUTED_VALUE"""),"مستشفى")</f>
        <v>مستشفى</v>
      </c>
      <c r="E1011" s="5" t="str">
        <f ca="1">IFERROR(__xludf.DUMMYFUNCTION("""COMPUTED_VALUE"""),"مستشفي طبي متكامل")</f>
        <v>مستشفي طبي متكامل</v>
      </c>
      <c r="F1011" s="5" t="str">
        <f ca="1">IFERROR(__xludf.DUMMYFUNCTION("""COMPUTED_VALUE"""),"جميع التخصصات الطبية")</f>
        <v>جميع التخصصات الطبية</v>
      </c>
      <c r="G1011" s="5" t="str">
        <f ca="1">IFERROR(__xludf.DUMMYFUNCTION("""COMPUTED_VALUE"""),"مستشفى الرحمن التخصصي")</f>
        <v>مستشفى الرحمن التخصصي</v>
      </c>
      <c r="H1011" s="5" t="str">
        <f ca="1">IFERROR(__xludf.DUMMYFUNCTION("""COMPUTED_VALUE"""),"الطريق السريع - تحويلة المعاهدة امام شركة دالتكس - كفر الزيات - الغربية .")</f>
        <v>الطريق السريع - تحويلة المعاهدة امام شركة دالتكس - كفر الزيات - الغربية .</v>
      </c>
      <c r="I1011" s="6" t="str">
        <f ca="1">IFERROR(__xludf.DUMMYFUNCTION("""COMPUTED_VALUE"""),"20402547080")</f>
        <v>20402547080</v>
      </c>
      <c r="J1011" s="6"/>
      <c r="K1011" s="6" t="str">
        <f ca="1">IFERROR(__xludf.DUMMYFUNCTION("""COMPUTED_VALUE"""),"المؤسسه العلاجيه 2017 الكشف70")</f>
        <v>المؤسسه العلاجيه 2017 الكشف70</v>
      </c>
    </row>
    <row r="1012" spans="1:11" x14ac:dyDescent="0.25">
      <c r="A1012" s="4" t="str">
        <f ca="1">IFERROR(__xludf.DUMMYFUNCTION("""COMPUTED_VALUE"""),"3074")</f>
        <v>3074</v>
      </c>
      <c r="B1012" s="5" t="str">
        <f ca="1">IFERROR(__xludf.DUMMYFUNCTION("""COMPUTED_VALUE"""),"الفيوم")</f>
        <v>الفيوم</v>
      </c>
      <c r="C1012" s="5" t="str">
        <f ca="1">IFERROR(__xludf.DUMMYFUNCTION("""COMPUTED_VALUE"""),"الفيوم")</f>
        <v>الفيوم</v>
      </c>
      <c r="D1012" s="5" t="str">
        <f ca="1">IFERROR(__xludf.DUMMYFUNCTION("""COMPUTED_VALUE"""),"مستشفى")</f>
        <v>مستشفى</v>
      </c>
      <c r="E1012" s="5" t="str">
        <f ca="1">IFERROR(__xludf.DUMMYFUNCTION("""COMPUTED_VALUE"""),"مستشفي طبي متكامل")</f>
        <v>مستشفي طبي متكامل</v>
      </c>
      <c r="F1012" s="5" t="str">
        <f ca="1">IFERROR(__xludf.DUMMYFUNCTION("""COMPUTED_VALUE"""),"جميع التخصصات الطبية")</f>
        <v>جميع التخصصات الطبية</v>
      </c>
      <c r="G1012" s="5" t="str">
        <f ca="1">IFERROR(__xludf.DUMMYFUNCTION("""COMPUTED_VALUE"""),"مستشفى مكة -الفيوم")</f>
        <v>مستشفى مكة -الفيوم</v>
      </c>
      <c r="H1012" s="5" t="str">
        <f ca="1">IFERROR(__xludf.DUMMYFUNCTION("""COMPUTED_VALUE"""),"3 ش الشيخ حمزة الحادقة خلف مدرسة الفنية بنات-الفيوم")</f>
        <v>3 ش الشيخ حمزة الحادقة خلف مدرسة الفنية بنات-الفيوم</v>
      </c>
      <c r="I1012" s="6" t="str">
        <f ca="1">IFERROR(__xludf.DUMMYFUNCTION("""COMPUTED_VALUE"""),"842070475")</f>
        <v>842070475</v>
      </c>
      <c r="J1012" s="6"/>
      <c r="K1012" s="6" t="str">
        <f ca="1">IFERROR(__xludf.DUMMYFUNCTION("""COMPUTED_VALUE"""),"15%على الداخلى والخارجى على جميع الخدمات")</f>
        <v>15%على الداخلى والخارجى على جميع الخدمات</v>
      </c>
    </row>
    <row r="1013" spans="1:11" x14ac:dyDescent="0.25">
      <c r="A1013" s="4" t="str">
        <f ca="1">IFERROR(__xludf.DUMMYFUNCTION("""COMPUTED_VALUE"""),"103760")</f>
        <v>103760</v>
      </c>
      <c r="B1013" s="5" t="str">
        <f ca="1">IFERROR(__xludf.DUMMYFUNCTION("""COMPUTED_VALUE"""),"القاهرة")</f>
        <v>القاهرة</v>
      </c>
      <c r="C1013" s="5" t="str">
        <f ca="1">IFERROR(__xludf.DUMMYFUNCTION("""COMPUTED_VALUE"""),"الازبكية")</f>
        <v>الازبكية</v>
      </c>
      <c r="D1013" s="5" t="str">
        <f ca="1">IFERROR(__xludf.DUMMYFUNCTION("""COMPUTED_VALUE"""),"مستشفى")</f>
        <v>مستشفى</v>
      </c>
      <c r="E1013" s="5" t="str">
        <f ca="1">IFERROR(__xludf.DUMMYFUNCTION("""COMPUTED_VALUE"""),"مستشفي طبي متكامل")</f>
        <v>مستشفي طبي متكامل</v>
      </c>
      <c r="F1013" s="5" t="str">
        <f ca="1">IFERROR(__xludf.DUMMYFUNCTION("""COMPUTED_VALUE"""),"جميع التخصصات الطبية")</f>
        <v>جميع التخصصات الطبية</v>
      </c>
      <c r="G1013" s="5" t="str">
        <f ca="1">IFERROR(__xludf.DUMMYFUNCTION("""COMPUTED_VALUE"""),"المركز الطبي الانجيلي")</f>
        <v>المركز الطبي الانجيلي</v>
      </c>
      <c r="H1013" s="5" t="str">
        <f ca="1">IFERROR(__xludf.DUMMYFUNCTION("""COMPUTED_VALUE"""),"2 شارع المليجي من شارع الجمهورية-الازبكية-القاهرة")</f>
        <v>2 شارع المليجي من شارع الجمهورية-الازبكية-القاهرة</v>
      </c>
      <c r="I1013" s="6" t="str">
        <f ca="1">IFERROR(__xludf.DUMMYFUNCTION("""COMPUTED_VALUE"""),"20225882801")</f>
        <v>20225882801</v>
      </c>
      <c r="J1013" s="6"/>
      <c r="K1013" s="6" t="str">
        <f ca="1">IFERROR(__xludf.DUMMYFUNCTION("""COMPUTED_VALUE"""),"40% علي الكشوفات و 20% علي القسم الخارجي و الداخلي علي الاسعار النقدي المعلنة ")</f>
        <v xml:space="preserve">40% علي الكشوفات و 20% علي القسم الخارجي و الداخلي علي الاسعار النقدي المعلنة </v>
      </c>
    </row>
    <row r="1014" spans="1:11" x14ac:dyDescent="0.25">
      <c r="A1014" s="4" t="str">
        <f ca="1">IFERROR(__xludf.DUMMYFUNCTION("""COMPUTED_VALUE"""),"1919")</f>
        <v>1919</v>
      </c>
      <c r="B1014" s="5" t="str">
        <f ca="1">IFERROR(__xludf.DUMMYFUNCTION("""COMPUTED_VALUE"""),"الجيزة")</f>
        <v>الجيزة</v>
      </c>
      <c r="C1014" s="5" t="str">
        <f ca="1">IFERROR(__xludf.DUMMYFUNCTION("""COMPUTED_VALUE"""),"الدقي")</f>
        <v>الدقي</v>
      </c>
      <c r="D1014" s="5" t="str">
        <f ca="1">IFERROR(__xludf.DUMMYFUNCTION("""COMPUTED_VALUE"""),"مستشفى")</f>
        <v>مستشفى</v>
      </c>
      <c r="E1014" s="5" t="str">
        <f ca="1">IFERROR(__xludf.DUMMYFUNCTION("""COMPUTED_VALUE"""),"مستشفي طبي متكامل")</f>
        <v>مستشفي طبي متكامل</v>
      </c>
      <c r="F1014" s="5" t="str">
        <f ca="1">IFERROR(__xludf.DUMMYFUNCTION("""COMPUTED_VALUE"""),"جميع التخصصات الطبية")</f>
        <v>جميع التخصصات الطبية</v>
      </c>
      <c r="G1014" s="5" t="str">
        <f ca="1">IFERROR(__xludf.DUMMYFUNCTION("""COMPUTED_VALUE"""),"مستشفى دكتور محمد الشبراويشي")</f>
        <v>مستشفى دكتور محمد الشبراويشي</v>
      </c>
      <c r="H1014" s="5" t="str">
        <f ca="1">IFERROR(__xludf.DUMMYFUNCTION("""COMPUTED_VALUE"""),"14شارع اسماعيل أبو الفتوح-الدقي- الجيزة")</f>
        <v>14شارع اسماعيل أبو الفتوح-الدقي- الجيزة</v>
      </c>
      <c r="I1014" s="6" t="str">
        <f ca="1">IFERROR(__xludf.DUMMYFUNCTION("""COMPUTED_VALUE"""),"20237606444")</f>
        <v>20237606444</v>
      </c>
      <c r="J1014" s="6"/>
      <c r="K1014" s="6" t="str">
        <f ca="1">IFERROR(__xludf.DUMMYFUNCTION("""COMPUTED_VALUE"""),"خصم 30% علي الاسعار النقدي")</f>
        <v>خصم 30% علي الاسعار النقدي</v>
      </c>
    </row>
    <row r="1015" spans="1:11" x14ac:dyDescent="0.25">
      <c r="A1015" s="4" t="str">
        <f ca="1">IFERROR(__xludf.DUMMYFUNCTION("""COMPUTED_VALUE"""),"2820")</f>
        <v>2820</v>
      </c>
      <c r="B1015" s="5" t="str">
        <f ca="1">IFERROR(__xludf.DUMMYFUNCTION("""COMPUTED_VALUE"""),"الجيزة")</f>
        <v>الجيزة</v>
      </c>
      <c r="C1015" s="5" t="str">
        <f ca="1">IFERROR(__xludf.DUMMYFUNCTION("""COMPUTED_VALUE"""),"الدقي")</f>
        <v>الدقي</v>
      </c>
      <c r="D1015" s="5" t="str">
        <f ca="1">IFERROR(__xludf.DUMMYFUNCTION("""COMPUTED_VALUE"""),"مستشفى")</f>
        <v>مستشفى</v>
      </c>
      <c r="E1015" s="5" t="str">
        <f ca="1">IFERROR(__xludf.DUMMYFUNCTION("""COMPUTED_VALUE"""),"مستشفي طبي متكامل")</f>
        <v>مستشفي طبي متكامل</v>
      </c>
      <c r="F1015" s="5" t="str">
        <f ca="1">IFERROR(__xludf.DUMMYFUNCTION("""COMPUTED_VALUE"""),"جميع التخصصات الطبية")</f>
        <v>جميع التخصصات الطبية</v>
      </c>
      <c r="G1015" s="5" t="str">
        <f ca="1">IFERROR(__xludf.DUMMYFUNCTION("""COMPUTED_VALUE"""),"مستشفى مصر الدولي")</f>
        <v>مستشفى مصر الدولي</v>
      </c>
      <c r="H1015" s="5" t="str">
        <f ca="1">IFERROR(__xludf.DUMMYFUNCTION("""COMPUTED_VALUE"""),"12شارع السراية -الدقي- الجيزة")</f>
        <v>12شارع السراية -الدقي- الجيزة</v>
      </c>
      <c r="I1015" s="6" t="str">
        <f ca="1">IFERROR(__xludf.DUMMYFUNCTION("""COMPUTED_VALUE"""),"20237608261")</f>
        <v>20237608261</v>
      </c>
      <c r="J1015" s="6" t="str">
        <f ca="1">IFERROR(__xludf.DUMMYFUNCTION("""COMPUTED_VALUE"""),"16010")</f>
        <v>16010</v>
      </c>
      <c r="K1015" s="6" t="str">
        <f ca="1">IFERROR(__xludf.DUMMYFUNCTION("""COMPUTED_VALUE"""),"65% على خدمات الاشعة والمعمل (داخلي وخارجي وطوارئ) والإشراف الطبي بحد أقصى 4 زيارات أسبوعيا بالرعاية المركزة والادوار وخدمات العيادة الخارجية وخدمات الرعاية المركزة و تطبيق نسبة خصم قدرها 60% على اتعاب السادة الاطباء والمستلزمات متناهية الصغر Flat Rate وخ"&amp;"دمات مناظير الجهاز الهضمي وأجهزة العمليات وخدمات فتح غرفة عمليات والرعاية المركزة ماعدا الأجهزة المؤجرة من الخارج وخدمات الطوارئ والرعاية المركزة والعيادات الخارجية وأي بنود غير مستثناة من الخصم و تطبيق نسبة خصم قدرها 40% على خدمات العلاج الإشعاعي واتعاب "&amp;"الأطباء بالأشعة التداخلية و تطبيق نسبة خصم قدرها 35% على خدمات الكلى الصناعي والغسيل الدموي وقسم علاج الالام وتطبيق نسبة خصم قدرها 25% على الاتفاقيات الشاملة وخدمات الاشعة التداخلية وتطبيق نسبة خصم قدرها 15% على خدمات بنك الدم تطبيق علي الأسعار النقدي الم"&amp;"علنة لدي سيادتكم.
        وتطبيق نسبة خصم قدرها 12 % على الدوية المحلية ونسبة خصم قدرها 6% على الادوية المستوردة تطبيق على صيدلية الخارجي فقط.
")</f>
        <v xml:space="preserve">65% على خدمات الاشعة والمعمل (داخلي وخارجي وطوارئ) والإشراف الطبي بحد أقصى 4 زيارات أسبوعيا بالرعاية المركزة والادوار وخدمات العيادة الخارجية وخدمات الرعاية المركزة و تطبيق نسبة خصم قدرها 60% على اتعاب السادة الاطباء والمستلزمات متناهية الصغر Flat Rate وخدمات مناظير الجهاز الهضمي وأجهزة العمليات وخدمات فتح غرفة عمليات والرعاية المركزة ماعدا الأجهزة المؤجرة من الخارج وخدمات الطوارئ والرعاية المركزة والعيادات الخارجية وأي بنود غير مستثناة من الخصم و تطبيق نسبة خصم قدرها 40% على خدمات العلاج الإشعاعي واتعاب الأطباء بالأشعة التداخلية و تطبيق نسبة خصم قدرها 35% على خدمات الكلى الصناعي والغسيل الدموي وقسم علاج الالام وتطبيق نسبة خصم قدرها 25% على الاتفاقيات الشاملة وخدمات الاشعة التداخلية وتطبيق نسبة خصم قدرها 15% على خدمات بنك الدم تطبيق علي الأسعار النقدي المعلنة لدي سيادتكم.
        وتطبيق نسبة خصم قدرها 12 % على الدوية المحلية ونسبة خصم قدرها 6% على الادوية المستوردة تطبيق على صيدلية الخارجي فقط.
</v>
      </c>
    </row>
    <row r="1016" spans="1:11" x14ac:dyDescent="0.25">
      <c r="A1016" s="4" t="str">
        <f ca="1">IFERROR(__xludf.DUMMYFUNCTION("""COMPUTED_VALUE"""),"103539")</f>
        <v>103539</v>
      </c>
      <c r="B1016" s="5" t="str">
        <f ca="1">IFERROR(__xludf.DUMMYFUNCTION("""COMPUTED_VALUE"""),"الجيزة")</f>
        <v>الجيزة</v>
      </c>
      <c r="C1016" s="5" t="str">
        <f ca="1">IFERROR(__xludf.DUMMYFUNCTION("""COMPUTED_VALUE"""),"السادس من اكتوبر")</f>
        <v>السادس من اكتوبر</v>
      </c>
      <c r="D1016" s="5" t="str">
        <f ca="1">IFERROR(__xludf.DUMMYFUNCTION("""COMPUTED_VALUE"""),"مستشفى")</f>
        <v>مستشفى</v>
      </c>
      <c r="E1016" s="5" t="str">
        <f ca="1">IFERROR(__xludf.DUMMYFUNCTION("""COMPUTED_VALUE"""),"مستشفي طبي متكامل")</f>
        <v>مستشفي طبي متكامل</v>
      </c>
      <c r="F1016" s="5" t="str">
        <f ca="1">IFERROR(__xludf.DUMMYFUNCTION("""COMPUTED_VALUE"""),"جميع التخصصات الطبية")</f>
        <v>جميع التخصصات الطبية</v>
      </c>
      <c r="G1016" s="5" t="str">
        <f ca="1">IFERROR(__xludf.DUMMYFUNCTION("""COMPUTED_VALUE"""),"مستشفى دار الفؤاد السادس من أكتوبر")</f>
        <v>مستشفى دار الفؤاد السادس من أكتوبر</v>
      </c>
      <c r="H1016" s="5" t="str">
        <f ca="1">IFERROR(__xludf.DUMMYFUNCTION("""COMPUTED_VALUE"""),"امتداد شارع26 يوليو – المنطقة السياحية - مدينة 6 أكتوبر-6 أكتوبر - الجيزة")</f>
        <v>امتداد شارع26 يوليو – المنطقة السياحية - مدينة 6 أكتوبر-6 أكتوبر - الجيزة</v>
      </c>
      <c r="I1016" s="6" t="str">
        <f ca="1">IFERROR(__xludf.DUMMYFUNCTION("""COMPUTED_VALUE"""),"20238356030")</f>
        <v>20238356030</v>
      </c>
      <c r="J1016" s="6" t="str">
        <f ca="1">IFERROR(__xludf.DUMMYFUNCTION("""COMPUTED_VALUE"""),"16370")</f>
        <v>16370</v>
      </c>
      <c r="K1016" s="6" t="str">
        <f ca="1">IFERROR(__xludf.DUMMYFUNCTION("""COMPUTED_VALUE"""),"60% على الكشف بالعيادات الخارجية و الطوارئ, 50% على الاشعة والتحاليل بالقسم الخارجي و خدمات عيادة الانف و الاذن و السمعيات و عيادة الجهاز الهضمي و امراض الكبد و عيادة القلب و عيادة العظام ,45%على جميع الخدمات باستثناء الادوية والاتفقات الشاملة وجميع المست"&amp;"لزمات الطبية العادية او الخاصة ,15% على اتعاب الأطباء ، 10% علي الغسيل، 10% علي المناظير و 5% علي الصفقات الشاملة")</f>
        <v>60% على الكشف بالعيادات الخارجية و الطوارئ, 50% على الاشعة والتحاليل بالقسم الخارجي و خدمات عيادة الانف و الاذن و السمعيات و عيادة الجهاز الهضمي و امراض الكبد و عيادة القلب و عيادة العظام ,45%على جميع الخدمات باستثناء الادوية والاتفقات الشاملة وجميع المستلزمات الطبية العادية او الخاصة ,15% على اتعاب الأطباء ، 10% علي الغسيل، 10% علي المناظير و 5% علي الصفقات الشاملة</v>
      </c>
    </row>
    <row r="1017" spans="1:11" x14ac:dyDescent="0.25">
      <c r="A1017" s="4" t="str">
        <f ca="1">IFERROR(__xludf.DUMMYFUNCTION("""COMPUTED_VALUE"""),"104316")</f>
        <v>104316</v>
      </c>
      <c r="B1017" s="5" t="str">
        <f ca="1">IFERROR(__xludf.DUMMYFUNCTION("""COMPUTED_VALUE"""),"الجيزة")</f>
        <v>الجيزة</v>
      </c>
      <c r="C1017" s="5" t="str">
        <f ca="1">IFERROR(__xludf.DUMMYFUNCTION("""COMPUTED_VALUE"""),"الشيخ زايد")</f>
        <v>الشيخ زايد</v>
      </c>
      <c r="D1017" s="5" t="str">
        <f ca="1">IFERROR(__xludf.DUMMYFUNCTION("""COMPUTED_VALUE"""),"مستشفى")</f>
        <v>مستشفى</v>
      </c>
      <c r="E1017" s="5" t="str">
        <f ca="1">IFERROR(__xludf.DUMMYFUNCTION("""COMPUTED_VALUE"""),"مستشفي طبي متكامل")</f>
        <v>مستشفي طبي متكامل</v>
      </c>
      <c r="F1017" s="5" t="str">
        <f ca="1">IFERROR(__xludf.DUMMYFUNCTION("""COMPUTED_VALUE"""),"جميع التخصصات الطبية")</f>
        <v>جميع التخصصات الطبية</v>
      </c>
      <c r="G1017" s="5" t="str">
        <f ca="1">IFERROR(__xludf.DUMMYFUNCTION("""COMPUTED_VALUE"""),"شركه ايه ار ام للخدمات الطبيه ( مستشفي جلوبال كير )")</f>
        <v>شركه ايه ار ام للخدمات الطبيه ( مستشفي جلوبال كير )</v>
      </c>
      <c r="H1017" s="5" t="str">
        <f ca="1">IFERROR(__xludf.DUMMYFUNCTION("""COMPUTED_VALUE"""),"المحور المركزى الأوسط (شارع الشباب ) - خلف المجمع الإسلامى (ب) قطعة 32 -بجوار مستشفى الشيخ زايد والتوحيد والنور-  الشيخ زايد - الجيزة .")</f>
        <v>المحور المركزى الأوسط (شارع الشباب ) - خلف المجمع الإسلامى (ب) قطعة 32 -بجوار مستشفى الشيخ زايد والتوحيد والنور-  الشيخ زايد - الجيزة .</v>
      </c>
      <c r="I1017" s="6" t="str">
        <f ca="1">IFERROR(__xludf.DUMMYFUNCTION("""COMPUTED_VALUE"""),"20238500300")</f>
        <v>20238500300</v>
      </c>
      <c r="J1017" s="6"/>
      <c r="K1017" s="6" t="str">
        <f ca="1">IFERROR(__xludf.DUMMYFUNCTION("""COMPUTED_VALUE"""),"30% على الكشف ,40% على الإقامة والتحاليل والاشعة ,25% على اتعاب الأطباء وحدة ماعدا العمليات والأدوية والاتفاقيات الشامله , والمناظير ,وحدة الاسنان ,والمستلزمات ,القسطرة وجراحة القلب المفتوح")</f>
        <v>30% على الكشف ,40% على الإقامة والتحاليل والاشعة ,25% على اتعاب الأطباء وحدة ماعدا العمليات والأدوية والاتفاقيات الشامله , والمناظير ,وحدة الاسنان ,والمستلزمات ,القسطرة وجراحة القلب المفتوح</v>
      </c>
    </row>
    <row r="1018" spans="1:11" x14ac:dyDescent="0.25">
      <c r="A1018" s="4" t="str">
        <f ca="1">IFERROR(__xludf.DUMMYFUNCTION("""COMPUTED_VALUE"""),"104433")</f>
        <v>104433</v>
      </c>
      <c r="B1018" s="5" t="str">
        <f ca="1">IFERROR(__xludf.DUMMYFUNCTION("""COMPUTED_VALUE"""),"القاهرة")</f>
        <v>القاهرة</v>
      </c>
      <c r="C1018" s="5" t="str">
        <f ca="1">IFERROR(__xludf.DUMMYFUNCTION("""COMPUTED_VALUE"""),"القاهرة الجديدة")</f>
        <v>القاهرة الجديدة</v>
      </c>
      <c r="D1018" s="5" t="str">
        <f ca="1">IFERROR(__xludf.DUMMYFUNCTION("""COMPUTED_VALUE"""),"مجمع عيادات")</f>
        <v>مجمع عيادات</v>
      </c>
      <c r="E1018" s="5" t="str">
        <f ca="1">IFERROR(__xludf.DUMMYFUNCTION("""COMPUTED_VALUE"""),"جميع التخصصات")</f>
        <v>جميع التخصصات</v>
      </c>
      <c r="F1018" s="5" t="str">
        <f ca="1">IFERROR(__xludf.DUMMYFUNCTION("""COMPUTED_VALUE"""),"جميع التخصصات الطبية")</f>
        <v>جميع التخصصات الطبية</v>
      </c>
      <c r="G1018" s="5" t="str">
        <f ca="1">IFERROR(__xludf.DUMMYFUNCTION("""COMPUTED_VALUE"""),"مركز نسائم للخدمات الطبية ( خدمة الكشف فقط )")</f>
        <v>مركز نسائم للخدمات الطبية ( خدمة الكشف فقط )</v>
      </c>
      <c r="H1018" s="5" t="str">
        <f ca="1">IFERROR(__xludf.DUMMYFUNCTION("""COMPUTED_VALUE"""),"العنوان:قطعة ٤٣ مركز خدمات المدينة - امام محكمة الاسرة ميديكال بارك ٢ - القاهرة الجديدة")</f>
        <v>العنوان:قطعة ٤٣ مركز خدمات المدينة - امام محكمة الاسرة ميديكال بارك ٢ - القاهرة الجديدة</v>
      </c>
      <c r="I1018" s="6" t="str">
        <f ca="1">IFERROR(__xludf.DUMMYFUNCTION("""COMPUTED_VALUE"""),"01278246883")</f>
        <v>01278246883</v>
      </c>
      <c r="J1018" s="6"/>
      <c r="K1018" s="6" t="str">
        <f ca="1">IFERROR(__xludf.DUMMYFUNCTION("""COMPUTED_VALUE"""),"20% على كل الخدمات")</f>
        <v>20% على كل الخدمات</v>
      </c>
    </row>
    <row r="1019" spans="1:11" x14ac:dyDescent="0.25">
      <c r="A1019" s="4" t="str">
        <f ca="1">IFERROR(__xludf.DUMMYFUNCTION("""COMPUTED_VALUE"""),"3924")</f>
        <v>3924</v>
      </c>
      <c r="B1019" s="5" t="str">
        <f ca="1">IFERROR(__xludf.DUMMYFUNCTION("""COMPUTED_VALUE"""),"القاهرة")</f>
        <v>القاهرة</v>
      </c>
      <c r="C1019" s="5" t="str">
        <f ca="1">IFERROR(__xludf.DUMMYFUNCTION("""COMPUTED_VALUE"""),"الرحاب")</f>
        <v>الرحاب</v>
      </c>
      <c r="D1019" s="5" t="str">
        <f ca="1">IFERROR(__xludf.DUMMYFUNCTION("""COMPUTED_VALUE"""),"مستشفى")</f>
        <v>مستشفى</v>
      </c>
      <c r="E1019" s="5" t="str">
        <f ca="1">IFERROR(__xludf.DUMMYFUNCTION("""COMPUTED_VALUE"""),"مستشفي طبي متكامل")</f>
        <v>مستشفي طبي متكامل</v>
      </c>
      <c r="F1019" s="5" t="str">
        <f ca="1">IFERROR(__xludf.DUMMYFUNCTION("""COMPUTED_VALUE"""),"جميع التخصصات الطبية")</f>
        <v>جميع التخصصات الطبية</v>
      </c>
      <c r="G1019" s="5" t="str">
        <f ca="1">IFERROR(__xludf.DUMMYFUNCTION("""COMPUTED_VALUE"""),"مركز الرحاب الطبي المتكامل")</f>
        <v>مركز الرحاب الطبي المتكامل</v>
      </c>
      <c r="H1019" s="5" t="str">
        <f ca="1">IFERROR(__xludf.DUMMYFUNCTION("""COMPUTED_VALUE"""),"المجمع الطبى الثانى- خلف مجمع البنوك-مدينة الرحاب-القاهرة")</f>
        <v>المجمع الطبى الثانى- خلف مجمع البنوك-مدينة الرحاب-القاهرة</v>
      </c>
      <c r="I1019" s="6" t="str">
        <f ca="1">IFERROR(__xludf.DUMMYFUNCTION("""COMPUTED_VALUE"""),"20226077980")</f>
        <v>20226077980</v>
      </c>
      <c r="J1019" s="6"/>
      <c r="K1019" s="6" t="str">
        <f ca="1">IFERROR(__xludf.DUMMYFUNCTION("""COMPUTED_VALUE"""),"50% على الكشف, 40% على الخارجي ,20% على الداخلى ماعدا المستلزمات والأدوية         ")</f>
        <v xml:space="preserve">50% على الكشف, 40% على الخارجي ,20% على الداخلى ماعدا المستلزمات والأدوية         </v>
      </c>
    </row>
    <row r="1020" spans="1:11" x14ac:dyDescent="0.25">
      <c r="A1020" s="4" t="str">
        <f ca="1">IFERROR(__xludf.DUMMYFUNCTION("""COMPUTED_VALUE"""),"104017")</f>
        <v>104017</v>
      </c>
      <c r="B1020" s="5" t="str">
        <f ca="1">IFERROR(__xludf.DUMMYFUNCTION("""COMPUTED_VALUE"""),"القاهرة")</f>
        <v>القاهرة</v>
      </c>
      <c r="C1020" s="5" t="str">
        <f ca="1">IFERROR(__xludf.DUMMYFUNCTION("""COMPUTED_VALUE"""),"القاهرة الجديدة")</f>
        <v>القاهرة الجديدة</v>
      </c>
      <c r="D1020" s="5" t="str">
        <f ca="1">IFERROR(__xludf.DUMMYFUNCTION("""COMPUTED_VALUE"""),"مستشفى")</f>
        <v>مستشفى</v>
      </c>
      <c r="E1020" s="5" t="str">
        <f ca="1">IFERROR(__xludf.DUMMYFUNCTION("""COMPUTED_VALUE"""),"مستشفي طبي متكامل")</f>
        <v>مستشفي طبي متكامل</v>
      </c>
      <c r="F1020" s="5" t="str">
        <f ca="1">IFERROR(__xludf.DUMMYFUNCTION("""COMPUTED_VALUE"""),"جميع التخصصات الطبية")</f>
        <v>جميع التخصصات الطبية</v>
      </c>
      <c r="G1020" s="5" t="str">
        <f ca="1">IFERROR(__xludf.DUMMYFUNCTION("""COMPUTED_VALUE"""),"مستشفي الجوي التخصصي")</f>
        <v>مستشفي الجوي التخصصي</v>
      </c>
      <c r="H1020" s="5" t="str">
        <f ca="1">IFERROR(__xludf.DUMMYFUNCTION("""COMPUTED_VALUE"""),"شارع التسعين-التجمع الخامس-القاهرة الجديدة")</f>
        <v>شارع التسعين-التجمع الخامس-القاهرة الجديدة</v>
      </c>
      <c r="I1020" s="6" t="str">
        <f ca="1">IFERROR(__xludf.DUMMYFUNCTION("""COMPUTED_VALUE"""),"20222313804")</f>
        <v>20222313804</v>
      </c>
      <c r="J1020" s="6" t="str">
        <f ca="1">IFERROR(__xludf.DUMMYFUNCTION("""COMPUTED_VALUE"""),"19448")</f>
        <v>19448</v>
      </c>
      <c r="K1020" s="6" t="str">
        <f ca="1">IFERROR(__xludf.DUMMYFUNCTION("""COMPUTED_VALUE"""),"15%على الاشعة والتحاليل بالقسم الداخلى , 10%على باقى الخدمات")</f>
        <v>15%على الاشعة والتحاليل بالقسم الداخلى , 10%على باقى الخدمات</v>
      </c>
    </row>
    <row r="1021" spans="1:11" x14ac:dyDescent="0.25">
      <c r="A1021" s="4" t="str">
        <f ca="1">IFERROR(__xludf.DUMMYFUNCTION("""COMPUTED_VALUE"""),"104389-B")</f>
        <v>104389-B</v>
      </c>
      <c r="B1021" s="5" t="str">
        <f ca="1">IFERROR(__xludf.DUMMYFUNCTION("""COMPUTED_VALUE"""),"القاهرة")</f>
        <v>القاهرة</v>
      </c>
      <c r="C1021" s="5" t="str">
        <f ca="1">IFERROR(__xludf.DUMMYFUNCTION("""COMPUTED_VALUE"""),"القاهرة الجديدة")</f>
        <v>القاهرة الجديدة</v>
      </c>
      <c r="D1021" s="5" t="str">
        <f ca="1">IFERROR(__xludf.DUMMYFUNCTION("""COMPUTED_VALUE"""),"معمل")</f>
        <v>معمل</v>
      </c>
      <c r="E1021" s="5" t="str">
        <f ca="1">IFERROR(__xludf.DUMMYFUNCTION("""COMPUTED_VALUE"""),"معمل")</f>
        <v>معمل</v>
      </c>
      <c r="F1021" s="5" t="str">
        <f ca="1">IFERROR(__xludf.DUMMYFUNCTION("""COMPUTED_VALUE"""),"معمل التحاليل الطبية")</f>
        <v>معمل التحاليل الطبية</v>
      </c>
      <c r="G1021" s="5" t="str">
        <f ca="1">IFERROR(__xludf.DUMMYFUNCTION("""COMPUTED_VALUE"""),"معامل سبيد للتحاليل الطبية")</f>
        <v>معامل سبيد للتحاليل الطبية</v>
      </c>
      <c r="H1021" s="5" t="str">
        <f ca="1">IFERROR(__xludf.DUMMYFUNCTION("""COMPUTED_VALUE"""),"شارع 17 متفرع من شارع التسعين سنتر سيتي بلازا - خلف سوبر ماركت سعودي - فوق قويدر - الدور الثاني - التجمع الخامس")</f>
        <v>شارع 17 متفرع من شارع التسعين سنتر سيتي بلازا - خلف سوبر ماركت سعودي - فوق قويدر - الدور الثاني - التجمع الخامس</v>
      </c>
      <c r="I1021" s="6" t="str">
        <f ca="1">IFERROR(__xludf.DUMMYFUNCTION("""COMPUTED_VALUE"""),"20226909060")</f>
        <v>20226909060</v>
      </c>
      <c r="J1021" s="6" t="str">
        <f ca="1">IFERROR(__xludf.DUMMYFUNCTION("""COMPUTED_VALUE"""),"19358")</f>
        <v>19358</v>
      </c>
      <c r="K1021" s="6" t="str">
        <f ca="1">IFERROR(__xludf.DUMMYFUNCTION("""COMPUTED_VALUE"""),"خصم 30% علي جميع الخدمات علي الاسعار النقدي")</f>
        <v>خصم 30% علي جميع الخدمات علي الاسعار النقدي</v>
      </c>
    </row>
    <row r="1022" spans="1:11" x14ac:dyDescent="0.25">
      <c r="A1022" s="4" t="str">
        <f ca="1">IFERROR(__xludf.DUMMYFUNCTION("""COMPUTED_VALUE"""),"104395")</f>
        <v>104395</v>
      </c>
      <c r="B1022" s="5" t="str">
        <f ca="1">IFERROR(__xludf.DUMMYFUNCTION("""COMPUTED_VALUE"""),"القاهرة")</f>
        <v>القاهرة</v>
      </c>
      <c r="C1022" s="5" t="str">
        <f ca="1">IFERROR(__xludf.DUMMYFUNCTION("""COMPUTED_VALUE"""),"القطامية")</f>
        <v>القطامية</v>
      </c>
      <c r="D1022" s="5" t="str">
        <f ca="1">IFERROR(__xludf.DUMMYFUNCTION("""COMPUTED_VALUE"""),"مستشفى")</f>
        <v>مستشفى</v>
      </c>
      <c r="E1022" s="5" t="str">
        <f ca="1">IFERROR(__xludf.DUMMYFUNCTION("""COMPUTED_VALUE"""),"مستشفي طبي متكامل")</f>
        <v>مستشفي طبي متكامل</v>
      </c>
      <c r="F1022" s="5" t="str">
        <f ca="1">IFERROR(__xludf.DUMMYFUNCTION("""COMPUTED_VALUE"""),"جميع التخصصات الطبية")</f>
        <v>جميع التخصصات الطبية</v>
      </c>
      <c r="G1022" s="5" t="str">
        <f ca="1">IFERROR(__xludf.DUMMYFUNCTION("""COMPUTED_VALUE"""),"مستشفى الرحمة - القطامية")</f>
        <v>مستشفى الرحمة - القطامية</v>
      </c>
      <c r="H1022" s="5" t="str">
        <f ca="1">IFERROR(__xludf.DUMMYFUNCTION("""COMPUTED_VALUE"""),"مدينة عباد الرحمن - خلف نادى الصيد القطامية - الطريق الدائري - القاهرة")</f>
        <v>مدينة عباد الرحمن - خلف نادى الصيد القطامية - الطريق الدائري - القاهرة</v>
      </c>
      <c r="I1022" s="6" t="str">
        <f ca="1">IFERROR(__xludf.DUMMYFUNCTION("""COMPUTED_VALUE"""),"01204476099")</f>
        <v>01204476099</v>
      </c>
      <c r="J1022" s="6"/>
      <c r="K1022" s="6" t="str">
        <f ca="1">IFERROR(__xludf.DUMMYFUNCTION("""COMPUTED_VALUE"""),"15% على الخارجي , 10% على الداخلى")</f>
        <v>15% على الخارجي , 10% على الداخلى</v>
      </c>
    </row>
    <row r="1023" spans="1:11" x14ac:dyDescent="0.25">
      <c r="A1023" s="4" t="str">
        <f ca="1">IFERROR(__xludf.DUMMYFUNCTION("""COMPUTED_VALUE"""),"2074-B")</f>
        <v>2074-B</v>
      </c>
      <c r="B1023" s="5" t="str">
        <f ca="1">IFERROR(__xludf.DUMMYFUNCTION("""COMPUTED_VALUE"""),"القاهرة")</f>
        <v>القاهرة</v>
      </c>
      <c r="C1023" s="5" t="str">
        <f ca="1">IFERROR(__xludf.DUMMYFUNCTION("""COMPUTED_VALUE"""),"المعادى")</f>
        <v>المعادى</v>
      </c>
      <c r="D1023" s="5" t="str">
        <f ca="1">IFERROR(__xludf.DUMMYFUNCTION("""COMPUTED_VALUE"""),"مجمع عيادات")</f>
        <v>مجمع عيادات</v>
      </c>
      <c r="E1023" s="5" t="str">
        <f ca="1">IFERROR(__xludf.DUMMYFUNCTION("""COMPUTED_VALUE"""),"جميع التخصصات")</f>
        <v>جميع التخصصات</v>
      </c>
      <c r="F1023" s="5" t="str">
        <f ca="1">IFERROR(__xludf.DUMMYFUNCTION("""COMPUTED_VALUE"""),"جميع التخصصات الطبية")</f>
        <v>جميع التخصصات الطبية</v>
      </c>
      <c r="G1023" s="5" t="str">
        <f ca="1">IFERROR(__xludf.DUMMYFUNCTION("""COMPUTED_VALUE"""),"د/ حسام منصور")</f>
        <v>د/ حسام منصور</v>
      </c>
      <c r="H1023" s="5" t="str">
        <f ca="1">IFERROR(__xludf.DUMMYFUNCTION("""COMPUTED_VALUE"""),"ميدان محطة المترو - شارع 7  عماره ركن المعادى - المعادى")</f>
        <v>ميدان محطة المترو - شارع 7  عماره ركن المعادى - المعادى</v>
      </c>
      <c r="I1023" s="6" t="str">
        <f ca="1">IFERROR(__xludf.DUMMYFUNCTION("""COMPUTED_VALUE"""),"20225283965")</f>
        <v>20225283965</v>
      </c>
      <c r="J1023" s="6"/>
      <c r="K1023" s="6" t="str">
        <f ca="1">IFERROR(__xludf.DUMMYFUNCTION("""COMPUTED_VALUE"""),"20% على الكشوفات وباقى الخدمات")</f>
        <v>20% على الكشوفات وباقى الخدمات</v>
      </c>
    </row>
    <row r="1024" spans="1:11" x14ac:dyDescent="0.25">
      <c r="A1024" s="4" t="str">
        <f ca="1">IFERROR(__xludf.DUMMYFUNCTION("""COMPUTED_VALUE"""),"3171")</f>
        <v>3171</v>
      </c>
      <c r="B1024" s="5" t="str">
        <f ca="1">IFERROR(__xludf.DUMMYFUNCTION("""COMPUTED_VALUE"""),"القاهرة")</f>
        <v>القاهرة</v>
      </c>
      <c r="C1024" s="5" t="str">
        <f ca="1">IFERROR(__xludf.DUMMYFUNCTION("""COMPUTED_VALUE"""),"المعادى")</f>
        <v>المعادى</v>
      </c>
      <c r="D1024" s="5" t="str">
        <f ca="1">IFERROR(__xludf.DUMMYFUNCTION("""COMPUTED_VALUE"""),"مستشفى")</f>
        <v>مستشفى</v>
      </c>
      <c r="E1024" s="5" t="str">
        <f ca="1">IFERROR(__xludf.DUMMYFUNCTION("""COMPUTED_VALUE"""),"مستشفي طبي متكامل")</f>
        <v>مستشفي طبي متكامل</v>
      </c>
      <c r="F1024" s="5" t="str">
        <f ca="1">IFERROR(__xludf.DUMMYFUNCTION("""COMPUTED_VALUE"""),"جميع التخصصات الطبية")</f>
        <v>جميع التخصصات الطبية</v>
      </c>
      <c r="G1024" s="5" t="str">
        <f ca="1">IFERROR(__xludf.DUMMYFUNCTION("""COMPUTED_VALUE"""),"مستشفى الدكتور عثمان")</f>
        <v>مستشفى الدكتور عثمان</v>
      </c>
      <c r="H1024" s="5" t="str">
        <f ca="1">IFERROR(__xludf.DUMMYFUNCTION("""COMPUTED_VALUE"""),"16شارع 107 حدائق المعادي-أمام مدرسة الفتح الاسلامية - المعادي-القاهرة")</f>
        <v>16شارع 107 حدائق المعادي-أمام مدرسة الفتح الاسلامية - المعادي-القاهرة</v>
      </c>
      <c r="I1024" s="6" t="str">
        <f ca="1">IFERROR(__xludf.DUMMYFUNCTION("""COMPUTED_VALUE"""),"20225260168/9")</f>
        <v>20225260168/9</v>
      </c>
      <c r="J1024" s="6" t="str">
        <f ca="1">IFERROR(__xludf.DUMMYFUNCTION("""COMPUTED_VALUE"""),"19754")</f>
        <v>19754</v>
      </c>
      <c r="K1024" s="6" t="str">
        <f ca="1">IFERROR(__xludf.DUMMYFUNCTION("""COMPUTED_VALUE"""),"خصم يصل الي 30%")</f>
        <v>خصم يصل الي 30%</v>
      </c>
    </row>
    <row r="1025" spans="1:11" x14ac:dyDescent="0.25">
      <c r="A1025" s="4" t="str">
        <f ca="1">IFERROR(__xludf.DUMMYFUNCTION("""COMPUTED_VALUE"""),"1785")</f>
        <v>1785</v>
      </c>
      <c r="B1025" s="5" t="str">
        <f ca="1">IFERROR(__xludf.DUMMYFUNCTION("""COMPUTED_VALUE"""),"القاهرة")</f>
        <v>القاهرة</v>
      </c>
      <c r="C1025" s="5" t="str">
        <f ca="1">IFERROR(__xludf.DUMMYFUNCTION("""COMPUTED_VALUE"""),"المعادى")</f>
        <v>المعادى</v>
      </c>
      <c r="D1025" s="5" t="str">
        <f ca="1">IFERROR(__xludf.DUMMYFUNCTION("""COMPUTED_VALUE"""),"مستشفى")</f>
        <v>مستشفى</v>
      </c>
      <c r="E1025" s="5" t="str">
        <f ca="1">IFERROR(__xludf.DUMMYFUNCTION("""COMPUTED_VALUE"""),"مستشفي طبي متكامل")</f>
        <v>مستشفي طبي متكامل</v>
      </c>
      <c r="F1025" s="5" t="str">
        <f ca="1">IFERROR(__xludf.DUMMYFUNCTION("""COMPUTED_VALUE"""),"جميع التخصصات الطبية")</f>
        <v>جميع التخصصات الطبية</v>
      </c>
      <c r="G1025" s="5" t="str">
        <f ca="1">IFERROR(__xludf.DUMMYFUNCTION("""COMPUTED_VALUE"""),"مستشفى السلام الدولي المعادى")</f>
        <v>مستشفى السلام الدولي المعادى</v>
      </c>
      <c r="H1025" s="5" t="str">
        <f ca="1">IFERROR(__xludf.DUMMYFUNCTION("""COMPUTED_VALUE"""),"بجوار مركز الفا سكان كورنيش النيل-المعادي -القاهرة")</f>
        <v>بجوار مركز الفا سكان كورنيش النيل-المعادي -القاهرة</v>
      </c>
      <c r="I1025" s="6" t="str">
        <f ca="1">IFERROR(__xludf.DUMMYFUNCTION("""COMPUTED_VALUE"""),"20225240250")</f>
        <v>20225240250</v>
      </c>
      <c r="J1025" s="6" t="str">
        <f ca="1">IFERROR(__xludf.DUMMYFUNCTION("""COMPUTED_VALUE"""),"19885")</f>
        <v>19885</v>
      </c>
      <c r="K1025" s="6" t="str">
        <f ca="1">IFERROR(__xludf.DUMMYFUNCTION("""COMPUTED_VALUE"""),"تطبيق نسبة خصم 50% علي خدمات القسم الداخلي و الخارجي عدا : خصم 60% علي كشوفات العيادات الخارجية و الطوارئ، 55% علي خدمات الاشعة بالقسم الخارجي و عيادة العظام و العيادة الخارجيه للقلب و عيادة المناظير و الجهاز الهضمي و الانف و الاذن و الحنجرة، 15% علي المر"&amp;"كز الطبيعي الالماني، خصم 35% علي الاقامة بالعناية المركزة ، 25% علي اتعاب الاطباء خارج الاتفاقيات الشاملة، 10% علي الاتفاقيات الشاملة ماعدا الجراحة العامة و المسالك و المخ و الاعصاب يتم خصم نسبة 15% ، خصم 5 % علي المنشط الخطي للاورام و خصم 10% علي قسم الغ"&amp;"سيل الكلوي و خصم 60% علي التحاليل. لا يتم تطبيق اي خصم علي البنود التالية (الادوية بالقسم الداخلي - الاتفقايات الشاملة لجراحات زرع و نقل الاعضاء - الدمغه - الاستشارات الطبيع بالقسم الداخلي - المستلزمات و الاجهزة الطبية - بنك الدم - 15% خدمة)")</f>
        <v>تطبيق نسبة خصم 50% علي خدمات القسم الداخلي و الخارجي عدا : خصم 60% علي كشوفات العيادات الخارجية و الطوارئ، 55% علي خدمات الاشعة بالقسم الخارجي و عيادة العظام و العيادة الخارجيه للقلب و عيادة المناظير و الجهاز الهضمي و الانف و الاذن و الحنجرة، 15% علي المركز الطبيعي الالماني، خصم 35% علي الاقامة بالعناية المركزة ، 25% علي اتعاب الاطباء خارج الاتفاقيات الشاملة، 10% علي الاتفاقيات الشاملة ماعدا الجراحة العامة و المسالك و المخ و الاعصاب يتم خصم نسبة 15% ، خصم 5 % علي المنشط الخطي للاورام و خصم 10% علي قسم الغسيل الكلوي و خصم 60% علي التحاليل. لا يتم تطبيق اي خصم علي البنود التالية (الادوية بالقسم الداخلي - الاتفقايات الشاملة لجراحات زرع و نقل الاعضاء - الدمغه - الاستشارات الطبيع بالقسم الداخلي - المستلزمات و الاجهزة الطبية - بنك الدم - 15% خدمة)</v>
      </c>
    </row>
    <row r="1026" spans="1:11" x14ac:dyDescent="0.25">
      <c r="A1026" s="4" t="str">
        <f ca="1">IFERROR(__xludf.DUMMYFUNCTION("""COMPUTED_VALUE"""),"2670")</f>
        <v>2670</v>
      </c>
      <c r="B1026" s="5" t="str">
        <f ca="1">IFERROR(__xludf.DUMMYFUNCTION("""COMPUTED_VALUE"""),"القاهرة")</f>
        <v>القاهرة</v>
      </c>
      <c r="C1026" s="5" t="str">
        <f ca="1">IFERROR(__xludf.DUMMYFUNCTION("""COMPUTED_VALUE"""),"المعادى")</f>
        <v>المعادى</v>
      </c>
      <c r="D1026" s="5" t="str">
        <f ca="1">IFERROR(__xludf.DUMMYFUNCTION("""COMPUTED_VALUE"""),"مستشفى")</f>
        <v>مستشفى</v>
      </c>
      <c r="E1026" s="5" t="str">
        <f ca="1">IFERROR(__xludf.DUMMYFUNCTION("""COMPUTED_VALUE"""),"مستشفي طبي متكامل")</f>
        <v>مستشفي طبي متكامل</v>
      </c>
      <c r="F1026" s="5" t="str">
        <f ca="1">IFERROR(__xludf.DUMMYFUNCTION("""COMPUTED_VALUE"""),"جميع التخصصات الطبية")</f>
        <v>جميع التخصصات الطبية</v>
      </c>
      <c r="G1026" s="5" t="str">
        <f ca="1">IFERROR(__xludf.DUMMYFUNCTION("""COMPUTED_VALUE"""),"مستشفى النخيل (مجموعة اندلسية النخيل)")</f>
        <v>مستشفى النخيل (مجموعة اندلسية النخيل)</v>
      </c>
      <c r="H1026" s="5" t="str">
        <f ca="1">IFERROR(__xludf.DUMMYFUNCTION("""COMPUTED_VALUE"""),"المعادى الجديدة  - شارع اللاسلكى تقسيم 4ج/6-اخلف بنزينة توتال - المعادي-القاهرة")</f>
        <v>المعادى الجديدة  - شارع اللاسلكى تقسيم 4ج/6-اخلف بنزينة توتال - المعادي-القاهرة</v>
      </c>
      <c r="I1026" s="6" t="str">
        <f ca="1">IFERROR(__xludf.DUMMYFUNCTION("""COMPUTED_VALUE"""),"20225036100")</f>
        <v>20225036100</v>
      </c>
      <c r="J1026" s="6" t="str">
        <f ca="1">IFERROR(__xludf.DUMMYFUNCTION("""COMPUTED_VALUE"""),"16781")</f>
        <v>16781</v>
      </c>
      <c r="K1026" s="6" t="str">
        <f ca="1">IFERROR(__xludf.DUMMYFUNCTION("""COMPUTED_VALUE"""),"55% على خدمات الخارجي و 49% علي التحاليل و الاشعة و 45% علي كشوفات العيادات الخارجية و الطوارئ و القسم الداخلي و خصم 25% زيادة علي الاقامة بالغرفة المفردة و الاقامة النهارية و اتعاب الاطباء و اجور المساعدين و التخدير و الرعاية علي اسعار 2023 و نسبة زيادة "&amp;"20% علي العلاج الطبيعي علي اسعار 2023.")</f>
        <v>55% على خدمات الخارجي و 49% علي التحاليل و الاشعة و 45% علي كشوفات العيادات الخارجية و الطوارئ و القسم الداخلي و خصم 25% زيادة علي الاقامة بالغرفة المفردة و الاقامة النهارية و اتعاب الاطباء و اجور المساعدين و التخدير و الرعاية علي اسعار 2023 و نسبة زيادة 20% علي العلاج الطبيعي علي اسعار 2023.</v>
      </c>
    </row>
    <row r="1027" spans="1:11" x14ac:dyDescent="0.25">
      <c r="A1027" s="4" t="str">
        <f ca="1">IFERROR(__xludf.DUMMYFUNCTION("""COMPUTED_VALUE"""),"2900")</f>
        <v>2900</v>
      </c>
      <c r="B1027" s="5" t="str">
        <f ca="1">IFERROR(__xludf.DUMMYFUNCTION("""COMPUTED_VALUE"""),"القاهرة")</f>
        <v>القاهرة</v>
      </c>
      <c r="C1027" s="5" t="str">
        <f ca="1">IFERROR(__xludf.DUMMYFUNCTION("""COMPUTED_VALUE"""),"المعادى")</f>
        <v>المعادى</v>
      </c>
      <c r="D1027" s="5" t="str">
        <f ca="1">IFERROR(__xludf.DUMMYFUNCTION("""COMPUTED_VALUE"""),"مستشفى")</f>
        <v>مستشفى</v>
      </c>
      <c r="E1027" s="5" t="str">
        <f ca="1">IFERROR(__xludf.DUMMYFUNCTION("""COMPUTED_VALUE"""),"مستشفي طبي متكامل")</f>
        <v>مستشفي طبي متكامل</v>
      </c>
      <c r="F1027" s="5" t="str">
        <f ca="1">IFERROR(__xludf.DUMMYFUNCTION("""COMPUTED_VALUE"""),"جميع التخصصات الطبية")</f>
        <v>جميع التخصصات الطبية</v>
      </c>
      <c r="G1027" s="5" t="str">
        <f ca="1">IFERROR(__xludf.DUMMYFUNCTION("""COMPUTED_VALUE"""),"مستشفى النيل بدراوي")</f>
        <v>مستشفى النيل بدراوي</v>
      </c>
      <c r="H1027" s="5" t="str">
        <f ca="1">IFERROR(__xludf.DUMMYFUNCTION("""COMPUTED_VALUE"""),"كورنيش النيل-المعادي-القاهرة")</f>
        <v>كورنيش النيل-المعادي-القاهرة</v>
      </c>
      <c r="I1027" s="6"/>
      <c r="J1027" s="6" t="str">
        <f ca="1">IFERROR(__xludf.DUMMYFUNCTION("""COMPUTED_VALUE"""),"19668")</f>
        <v>19668</v>
      </c>
      <c r="K1027" s="6" t="str">
        <f ca="1">IFERROR(__xludf.DUMMYFUNCTION("""COMPUTED_VALUE"""),"35% خصم علي خدمات المعمل و الاشعة بالقسم الخارجي، 25% علي خدمات العلاج الطبيعي ، 30% خصم علي العيادات الخارجية و الطوارئ و اتعاب الاطباء و القسم الداخلي و الاقامات. لا يتم تطبيق نسبة الخصم علي الادوية و لبمستلزمات ، الاجهزة الطبيه و الغازات ، وحده الكلي ا"&amp;"لصناعي، وحده العلاج الاشعاعي - الاتفقيات الشاملة ، المناظير، الدمغه و القسطرة المخية و القلبية ، خدمات بنك الدم ، معمل الانسجه، الاسعاف، و الخدمات التي تؤدي خارج المستشفي ، 15% خدمه)")</f>
        <v>35% خصم علي خدمات المعمل و الاشعة بالقسم الخارجي، 25% علي خدمات العلاج الطبيعي ، 30% خصم علي العيادات الخارجية و الطوارئ و اتعاب الاطباء و القسم الداخلي و الاقامات. لا يتم تطبيق نسبة الخصم علي الادوية و لبمستلزمات ، الاجهزة الطبيه و الغازات ، وحده الكلي الصناعي، وحده العلاج الاشعاعي - الاتفقيات الشاملة ، المناظير، الدمغه و القسطرة المخية و القلبية ، خدمات بنك الدم ، معمل الانسجه، الاسعاف، و الخدمات التي تؤدي خارج المستشفي ، 15% خدمه)</v>
      </c>
    </row>
    <row r="1028" spans="1:11" x14ac:dyDescent="0.25">
      <c r="A1028" s="4" t="str">
        <f ca="1">IFERROR(__xludf.DUMMYFUNCTION("""COMPUTED_VALUE"""),"1949")</f>
        <v>1949</v>
      </c>
      <c r="B1028" s="5" t="str">
        <f ca="1">IFERROR(__xludf.DUMMYFUNCTION("""COMPUTED_VALUE"""),"القاهرة")</f>
        <v>القاهرة</v>
      </c>
      <c r="C1028" s="5" t="str">
        <f ca="1">IFERROR(__xludf.DUMMYFUNCTION("""COMPUTED_VALUE"""),"المقطم")</f>
        <v>المقطم</v>
      </c>
      <c r="D1028" s="5" t="str">
        <f ca="1">IFERROR(__xludf.DUMMYFUNCTION("""COMPUTED_VALUE"""),"مستشفى")</f>
        <v>مستشفى</v>
      </c>
      <c r="E1028" s="5" t="str">
        <f ca="1">IFERROR(__xludf.DUMMYFUNCTION("""COMPUTED_VALUE"""),"مستشفي طبي متكامل")</f>
        <v>مستشفي طبي متكامل</v>
      </c>
      <c r="F1028" s="5" t="str">
        <f ca="1">IFERROR(__xludf.DUMMYFUNCTION("""COMPUTED_VALUE"""),"جميع التخصصات الطبية")</f>
        <v>جميع التخصصات الطبية</v>
      </c>
      <c r="G1028" s="5" t="str">
        <f ca="1">IFERROR(__xludf.DUMMYFUNCTION("""COMPUTED_VALUE"""),"مستشفى المقطم التخصصي")</f>
        <v>مستشفى المقطم التخصصي</v>
      </c>
      <c r="H1028" s="5" t="str">
        <f ca="1">IFERROR(__xludf.DUMMYFUNCTION("""COMPUTED_VALUE"""),"شارع 9-المقطم-الهضبة العليا-المنطقة س-المقطم-القاهرة")</f>
        <v>شارع 9-المقطم-الهضبة العليا-المنطقة س-المقطم-القاهرة</v>
      </c>
      <c r="I1028" s="6" t="str">
        <f ca="1">IFERROR(__xludf.DUMMYFUNCTION("""COMPUTED_VALUE"""),"20225079851")</f>
        <v>20225079851</v>
      </c>
      <c r="J1028" s="6"/>
      <c r="K1028" s="6" t="str">
        <f ca="1">IFERROR(__xludf.DUMMYFUNCTION("""COMPUTED_VALUE"""),"20% علي الأسعار النقدي المعلنة")</f>
        <v>20% علي الأسعار النقدي المعلنة</v>
      </c>
    </row>
    <row r="1029" spans="1:11" x14ac:dyDescent="0.25">
      <c r="A1029" s="4" t="str">
        <f ca="1">IFERROR(__xludf.DUMMYFUNCTION("""COMPUTED_VALUE"""),"2574")</f>
        <v>2574</v>
      </c>
      <c r="B1029" s="5" t="str">
        <f ca="1">IFERROR(__xludf.DUMMYFUNCTION("""COMPUTED_VALUE"""),"الجيزة")</f>
        <v>الجيزة</v>
      </c>
      <c r="C1029" s="5" t="str">
        <f ca="1">IFERROR(__xludf.DUMMYFUNCTION("""COMPUTED_VALUE"""),"المهندسين")</f>
        <v>المهندسين</v>
      </c>
      <c r="D1029" s="5" t="str">
        <f ca="1">IFERROR(__xludf.DUMMYFUNCTION("""COMPUTED_VALUE"""),"مستشفى")</f>
        <v>مستشفى</v>
      </c>
      <c r="E1029" s="5" t="str">
        <f ca="1">IFERROR(__xludf.DUMMYFUNCTION("""COMPUTED_VALUE"""),"مستشفي طبي متكامل")</f>
        <v>مستشفي طبي متكامل</v>
      </c>
      <c r="F1029" s="5" t="str">
        <f ca="1">IFERROR(__xludf.DUMMYFUNCTION("""COMPUTED_VALUE"""),"جميع التخصصات الطبية")</f>
        <v>جميع التخصصات الطبية</v>
      </c>
      <c r="G1029" s="5" t="str">
        <f ca="1">IFERROR(__xludf.DUMMYFUNCTION("""COMPUTED_VALUE"""),"مستشفى السلام - المهندسين")</f>
        <v>مستشفى السلام - المهندسين</v>
      </c>
      <c r="H1029" s="5" t="str">
        <f ca="1">IFERROR(__xludf.DUMMYFUNCTION("""COMPUTED_VALUE"""),"3 شارع سوريا،.-المهندسين- الجيزة")</f>
        <v>3 شارع سوريا،.-المهندسين- الجيزة</v>
      </c>
      <c r="I1029" s="6" t="str">
        <f ca="1">IFERROR(__xludf.DUMMYFUNCTION("""COMPUTED_VALUE"""),"20233029091")</f>
        <v>20233029091</v>
      </c>
      <c r="J1029" s="6"/>
      <c r="K1029" s="6" t="str">
        <f ca="1">IFERROR(__xludf.DUMMYFUNCTION("""COMPUTED_VALUE"""),"نسبة خصم 10% علي الكشوفات ، ونسبة خصم 20% علي جميع الخدمات فيما عدا ( اتعاب الاطباء وبنك الدم وغسيل الكلى وقسطرة القلب)")</f>
        <v>نسبة خصم 10% علي الكشوفات ، ونسبة خصم 20% علي جميع الخدمات فيما عدا ( اتعاب الاطباء وبنك الدم وغسيل الكلى وقسطرة القلب)</v>
      </c>
    </row>
    <row r="1030" spans="1:11" x14ac:dyDescent="0.25">
      <c r="A1030" s="4" t="str">
        <f ca="1">IFERROR(__xludf.DUMMYFUNCTION("""COMPUTED_VALUE"""),"3977")</f>
        <v>3977</v>
      </c>
      <c r="B1030" s="5" t="str">
        <f ca="1">IFERROR(__xludf.DUMMYFUNCTION("""COMPUTED_VALUE"""),"الجيزة")</f>
        <v>الجيزة</v>
      </c>
      <c r="C1030" s="5" t="str">
        <f ca="1">IFERROR(__xludf.DUMMYFUNCTION("""COMPUTED_VALUE"""),"المهندسين")</f>
        <v>المهندسين</v>
      </c>
      <c r="D1030" s="5" t="str">
        <f ca="1">IFERROR(__xludf.DUMMYFUNCTION("""COMPUTED_VALUE"""),"مستشفى")</f>
        <v>مستشفى</v>
      </c>
      <c r="E1030" s="5" t="str">
        <f ca="1">IFERROR(__xludf.DUMMYFUNCTION("""COMPUTED_VALUE"""),"مستشفي طبي متكامل")</f>
        <v>مستشفي طبي متكامل</v>
      </c>
      <c r="F1030" s="5" t="str">
        <f ca="1">IFERROR(__xludf.DUMMYFUNCTION("""COMPUTED_VALUE"""),"جميع التخصصات الطبية")</f>
        <v>جميع التخصصات الطبية</v>
      </c>
      <c r="G1030" s="5" t="str">
        <f ca="1">IFERROR(__xludf.DUMMYFUNCTION("""COMPUTED_VALUE"""),"مستشفى الشروق -الهندسين")</f>
        <v>مستشفى الشروق -الهندسين</v>
      </c>
      <c r="H1030" s="5" t="str">
        <f ca="1">IFERROR(__xludf.DUMMYFUNCTION("""COMPUTED_VALUE"""),"5 شارع بحر الغزال متفرع من شارع احمد عرابي - مدينة الطلبة - الصحفيين-المهندسين- الجيزة")</f>
        <v>5 شارع بحر الغزال متفرع من شارع احمد عرابي - مدينة الطلبة - الصحفيين-المهندسين- الجيزة</v>
      </c>
      <c r="I1030" s="6" t="str">
        <f ca="1">IFERROR(__xludf.DUMMYFUNCTION("""COMPUTED_VALUE"""),"20233044901")</f>
        <v>20233044901</v>
      </c>
      <c r="J1030" s="6"/>
      <c r="K1030" s="6" t="str">
        <f ca="1">IFERROR(__xludf.DUMMYFUNCTION("""COMPUTED_VALUE"""),"35% علي خدمات العيادات الخارجية و خدمات الطوارئ و 35% علي خدمات المعمل و الأشعة بالقسم الخارجي والعلاج الطبيعي، نسبة خصم 25% علي اتعاب الأطباء و خدمات القسم الداخلي، نسبة خصم قدرها 25% علي الاقامات، لا يتم تطبيق نسبة الخصم علي الادوية و لبمستلزمات ، الاجه"&amp;"زة الطبيه و الغازات ، وحده الكلي الصناعي، وحده العلاج الاشعاعي - الاتفقيات الشاملة ، المناظير، الدمغه و القسطرة المخية و القلبية ، خدمات بنك الدم ، معمل الانسجه، الاسعاف، و الخدمات التي تؤدي خارج المستشفي ، 15% خدمه)")</f>
        <v>35% علي خدمات العيادات الخارجية و خدمات الطوارئ و 35% علي خدمات المعمل و الأشعة بالقسم الخارجي والعلاج الطبيعي، نسبة خصم 25% علي اتعاب الأطباء و خدمات القسم الداخلي، نسبة خصم قدرها 25% علي الاقامات، لا يتم تطبيق نسبة الخصم علي الادوية و لبمستلزمات ، الاجهزة الطبيه و الغازات ، وحده الكلي الصناعي، وحده العلاج الاشعاعي - الاتفقيات الشاملة ، المناظير، الدمغه و القسطرة المخية و القلبية ، خدمات بنك الدم ، معمل الانسجه، الاسعاف، و الخدمات التي تؤدي خارج المستشفي ، 15% خدمه)</v>
      </c>
    </row>
    <row r="1031" spans="1:11" x14ac:dyDescent="0.25">
      <c r="A1031" s="4" t="str">
        <f ca="1">IFERROR(__xludf.DUMMYFUNCTION("""COMPUTED_VALUE"""),"103478")</f>
        <v>103478</v>
      </c>
      <c r="B1031" s="5" t="str">
        <f ca="1">IFERROR(__xludf.DUMMYFUNCTION("""COMPUTED_VALUE"""),"الجيزة")</f>
        <v>الجيزة</v>
      </c>
      <c r="C1031" s="5" t="str">
        <f ca="1">IFERROR(__xludf.DUMMYFUNCTION("""COMPUTED_VALUE"""),"المهندسين")</f>
        <v>المهندسين</v>
      </c>
      <c r="D1031" s="5" t="str">
        <f ca="1">IFERROR(__xludf.DUMMYFUNCTION("""COMPUTED_VALUE"""),"مستشفى")</f>
        <v>مستشفى</v>
      </c>
      <c r="E1031" s="5" t="str">
        <f ca="1">IFERROR(__xludf.DUMMYFUNCTION("""COMPUTED_VALUE"""),"مستشفي طبي متكامل")</f>
        <v>مستشفي طبي متكامل</v>
      </c>
      <c r="F1031" s="5" t="str">
        <f ca="1">IFERROR(__xludf.DUMMYFUNCTION("""COMPUTED_VALUE"""),"جميع التخصصات الطبية")</f>
        <v>جميع التخصصات الطبية</v>
      </c>
      <c r="G1031" s="5" t="str">
        <f ca="1">IFERROR(__xludf.DUMMYFUNCTION("""COMPUTED_VALUE"""),"مستشفى الصفا - المهندسين")</f>
        <v>مستشفى الصفا - المهندسين</v>
      </c>
      <c r="H1031" s="5" t="str">
        <f ca="1">IFERROR(__xludf.DUMMYFUNCTION("""COMPUTED_VALUE"""),"40 شارع العراق من شارع شهاب --المهندسين- الجيزة")</f>
        <v>40 شارع العراق من شارع شهاب --المهندسين- الجيزة</v>
      </c>
      <c r="I1031" s="6" t="str">
        <f ca="1">IFERROR(__xludf.DUMMYFUNCTION("""COMPUTED_VALUE"""),"20233361051")</f>
        <v>20233361051</v>
      </c>
      <c r="J1031" s="6" t="str">
        <f ca="1">IFERROR(__xludf.DUMMYFUNCTION("""COMPUTED_VALUE"""),"16181")</f>
        <v>16181</v>
      </c>
      <c r="K1031" s="6" t="str">
        <f ca="1">IFERROR(__xludf.DUMMYFUNCTION("""COMPUTED_VALUE"""),"50% الكشف ,20% على خدمات الداخلى والطوارئ,عدا بنك الدم والقسطرة والأدوية واتعاب الأطباء")</f>
        <v>50% الكشف ,20% على خدمات الداخلى والطوارئ,عدا بنك الدم والقسطرة والأدوية واتعاب الأطباء</v>
      </c>
    </row>
    <row r="1032" spans="1:11" x14ac:dyDescent="0.25">
      <c r="A1032" s="4" t="str">
        <f ca="1">IFERROR(__xludf.DUMMYFUNCTION("""COMPUTED_VALUE"""),"3779")</f>
        <v>3779</v>
      </c>
      <c r="B1032" s="5" t="str">
        <f ca="1">IFERROR(__xludf.DUMMYFUNCTION("""COMPUTED_VALUE"""),"الجيزة")</f>
        <v>الجيزة</v>
      </c>
      <c r="C1032" s="5" t="str">
        <f ca="1">IFERROR(__xludf.DUMMYFUNCTION("""COMPUTED_VALUE"""),"المهندسين")</f>
        <v>المهندسين</v>
      </c>
      <c r="D1032" s="5" t="str">
        <f ca="1">IFERROR(__xludf.DUMMYFUNCTION("""COMPUTED_VALUE"""),"مستشفى")</f>
        <v>مستشفى</v>
      </c>
      <c r="E1032" s="5" t="str">
        <f ca="1">IFERROR(__xludf.DUMMYFUNCTION("""COMPUTED_VALUE"""),"مستشفي طبي متكامل")</f>
        <v>مستشفي طبي متكامل</v>
      </c>
      <c r="F1032" s="5" t="str">
        <f ca="1">IFERROR(__xludf.DUMMYFUNCTION("""COMPUTED_VALUE"""),"جميع التخصصات الطبية")</f>
        <v>جميع التخصصات الطبية</v>
      </c>
      <c r="G1032" s="5" t="str">
        <f ca="1">IFERROR(__xludf.DUMMYFUNCTION("""COMPUTED_VALUE"""),"مستشفى المروة")</f>
        <v>مستشفى المروة</v>
      </c>
      <c r="H1032" s="5" t="str">
        <f ca="1">IFERROR(__xludf.DUMMYFUNCTION("""COMPUTED_VALUE"""),"3شارع السودان بجوار محطة مترو البحوث-المهندسين- الجيزة")</f>
        <v>3شارع السودان بجوار محطة مترو البحوث-المهندسين- الجيزة</v>
      </c>
      <c r="I1032" s="6" t="str">
        <f ca="1">IFERROR(__xludf.DUMMYFUNCTION("""COMPUTED_VALUE"""),"237494328")</f>
        <v>237494328</v>
      </c>
      <c r="J1032" s="6"/>
      <c r="K1032" s="6" t="str">
        <f ca="1">IFERROR(__xludf.DUMMYFUNCTION("""COMPUTED_VALUE"""),"30% نسبة خصم")</f>
        <v>30% نسبة خصم</v>
      </c>
    </row>
    <row r="1033" spans="1:11" x14ac:dyDescent="0.25">
      <c r="A1033" s="4" t="str">
        <f ca="1">IFERROR(__xludf.DUMMYFUNCTION("""COMPUTED_VALUE"""),"3534")</f>
        <v>3534</v>
      </c>
      <c r="B1033" s="5" t="str">
        <f ca="1">IFERROR(__xludf.DUMMYFUNCTION("""COMPUTED_VALUE"""),"الجيزة")</f>
        <v>الجيزة</v>
      </c>
      <c r="C1033" s="5" t="str">
        <f ca="1">IFERROR(__xludf.DUMMYFUNCTION("""COMPUTED_VALUE"""),"المهندسين")</f>
        <v>المهندسين</v>
      </c>
      <c r="D1033" s="5" t="str">
        <f ca="1">IFERROR(__xludf.DUMMYFUNCTION("""COMPUTED_VALUE"""),"مستشفى")</f>
        <v>مستشفى</v>
      </c>
      <c r="E1033" s="5" t="str">
        <f ca="1">IFERROR(__xludf.DUMMYFUNCTION("""COMPUTED_VALUE"""),"مستشفي طبي متكامل")</f>
        <v>مستشفي طبي متكامل</v>
      </c>
      <c r="F1033" s="5" t="str">
        <f ca="1">IFERROR(__xludf.DUMMYFUNCTION("""COMPUTED_VALUE"""),"جميع التخصصات الطبية")</f>
        <v>جميع التخصصات الطبية</v>
      </c>
      <c r="G1033" s="5" t="str">
        <f ca="1">IFERROR(__xludf.DUMMYFUNCTION("""COMPUTED_VALUE"""),"مستشفى برج الأطباء")</f>
        <v>مستشفى برج الأطباء</v>
      </c>
      <c r="H1033" s="5" t="str">
        <f ca="1">IFERROR(__xludf.DUMMYFUNCTION("""COMPUTED_VALUE"""),"55شارع عبدالمنعم رياض-المهندسين- الجيزة")</f>
        <v>55شارع عبدالمنعم رياض-المهندسين- الجيزة</v>
      </c>
      <c r="I1033" s="6" t="str">
        <f ca="1">IFERROR(__xludf.DUMMYFUNCTION("""COMPUTED_VALUE"""),"20233039050")</f>
        <v>20233039050</v>
      </c>
      <c r="J1033" s="6"/>
      <c r="K1033" s="6" t="str">
        <f ca="1">IFERROR(__xludf.DUMMYFUNCTION("""COMPUTED_VALUE"""),"30% خصم علي الاسعار النقدي المعلنه ولا يتم تطبيق الخصم علي القلب المفتوح و القساطر بجميع أنواعها و اتعاب الاطباء علي الأسعار النقدي المعلنه.")</f>
        <v>30% خصم علي الاسعار النقدي المعلنه ولا يتم تطبيق الخصم علي القلب المفتوح و القساطر بجميع أنواعها و اتعاب الاطباء علي الأسعار النقدي المعلنه.</v>
      </c>
    </row>
    <row r="1034" spans="1:11" x14ac:dyDescent="0.25">
      <c r="A1034" s="4" t="str">
        <f ca="1">IFERROR(__xludf.DUMMYFUNCTION("""COMPUTED_VALUE"""),"103765")</f>
        <v>103765</v>
      </c>
      <c r="B1034" s="5" t="str">
        <f ca="1">IFERROR(__xludf.DUMMYFUNCTION("""COMPUTED_VALUE"""),"الجيزة")</f>
        <v>الجيزة</v>
      </c>
      <c r="C1034" s="5" t="str">
        <f ca="1">IFERROR(__xludf.DUMMYFUNCTION("""COMPUTED_VALUE"""),"المهندسين")</f>
        <v>المهندسين</v>
      </c>
      <c r="D1034" s="5" t="str">
        <f ca="1">IFERROR(__xludf.DUMMYFUNCTION("""COMPUTED_VALUE"""),"مستشفى")</f>
        <v>مستشفى</v>
      </c>
      <c r="E1034" s="5" t="str">
        <f ca="1">IFERROR(__xludf.DUMMYFUNCTION("""COMPUTED_VALUE"""),"مستشفي طبي متكامل")</f>
        <v>مستشفي طبي متكامل</v>
      </c>
      <c r="F1034" s="5" t="str">
        <f ca="1">IFERROR(__xludf.DUMMYFUNCTION("""COMPUTED_VALUE"""),"جميع التخصصات الطبية")</f>
        <v>جميع التخصصات الطبية</v>
      </c>
      <c r="G1034" s="5" t="str">
        <f ca="1">IFERROR(__xludf.DUMMYFUNCTION("""COMPUTED_VALUE"""),"اسبارك للحلول الطبية - مستشفي الرضا التخصصى")</f>
        <v>اسبارك للحلول الطبية - مستشفي الرضا التخصصى</v>
      </c>
      <c r="H1034" s="5" t="str">
        <f ca="1">IFERROR(__xludf.DUMMYFUNCTION("""COMPUTED_VALUE"""),"103 شارع العلمين-ميدان مدينة الطلبة-المهندسين- الجيزة")</f>
        <v>103 شارع العلمين-ميدان مدينة الطلبة-المهندسين- الجيزة</v>
      </c>
      <c r="I1034" s="6" t="str">
        <f ca="1">IFERROR(__xludf.DUMMYFUNCTION("""COMPUTED_VALUE"""),"20233047296")</f>
        <v>20233047296</v>
      </c>
      <c r="J1034" s="6"/>
      <c r="K1034" s="6" t="str">
        <f ca="1">IFERROR(__xludf.DUMMYFUNCTION("""COMPUTED_VALUE"""),"خصم 30% علي الاسعار النقدي")</f>
        <v>خصم 30% علي الاسعار النقدي</v>
      </c>
    </row>
    <row r="1035" spans="1:11" x14ac:dyDescent="0.25">
      <c r="A1035" s="4" t="str">
        <f ca="1">IFERROR(__xludf.DUMMYFUNCTION("""COMPUTED_VALUE"""),"4656")</f>
        <v>4656</v>
      </c>
      <c r="B1035" s="5" t="str">
        <f ca="1">IFERROR(__xludf.DUMMYFUNCTION("""COMPUTED_VALUE"""),"الجيزة")</f>
        <v>الجيزة</v>
      </c>
      <c r="C1035" s="5" t="str">
        <f ca="1">IFERROR(__xludf.DUMMYFUNCTION("""COMPUTED_VALUE"""),"الهرم")</f>
        <v>الهرم</v>
      </c>
      <c r="D1035" s="5" t="str">
        <f ca="1">IFERROR(__xludf.DUMMYFUNCTION("""COMPUTED_VALUE"""),"مستشفى")</f>
        <v>مستشفى</v>
      </c>
      <c r="E1035" s="5" t="str">
        <f ca="1">IFERROR(__xludf.DUMMYFUNCTION("""COMPUTED_VALUE"""),"مستشفي طبي متكامل")</f>
        <v>مستشفي طبي متكامل</v>
      </c>
      <c r="F1035" s="5" t="str">
        <f ca="1">IFERROR(__xludf.DUMMYFUNCTION("""COMPUTED_VALUE"""),"جميع التخصصات الطبية")</f>
        <v>جميع التخصصات الطبية</v>
      </c>
      <c r="G1035" s="5" t="str">
        <f ca="1">IFERROR(__xludf.DUMMYFUNCTION("""COMPUTED_VALUE"""),"مستشفى الجزيرة")</f>
        <v>مستشفى الجزيرة</v>
      </c>
      <c r="H1035" s="5" t="str">
        <f ca="1">IFERROR(__xludf.DUMMYFUNCTION("""COMPUTED_VALUE"""),"8 شارع أحمد لطفى السيد -المساحة- فيصل- عمرانية-الهرم- الجيزة")</f>
        <v>8 شارع أحمد لطفى السيد -المساحة- فيصل- عمرانية-الهرم- الجيزة</v>
      </c>
      <c r="I1035" s="6"/>
      <c r="J1035" s="6" t="str">
        <f ca="1">IFERROR(__xludf.DUMMYFUNCTION("""COMPUTED_VALUE"""),"15485")</f>
        <v>15485</v>
      </c>
      <c r="K1035" s="6" t="str">
        <f ca="1">IFERROR(__xludf.DUMMYFUNCTION("""COMPUTED_VALUE"""),"40% على كشف العيادات الخارجية والطوارئ،20% على خدمات الخارجي والداخلى بالمستشفيات ومشتقاته فيما عدا المستلزمات والأدوية والدم ، 5% على اتعاب الأطباء ،50% على القسطرة التشخصية ،10% على خدمات القسطرة والمعامل والاشعة التشخيصية ومناظير الجهاز الهضمى ")</f>
        <v xml:space="preserve">40% على كشف العيادات الخارجية والطوارئ،20% على خدمات الخارجي والداخلى بالمستشفيات ومشتقاته فيما عدا المستلزمات والأدوية والدم ، 5% على اتعاب الأطباء ،50% على القسطرة التشخصية ،10% على خدمات القسطرة والمعامل والاشعة التشخيصية ومناظير الجهاز الهضمى </v>
      </c>
    </row>
    <row r="1036" spans="1:11" x14ac:dyDescent="0.25">
      <c r="A1036" s="4" t="str">
        <f ca="1">IFERROR(__xludf.DUMMYFUNCTION("""COMPUTED_VALUE"""),"104360")</f>
        <v>104360</v>
      </c>
      <c r="B1036" s="5" t="str">
        <f ca="1">IFERROR(__xludf.DUMMYFUNCTION("""COMPUTED_VALUE"""),"الجيزة")</f>
        <v>الجيزة</v>
      </c>
      <c r="C1036" s="5" t="str">
        <f ca="1">IFERROR(__xludf.DUMMYFUNCTION("""COMPUTED_VALUE"""),"الهرم")</f>
        <v>الهرم</v>
      </c>
      <c r="D1036" s="5" t="str">
        <f ca="1">IFERROR(__xludf.DUMMYFUNCTION("""COMPUTED_VALUE"""),"مستشفى")</f>
        <v>مستشفى</v>
      </c>
      <c r="E1036" s="5" t="str">
        <f ca="1">IFERROR(__xludf.DUMMYFUNCTION("""COMPUTED_VALUE"""),"مستشفي طبي متكامل")</f>
        <v>مستشفي طبي متكامل</v>
      </c>
      <c r="F1036" s="5" t="str">
        <f ca="1">IFERROR(__xludf.DUMMYFUNCTION("""COMPUTED_VALUE"""),"جميع التخصصات الطبية")</f>
        <v>جميع التخصصات الطبية</v>
      </c>
      <c r="G1036" s="5" t="str">
        <f ca="1">IFERROR(__xludf.DUMMYFUNCTION("""COMPUTED_VALUE"""),"مستشفى الشروق - الهرم")</f>
        <v>مستشفى الشروق - الهرم</v>
      </c>
      <c r="H1036" s="5" t="str">
        <f ca="1">IFERROR(__xludf.DUMMYFUNCTION("""COMPUTED_VALUE"""),"27ش الاميرة فادية - متفرع من شارع ابوالهول السياحي - الهرم")</f>
        <v>27ش الاميرة فادية - متفرع من شارع ابوالهول السياحي - الهرم</v>
      </c>
      <c r="I1036" s="6" t="str">
        <f ca="1">IFERROR(__xludf.DUMMYFUNCTION("""COMPUTED_VALUE"""),"01001716505")</f>
        <v>01001716505</v>
      </c>
      <c r="J1036" s="6"/>
      <c r="K1036" s="6" t="str">
        <f ca="1">IFERROR(__xludf.DUMMYFUNCTION("""COMPUTED_VALUE"""),"15% على الداخلى وجميع الخدمات ,20على الكشف والطوارئ,30%على الفحوصات واجرائات الخارجي")</f>
        <v>15% على الداخلى وجميع الخدمات ,20على الكشف والطوارئ,30%على الفحوصات واجرائات الخارجي</v>
      </c>
    </row>
    <row r="1037" spans="1:11" x14ac:dyDescent="0.25">
      <c r="A1037" s="4" t="str">
        <f ca="1">IFERROR(__xludf.DUMMYFUNCTION("""COMPUTED_VALUE"""),"1708")</f>
        <v>1708</v>
      </c>
      <c r="B1037" s="5" t="str">
        <f ca="1">IFERROR(__xludf.DUMMYFUNCTION("""COMPUTED_VALUE"""),"القاهرة")</f>
        <v>القاهرة</v>
      </c>
      <c r="C1037" s="5" t="str">
        <f ca="1">IFERROR(__xludf.DUMMYFUNCTION("""COMPUTED_VALUE"""),"جاردن سيتى")</f>
        <v>جاردن سيتى</v>
      </c>
      <c r="D1037" s="5" t="str">
        <f ca="1">IFERROR(__xludf.DUMMYFUNCTION("""COMPUTED_VALUE"""),"مستشفى")</f>
        <v>مستشفى</v>
      </c>
      <c r="E1037" s="5" t="str">
        <f ca="1">IFERROR(__xludf.DUMMYFUNCTION("""COMPUTED_VALUE"""),"مستشفي طبي متكامل")</f>
        <v>مستشفي طبي متكامل</v>
      </c>
      <c r="F1037" s="5" t="str">
        <f ca="1">IFERROR(__xludf.DUMMYFUNCTION("""COMPUTED_VALUE"""),"جميع التخصصات الطبية")</f>
        <v>جميع التخصصات الطبية</v>
      </c>
      <c r="G1037" s="5" t="str">
        <f ca="1">IFERROR(__xludf.DUMMYFUNCTION("""COMPUTED_VALUE"""),"مستشفى جاردن سيتي")</f>
        <v>مستشفى جاردن سيتي</v>
      </c>
      <c r="H1037" s="5" t="str">
        <f ca="1">IFERROR(__xludf.DUMMYFUNCTION("""COMPUTED_VALUE"""),"1 ش محمد فهمى السيد - جاردن سيتي - القاهرة")</f>
        <v>1 ش محمد فهمى السيد - جاردن سيتي - القاهرة</v>
      </c>
      <c r="I1037" s="6" t="str">
        <f ca="1">IFERROR(__xludf.DUMMYFUNCTION("""COMPUTED_VALUE"""),"20227955022")</f>
        <v>20227955022</v>
      </c>
      <c r="J1037" s="6"/>
      <c r="K1037" s="6" t="str">
        <f ca="1">IFERROR(__xludf.DUMMYFUNCTION("""COMPUTED_VALUE"""),"خصم 20% علي العمليات، 25% علي باقي الخدمات")</f>
        <v>خصم 20% علي العمليات، 25% علي باقي الخدمات</v>
      </c>
    </row>
    <row r="1038" spans="1:11" x14ac:dyDescent="0.25">
      <c r="A1038" s="4" t="str">
        <f ca="1">IFERROR(__xludf.DUMMYFUNCTION("""COMPUTED_VALUE"""),"103763")</f>
        <v>103763</v>
      </c>
      <c r="B1038" s="5" t="str">
        <f ca="1">IFERROR(__xludf.DUMMYFUNCTION("""COMPUTED_VALUE"""),"القاهرة")</f>
        <v>القاهرة</v>
      </c>
      <c r="C1038" s="5" t="str">
        <f ca="1">IFERROR(__xludf.DUMMYFUNCTION("""COMPUTED_VALUE"""),"حدائق القبة")</f>
        <v>حدائق القبة</v>
      </c>
      <c r="D1038" s="5" t="str">
        <f ca="1">IFERROR(__xludf.DUMMYFUNCTION("""COMPUTED_VALUE"""),"مستشفى")</f>
        <v>مستشفى</v>
      </c>
      <c r="E1038" s="5" t="str">
        <f ca="1">IFERROR(__xludf.DUMMYFUNCTION("""COMPUTED_VALUE"""),"مستشفي طبي متكامل")</f>
        <v>مستشفي طبي متكامل</v>
      </c>
      <c r="F1038" s="5" t="str">
        <f ca="1">IFERROR(__xludf.DUMMYFUNCTION("""COMPUTED_VALUE"""),"جميع التخصصات الطبية")</f>
        <v>جميع التخصصات الطبية</v>
      </c>
      <c r="G1038" s="5" t="str">
        <f ca="1">IFERROR(__xludf.DUMMYFUNCTION("""COMPUTED_VALUE"""),"مستشفي وادي النيل")</f>
        <v>مستشفي وادي النيل</v>
      </c>
      <c r="H1038" s="5" t="str">
        <f ca="1">IFERROR(__xludf.DUMMYFUNCTION("""COMPUTED_VALUE"""),"شارع وادي النيل-بجوار قصر القبة-حدائق القبة-القاهرة")</f>
        <v>شارع وادي النيل-بجوار قصر القبة-حدائق القبة-القاهرة</v>
      </c>
      <c r="I1038" s="6" t="str">
        <f ca="1">IFERROR(__xludf.DUMMYFUNCTION("""COMPUTED_VALUE"""),"20224562711")</f>
        <v>20224562711</v>
      </c>
      <c r="J1038" s="6" t="str">
        <f ca="1">IFERROR(__xludf.DUMMYFUNCTION("""COMPUTED_VALUE"""),"19303")</f>
        <v>19303</v>
      </c>
      <c r="K1038" s="6" t="str">
        <f ca="1">IFERROR(__xludf.DUMMYFUNCTION("""COMPUTED_VALUE"""),"20% علي كشف العيادات الخارجية و خصم 15% علي خدمات القسم الخارجي و الداخلي  باستثناء (الأدوية - المستلزمات و الأجهزة الطبية - الاتفاقيات الشاملة - الغسيل الكلوي  - العلاج الكيميائي - العلاج الاشعاعي - خدمات التأهيل و العلاج الطبيعي - بعض خدمات الأسنان - ات"&amp;"عاب الأطباء - الاشراف الطبي - خدمات بنك الدم - الدمغة الطبية - 15% خدمة)")</f>
        <v>20% علي كشف العيادات الخارجية و خصم 15% علي خدمات القسم الخارجي و الداخلي  باستثناء (الأدوية - المستلزمات و الأجهزة الطبية - الاتفاقيات الشاملة - الغسيل الكلوي  - العلاج الكيميائي - العلاج الاشعاعي - خدمات التأهيل و العلاج الطبيعي - بعض خدمات الأسنان - اتعاب الأطباء - الاشراف الطبي - خدمات بنك الدم - الدمغة الطبية - 15% خدمة)</v>
      </c>
    </row>
    <row r="1039" spans="1:11" x14ac:dyDescent="0.25">
      <c r="A1039" s="4" t="str">
        <f ca="1">IFERROR(__xludf.DUMMYFUNCTION("""COMPUTED_VALUE"""),"2074")</f>
        <v>2074</v>
      </c>
      <c r="B1039" s="5" t="str">
        <f ca="1">IFERROR(__xludf.DUMMYFUNCTION("""COMPUTED_VALUE"""),"القاهرة")</f>
        <v>القاهرة</v>
      </c>
      <c r="C1039" s="5" t="str">
        <f ca="1">IFERROR(__xludf.DUMMYFUNCTION("""COMPUTED_VALUE"""),"حلوان")</f>
        <v>حلوان</v>
      </c>
      <c r="D1039" s="5" t="str">
        <f ca="1">IFERROR(__xludf.DUMMYFUNCTION("""COMPUTED_VALUE"""),"مجمع عيادات")</f>
        <v>مجمع عيادات</v>
      </c>
      <c r="E1039" s="5" t="str">
        <f ca="1">IFERROR(__xludf.DUMMYFUNCTION("""COMPUTED_VALUE"""),"جميع التخصصات")</f>
        <v>جميع التخصصات</v>
      </c>
      <c r="F1039" s="5" t="str">
        <f ca="1">IFERROR(__xludf.DUMMYFUNCTION("""COMPUTED_VALUE"""),"جميع التخصصات الطبية")</f>
        <v>جميع التخصصات الطبية</v>
      </c>
      <c r="G1039" s="5" t="str">
        <f ca="1">IFERROR(__xludf.DUMMYFUNCTION("""COMPUTED_VALUE"""),"د/ حسام منصور")</f>
        <v>د/ حسام منصور</v>
      </c>
      <c r="H1039" s="5" t="str">
        <f ca="1">IFERROR(__xludf.DUMMYFUNCTION("""COMPUTED_VALUE"""),"40 شارع حيدر - ميدان محطة مترو حلوان امام دهب مول-حلوان-القاهرة")</f>
        <v>40 شارع حيدر - ميدان محطة مترو حلوان امام دهب مول-حلوان-القاهرة</v>
      </c>
      <c r="I1039" s="6" t="str">
        <f ca="1">IFERROR(__xludf.DUMMYFUNCTION("""COMPUTED_VALUE"""),"0225560396")</f>
        <v>0225560396</v>
      </c>
      <c r="J1039" s="6"/>
      <c r="K1039" s="6" t="str">
        <f ca="1">IFERROR(__xludf.DUMMYFUNCTION("""COMPUTED_VALUE"""),"20% على الكشوفات وباقى الخدمات")</f>
        <v>20% على الكشوفات وباقى الخدمات</v>
      </c>
    </row>
    <row r="1040" spans="1:11" x14ac:dyDescent="0.25">
      <c r="A1040" s="4" t="str">
        <f ca="1">IFERROR(__xludf.DUMMYFUNCTION("""COMPUTED_VALUE"""),"2074-B")</f>
        <v>2074-B</v>
      </c>
      <c r="B1040" s="5" t="str">
        <f ca="1">IFERROR(__xludf.DUMMYFUNCTION("""COMPUTED_VALUE"""),"القاهرة")</f>
        <v>القاهرة</v>
      </c>
      <c r="C1040" s="5" t="str">
        <f ca="1">IFERROR(__xludf.DUMMYFUNCTION("""COMPUTED_VALUE"""),"رمسيس")</f>
        <v>رمسيس</v>
      </c>
      <c r="D1040" s="5" t="str">
        <f ca="1">IFERROR(__xludf.DUMMYFUNCTION("""COMPUTED_VALUE"""),"مجمع عيادات")</f>
        <v>مجمع عيادات</v>
      </c>
      <c r="E1040" s="5" t="str">
        <f ca="1">IFERROR(__xludf.DUMMYFUNCTION("""COMPUTED_VALUE"""),"جميع التخصصات")</f>
        <v>جميع التخصصات</v>
      </c>
      <c r="F1040" s="5" t="str">
        <f ca="1">IFERROR(__xludf.DUMMYFUNCTION("""COMPUTED_VALUE"""),"جميع التخصصات الطبية")</f>
        <v>جميع التخصصات الطبية</v>
      </c>
      <c r="G1040" s="5" t="str">
        <f ca="1">IFERROR(__xludf.DUMMYFUNCTION("""COMPUTED_VALUE"""),"د/ حسام منصور")</f>
        <v>د/ حسام منصور</v>
      </c>
      <c r="H1040" s="5" t="str">
        <f ca="1">IFERROR(__xludf.DUMMYFUNCTION("""COMPUTED_VALUE"""),"6 ميدان رمسيس - رمسيس - القاهرة")</f>
        <v>6 ميدان رمسيس - رمسيس - القاهرة</v>
      </c>
      <c r="I1040" s="6" t="str">
        <f ca="1">IFERROR(__xludf.DUMMYFUNCTION("""COMPUTED_VALUE"""),"01226177742")</f>
        <v>01226177742</v>
      </c>
      <c r="J1040" s="6"/>
      <c r="K1040" s="6" t="str">
        <f ca="1">IFERROR(__xludf.DUMMYFUNCTION("""COMPUTED_VALUE"""),"20% على الكشوفات وباقى الخدمات")</f>
        <v>20% على الكشوفات وباقى الخدمات</v>
      </c>
    </row>
    <row r="1041" spans="1:11" x14ac:dyDescent="0.25">
      <c r="A1041" s="4" t="str">
        <f ca="1">IFERROR(__xludf.DUMMYFUNCTION("""COMPUTED_VALUE"""),"3400")</f>
        <v>3400</v>
      </c>
      <c r="B1041" s="5" t="str">
        <f ca="1">IFERROR(__xludf.DUMMYFUNCTION("""COMPUTED_VALUE"""),"القاهرة")</f>
        <v>القاهرة</v>
      </c>
      <c r="C1041" s="5" t="str">
        <f ca="1">IFERROR(__xludf.DUMMYFUNCTION("""COMPUTED_VALUE"""),"شبرا")</f>
        <v>شبرا</v>
      </c>
      <c r="D1041" s="5" t="str">
        <f ca="1">IFERROR(__xludf.DUMMYFUNCTION("""COMPUTED_VALUE"""),"مستشفى")</f>
        <v>مستشفى</v>
      </c>
      <c r="E1041" s="5" t="str">
        <f ca="1">IFERROR(__xludf.DUMMYFUNCTION("""COMPUTED_VALUE"""),"مستشفي طبي متكامل")</f>
        <v>مستشفي طبي متكامل</v>
      </c>
      <c r="F1041" s="5" t="str">
        <f ca="1">IFERROR(__xludf.DUMMYFUNCTION("""COMPUTED_VALUE"""),"جميع التخصصات الطبية")</f>
        <v>جميع التخصصات الطبية</v>
      </c>
      <c r="G1041" s="5" t="str">
        <f ca="1">IFERROR(__xludf.DUMMYFUNCTION("""COMPUTED_VALUE"""),"مستشفى الراعي الصالح -القاهرة ( فيما عداعيادات الجلدية والنساء والتوليد)")</f>
        <v>مستشفى الراعي الصالح -القاهرة ( فيما عداعيادات الجلدية والنساء والتوليد)</v>
      </c>
      <c r="H1041" s="5" t="str">
        <f ca="1">IFERROR(__xludf.DUMMYFUNCTION("""COMPUTED_VALUE"""),"121شارع شبرا-شبرا-القاهرة")</f>
        <v>121شارع شبرا-شبرا-القاهرة</v>
      </c>
      <c r="I1041" s="6" t="str">
        <f ca="1">IFERROR(__xludf.DUMMYFUNCTION("""COMPUTED_VALUE"""),"20222049254")</f>
        <v>20222049254</v>
      </c>
      <c r="J1041" s="6"/>
      <c r="K1041" s="6" t="str">
        <f ca="1">IFERROR(__xludf.DUMMYFUNCTION("""COMPUTED_VALUE"""),"خصم 20% علي جميع الخدمات، ما عدا الأدويه و المستلزمات و الباكدجات، 10% علي المناظير الجراحيه علي الأسعار النقدي المعلنه.")</f>
        <v>خصم 20% علي جميع الخدمات، ما عدا الأدويه و المستلزمات و الباكدجات، 10% علي المناظير الجراحيه علي الأسعار النقدي المعلنه.</v>
      </c>
    </row>
    <row r="1042" spans="1:11" x14ac:dyDescent="0.25">
      <c r="A1042" s="4" t="str">
        <f ca="1">IFERROR(__xludf.DUMMYFUNCTION("""COMPUTED_VALUE"""),"1934")</f>
        <v>1934</v>
      </c>
      <c r="B1042" s="5" t="str">
        <f ca="1">IFERROR(__xludf.DUMMYFUNCTION("""COMPUTED_VALUE"""),"القاهرة")</f>
        <v>القاهرة</v>
      </c>
      <c r="C1042" s="5" t="str">
        <f ca="1">IFERROR(__xludf.DUMMYFUNCTION("""COMPUTED_VALUE"""),"شبرا")</f>
        <v>شبرا</v>
      </c>
      <c r="D1042" s="5" t="str">
        <f ca="1">IFERROR(__xludf.DUMMYFUNCTION("""COMPUTED_VALUE"""),"مستشفى")</f>
        <v>مستشفى</v>
      </c>
      <c r="E1042" s="5" t="str">
        <f ca="1">IFERROR(__xludf.DUMMYFUNCTION("""COMPUTED_VALUE"""),"مستشفي طبي متكامل")</f>
        <v>مستشفي طبي متكامل</v>
      </c>
      <c r="F1042" s="5" t="str">
        <f ca="1">IFERROR(__xludf.DUMMYFUNCTION("""COMPUTED_VALUE"""),"جميع التخصصات الطبية")</f>
        <v>جميع التخصصات الطبية</v>
      </c>
      <c r="G1042" s="5" t="str">
        <f ca="1">IFERROR(__xludf.DUMMYFUNCTION("""COMPUTED_VALUE"""),"مستشفى الصفوة")</f>
        <v>مستشفى الصفوة</v>
      </c>
      <c r="H1042" s="5" t="str">
        <f ca="1">IFERROR(__xludf.DUMMYFUNCTION("""COMPUTED_VALUE"""),"3شارع منية السيرج- الخلفاوي الساحل- من شارع شبرا-شبرا-القاهرة")</f>
        <v>3شارع منية السيرج- الخلفاوي الساحل- من شارع شبرا-شبرا-القاهرة</v>
      </c>
      <c r="I1042" s="6" t="str">
        <f ca="1">IFERROR(__xludf.DUMMYFUNCTION("""COMPUTED_VALUE"""),"20224304005")</f>
        <v>20224304005</v>
      </c>
      <c r="J1042" s="6"/>
      <c r="K1042" s="6" t="str">
        <f ca="1">IFERROR(__xludf.DUMMYFUNCTION("""COMPUTED_VALUE"""),"up to15%")</f>
        <v>up to15%</v>
      </c>
    </row>
    <row r="1043" spans="1:11" x14ac:dyDescent="0.25">
      <c r="A1043" s="4" t="str">
        <f ca="1">IFERROR(__xludf.DUMMYFUNCTION("""COMPUTED_VALUE"""),"2912")</f>
        <v>2912</v>
      </c>
      <c r="B1043" s="5" t="str">
        <f ca="1">IFERROR(__xludf.DUMMYFUNCTION("""COMPUTED_VALUE"""),"القاهرة")</f>
        <v>القاهرة</v>
      </c>
      <c r="C1043" s="5" t="str">
        <f ca="1">IFERROR(__xludf.DUMMYFUNCTION("""COMPUTED_VALUE"""),"شبرا")</f>
        <v>شبرا</v>
      </c>
      <c r="D1043" s="5" t="str">
        <f ca="1">IFERROR(__xludf.DUMMYFUNCTION("""COMPUTED_VALUE"""),"مستشفى")</f>
        <v>مستشفى</v>
      </c>
      <c r="E1043" s="5" t="str">
        <f ca="1">IFERROR(__xludf.DUMMYFUNCTION("""COMPUTED_VALUE"""),"مستشفي طبي متكامل")</f>
        <v>مستشفي طبي متكامل</v>
      </c>
      <c r="F1043" s="5" t="str">
        <f ca="1">IFERROR(__xludf.DUMMYFUNCTION("""COMPUTED_VALUE"""),"جميع التخصصات الطبية")</f>
        <v>جميع التخصصات الطبية</v>
      </c>
      <c r="G1043" s="5" t="str">
        <f ca="1">IFERROR(__xludf.DUMMYFUNCTION("""COMPUTED_VALUE"""),"مستشفى المركز الدولى الطبى - القاهرة")</f>
        <v>مستشفى المركز الدولى الطبى - القاهرة</v>
      </c>
      <c r="H1043" s="5" t="str">
        <f ca="1">IFERROR(__xludf.DUMMYFUNCTION("""COMPUTED_VALUE"""),"26 ميدان أحمد حلمى – برج جمعية المهندسين موقف أحمد حلمى الجديد - -شبرا-القاهرة")</f>
        <v>26 ميدان أحمد حلمى – برج جمعية المهندسين موقف أحمد حلمى الجديد - -شبرا-القاهرة</v>
      </c>
      <c r="I1043" s="6" t="str">
        <f ca="1">IFERROR(__xludf.DUMMYFUNCTION("""COMPUTED_VALUE"""),"20222336721")</f>
        <v>20222336721</v>
      </c>
      <c r="J1043" s="6"/>
      <c r="K1043" s="6" t="str">
        <f ca="1">IFERROR(__xludf.DUMMYFUNCTION("""COMPUTED_VALUE"""),"10% علي جميع الخدمات")</f>
        <v>10% علي جميع الخدمات</v>
      </c>
    </row>
    <row r="1044" spans="1:11" x14ac:dyDescent="0.25">
      <c r="A1044" s="4" t="str">
        <f ca="1">IFERROR(__xludf.DUMMYFUNCTION("""COMPUTED_VALUE"""),"104447")</f>
        <v>104447</v>
      </c>
      <c r="B1044" s="5" t="str">
        <f ca="1">IFERROR(__xludf.DUMMYFUNCTION("""COMPUTED_VALUE"""),"القليوبية")</f>
        <v>القليوبية</v>
      </c>
      <c r="C1044" s="5" t="str">
        <f ca="1">IFERROR(__xludf.DUMMYFUNCTION("""COMPUTED_VALUE"""),"شبرا الخيمة")</f>
        <v>شبرا الخيمة</v>
      </c>
      <c r="D1044" s="5" t="str">
        <f ca="1">IFERROR(__xludf.DUMMYFUNCTION("""COMPUTED_VALUE"""),"مجمع عيادات")</f>
        <v>مجمع عيادات</v>
      </c>
      <c r="E1044" s="5" t="str">
        <f ca="1">IFERROR(__xludf.DUMMYFUNCTION("""COMPUTED_VALUE"""),"جميع التخصصات")</f>
        <v>جميع التخصصات</v>
      </c>
      <c r="F1044" s="5" t="str">
        <f ca="1">IFERROR(__xludf.DUMMYFUNCTION("""COMPUTED_VALUE"""),"جميع التخصصات الطبية")</f>
        <v>جميع التخصصات الطبية</v>
      </c>
      <c r="G1044" s="5" t="str">
        <f ca="1">IFERROR(__xludf.DUMMYFUNCTION("""COMPUTED_VALUE"""),"المركز الطبي عصفور (اسرتنا)")</f>
        <v>المركز الطبي عصفور (اسرتنا)</v>
      </c>
      <c r="H1044" s="5" t="str">
        <f ca="1">IFERROR(__xludf.DUMMYFUNCTION("""COMPUTED_VALUE"""),"6طريق المصانع شارع 135 خلف المسجد - نهاية كوبرى احمد عرابي - شبرا الخيمة")</f>
        <v>6طريق المصانع شارع 135 خلف المسجد - نهاية كوبرى احمد عرابي - شبرا الخيمة</v>
      </c>
      <c r="I1044" s="6" t="str">
        <f ca="1">IFERROR(__xludf.DUMMYFUNCTION("""COMPUTED_VALUE"""),"20242236557")</f>
        <v>20242236557</v>
      </c>
      <c r="J1044" s="6"/>
      <c r="K1044" s="6" t="str">
        <f ca="1">IFERROR(__xludf.DUMMYFUNCTION("""COMPUTED_VALUE"""),"خصم 30% علي الأسعار النقدي المعلنه")</f>
        <v>خصم 30% علي الأسعار النقدي المعلنه</v>
      </c>
    </row>
    <row r="1045" spans="1:11" x14ac:dyDescent="0.25">
      <c r="A1045" s="4" t="str">
        <f ca="1">IFERROR(__xludf.DUMMYFUNCTION("""COMPUTED_VALUE"""),"2074-B")</f>
        <v>2074-B</v>
      </c>
      <c r="B1045" s="5" t="str">
        <f ca="1">IFERROR(__xludf.DUMMYFUNCTION("""COMPUTED_VALUE"""),"القاهرة")</f>
        <v>القاهرة</v>
      </c>
      <c r="C1045" s="5" t="str">
        <f ca="1">IFERROR(__xludf.DUMMYFUNCTION("""COMPUTED_VALUE"""),"عزبه النخل")</f>
        <v>عزبه النخل</v>
      </c>
      <c r="D1045" s="5" t="str">
        <f ca="1">IFERROR(__xludf.DUMMYFUNCTION("""COMPUTED_VALUE"""),"مجمع عيادات")</f>
        <v>مجمع عيادات</v>
      </c>
      <c r="E1045" s="5" t="str">
        <f ca="1">IFERROR(__xludf.DUMMYFUNCTION("""COMPUTED_VALUE"""),"جميع التخصصات")</f>
        <v>جميع التخصصات</v>
      </c>
      <c r="F1045" s="5" t="str">
        <f ca="1">IFERROR(__xludf.DUMMYFUNCTION("""COMPUTED_VALUE"""),"جميع التخصصات الطبية")</f>
        <v>جميع التخصصات الطبية</v>
      </c>
      <c r="G1045" s="5" t="str">
        <f ca="1">IFERROR(__xludf.DUMMYFUNCTION("""COMPUTED_VALUE"""),"د/ حسام منصور")</f>
        <v>د/ حسام منصور</v>
      </c>
      <c r="H1045" s="5" t="str">
        <f ca="1">IFERROR(__xludf.DUMMYFUNCTION("""COMPUTED_VALUE"""),"ميدان محطة المترو - عزبة النخل الشرقية - القاهرة")</f>
        <v>ميدان محطة المترو - عزبة النخل الشرقية - القاهرة</v>
      </c>
      <c r="I1045" s="6" t="str">
        <f ca="1">IFERROR(__xludf.DUMMYFUNCTION("""COMPUTED_VALUE"""),"201203210010")</f>
        <v>201203210010</v>
      </c>
      <c r="J1045" s="6"/>
      <c r="K1045" s="6" t="str">
        <f ca="1">IFERROR(__xludf.DUMMYFUNCTION("""COMPUTED_VALUE"""),"20% على الكشوفات وباقى الخدمات")</f>
        <v>20% على الكشوفات وباقى الخدمات</v>
      </c>
    </row>
    <row r="1046" spans="1:11" x14ac:dyDescent="0.25">
      <c r="A1046" s="4" t="str">
        <f ca="1">IFERROR(__xludf.DUMMYFUNCTION("""COMPUTED_VALUE"""),"4663")</f>
        <v>4663</v>
      </c>
      <c r="B1046" s="5" t="str">
        <f ca="1">IFERROR(__xludf.DUMMYFUNCTION("""COMPUTED_VALUE"""),"القاهرة")</f>
        <v>القاهرة</v>
      </c>
      <c r="C1046" s="5" t="str">
        <f ca="1">IFERROR(__xludf.DUMMYFUNCTION("""COMPUTED_VALUE"""),"مدينة الشروق")</f>
        <v>مدينة الشروق</v>
      </c>
      <c r="D1046" s="5" t="str">
        <f ca="1">IFERROR(__xludf.DUMMYFUNCTION("""COMPUTED_VALUE"""),"مستشفى")</f>
        <v>مستشفى</v>
      </c>
      <c r="E1046" s="5" t="str">
        <f ca="1">IFERROR(__xludf.DUMMYFUNCTION("""COMPUTED_VALUE"""),"مستشفي طبي متكامل")</f>
        <v>مستشفي طبي متكامل</v>
      </c>
      <c r="F1046" s="5" t="str">
        <f ca="1">IFERROR(__xludf.DUMMYFUNCTION("""COMPUTED_VALUE"""),"جميع التخصصات الطبية")</f>
        <v>جميع التخصصات الطبية</v>
      </c>
      <c r="G1046" s="5" t="str">
        <f ca="1">IFERROR(__xludf.DUMMYFUNCTION("""COMPUTED_VALUE"""),"مستشفى نور الشروق")</f>
        <v>مستشفى نور الشروق</v>
      </c>
      <c r="H1046" s="5" t="str">
        <f ca="1">IFERROR(__xludf.DUMMYFUNCTION("""COMPUTED_VALUE"""),"المدخل الأول من ميدان الحرية - الحى الثامن - المنطقة الخامسة- أمام سنترال الشروق بجوار مكتب البريد-مدينة الشروق-القاهرة")</f>
        <v>المدخل الأول من ميدان الحرية - الحى الثامن - المنطقة الخامسة- أمام سنترال الشروق بجوار مكتب البريد-مدينة الشروق-القاهرة</v>
      </c>
      <c r="I1046" s="6" t="str">
        <f ca="1">IFERROR(__xludf.DUMMYFUNCTION("""COMPUTED_VALUE"""),"20226888857/8/9")</f>
        <v>20226888857/8/9</v>
      </c>
      <c r="J1046" s="6"/>
      <c r="K1046" s="6" t="str">
        <f ca="1">IFERROR(__xludf.DUMMYFUNCTION("""COMPUTED_VALUE"""),"خصم 20%علي الكشف ، 15 % علي الخدمات الداخلي والخارجي ما عدا الادوية والمتلزمات الطبية واتعاب الاطباء
")</f>
        <v xml:space="preserve">خصم 20%علي الكشف ، 15 % علي الخدمات الداخلي والخارجي ما عدا الادوية والمتلزمات الطبية واتعاب الاطباء
</v>
      </c>
    </row>
    <row r="1047" spans="1:11" x14ac:dyDescent="0.25">
      <c r="A1047" s="4" t="str">
        <f ca="1">IFERROR(__xludf.DUMMYFUNCTION("""COMPUTED_VALUE"""),"104242")</f>
        <v>104242</v>
      </c>
      <c r="B1047" s="5" t="str">
        <f ca="1">IFERROR(__xludf.DUMMYFUNCTION("""COMPUTED_VALUE"""),"القليوبية")</f>
        <v>القليوبية</v>
      </c>
      <c r="C1047" s="5" t="str">
        <f ca="1">IFERROR(__xludf.DUMMYFUNCTION("""COMPUTED_VALUE"""),"مدينة العبور")</f>
        <v>مدينة العبور</v>
      </c>
      <c r="D1047" s="5" t="str">
        <f ca="1">IFERROR(__xludf.DUMMYFUNCTION("""COMPUTED_VALUE"""),"مستشفى")</f>
        <v>مستشفى</v>
      </c>
      <c r="E1047" s="5" t="str">
        <f ca="1">IFERROR(__xludf.DUMMYFUNCTION("""COMPUTED_VALUE"""),"مستشفي طبي متكامل")</f>
        <v>مستشفي طبي متكامل</v>
      </c>
      <c r="F1047" s="5" t="str">
        <f ca="1">IFERROR(__xludf.DUMMYFUNCTION("""COMPUTED_VALUE"""),"جميع التخصصات الطبية")</f>
        <v>جميع التخصصات الطبية</v>
      </c>
      <c r="G1047" s="5" t="str">
        <f ca="1">IFERROR(__xludf.DUMMYFUNCTION("""COMPUTED_VALUE"""),"مستشفى فريد حبيب")</f>
        <v>مستشفى فريد حبيب</v>
      </c>
      <c r="H1047" s="5" t="str">
        <f ca="1">IFERROR(__xludf.DUMMYFUNCTION("""COMPUTED_VALUE"""),"مدينة العبور - الحي الخامس - قطعة ( 5 ) بلوك 16081 -القليوبية")</f>
        <v>مدينة العبور - الحي الخامس - قطعة ( 5 ) بلوك 16081 -القليوبية</v>
      </c>
      <c r="I1047" s="6" t="str">
        <f ca="1">IFERROR(__xludf.DUMMYFUNCTION("""COMPUTED_VALUE"""),"0246142000")</f>
        <v>0246142000</v>
      </c>
      <c r="J1047" s="6"/>
      <c r="K1047" s="6" t="str">
        <f ca="1">IFERROR(__xludf.DUMMYFUNCTION("""COMPUTED_VALUE"""),"15% على جميع الخدمات")</f>
        <v>15% على جميع الخدمات</v>
      </c>
    </row>
    <row r="1048" spans="1:11" x14ac:dyDescent="0.25">
      <c r="A1048" s="4" t="str">
        <f ca="1">IFERROR(__xludf.DUMMYFUNCTION("""COMPUTED_VALUE"""),"104389-B")</f>
        <v>104389-B</v>
      </c>
      <c r="B1048" s="5" t="str">
        <f ca="1">IFERROR(__xludf.DUMMYFUNCTION("""COMPUTED_VALUE"""),"القليوبية")</f>
        <v>القليوبية</v>
      </c>
      <c r="C1048" s="5" t="str">
        <f ca="1">IFERROR(__xludf.DUMMYFUNCTION("""COMPUTED_VALUE"""),"مدينة العبور")</f>
        <v>مدينة العبور</v>
      </c>
      <c r="D1048" s="5" t="str">
        <f ca="1">IFERROR(__xludf.DUMMYFUNCTION("""COMPUTED_VALUE"""),"معمل")</f>
        <v>معمل</v>
      </c>
      <c r="E1048" s="5" t="str">
        <f ca="1">IFERROR(__xludf.DUMMYFUNCTION("""COMPUTED_VALUE"""),"معمل")</f>
        <v>معمل</v>
      </c>
      <c r="F1048" s="5" t="str">
        <f ca="1">IFERROR(__xludf.DUMMYFUNCTION("""COMPUTED_VALUE"""),"معمل التحاليل الطبية")</f>
        <v>معمل التحاليل الطبية</v>
      </c>
      <c r="G1048" s="5" t="str">
        <f ca="1">IFERROR(__xludf.DUMMYFUNCTION("""COMPUTED_VALUE"""),"معامل سبيد للتحاليل الطبية")</f>
        <v>معامل سبيد للتحاليل الطبية</v>
      </c>
      <c r="H1048" s="5" t="str">
        <f ca="1">IFERROR(__xludf.DUMMYFUNCTION("""COMPUTED_VALUE"""),"سنتر لؤلؤة العبور - الدور الثاني شقة 9 - الحي الاول - مدينة العبور -القليوبية")</f>
        <v>سنتر لؤلؤة العبور - الدور الثاني شقة 9 - الحي الاول - مدينة العبور -القليوبية</v>
      </c>
      <c r="I1048" s="6" t="str">
        <f ca="1">IFERROR(__xludf.DUMMYFUNCTION("""COMPUTED_VALUE"""),"20226909060")</f>
        <v>20226909060</v>
      </c>
      <c r="J1048" s="6" t="str">
        <f ca="1">IFERROR(__xludf.DUMMYFUNCTION("""COMPUTED_VALUE"""),"19358")</f>
        <v>19358</v>
      </c>
      <c r="K1048" s="6" t="str">
        <f ca="1">IFERROR(__xludf.DUMMYFUNCTION("""COMPUTED_VALUE"""),"خصم 30% علي جميع الخدمات علي الاسعار النقدي")</f>
        <v>خصم 30% علي جميع الخدمات علي الاسعار النقدي</v>
      </c>
    </row>
    <row r="1049" spans="1:11" x14ac:dyDescent="0.25">
      <c r="A1049" s="4" t="str">
        <f ca="1">IFERROR(__xludf.DUMMYFUNCTION("""COMPUTED_VALUE"""),"2074-B")</f>
        <v>2074-B</v>
      </c>
      <c r="B1049" s="5" t="str">
        <f ca="1">IFERROR(__xludf.DUMMYFUNCTION("""COMPUTED_VALUE"""),"القاهرة")</f>
        <v>القاهرة</v>
      </c>
      <c r="C1049" s="5" t="str">
        <f ca="1">IFERROR(__xludf.DUMMYFUNCTION("""COMPUTED_VALUE"""),"مدينة نصر")</f>
        <v>مدينة نصر</v>
      </c>
      <c r="D1049" s="5" t="str">
        <f ca="1">IFERROR(__xludf.DUMMYFUNCTION("""COMPUTED_VALUE"""),"مجمع عيادات")</f>
        <v>مجمع عيادات</v>
      </c>
      <c r="E1049" s="5" t="str">
        <f ca="1">IFERROR(__xludf.DUMMYFUNCTION("""COMPUTED_VALUE"""),"جميع التخصصات")</f>
        <v>جميع التخصصات</v>
      </c>
      <c r="F1049" s="5" t="str">
        <f ca="1">IFERROR(__xludf.DUMMYFUNCTION("""COMPUTED_VALUE"""),"جميع التخصصات الطبية")</f>
        <v>جميع التخصصات الطبية</v>
      </c>
      <c r="G1049" s="5" t="str">
        <f ca="1">IFERROR(__xludf.DUMMYFUNCTION("""COMPUTED_VALUE"""),"د/ حسام منصور")</f>
        <v>د/ حسام منصور</v>
      </c>
      <c r="H1049" s="5" t="str">
        <f ca="1">IFERROR(__xludf.DUMMYFUNCTION("""COMPUTED_VALUE"""),"ميدان انبي - اخر شارع عباس العقاد - امام شركة انبي للبترول-مدينة نصر-القاهرة")</f>
        <v>ميدان انبي - اخر شارع عباس العقاد - امام شركة انبي للبترول-مدينة نصر-القاهرة</v>
      </c>
      <c r="I1049" s="6" t="str">
        <f ca="1">IFERROR(__xludf.DUMMYFUNCTION("""COMPUTED_VALUE"""),"20222756032")</f>
        <v>20222756032</v>
      </c>
      <c r="J1049" s="6"/>
      <c r="K1049" s="6" t="str">
        <f ca="1">IFERROR(__xludf.DUMMYFUNCTION("""COMPUTED_VALUE"""),"20% على الكشوفات وباقى الخدمات")</f>
        <v>20% على الكشوفات وباقى الخدمات</v>
      </c>
    </row>
    <row r="1050" spans="1:11" x14ac:dyDescent="0.25">
      <c r="A1050" s="4" t="str">
        <f ca="1">IFERROR(__xludf.DUMMYFUNCTION("""COMPUTED_VALUE"""),"2886")</f>
        <v>2886</v>
      </c>
      <c r="B1050" s="5" t="str">
        <f ca="1">IFERROR(__xludf.DUMMYFUNCTION("""COMPUTED_VALUE"""),"القاهرة")</f>
        <v>القاهرة</v>
      </c>
      <c r="C1050" s="5" t="str">
        <f ca="1">IFERROR(__xludf.DUMMYFUNCTION("""COMPUTED_VALUE"""),"مدينة نصر")</f>
        <v>مدينة نصر</v>
      </c>
      <c r="D1050" s="5" t="str">
        <f ca="1">IFERROR(__xludf.DUMMYFUNCTION("""COMPUTED_VALUE"""),"مستشفى")</f>
        <v>مستشفى</v>
      </c>
      <c r="E1050" s="5" t="str">
        <f ca="1">IFERROR(__xludf.DUMMYFUNCTION("""COMPUTED_VALUE"""),"مستشفي طبي متكامل")</f>
        <v>مستشفي طبي متكامل</v>
      </c>
      <c r="F1050" s="5" t="str">
        <f ca="1">IFERROR(__xludf.DUMMYFUNCTION("""COMPUTED_VALUE"""),"جميع التخصصات الطبية")</f>
        <v>جميع التخصصات الطبية</v>
      </c>
      <c r="G1050" s="5" t="str">
        <f ca="1">IFERROR(__xludf.DUMMYFUNCTION("""COMPUTED_VALUE"""),"المركز الطبي للمقاولون العرب")</f>
        <v>المركز الطبي للمقاولون العرب</v>
      </c>
      <c r="H1050" s="5" t="str">
        <f ca="1">IFERROR(__xludf.DUMMYFUNCTION("""COMPUTED_VALUE"""),"الجبل الأخضر -مدينة نصر-القاهرة")</f>
        <v>الجبل الأخضر -مدينة نصر-القاهرة</v>
      </c>
      <c r="I1050" s="6" t="str">
        <f ca="1">IFERROR(__xludf.DUMMYFUNCTION("""COMPUTED_VALUE"""),"20223426000")</f>
        <v>20223426000</v>
      </c>
      <c r="J1050" s="6" t="str">
        <f ca="1">IFERROR(__xludf.DUMMYFUNCTION("""COMPUTED_VALUE"""),"19660")</f>
        <v>19660</v>
      </c>
      <c r="K1050" s="6" t="str">
        <f ca="1">IFERROR(__xludf.DUMMYFUNCTION("""COMPUTED_VALUE"""),"الخصم المتفق عليه")</f>
        <v>الخصم المتفق عليه</v>
      </c>
    </row>
    <row r="1051" spans="1:11" x14ac:dyDescent="0.25">
      <c r="A1051" s="4" t="str">
        <f ca="1">IFERROR(__xludf.DUMMYFUNCTION("""COMPUTED_VALUE"""),"2648")</f>
        <v>2648</v>
      </c>
      <c r="B1051" s="5" t="str">
        <f ca="1">IFERROR(__xludf.DUMMYFUNCTION("""COMPUTED_VALUE"""),"القاهرة")</f>
        <v>القاهرة</v>
      </c>
      <c r="C1051" s="5" t="str">
        <f ca="1">IFERROR(__xludf.DUMMYFUNCTION("""COMPUTED_VALUE"""),"مدينة نصر")</f>
        <v>مدينة نصر</v>
      </c>
      <c r="D1051" s="5" t="str">
        <f ca="1">IFERROR(__xludf.DUMMYFUNCTION("""COMPUTED_VALUE"""),"مستشفى")</f>
        <v>مستشفى</v>
      </c>
      <c r="E1051" s="5" t="str">
        <f ca="1">IFERROR(__xludf.DUMMYFUNCTION("""COMPUTED_VALUE"""),"مستشفي طبي متكامل")</f>
        <v>مستشفي طبي متكامل</v>
      </c>
      <c r="F1051" s="5" t="str">
        <f ca="1">IFERROR(__xludf.DUMMYFUNCTION("""COMPUTED_VALUE"""),"جميع التخصصات الطبية")</f>
        <v>جميع التخصصات الطبية</v>
      </c>
      <c r="G1051" s="5" t="str">
        <f ca="1">IFERROR(__xludf.DUMMYFUNCTION("""COMPUTED_VALUE"""),"مستشفى دار الحكمة")</f>
        <v>مستشفى دار الحكمة</v>
      </c>
      <c r="H1051" s="5" t="str">
        <f ca="1">IFERROR(__xludf.DUMMYFUNCTION("""COMPUTED_VALUE"""),"10 شارع محمد حسنين هيكل متفرع من ش عباس العقاد خلف الجامعة العمالية -مدينة نصر-القاهرة")</f>
        <v>10 شارع محمد حسنين هيكل متفرع من ش عباس العقاد خلف الجامعة العمالية -مدينة نصر-القاهرة</v>
      </c>
      <c r="I1051" s="6" t="str">
        <f ca="1">IFERROR(__xludf.DUMMYFUNCTION("""COMPUTED_VALUE"""),"01066640201")</f>
        <v>01066640201</v>
      </c>
      <c r="J1051" s="6"/>
      <c r="K1051" s="6" t="str">
        <f ca="1">IFERROR(__xludf.DUMMYFUNCTION("""COMPUTED_VALUE"""),"20%على جميع الخدمات")</f>
        <v>20%على جميع الخدمات</v>
      </c>
    </row>
    <row r="1052" spans="1:11" x14ac:dyDescent="0.25">
      <c r="A1052" s="4" t="str">
        <f ca="1">IFERROR(__xludf.DUMMYFUNCTION("""COMPUTED_VALUE"""),"104389-B")</f>
        <v>104389-B</v>
      </c>
      <c r="B1052" s="5" t="str">
        <f ca="1">IFERROR(__xludf.DUMMYFUNCTION("""COMPUTED_VALUE"""),"القاهرة")</f>
        <v>القاهرة</v>
      </c>
      <c r="C1052" s="5" t="str">
        <f ca="1">IFERROR(__xludf.DUMMYFUNCTION("""COMPUTED_VALUE"""),"مدينة نصر")</f>
        <v>مدينة نصر</v>
      </c>
      <c r="D1052" s="5" t="str">
        <f ca="1">IFERROR(__xludf.DUMMYFUNCTION("""COMPUTED_VALUE"""),"معمل")</f>
        <v>معمل</v>
      </c>
      <c r="E1052" s="5" t="str">
        <f ca="1">IFERROR(__xludf.DUMMYFUNCTION("""COMPUTED_VALUE"""),"معمل")</f>
        <v>معمل</v>
      </c>
      <c r="F1052" s="5" t="str">
        <f ca="1">IFERROR(__xludf.DUMMYFUNCTION("""COMPUTED_VALUE"""),"معمل التحاليل الطبية")</f>
        <v>معمل التحاليل الطبية</v>
      </c>
      <c r="G1052" s="5" t="str">
        <f ca="1">IFERROR(__xludf.DUMMYFUNCTION("""COMPUTED_VALUE"""),"معامل سبيد للتحاليل الطبية")</f>
        <v>معامل سبيد للتحاليل الطبية</v>
      </c>
      <c r="H1052" s="5" t="str">
        <f ca="1">IFERROR(__xludf.DUMMYFUNCTION("""COMPUTED_VALUE"""),"6 شارع الدكتور محمد عوض - الدور الارضي - أول مكرم عبيد")</f>
        <v>6 شارع الدكتور محمد عوض - الدور الارضي - أول مكرم عبيد</v>
      </c>
      <c r="I1052" s="6" t="str">
        <f ca="1">IFERROR(__xludf.DUMMYFUNCTION("""COMPUTED_VALUE"""),"20226909060")</f>
        <v>20226909060</v>
      </c>
      <c r="J1052" s="6" t="str">
        <f ca="1">IFERROR(__xludf.DUMMYFUNCTION("""COMPUTED_VALUE"""),"19358")</f>
        <v>19358</v>
      </c>
      <c r="K1052" s="6" t="str">
        <f ca="1">IFERROR(__xludf.DUMMYFUNCTION("""COMPUTED_VALUE"""),"خصم 30% علي جميع الخدمات علي الاسعار النقدي")</f>
        <v>خصم 30% علي جميع الخدمات علي الاسعار النقدي</v>
      </c>
    </row>
    <row r="1053" spans="1:11" x14ac:dyDescent="0.25">
      <c r="A1053" s="4" t="str">
        <f ca="1">IFERROR(__xludf.DUMMYFUNCTION("""COMPUTED_VALUE"""),"2074-B")</f>
        <v>2074-B</v>
      </c>
      <c r="B1053" s="5" t="str">
        <f ca="1">IFERROR(__xludf.DUMMYFUNCTION("""COMPUTED_VALUE"""),"القاهرة")</f>
        <v>القاهرة</v>
      </c>
      <c r="C1053" s="5" t="str">
        <f ca="1">IFERROR(__xludf.DUMMYFUNCTION("""COMPUTED_VALUE"""),"مصر الجديدة")</f>
        <v>مصر الجديدة</v>
      </c>
      <c r="D1053" s="5" t="str">
        <f ca="1">IFERROR(__xludf.DUMMYFUNCTION("""COMPUTED_VALUE"""),"مجمع عيادات")</f>
        <v>مجمع عيادات</v>
      </c>
      <c r="E1053" s="5" t="str">
        <f ca="1">IFERROR(__xludf.DUMMYFUNCTION("""COMPUTED_VALUE"""),"جميع التخصصات")</f>
        <v>جميع التخصصات</v>
      </c>
      <c r="F1053" s="5" t="str">
        <f ca="1">IFERROR(__xludf.DUMMYFUNCTION("""COMPUTED_VALUE"""),"جميع التخصصات الطبية")</f>
        <v>جميع التخصصات الطبية</v>
      </c>
      <c r="G1053" s="5" t="str">
        <f ca="1">IFERROR(__xludf.DUMMYFUNCTION("""COMPUTED_VALUE"""),"د/ حسام منصور")</f>
        <v>د/ حسام منصور</v>
      </c>
      <c r="H1053" s="5" t="str">
        <f ca="1">IFERROR(__xludf.DUMMYFUNCTION("""COMPUTED_VALUE"""),"38ش الأهرام - روكسي - الكوربا - مصر الجديدة - القاهرة")</f>
        <v>38ش الأهرام - روكسي - الكوربا - مصر الجديدة - القاهرة</v>
      </c>
      <c r="I1053" s="6" t="str">
        <f ca="1">IFERROR(__xludf.DUMMYFUNCTION("""COMPUTED_VALUE"""),"201203210060")</f>
        <v>201203210060</v>
      </c>
      <c r="J1053" s="6"/>
      <c r="K1053" s="6" t="str">
        <f ca="1">IFERROR(__xludf.DUMMYFUNCTION("""COMPUTED_VALUE"""),"20% على الكشوفات وباقى الخدمات")</f>
        <v>20% على الكشوفات وباقى الخدمات</v>
      </c>
    </row>
    <row r="1054" spans="1:11" x14ac:dyDescent="0.25">
      <c r="A1054" s="4" t="str">
        <f ca="1">IFERROR(__xludf.DUMMYFUNCTION("""COMPUTED_VALUE"""),"104427")</f>
        <v>104427</v>
      </c>
      <c r="B1054" s="5" t="str">
        <f ca="1">IFERROR(__xludf.DUMMYFUNCTION("""COMPUTED_VALUE"""),"القاهرة")</f>
        <v>القاهرة</v>
      </c>
      <c r="C1054" s="5" t="str">
        <f ca="1">IFERROR(__xludf.DUMMYFUNCTION("""COMPUTED_VALUE"""),"مصر الجديدة")</f>
        <v>مصر الجديدة</v>
      </c>
      <c r="D1054" s="5" t="str">
        <f ca="1">IFERROR(__xludf.DUMMYFUNCTION("""COMPUTED_VALUE"""),"مجمع عيادات")</f>
        <v>مجمع عيادات</v>
      </c>
      <c r="E1054" s="5" t="str">
        <f ca="1">IFERROR(__xludf.DUMMYFUNCTION("""COMPUTED_VALUE"""),"جميع التخصصات")</f>
        <v>جميع التخصصات</v>
      </c>
      <c r="F1054" s="5" t="str">
        <f ca="1">IFERROR(__xludf.DUMMYFUNCTION("""COMPUTED_VALUE"""),"جميع التخصصات الطبية")</f>
        <v>جميع التخصصات الطبية</v>
      </c>
      <c r="G1054" s="5" t="str">
        <f ca="1">IFERROR(__xludf.DUMMYFUNCTION("""COMPUTED_VALUE"""),"عيادات صحة")</f>
        <v>عيادات صحة</v>
      </c>
      <c r="H1054" s="5" t="str">
        <f ca="1">IFERROR(__xludf.DUMMYFUNCTION("""COMPUTED_VALUE"""),"6ش النزهة - بجوار الرقابة الإدارية -أرض الجولف - مصر الجديدة")</f>
        <v>6ش النزهة - بجوار الرقابة الإدارية -أرض الجولف - مصر الجديدة</v>
      </c>
      <c r="I1054" s="6" t="str">
        <f ca="1">IFERROR(__xludf.DUMMYFUNCTION("""COMPUTED_VALUE"""),"20224141820")</f>
        <v>20224141820</v>
      </c>
      <c r="J1054" s="6"/>
      <c r="K1054" s="6" t="str">
        <f ca="1">IFERROR(__xludf.DUMMYFUNCTION("""COMPUTED_VALUE"""),"15% علي الأسعار النقدي المعلنة")</f>
        <v>15% علي الأسعار النقدي المعلنة</v>
      </c>
    </row>
    <row r="1055" spans="1:11" x14ac:dyDescent="0.25">
      <c r="A1055" s="4" t="str">
        <f ca="1">IFERROR(__xludf.DUMMYFUNCTION("""COMPUTED_VALUE"""),"2663")</f>
        <v>2663</v>
      </c>
      <c r="B1055" s="5" t="str">
        <f ca="1">IFERROR(__xludf.DUMMYFUNCTION("""COMPUTED_VALUE"""),"القاهرة")</f>
        <v>القاهرة</v>
      </c>
      <c r="C1055" s="5" t="str">
        <f ca="1">IFERROR(__xludf.DUMMYFUNCTION("""COMPUTED_VALUE"""),"مصر الجديدة")</f>
        <v>مصر الجديدة</v>
      </c>
      <c r="D1055" s="5" t="str">
        <f ca="1">IFERROR(__xludf.DUMMYFUNCTION("""COMPUTED_VALUE"""),"مستشفى")</f>
        <v>مستشفى</v>
      </c>
      <c r="E1055" s="5" t="str">
        <f ca="1">IFERROR(__xludf.DUMMYFUNCTION("""COMPUTED_VALUE"""),"مستشفي طبي متكامل")</f>
        <v>مستشفي طبي متكامل</v>
      </c>
      <c r="F1055" s="5" t="str">
        <f ca="1">IFERROR(__xludf.DUMMYFUNCTION("""COMPUTED_VALUE"""),"جميع التخصصات الطبية")</f>
        <v>جميع التخصصات الطبية</v>
      </c>
      <c r="G1055" s="5" t="str">
        <f ca="1">IFERROR(__xludf.DUMMYFUNCTION("""COMPUTED_VALUE"""),"مستشفى الجنزوري")</f>
        <v>مستشفى الجنزوري</v>
      </c>
      <c r="H1055" s="5" t="str">
        <f ca="1">IFERROR(__xludf.DUMMYFUNCTION("""COMPUTED_VALUE"""),"63شارع طومانباي ميدان قصر الطاهرة، روكسي-مصر الجديدة-القاهرة")</f>
        <v>63شارع طومانباي ميدان قصر الطاهرة، روكسي-مصر الجديدة-القاهرة</v>
      </c>
      <c r="I1055" s="6" t="str">
        <f ca="1">IFERROR(__xludf.DUMMYFUNCTION("""COMPUTED_VALUE"""),"20222591998")</f>
        <v>20222591998</v>
      </c>
      <c r="J1055" s="6"/>
      <c r="K1055" s="6" t="str">
        <f ca="1">IFERROR(__xludf.DUMMYFUNCTION("""COMPUTED_VALUE"""),"15%على الخارجي ,10% على الداخلى")</f>
        <v>15%على الخارجي ,10% على الداخلى</v>
      </c>
    </row>
    <row r="1056" spans="1:11" x14ac:dyDescent="0.25">
      <c r="A1056" s="4" t="str">
        <f ca="1">IFERROR(__xludf.DUMMYFUNCTION("""COMPUTED_VALUE"""),"104195")</f>
        <v>104195</v>
      </c>
      <c r="B1056" s="5" t="str">
        <f ca="1">IFERROR(__xludf.DUMMYFUNCTION("""COMPUTED_VALUE"""),"القاهرة")</f>
        <v>القاهرة</v>
      </c>
      <c r="C1056" s="5" t="str">
        <f ca="1">IFERROR(__xludf.DUMMYFUNCTION("""COMPUTED_VALUE"""),"مصر الجديدة")</f>
        <v>مصر الجديدة</v>
      </c>
      <c r="D1056" s="5" t="str">
        <f ca="1">IFERROR(__xludf.DUMMYFUNCTION("""COMPUTED_VALUE"""),"مستشفى")</f>
        <v>مستشفى</v>
      </c>
      <c r="E1056" s="5" t="str">
        <f ca="1">IFERROR(__xludf.DUMMYFUNCTION("""COMPUTED_VALUE"""),"مستشفي طبي متكامل")</f>
        <v>مستشفي طبي متكامل</v>
      </c>
      <c r="F1056" s="5" t="str">
        <f ca="1">IFERROR(__xludf.DUMMYFUNCTION("""COMPUTED_VALUE"""),"جميع التخصصات الطبية")</f>
        <v>جميع التخصصات الطبية</v>
      </c>
      <c r="G1056" s="5" t="str">
        <f ca="1">IFERROR(__xludf.DUMMYFUNCTION("""COMPUTED_VALUE"""),"مستشفى الدكتور عبد القادر فهمي")</f>
        <v>مستشفى الدكتور عبد القادر فهمي</v>
      </c>
      <c r="H1056" s="5" t="str">
        <f ca="1">IFERROR(__xludf.DUMMYFUNCTION("""COMPUTED_VALUE"""),"23 شارع الدكتور حسن أفلاطون - أرض الجولف - مصر الجديدة - القاهرة .")</f>
        <v>23 شارع الدكتور حسن أفلاطون - أرض الجولف - مصر الجديدة - القاهرة .</v>
      </c>
      <c r="I1056" s="6" t="str">
        <f ca="1">IFERROR(__xludf.DUMMYFUNCTION("""COMPUTED_VALUE"""),"20222918700")</f>
        <v>20222918700</v>
      </c>
      <c r="J1056" s="6"/>
      <c r="K1056" s="6" t="str">
        <f ca="1">IFERROR(__xludf.DUMMYFUNCTION("""COMPUTED_VALUE"""),"35% على الكشوفات ,20% على الباكدجات ,25% على الاشعة والتحاليل")</f>
        <v>35% على الكشوفات ,20% على الباكدجات ,25% على الاشعة والتحاليل</v>
      </c>
    </row>
    <row r="1057" spans="1:11" x14ac:dyDescent="0.25">
      <c r="A1057" s="4" t="str">
        <f ca="1">IFERROR(__xludf.DUMMYFUNCTION("""COMPUTED_VALUE"""),"104244")</f>
        <v>104244</v>
      </c>
      <c r="B1057" s="5" t="str">
        <f ca="1">IFERROR(__xludf.DUMMYFUNCTION("""COMPUTED_VALUE"""),"القاهرة")</f>
        <v>القاهرة</v>
      </c>
      <c r="C1057" s="5" t="str">
        <f ca="1">IFERROR(__xludf.DUMMYFUNCTION("""COMPUTED_VALUE"""),"مصر الجديدة")</f>
        <v>مصر الجديدة</v>
      </c>
      <c r="D1057" s="5" t="str">
        <f ca="1">IFERROR(__xludf.DUMMYFUNCTION("""COMPUTED_VALUE"""),"مستشفى")</f>
        <v>مستشفى</v>
      </c>
      <c r="E1057" s="5" t="str">
        <f ca="1">IFERROR(__xludf.DUMMYFUNCTION("""COMPUTED_VALUE"""),"مستشفي طبي متكامل")</f>
        <v>مستشفي طبي متكامل</v>
      </c>
      <c r="F1057" s="5" t="str">
        <f ca="1">IFERROR(__xludf.DUMMYFUNCTION("""COMPUTED_VALUE"""),"جميع التخصصات الطبية")</f>
        <v>جميع التخصصات الطبية</v>
      </c>
      <c r="G1057" s="5" t="str">
        <f ca="1">IFERROR(__xludf.DUMMYFUNCTION("""COMPUTED_VALUE"""),"مستشفى السعودي الإلماني - القاهرة")</f>
        <v>مستشفى السعودي الإلماني - القاهرة</v>
      </c>
      <c r="H1057" s="5" t="str">
        <f ca="1">IFERROR(__xludf.DUMMYFUNCTION("""COMPUTED_VALUE"""),"47 شارع جوزيف تيتو تقاطع محور طه حسين - النزهة الجديدة - القاهرة .")</f>
        <v>47 شارع جوزيف تيتو تقاطع محور طه حسين - النزهة الجديدة - القاهرة .</v>
      </c>
      <c r="I1057" s="6" t="str">
        <f ca="1">IFERROR(__xludf.DUMMYFUNCTION("""COMPUTED_VALUE"""),"20226252400")</f>
        <v>20226252400</v>
      </c>
      <c r="J1057" s="6" t="str">
        <f ca="1">IFERROR(__xludf.DUMMYFUNCTION("""COMPUTED_VALUE"""),"16259")</f>
        <v>16259</v>
      </c>
      <c r="K1057" s="6" t="str">
        <f ca="1">IFERROR(__xludf.DUMMYFUNCTION("""COMPUTED_VALUE"""),"خصم 20% علي خدمات الاشعه و التحاليل بالقسم الخارجي فيما عدا الاشعه التداخلية. خصم 25% علي الاجراء الجراحي (الجراح و المساعدين) و كشف الطوارئ و خدمات الاشعه و التحاليل بالقسم الداخلي فيما عدا الاشعه التداخلية. خصم 30% علي الاقامات. خصم 20% علي المستلزمات ا"&amp;"لنمطية. خصم 22% علي خدمات العلاج الطبيعي. خصم 55% علي كشف الاستشاري و الاخصائي بالعيادة الخارجية.")</f>
        <v>خصم 20% علي خدمات الاشعه و التحاليل بالقسم الخارجي فيما عدا الاشعه التداخلية. خصم 25% علي الاجراء الجراحي (الجراح و المساعدين) و كشف الطوارئ و خدمات الاشعه و التحاليل بالقسم الداخلي فيما عدا الاشعه التداخلية. خصم 30% علي الاقامات. خصم 20% علي المستلزمات النمطية. خصم 22% علي خدمات العلاج الطبيعي. خصم 55% علي كشف الاستشاري و الاخصائي بالعيادة الخارجية.</v>
      </c>
    </row>
    <row r="1058" spans="1:11" x14ac:dyDescent="0.25">
      <c r="A1058" s="4" t="str">
        <f ca="1">IFERROR(__xludf.DUMMYFUNCTION("""COMPUTED_VALUE"""),"2575")</f>
        <v>2575</v>
      </c>
      <c r="B1058" s="5" t="str">
        <f ca="1">IFERROR(__xludf.DUMMYFUNCTION("""COMPUTED_VALUE"""),"القاهرة")</f>
        <v>القاهرة</v>
      </c>
      <c r="C1058" s="5" t="str">
        <f ca="1">IFERROR(__xludf.DUMMYFUNCTION("""COMPUTED_VALUE"""),"مصر الجديدة")</f>
        <v>مصر الجديدة</v>
      </c>
      <c r="D1058" s="5" t="str">
        <f ca="1">IFERROR(__xludf.DUMMYFUNCTION("""COMPUTED_VALUE"""),"مستشفى")</f>
        <v>مستشفى</v>
      </c>
      <c r="E1058" s="5" t="str">
        <f ca="1">IFERROR(__xludf.DUMMYFUNCTION("""COMPUTED_VALUE"""),"مستشفي طبي متكامل")</f>
        <v>مستشفي طبي متكامل</v>
      </c>
      <c r="F1058" s="5" t="str">
        <f ca="1">IFERROR(__xludf.DUMMYFUNCTION("""COMPUTED_VALUE"""),"جميع التخصصات الطبية")</f>
        <v>جميع التخصصات الطبية</v>
      </c>
      <c r="G1058" s="5" t="str">
        <f ca="1">IFERROR(__xludf.DUMMYFUNCTION("""COMPUTED_VALUE"""),"مستشفى القاهرة التخصصي")</f>
        <v>مستشفى القاهرة التخصصي</v>
      </c>
      <c r="H1058" s="5" t="str">
        <f ca="1">IFERROR(__xludf.DUMMYFUNCTION("""COMPUTED_VALUE"""),"4 شارع أبو عبيده البكري -  روكسى -  مصر الجديدة  -مصر الجديدة-القاهرة")</f>
        <v>4 شارع أبو عبيده البكري -  روكسى -  مصر الجديدة  -مصر الجديدة-القاهرة</v>
      </c>
      <c r="I1058" s="6" t="str">
        <f ca="1">IFERROR(__xludf.DUMMYFUNCTION("""COMPUTED_VALUE"""),"20224509800")</f>
        <v>20224509800</v>
      </c>
      <c r="J1058" s="6"/>
      <c r="K1058" s="6" t="str">
        <f ca="1">IFERROR(__xludf.DUMMYFUNCTION("""COMPUTED_VALUE"""),"خصم 30% علي خدمات المعمل و الاشعة بالقسم الخارجي و خدمات العيادات الخارجية والطوارئ و اتعاب الاطباء و الاقامات و القسم الداخلي، خصم 25% علي العلاج الطبيعي،  لا يتم تطبيق نسبة الخصم علي الادوية و لبمستلزمات ، الاجهزة الطبيه و الغازات ، وحده الكلي الصناعي، "&amp;"وحده العلاج الاشعاعي - الاتفقيات الشاملة ، المناظير، الدمغه و القسطرة المخية و القلبية ، خدمات بنك الدم ، معمل الانسجه، الاسعاف، و الخدمات التي تؤدي خارج المستشفي ، 15% خدمه)")</f>
        <v>خصم 30% علي خدمات المعمل و الاشعة بالقسم الخارجي و خدمات العيادات الخارجية والطوارئ و اتعاب الاطباء و الاقامات و القسم الداخلي، خصم 25% علي العلاج الطبيعي،  لا يتم تطبيق نسبة الخصم علي الادوية و لبمستلزمات ، الاجهزة الطبيه و الغازات ، وحده الكلي الصناعي، وحده العلاج الاشعاعي - الاتفقيات الشاملة ، المناظير، الدمغه و القسطرة المخية و القلبية ، خدمات بنك الدم ، معمل الانسجه، الاسعاف، و الخدمات التي تؤدي خارج المستشفي ، 15% خدمه)</v>
      </c>
    </row>
    <row r="1059" spans="1:11" x14ac:dyDescent="0.25">
      <c r="A1059" s="4" t="str">
        <f ca="1">IFERROR(__xludf.DUMMYFUNCTION("""COMPUTED_VALUE"""),"2771")</f>
        <v>2771</v>
      </c>
      <c r="B1059" s="5" t="str">
        <f ca="1">IFERROR(__xludf.DUMMYFUNCTION("""COMPUTED_VALUE"""),"القاهرة")</f>
        <v>القاهرة</v>
      </c>
      <c r="C1059" s="5" t="str">
        <f ca="1">IFERROR(__xludf.DUMMYFUNCTION("""COMPUTED_VALUE"""),"مصر الجديدة")</f>
        <v>مصر الجديدة</v>
      </c>
      <c r="D1059" s="5" t="str">
        <f ca="1">IFERROR(__xludf.DUMMYFUNCTION("""COMPUTED_VALUE"""),"مستشفى")</f>
        <v>مستشفى</v>
      </c>
      <c r="E1059" s="5" t="str">
        <f ca="1">IFERROR(__xludf.DUMMYFUNCTION("""COMPUTED_VALUE"""),"مستشفي طبي متكامل")</f>
        <v>مستشفي طبي متكامل</v>
      </c>
      <c r="F1059" s="5" t="str">
        <f ca="1">IFERROR(__xludf.DUMMYFUNCTION("""COMPUTED_VALUE"""),"جميع التخصصات الطبية")</f>
        <v>جميع التخصصات الطبية</v>
      </c>
      <c r="G1059" s="5" t="str">
        <f ca="1">IFERROR(__xludf.DUMMYFUNCTION("""COMPUTED_VALUE"""),"مستشفى كليوباترا")</f>
        <v>مستشفى كليوباترا</v>
      </c>
      <c r="H1059" s="5" t="str">
        <f ca="1">IFERROR(__xludf.DUMMYFUNCTION("""COMPUTED_VALUE"""),"39 شارع كليوباترا - ميدان صلاح الدين -  مصر الجديدة -مصر الجديدة-القاهرة")</f>
        <v>39 شارع كليوباترا - ميدان صلاح الدين -  مصر الجديدة -مصر الجديدة-القاهرة</v>
      </c>
      <c r="I1059" s="6" t="str">
        <f ca="1">IFERROR(__xludf.DUMMYFUNCTION("""COMPUTED_VALUE"""),"20224143931")</f>
        <v>20224143931</v>
      </c>
      <c r="J1059" s="6"/>
      <c r="K1059" s="6" t="str">
        <f ca="1">IFERROR(__xludf.DUMMYFUNCTION("""COMPUTED_VALUE"""),"10% على العيادات و القسم الداخلي ,20% على خدمات الأشعة والتحاليل بالقسم الخارجي فقط و تطبيق نسبه خصم 15% علي العلاج الطبيعي و اتعاب الاطباء، لا يتم تطبيق نسبة الخصم علي الادوية و المستلزمات ، الاجهزة الطبيه و الغازات ، وحده الكلي الصناعي، وحده العلاج الاش"&amp;"عاعي - الاتفقيات الشاملة ، المناظير، الدمغه و القسطرة المخية و القلبية ، خدمات بنك الدم ، معمل الانسجه، الاسعاف، و الخدمات التي تؤدي خارج المستشفي ، 15% خدمه)")</f>
        <v>10% على العيادات و القسم الداخلي ,20% على خدمات الأشعة والتحاليل بالقسم الخارجي فقط و تطبيق نسبه خصم 15% علي العلاج الطبيعي و اتعاب الاطباء، لا يتم تطبيق نسبة الخصم علي الادوية و المستلزمات ، الاجهزة الطبيه و الغازات ، وحده الكلي الصناعي، وحده العلاج الاشعاعي - الاتفقيات الشاملة ، المناظير، الدمغه و القسطرة المخية و القلبية ، خدمات بنك الدم ، معمل الانسجه، الاسعاف، و الخدمات التي تؤدي خارج المستشفي ، 15% خدمه)</v>
      </c>
    </row>
    <row r="1060" spans="1:11" x14ac:dyDescent="0.25">
      <c r="A1060" s="4" t="str">
        <f ca="1">IFERROR(__xludf.DUMMYFUNCTION("""COMPUTED_VALUE"""),"104389")</f>
        <v>104389</v>
      </c>
      <c r="B1060" s="5" t="str">
        <f ca="1">IFERROR(__xludf.DUMMYFUNCTION("""COMPUTED_VALUE"""),"القاهرة")</f>
        <v>القاهرة</v>
      </c>
      <c r="C1060" s="5" t="str">
        <f ca="1">IFERROR(__xludf.DUMMYFUNCTION("""COMPUTED_VALUE"""),"مصر الجديدة")</f>
        <v>مصر الجديدة</v>
      </c>
      <c r="D1060" s="5" t="str">
        <f ca="1">IFERROR(__xludf.DUMMYFUNCTION("""COMPUTED_VALUE"""),"معمل")</f>
        <v>معمل</v>
      </c>
      <c r="E1060" s="5" t="str">
        <f ca="1">IFERROR(__xludf.DUMMYFUNCTION("""COMPUTED_VALUE"""),"معمل")</f>
        <v>معمل</v>
      </c>
      <c r="F1060" s="5" t="str">
        <f ca="1">IFERROR(__xludf.DUMMYFUNCTION("""COMPUTED_VALUE"""),"معمل التحاليل الطبية")</f>
        <v>معمل التحاليل الطبية</v>
      </c>
      <c r="G1060" s="5" t="str">
        <f ca="1">IFERROR(__xludf.DUMMYFUNCTION("""COMPUTED_VALUE"""),"معامل سبيد للتحاليل الطبية")</f>
        <v>معامل سبيد للتحاليل الطبية</v>
      </c>
      <c r="H1060" s="5" t="str">
        <f ca="1">IFERROR(__xludf.DUMMYFUNCTION("""COMPUTED_VALUE"""),"25 شارع عثمان بن عفان - ميدان صلاح الدين - مصر الجديدة")</f>
        <v>25 شارع عثمان بن عفان - ميدان صلاح الدين - مصر الجديدة</v>
      </c>
      <c r="I1060" s="6" t="str">
        <f ca="1">IFERROR(__xludf.DUMMYFUNCTION("""COMPUTED_VALUE"""),"20226909060")</f>
        <v>20226909060</v>
      </c>
      <c r="J1060" s="6" t="str">
        <f ca="1">IFERROR(__xludf.DUMMYFUNCTION("""COMPUTED_VALUE"""),"19358")</f>
        <v>19358</v>
      </c>
      <c r="K1060" s="6" t="str">
        <f ca="1">IFERROR(__xludf.DUMMYFUNCTION("""COMPUTED_VALUE"""),"خصم 30% علي جميع الخدمات علي الاسعار النقدي")</f>
        <v>خصم 30% علي جميع الخدمات علي الاسعار النقدي</v>
      </c>
    </row>
    <row r="1061" spans="1:11" x14ac:dyDescent="0.25">
      <c r="A1061" s="4" t="str">
        <f ca="1">IFERROR(__xludf.DUMMYFUNCTION("""COMPUTED_VALUE"""),"2074-B")</f>
        <v>2074-B</v>
      </c>
      <c r="B1061" s="5" t="str">
        <f ca="1">IFERROR(__xludf.DUMMYFUNCTION("""COMPUTED_VALUE"""),"القاهرة")</f>
        <v>القاهرة</v>
      </c>
      <c r="C1061" s="5" t="str">
        <f ca="1">IFERROR(__xludf.DUMMYFUNCTION("""COMPUTED_VALUE"""),"وسط البلد")</f>
        <v>وسط البلد</v>
      </c>
      <c r="D1061" s="5" t="str">
        <f ca="1">IFERROR(__xludf.DUMMYFUNCTION("""COMPUTED_VALUE"""),"مجمع عيادات")</f>
        <v>مجمع عيادات</v>
      </c>
      <c r="E1061" s="5" t="str">
        <f ca="1">IFERROR(__xludf.DUMMYFUNCTION("""COMPUTED_VALUE"""),"جميع التخصصات")</f>
        <v>جميع التخصصات</v>
      </c>
      <c r="F1061" s="5" t="str">
        <f ca="1">IFERROR(__xludf.DUMMYFUNCTION("""COMPUTED_VALUE"""),"جميع التخصصات الطبية")</f>
        <v>جميع التخصصات الطبية</v>
      </c>
      <c r="G1061" s="5" t="str">
        <f ca="1">IFERROR(__xludf.DUMMYFUNCTION("""COMPUTED_VALUE"""),"د/ حسام منصور")</f>
        <v>د/ حسام منصور</v>
      </c>
      <c r="H1061" s="5" t="str">
        <f ca="1">IFERROR(__xludf.DUMMYFUNCTION("""COMPUTED_VALUE"""),"11 ميدان التحرير - وسط البلد - القاهرة")</f>
        <v>11 ميدان التحرير - وسط البلد - القاهرة</v>
      </c>
      <c r="I1061" s="6" t="str">
        <f ca="1">IFERROR(__xludf.DUMMYFUNCTION("""COMPUTED_VALUE"""),"201203210040")</f>
        <v>201203210040</v>
      </c>
      <c r="J1061" s="6"/>
      <c r="K1061" s="6" t="str">
        <f ca="1">IFERROR(__xludf.DUMMYFUNCTION("""COMPUTED_VALUE"""),"20% على الكشوفات وباقى الخدمات")</f>
        <v>20% على الكشوفات وباقى الخدمات</v>
      </c>
    </row>
    <row r="1062" spans="1:11" x14ac:dyDescent="0.25">
      <c r="A1062" s="4" t="str">
        <f ca="1">IFERROR(__xludf.DUMMYFUNCTION("""COMPUTED_VALUE"""),"103479")</f>
        <v>103479</v>
      </c>
      <c r="B1062" s="5" t="str">
        <f ca="1">IFERROR(__xludf.DUMMYFUNCTION("""COMPUTED_VALUE"""),"القاهرة")</f>
        <v>القاهرة</v>
      </c>
      <c r="C1062" s="5" t="str">
        <f ca="1">IFERROR(__xludf.DUMMYFUNCTION("""COMPUTED_VALUE"""),"وسط البلد")</f>
        <v>وسط البلد</v>
      </c>
      <c r="D1062" s="5" t="str">
        <f ca="1">IFERROR(__xludf.DUMMYFUNCTION("""COMPUTED_VALUE"""),"مجمع عيادات")</f>
        <v>مجمع عيادات</v>
      </c>
      <c r="E1062" s="5" t="str">
        <f ca="1">IFERROR(__xludf.DUMMYFUNCTION("""COMPUTED_VALUE"""),"جميع التخصصات")</f>
        <v>جميع التخصصات</v>
      </c>
      <c r="F1062" s="5" t="str">
        <f ca="1">IFERROR(__xludf.DUMMYFUNCTION("""COMPUTED_VALUE"""),"جميع التخصصات الطبية")</f>
        <v>جميع التخصصات الطبية</v>
      </c>
      <c r="G1062" s="5" t="str">
        <f ca="1">IFERROR(__xludf.DUMMYFUNCTION("""COMPUTED_VALUE"""),"مركز عناية الطبي")</f>
        <v>مركز عناية الطبي</v>
      </c>
      <c r="H1062" s="5" t="str">
        <f ca="1">IFERROR(__xludf.DUMMYFUNCTION("""COMPUTED_VALUE"""),"27 شارع عرابي متفرع من ش رمسيس - بجوار التابعي الدمياطي-وسط البلد-القاهرة")</f>
        <v>27 شارع عرابي متفرع من ش رمسيس - بجوار التابعي الدمياطي-وسط البلد-القاهرة</v>
      </c>
      <c r="I1062" s="6" t="str">
        <f ca="1">IFERROR(__xludf.DUMMYFUNCTION("""COMPUTED_VALUE"""),"20225776699")</f>
        <v>20225776699</v>
      </c>
      <c r="J1062" s="6"/>
      <c r="K1062" s="6" t="str">
        <f ca="1">IFERROR(__xludf.DUMMYFUNCTION("""COMPUTED_VALUE"""),"خصم 40% علي كل الخدمات ماعدا الأدويه و المستلزمات و اتعاب الأطباء علي الأسعار النقدي المعلنه")</f>
        <v>خصم 40% علي كل الخدمات ماعدا الأدويه و المستلزمات و اتعاب الأطباء علي الأسعار النقدي المعلنه</v>
      </c>
    </row>
    <row r="1063" spans="1:11" x14ac:dyDescent="0.25">
      <c r="A1063" s="4" t="str">
        <f ca="1">IFERROR(__xludf.DUMMYFUNCTION("""COMPUTED_VALUE"""),"104389-B")</f>
        <v>104389-B</v>
      </c>
      <c r="B1063" s="5" t="str">
        <f ca="1">IFERROR(__xludf.DUMMYFUNCTION("""COMPUTED_VALUE"""),"القليوبية")</f>
        <v>القليوبية</v>
      </c>
      <c r="C1063" s="5" t="str">
        <f ca="1">IFERROR(__xludf.DUMMYFUNCTION("""COMPUTED_VALUE"""),"القناطر الخيرية")</f>
        <v>القناطر الخيرية</v>
      </c>
      <c r="D1063" s="5" t="str">
        <f ca="1">IFERROR(__xludf.DUMMYFUNCTION("""COMPUTED_VALUE"""),"معمل")</f>
        <v>معمل</v>
      </c>
      <c r="E1063" s="5" t="str">
        <f ca="1">IFERROR(__xludf.DUMMYFUNCTION("""COMPUTED_VALUE"""),"معمل")</f>
        <v>معمل</v>
      </c>
      <c r="F1063" s="5" t="str">
        <f ca="1">IFERROR(__xludf.DUMMYFUNCTION("""COMPUTED_VALUE"""),"معمل التحاليل الطبية")</f>
        <v>معمل التحاليل الطبية</v>
      </c>
      <c r="G1063" s="5" t="str">
        <f ca="1">IFERROR(__xludf.DUMMYFUNCTION("""COMPUTED_VALUE"""),"معامل سبيد للتحاليل الطبية")</f>
        <v>معامل سبيد للتحاليل الطبية</v>
      </c>
      <c r="H1063" s="5" t="str">
        <f ca="1">IFERROR(__xludf.DUMMYFUNCTION("""COMPUTED_VALUE"""),"4ش زعزع  بجوار صيدلية عزمي القناطر الخيرية - القليوبية")</f>
        <v>4ش زعزع  بجوار صيدلية عزمي القناطر الخيرية - القليوبية</v>
      </c>
      <c r="I1063" s="6" t="str">
        <f ca="1">IFERROR(__xludf.DUMMYFUNCTION("""COMPUTED_VALUE"""),"20226909060")</f>
        <v>20226909060</v>
      </c>
      <c r="J1063" s="6" t="str">
        <f ca="1">IFERROR(__xludf.DUMMYFUNCTION("""COMPUTED_VALUE"""),"19358")</f>
        <v>19358</v>
      </c>
      <c r="K1063" s="6" t="str">
        <f ca="1">IFERROR(__xludf.DUMMYFUNCTION("""COMPUTED_VALUE"""),"خصم 30% علي جميع الخدمات علي الاسعار النقدي")</f>
        <v>خصم 30% علي جميع الخدمات علي الاسعار النقدي</v>
      </c>
    </row>
    <row r="1064" spans="1:11" x14ac:dyDescent="0.25">
      <c r="A1064" s="4" t="str">
        <f ca="1">IFERROR(__xludf.DUMMYFUNCTION("""COMPUTED_VALUE"""),"104389-B")</f>
        <v>104389-B</v>
      </c>
      <c r="B1064" s="5" t="str">
        <f ca="1">IFERROR(__xludf.DUMMYFUNCTION("""COMPUTED_VALUE"""),"القليوبية")</f>
        <v>القليوبية</v>
      </c>
      <c r="C1064" s="5" t="str">
        <f ca="1">IFERROR(__xludf.DUMMYFUNCTION("""COMPUTED_VALUE"""),"شبرا الخيمة")</f>
        <v>شبرا الخيمة</v>
      </c>
      <c r="D1064" s="5" t="str">
        <f ca="1">IFERROR(__xludf.DUMMYFUNCTION("""COMPUTED_VALUE"""),"معمل")</f>
        <v>معمل</v>
      </c>
      <c r="E1064" s="5" t="str">
        <f ca="1">IFERROR(__xludf.DUMMYFUNCTION("""COMPUTED_VALUE"""),"معمل")</f>
        <v>معمل</v>
      </c>
      <c r="F1064" s="5" t="str">
        <f ca="1">IFERROR(__xludf.DUMMYFUNCTION("""COMPUTED_VALUE"""),"معمل التحاليل الطبية")</f>
        <v>معمل التحاليل الطبية</v>
      </c>
      <c r="G1064" s="5" t="str">
        <f ca="1">IFERROR(__xludf.DUMMYFUNCTION("""COMPUTED_VALUE"""),"معامل سبيد للتحاليل الطبية")</f>
        <v>معامل سبيد للتحاليل الطبية</v>
      </c>
      <c r="H1064" s="5" t="str">
        <f ca="1">IFERROR(__xludf.DUMMYFUNCTION("""COMPUTED_VALUE"""),"تقاطع شارع الوحدة  مع 15 مايو - بجوار برج الاطباء اعلى ستوديو موريس - الدور الرابع شبرا الخيمة")</f>
        <v>تقاطع شارع الوحدة  مع 15 مايو - بجوار برج الاطباء اعلى ستوديو موريس - الدور الرابع شبرا الخيمة</v>
      </c>
      <c r="I1064" s="6" t="str">
        <f ca="1">IFERROR(__xludf.DUMMYFUNCTION("""COMPUTED_VALUE"""),"20226909060")</f>
        <v>20226909060</v>
      </c>
      <c r="J1064" s="6" t="str">
        <f ca="1">IFERROR(__xludf.DUMMYFUNCTION("""COMPUTED_VALUE"""),"19358")</f>
        <v>19358</v>
      </c>
      <c r="K1064" s="6" t="str">
        <f ca="1">IFERROR(__xludf.DUMMYFUNCTION("""COMPUTED_VALUE"""),"خصم 30% علي جميع الخدمات علي الاسعار النقدي")</f>
        <v>خصم 30% علي جميع الخدمات علي الاسعار النقدي</v>
      </c>
    </row>
    <row r="1065" spans="1:11" x14ac:dyDescent="0.25">
      <c r="A1065" s="4" t="str">
        <f ca="1">IFERROR(__xludf.DUMMYFUNCTION("""COMPUTED_VALUE"""),"103977")</f>
        <v>103977</v>
      </c>
      <c r="B1065" s="5" t="str">
        <f ca="1">IFERROR(__xludf.DUMMYFUNCTION("""COMPUTED_VALUE"""),"القليوبية")</f>
        <v>القليوبية</v>
      </c>
      <c r="C1065" s="5" t="str">
        <f ca="1">IFERROR(__xludf.DUMMYFUNCTION("""COMPUTED_VALUE"""),"شبرا الخيمة")</f>
        <v>شبرا الخيمة</v>
      </c>
      <c r="D1065" s="5" t="str">
        <f ca="1">IFERROR(__xludf.DUMMYFUNCTION("""COMPUTED_VALUE"""),"مستشفى")</f>
        <v>مستشفى</v>
      </c>
      <c r="E1065" s="5" t="str">
        <f ca="1">IFERROR(__xludf.DUMMYFUNCTION("""COMPUTED_VALUE"""),"مستشفي طبي متكامل")</f>
        <v>مستشفي طبي متكامل</v>
      </c>
      <c r="F1065" s="5" t="str">
        <f ca="1">IFERROR(__xludf.DUMMYFUNCTION("""COMPUTED_VALUE"""),"جميع التخصصات الطبية")</f>
        <v>جميع التخصصات الطبية</v>
      </c>
      <c r="G1065" s="5" t="str">
        <f ca="1">IFERROR(__xludf.DUMMYFUNCTION("""COMPUTED_VALUE"""),"مركز عيادات الطاهر الطبية التخصصية")</f>
        <v>مركز عيادات الطاهر الطبية التخصصية</v>
      </c>
      <c r="H1065" s="5" t="str">
        <f ca="1">IFERROR(__xludf.DUMMYFUNCTION("""COMPUTED_VALUE"""),"شارع15 مايو- مسطرد- امتداد رياض الصالحين متفرع من ترعة الشابورى امام السجل المدنى مساكن الخزف والصينى-شبرا الخيمة")</f>
        <v>شارع15 مايو- مسطرد- امتداد رياض الصالحين متفرع من ترعة الشابورى امام السجل المدنى مساكن الخزف والصينى-شبرا الخيمة</v>
      </c>
      <c r="I1065" s="6" t="str">
        <f ca="1">IFERROR(__xludf.DUMMYFUNCTION("""COMPUTED_VALUE"""),"20244711554")</f>
        <v>20244711554</v>
      </c>
      <c r="J1065" s="6"/>
      <c r="K1065" s="6" t="str">
        <f ca="1">IFERROR(__xludf.DUMMYFUNCTION("""COMPUTED_VALUE"""),"نقابه 2016")</f>
        <v>نقابه 2016</v>
      </c>
    </row>
    <row r="1066" spans="1:11" x14ac:dyDescent="0.25">
      <c r="A1066" s="4" t="str">
        <f ca="1">IFERROR(__xludf.DUMMYFUNCTION("""COMPUTED_VALUE"""),"103258")</f>
        <v>103258</v>
      </c>
      <c r="B1066" s="5" t="str">
        <f ca="1">IFERROR(__xludf.DUMMYFUNCTION("""COMPUTED_VALUE"""),"القليوبية")</f>
        <v>القليوبية</v>
      </c>
      <c r="C1066" s="5" t="str">
        <f ca="1">IFERROR(__xludf.DUMMYFUNCTION("""COMPUTED_VALUE"""),"شبرا الخيمة")</f>
        <v>شبرا الخيمة</v>
      </c>
      <c r="D1066" s="5" t="str">
        <f ca="1">IFERROR(__xludf.DUMMYFUNCTION("""COMPUTED_VALUE"""),"مستشفى")</f>
        <v>مستشفى</v>
      </c>
      <c r="E1066" s="5" t="str">
        <f ca="1">IFERROR(__xludf.DUMMYFUNCTION("""COMPUTED_VALUE"""),"مستشفي طبي متكامل")</f>
        <v>مستشفي طبي متكامل</v>
      </c>
      <c r="F1066" s="5" t="str">
        <f ca="1">IFERROR(__xludf.DUMMYFUNCTION("""COMPUTED_VALUE"""),"جميع التخصصات الطبية")</f>
        <v>جميع التخصصات الطبية</v>
      </c>
      <c r="G1066" s="5" t="str">
        <f ca="1">IFERROR(__xludf.DUMMYFUNCTION("""COMPUTED_VALUE"""),"مستشفى د/ محسن المغربي التخصصي")</f>
        <v>مستشفى د/ محسن المغربي التخصصي</v>
      </c>
      <c r="H1066" s="5" t="str">
        <f ca="1">IFERROR(__xludf.DUMMYFUNCTION("""COMPUTED_VALUE"""),"128 شارع 15 مايو -امام المعهد العالي للحاسبات و مدرسة زوسر للغات-شبرا الخيمة-القليوبية")</f>
        <v>128 شارع 15 مايو -امام المعهد العالي للحاسبات و مدرسة زوسر للغات-شبرا الخيمة-القليوبية</v>
      </c>
      <c r="I1066" s="6" t="str">
        <f ca="1">IFERROR(__xludf.DUMMYFUNCTION("""COMPUTED_VALUE"""),"20244717100")</f>
        <v>20244717100</v>
      </c>
      <c r="J1066" s="6"/>
      <c r="K1066" s="6" t="str">
        <f ca="1">IFERROR(__xludf.DUMMYFUNCTION("""COMPUTED_VALUE"""),"الكشف :70, نقابه 2017")</f>
        <v>الكشف :70, نقابه 2017</v>
      </c>
    </row>
    <row r="1067" spans="1:11" x14ac:dyDescent="0.25">
      <c r="A1067" s="4" t="str">
        <f ca="1">IFERROR(__xludf.DUMMYFUNCTION("""COMPUTED_VALUE"""),"104191")</f>
        <v>104191</v>
      </c>
      <c r="B1067" s="5" t="str">
        <f ca="1">IFERROR(__xludf.DUMMYFUNCTION("""COMPUTED_VALUE"""),"المنوفية")</f>
        <v>المنوفية</v>
      </c>
      <c r="C1067" s="5" t="str">
        <f ca="1">IFERROR(__xludf.DUMMYFUNCTION("""COMPUTED_VALUE"""),"اشمون")</f>
        <v>اشمون</v>
      </c>
      <c r="D1067" s="5" t="str">
        <f ca="1">IFERROR(__xludf.DUMMYFUNCTION("""COMPUTED_VALUE"""),"مستشفى")</f>
        <v>مستشفى</v>
      </c>
      <c r="E1067" s="5" t="str">
        <f ca="1">IFERROR(__xludf.DUMMYFUNCTION("""COMPUTED_VALUE"""),"مستشفي طبي متكامل")</f>
        <v>مستشفي طبي متكامل</v>
      </c>
      <c r="F1067" s="5" t="str">
        <f ca="1">IFERROR(__xludf.DUMMYFUNCTION("""COMPUTED_VALUE"""),"جميع التخصصات الطبية")</f>
        <v>جميع التخصصات الطبية</v>
      </c>
      <c r="G1067" s="5" t="str">
        <f ca="1">IFERROR(__xludf.DUMMYFUNCTION("""COMPUTED_VALUE"""),"مستشفى العربي - المنوفية")</f>
        <v>مستشفى العربي - المنوفية</v>
      </c>
      <c r="H1067" s="5" t="str">
        <f ca="1">IFERROR(__xludf.DUMMYFUNCTION("""COMPUTED_VALUE"""),"قرية أبو رقبة - بجوار مسجد العربي - أشمون - المنوفية .")</f>
        <v>قرية أبو رقبة - بجوار مسجد العربي - أشمون - المنوفية .</v>
      </c>
      <c r="I1067" s="6" t="str">
        <f ca="1">IFERROR(__xludf.DUMMYFUNCTION("""COMPUTED_VALUE"""),"20483490057")</f>
        <v>20483490057</v>
      </c>
      <c r="J1067" s="6" t="str">
        <f ca="1">IFERROR(__xludf.DUMMYFUNCTION("""COMPUTED_VALUE"""),"19444")</f>
        <v>19444</v>
      </c>
      <c r="K1067" s="6" t="str">
        <f ca="1">IFERROR(__xludf.DUMMYFUNCTION("""COMPUTED_VALUE"""),"20% على جميع الخدمات")</f>
        <v>20% على جميع الخدمات</v>
      </c>
    </row>
    <row r="1068" spans="1:11" x14ac:dyDescent="0.25">
      <c r="A1068" s="4" t="str">
        <f ca="1">IFERROR(__xludf.DUMMYFUNCTION("""COMPUTED_VALUE"""),"103776")</f>
        <v>103776</v>
      </c>
      <c r="B1068" s="5" t="str">
        <f ca="1">IFERROR(__xludf.DUMMYFUNCTION("""COMPUTED_VALUE"""),"المنوفية")</f>
        <v>المنوفية</v>
      </c>
      <c r="C1068" s="5" t="str">
        <f ca="1">IFERROR(__xludf.DUMMYFUNCTION("""COMPUTED_VALUE"""),"شبين الكوم")</f>
        <v>شبين الكوم</v>
      </c>
      <c r="D1068" s="5" t="str">
        <f ca="1">IFERROR(__xludf.DUMMYFUNCTION("""COMPUTED_VALUE"""),"مستشفى")</f>
        <v>مستشفى</v>
      </c>
      <c r="E1068" s="5" t="str">
        <f ca="1">IFERROR(__xludf.DUMMYFUNCTION("""COMPUTED_VALUE"""),"مستشفي طبي متخصص")</f>
        <v>مستشفي طبي متخصص</v>
      </c>
      <c r="F1068" s="5" t="str">
        <f ca="1">IFERROR(__xludf.DUMMYFUNCTION("""COMPUTED_VALUE"""),"مناظير الجهاز الهضمي")</f>
        <v>مناظير الجهاز الهضمي</v>
      </c>
      <c r="G1068" s="5" t="str">
        <f ca="1">IFERROR(__xludf.DUMMYFUNCTION("""COMPUTED_VALUE"""),"المركز الطبي الاوروبي")</f>
        <v>المركز الطبي الاوروبي</v>
      </c>
      <c r="H1068" s="5" t="str">
        <f ca="1">IFERROR(__xludf.DUMMYFUNCTION("""COMPUTED_VALUE"""),"برج ابو يوسف-امام المعهد الكبد القومي-شبين الكوم-المنوفية")</f>
        <v>برج ابو يوسف-امام المعهد الكبد القومي-شبين الكوم-المنوفية</v>
      </c>
      <c r="I1068" s="6" t="str">
        <f ca="1">IFERROR(__xludf.DUMMYFUNCTION("""COMPUTED_VALUE"""),"20482222803")</f>
        <v>20482222803</v>
      </c>
      <c r="J1068" s="6"/>
      <c r="K1068" s="6" t="str">
        <f ca="1">IFERROR(__xludf.DUMMYFUNCTION("""COMPUTED_VALUE"""),"الكشف: 35, مؤسسه 2010")</f>
        <v>الكشف: 35, مؤسسه 2010</v>
      </c>
    </row>
    <row r="1069" spans="1:11" x14ac:dyDescent="0.25">
      <c r="A1069" s="4" t="str">
        <f ca="1">IFERROR(__xludf.DUMMYFUNCTION("""COMPUTED_VALUE"""),"103910")</f>
        <v>103910</v>
      </c>
      <c r="B1069" s="5" t="str">
        <f ca="1">IFERROR(__xludf.DUMMYFUNCTION("""COMPUTED_VALUE"""),"المنوفية")</f>
        <v>المنوفية</v>
      </c>
      <c r="C1069" s="5" t="str">
        <f ca="1">IFERROR(__xludf.DUMMYFUNCTION("""COMPUTED_VALUE"""),"مدينه السادات")</f>
        <v>مدينه السادات</v>
      </c>
      <c r="D1069" s="5" t="str">
        <f ca="1">IFERROR(__xludf.DUMMYFUNCTION("""COMPUTED_VALUE"""),"مستشفى")</f>
        <v>مستشفى</v>
      </c>
      <c r="E1069" s="5" t="str">
        <f ca="1">IFERROR(__xludf.DUMMYFUNCTION("""COMPUTED_VALUE"""),"مستشفي طبي متكامل")</f>
        <v>مستشفي طبي متكامل</v>
      </c>
      <c r="F1069" s="5" t="str">
        <f ca="1">IFERROR(__xludf.DUMMYFUNCTION("""COMPUTED_VALUE"""),"جميع التخصصات الطبية")</f>
        <v>جميع التخصصات الطبية</v>
      </c>
      <c r="G1069" s="5" t="str">
        <f ca="1">IFERROR(__xludf.DUMMYFUNCTION("""COMPUTED_VALUE"""),"مستشفي هرمل التذكاري - السادات")</f>
        <v>مستشفي هرمل التذكاري - السادات</v>
      </c>
      <c r="H1069" s="5" t="str">
        <f ca="1">IFERROR(__xludf.DUMMYFUNCTION("""COMPUTED_VALUE"""),"منطقة البنوك بين المنطقة الخامسة والسادسة - مدينة السادات")</f>
        <v>منطقة البنوك بين المنطقة الخامسة والسادسة - مدينة السادات</v>
      </c>
      <c r="I1069" s="6" t="str">
        <f ca="1">IFERROR(__xludf.DUMMYFUNCTION("""COMPUTED_VALUE"""),"20482614008")</f>
        <v>20482614008</v>
      </c>
      <c r="J1069" s="6"/>
      <c r="K1069" s="6" t="str">
        <f ca="1">IFERROR(__xludf.DUMMYFUNCTION("""COMPUTED_VALUE"""),"كشف : 65 جنية, المؤسسه العلاجيه 2017")</f>
        <v>كشف : 65 جنية, المؤسسه العلاجيه 2017</v>
      </c>
    </row>
    <row r="1070" spans="1:11" x14ac:dyDescent="0.25">
      <c r="A1070" s="4" t="str">
        <f ca="1">IFERROR(__xludf.DUMMYFUNCTION("""COMPUTED_VALUE"""),"103419")</f>
        <v>103419</v>
      </c>
      <c r="B1070" s="5" t="str">
        <f ca="1">IFERROR(__xludf.DUMMYFUNCTION("""COMPUTED_VALUE"""),"المنوفية")</f>
        <v>المنوفية</v>
      </c>
      <c r="C1070" s="5" t="str">
        <f ca="1">IFERROR(__xludf.DUMMYFUNCTION("""COMPUTED_VALUE"""),"منوف")</f>
        <v>منوف</v>
      </c>
      <c r="D1070" s="5" t="str">
        <f ca="1">IFERROR(__xludf.DUMMYFUNCTION("""COMPUTED_VALUE"""),"مستشفى")</f>
        <v>مستشفى</v>
      </c>
      <c r="E1070" s="5" t="str">
        <f ca="1">IFERROR(__xludf.DUMMYFUNCTION("""COMPUTED_VALUE"""),"مستشفي طبي متكامل")</f>
        <v>مستشفي طبي متكامل</v>
      </c>
      <c r="F1070" s="5" t="str">
        <f ca="1">IFERROR(__xludf.DUMMYFUNCTION("""COMPUTED_VALUE"""),"جميع التخصصات الطبية")</f>
        <v>جميع التخصصات الطبية</v>
      </c>
      <c r="G1070" s="5" t="str">
        <f ca="1">IFERROR(__xludf.DUMMYFUNCTION("""COMPUTED_VALUE"""),"مستشفى الرواد التخصصي")</f>
        <v>مستشفى الرواد التخصصي</v>
      </c>
      <c r="H1070" s="5" t="str">
        <f ca="1">IFERROR(__xludf.DUMMYFUNCTION("""COMPUTED_VALUE"""),"شارع بورسعيد البحري بجوار مجلس مدينة منوف-منوف -المنوفية")</f>
        <v>شارع بورسعيد البحري بجوار مجلس مدينة منوف-منوف -المنوفية</v>
      </c>
      <c r="I1070" s="6" t="str">
        <f ca="1">IFERROR(__xludf.DUMMYFUNCTION("""COMPUTED_VALUE"""),"01092372437")</f>
        <v>01092372437</v>
      </c>
      <c r="J1070" s="6"/>
      <c r="K1070" s="6" t="str">
        <f ca="1">IFERROR(__xludf.DUMMYFUNCTION("""COMPUTED_VALUE"""),"30% نسبة خصم")</f>
        <v>30% نسبة خصم</v>
      </c>
    </row>
    <row r="1071" spans="1:11" x14ac:dyDescent="0.25">
      <c r="A1071" s="4" t="str">
        <f ca="1">IFERROR(__xludf.DUMMYFUNCTION("""COMPUTED_VALUE"""),"3970")</f>
        <v>3970</v>
      </c>
      <c r="B1071" s="5" t="str">
        <f ca="1">IFERROR(__xludf.DUMMYFUNCTION("""COMPUTED_VALUE"""),"المنوفية")</f>
        <v>المنوفية</v>
      </c>
      <c r="C1071" s="5" t="str">
        <f ca="1">IFERROR(__xludf.DUMMYFUNCTION("""COMPUTED_VALUE"""),"منوف")</f>
        <v>منوف</v>
      </c>
      <c r="D1071" s="5" t="str">
        <f ca="1">IFERROR(__xludf.DUMMYFUNCTION("""COMPUTED_VALUE"""),"مستشفى")</f>
        <v>مستشفى</v>
      </c>
      <c r="E1071" s="5" t="str">
        <f ca="1">IFERROR(__xludf.DUMMYFUNCTION("""COMPUTED_VALUE"""),"مستشفي طبي متكامل")</f>
        <v>مستشفي طبي متكامل</v>
      </c>
      <c r="F1071" s="5" t="str">
        <f ca="1">IFERROR(__xludf.DUMMYFUNCTION("""COMPUTED_VALUE"""),"جميع التخصصات الطبية")</f>
        <v>جميع التخصصات الطبية</v>
      </c>
      <c r="G1071" s="5" t="str">
        <f ca="1">IFERROR(__xludf.DUMMYFUNCTION("""COMPUTED_VALUE"""),"مستشفى هرمل التذكارى - منوف")</f>
        <v>مستشفى هرمل التذكارى - منوف</v>
      </c>
      <c r="H1071" s="5" t="str">
        <f ca="1">IFERROR(__xludf.DUMMYFUNCTION("""COMPUTED_VALUE"""),"شارع الروضة - امام مدرسة الزراعية الثانوية-منوف -المنوفية")</f>
        <v>شارع الروضة - امام مدرسة الزراعية الثانوية-منوف -المنوفية</v>
      </c>
      <c r="I1071" s="6" t="str">
        <f ca="1">IFERROR(__xludf.DUMMYFUNCTION("""COMPUTED_VALUE"""),"20483662834")</f>
        <v>20483662834</v>
      </c>
      <c r="J1071" s="6"/>
      <c r="K1071" s="6" t="str">
        <f ca="1">IFERROR(__xludf.DUMMYFUNCTION("""COMPUTED_VALUE"""),"المؤسسه العلاجيه 2017, الكشف 50جنية.")</f>
        <v>المؤسسه العلاجيه 2017, الكشف 50جنية.</v>
      </c>
    </row>
    <row r="1072" spans="1:11" x14ac:dyDescent="0.25">
      <c r="A1072" s="4" t="str">
        <f ca="1">IFERROR(__xludf.DUMMYFUNCTION("""COMPUTED_VALUE"""),"3533")</f>
        <v>3533</v>
      </c>
      <c r="B1072" s="5" t="str">
        <f ca="1">IFERROR(__xludf.DUMMYFUNCTION("""COMPUTED_VALUE"""),"المنيا")</f>
        <v>المنيا</v>
      </c>
      <c r="C1072" s="5" t="str">
        <f ca="1">IFERROR(__xludf.DUMMYFUNCTION("""COMPUTED_VALUE"""),"المنيا")</f>
        <v>المنيا</v>
      </c>
      <c r="D1072" s="5" t="str">
        <f ca="1">IFERROR(__xludf.DUMMYFUNCTION("""COMPUTED_VALUE"""),"مستشفى")</f>
        <v>مستشفى</v>
      </c>
      <c r="E1072" s="5" t="str">
        <f ca="1">IFERROR(__xludf.DUMMYFUNCTION("""COMPUTED_VALUE"""),"مستشفي طبي متكامل")</f>
        <v>مستشفي طبي متكامل</v>
      </c>
      <c r="F1072" s="5" t="str">
        <f ca="1">IFERROR(__xludf.DUMMYFUNCTION("""COMPUTED_VALUE"""),"جميع التخصصات الطبية")</f>
        <v>جميع التخصصات الطبية</v>
      </c>
      <c r="G1072" s="5" t="str">
        <f ca="1">IFERROR(__xludf.DUMMYFUNCTION("""COMPUTED_VALUE"""),"مستشفى المنيا الوطنى")</f>
        <v>مستشفى المنيا الوطنى</v>
      </c>
      <c r="H1072" s="5" t="str">
        <f ca="1">IFERROR(__xludf.DUMMYFUNCTION("""COMPUTED_VALUE"""),"33شارع سعد زغلول - المنيا")</f>
        <v>33شارع سعد زغلول - المنيا</v>
      </c>
      <c r="I1072" s="6" t="str">
        <f ca="1">IFERROR(__xludf.DUMMYFUNCTION("""COMPUTED_VALUE"""),"20862336732")</f>
        <v>20862336732</v>
      </c>
      <c r="J1072" s="6"/>
      <c r="K1072" s="6" t="str">
        <f ca="1">IFERROR(__xludf.DUMMYFUNCTION("""COMPUTED_VALUE"""),"خصم 20% علي الأسعار النقدي المعلنة")</f>
        <v>خصم 20% علي الأسعار النقدي المعلنة</v>
      </c>
    </row>
    <row r="1073" spans="1:11" x14ac:dyDescent="0.25">
      <c r="A1073" s="4" t="str">
        <f ca="1">IFERROR(__xludf.DUMMYFUNCTION("""COMPUTED_VALUE"""),"103753")</f>
        <v>103753</v>
      </c>
      <c r="B1073" s="5" t="str">
        <f ca="1">IFERROR(__xludf.DUMMYFUNCTION("""COMPUTED_VALUE"""),"الوادى الجديد")</f>
        <v>الوادى الجديد</v>
      </c>
      <c r="C1073" s="5" t="str">
        <f ca="1">IFERROR(__xludf.DUMMYFUNCTION("""COMPUTED_VALUE"""),"الداخلة")</f>
        <v>الداخلة</v>
      </c>
      <c r="D1073" s="5" t="str">
        <f ca="1">IFERROR(__xludf.DUMMYFUNCTION("""COMPUTED_VALUE"""),"مستشفى")</f>
        <v>مستشفى</v>
      </c>
      <c r="E1073" s="5" t="str">
        <f ca="1">IFERROR(__xludf.DUMMYFUNCTION("""COMPUTED_VALUE"""),"مستشفي طبي متكامل")</f>
        <v>مستشفي طبي متكامل</v>
      </c>
      <c r="F1073" s="5" t="str">
        <f ca="1">IFERROR(__xludf.DUMMYFUNCTION("""COMPUTED_VALUE"""),"جميع التخصصات الطبية")</f>
        <v>جميع التخصصات الطبية</v>
      </c>
      <c r="G1073" s="5" t="str">
        <f ca="1">IFERROR(__xludf.DUMMYFUNCTION("""COMPUTED_VALUE"""),"مستشفي هند شلبي التخصصي")</f>
        <v>مستشفي هند شلبي التخصصي</v>
      </c>
      <c r="H1073" s="5" t="str">
        <f ca="1">IFERROR(__xludf.DUMMYFUNCTION("""COMPUTED_VALUE"""),"موط-الداخلة-الوادي الجديد - الداخلة - الوادي الجديد")</f>
        <v>موط-الداخلة-الوادي الجديد - الداخلة - الوادي الجديد</v>
      </c>
      <c r="I1073" s="6" t="str">
        <f ca="1">IFERROR(__xludf.DUMMYFUNCTION("""COMPUTED_VALUE"""),"01283381505")</f>
        <v>01283381505</v>
      </c>
      <c r="J1073" s="6"/>
      <c r="K1073" s="6" t="str">
        <f ca="1">IFERROR(__xludf.DUMMYFUNCTION("""COMPUTED_VALUE"""),"خصم 15 % علي جميع الخدمات ")</f>
        <v xml:space="preserve">خصم 15 % علي جميع الخدمات </v>
      </c>
    </row>
    <row r="1074" spans="1:11" x14ac:dyDescent="0.25">
      <c r="A1074" s="4" t="str">
        <f ca="1">IFERROR(__xludf.DUMMYFUNCTION("""COMPUTED_VALUE"""),"104019")</f>
        <v>104019</v>
      </c>
      <c r="B1074" s="5" t="str">
        <f ca="1">IFERROR(__xludf.DUMMYFUNCTION("""COMPUTED_VALUE"""),"بني سويف")</f>
        <v>بني سويف</v>
      </c>
      <c r="C1074" s="5" t="str">
        <f ca="1">IFERROR(__xludf.DUMMYFUNCTION("""COMPUTED_VALUE"""),"بني سويف")</f>
        <v>بني سويف</v>
      </c>
      <c r="D1074" s="5" t="str">
        <f ca="1">IFERROR(__xludf.DUMMYFUNCTION("""COMPUTED_VALUE"""),"مستشفى")</f>
        <v>مستشفى</v>
      </c>
      <c r="E1074" s="5" t="str">
        <f ca="1">IFERROR(__xludf.DUMMYFUNCTION("""COMPUTED_VALUE"""),"مستشفي طبي متكامل")</f>
        <v>مستشفي طبي متكامل</v>
      </c>
      <c r="F1074" s="5" t="str">
        <f ca="1">IFERROR(__xludf.DUMMYFUNCTION("""COMPUTED_VALUE"""),"جميع التخصصات الطبية")</f>
        <v>جميع التخصصات الطبية</v>
      </c>
      <c r="G1074" s="5" t="str">
        <f ca="1">IFERROR(__xludf.DUMMYFUNCTION("""COMPUTED_VALUE"""),"مستشفى برج الزهراء")</f>
        <v>مستشفى برج الزهراء</v>
      </c>
      <c r="H1074" s="5" t="str">
        <f ca="1">IFERROR(__xludf.DUMMYFUNCTION("""COMPUTED_VALUE"""),"43 برج الزهراء-شارع احمد عرابى متفرع من شارع اسلام-بني سويف")</f>
        <v>43 برج الزهراء-شارع احمد عرابى متفرع من شارع اسلام-بني سويف</v>
      </c>
      <c r="I1074" s="6" t="str">
        <f ca="1">IFERROR(__xludf.DUMMYFUNCTION("""COMPUTED_VALUE"""),"0822134743")</f>
        <v>0822134743</v>
      </c>
      <c r="J1074" s="6"/>
      <c r="K1074" s="6" t="str">
        <f ca="1">IFERROR(__xludf.DUMMYFUNCTION("""COMPUTED_VALUE"""),"خصم حتي 15%")</f>
        <v>خصم حتي 15%</v>
      </c>
    </row>
    <row r="1075" spans="1:11" x14ac:dyDescent="0.25">
      <c r="A1075" s="4" t="str">
        <f ca="1">IFERROR(__xludf.DUMMYFUNCTION("""COMPUTED_VALUE"""),"103924")</f>
        <v>103924</v>
      </c>
      <c r="B1075" s="5" t="str">
        <f ca="1">IFERROR(__xludf.DUMMYFUNCTION("""COMPUTED_VALUE"""),"دمياط")</f>
        <v>دمياط</v>
      </c>
      <c r="C1075" s="5" t="str">
        <f ca="1">IFERROR(__xludf.DUMMYFUNCTION("""COMPUTED_VALUE"""),"دمياط الجديدة")</f>
        <v>دمياط الجديدة</v>
      </c>
      <c r="D1075" s="5" t="str">
        <f ca="1">IFERROR(__xludf.DUMMYFUNCTION("""COMPUTED_VALUE"""),"مستشفى")</f>
        <v>مستشفى</v>
      </c>
      <c r="E1075" s="5" t="str">
        <f ca="1">IFERROR(__xludf.DUMMYFUNCTION("""COMPUTED_VALUE"""),"مستشفي طبي متكامل")</f>
        <v>مستشفي طبي متكامل</v>
      </c>
      <c r="F1075" s="5" t="str">
        <f ca="1">IFERROR(__xludf.DUMMYFUNCTION("""COMPUTED_VALUE"""),"جميع التخصصات الطبية")</f>
        <v>جميع التخصصات الطبية</v>
      </c>
      <c r="G1075" s="5" t="str">
        <f ca="1">IFERROR(__xludf.DUMMYFUNCTION("""COMPUTED_VALUE"""),"مستشفى دار الحياة - دمياط")</f>
        <v>مستشفى دار الحياة - دمياط</v>
      </c>
      <c r="H1075" s="5" t="str">
        <f ca="1">IFERROR(__xludf.DUMMYFUNCTION("""COMPUTED_VALUE"""),"الحى الثانى- المجاورة الثانية - كلية التربية النوعية - مركز المجاورة الثانية - القطعة رقم 1 - دمياط الجديدة - دمياط")</f>
        <v>الحى الثانى- المجاورة الثانية - كلية التربية النوعية - مركز المجاورة الثانية - القطعة رقم 1 - دمياط الجديدة - دمياط</v>
      </c>
      <c r="I1075" s="6" t="str">
        <f ca="1">IFERROR(__xludf.DUMMYFUNCTION("""COMPUTED_VALUE"""),"20572077680")</f>
        <v>20572077680</v>
      </c>
      <c r="J1075" s="6"/>
      <c r="K1075" s="6" t="str">
        <f ca="1">IFERROR(__xludf.DUMMYFUNCTION("""COMPUTED_VALUE"""),"25% على جميع الخدمات")</f>
        <v>25% على جميع الخدمات</v>
      </c>
    </row>
    <row r="1076" spans="1:11" x14ac:dyDescent="0.25">
      <c r="A1076" s="4" t="str">
        <f ca="1">IFERROR(__xludf.DUMMYFUNCTION("""COMPUTED_VALUE"""),"1756")</f>
        <v>1756</v>
      </c>
      <c r="B1076" s="5" t="str">
        <f ca="1">IFERROR(__xludf.DUMMYFUNCTION("""COMPUTED_VALUE"""),"شمال سيناء")</f>
        <v>شمال سيناء</v>
      </c>
      <c r="C1076" s="5" t="str">
        <f ca="1">IFERROR(__xludf.DUMMYFUNCTION("""COMPUTED_VALUE"""),"العريش")</f>
        <v>العريش</v>
      </c>
      <c r="D1076" s="5" t="str">
        <f ca="1">IFERROR(__xludf.DUMMYFUNCTION("""COMPUTED_VALUE"""),"مستشفى")</f>
        <v>مستشفى</v>
      </c>
      <c r="E1076" s="5" t="str">
        <f ca="1">IFERROR(__xludf.DUMMYFUNCTION("""COMPUTED_VALUE"""),"مستشفي طبي متكامل")</f>
        <v>مستشفي طبي متكامل</v>
      </c>
      <c r="F1076" s="5" t="str">
        <f ca="1">IFERROR(__xludf.DUMMYFUNCTION("""COMPUTED_VALUE"""),"جميع التخصصات الطبية")</f>
        <v>جميع التخصصات الطبية</v>
      </c>
      <c r="G1076" s="5" t="str">
        <f ca="1">IFERROR(__xludf.DUMMYFUNCTION("""COMPUTED_VALUE"""),"مستشفى سيناء التخصصى")</f>
        <v>مستشفى سيناء التخصصى</v>
      </c>
      <c r="H1076" s="5" t="str">
        <f ca="1">IFERROR(__xludf.DUMMYFUNCTION("""COMPUTED_VALUE"""),"33شارع بور سعيد أمام المسجد السنى خلف البنك الأهلى -العريش-سيناء")</f>
        <v>33شارع بور سعيد أمام المسجد السنى خلف البنك الأهلى -العريش-سيناء</v>
      </c>
      <c r="I1076" s="6" t="str">
        <f ca="1">IFERROR(__xludf.DUMMYFUNCTION("""COMPUTED_VALUE"""),"20683360868")</f>
        <v>20683360868</v>
      </c>
      <c r="J1076" s="6"/>
      <c r="K1076" s="6" t="str">
        <f ca="1">IFERROR(__xludf.DUMMYFUNCTION("""COMPUTED_VALUE"""),"المؤسسه العلاجيه 2015 الكشف 100")</f>
        <v>المؤسسه العلاجيه 2015 الكشف 100</v>
      </c>
    </row>
    <row r="1077" spans="1:11" x14ac:dyDescent="0.25">
      <c r="A1077" s="4" t="str">
        <f ca="1">IFERROR(__xludf.DUMMYFUNCTION("""COMPUTED_VALUE"""),"3998")</f>
        <v>3998</v>
      </c>
      <c r="B1077" s="5" t="str">
        <f ca="1">IFERROR(__xludf.DUMMYFUNCTION("""COMPUTED_VALUE"""),"جنوب سيناء")</f>
        <v>جنوب سيناء</v>
      </c>
      <c r="C1077" s="5" t="str">
        <f ca="1">IFERROR(__xludf.DUMMYFUNCTION("""COMPUTED_VALUE"""),"شرم الشيخ")</f>
        <v>شرم الشيخ</v>
      </c>
      <c r="D1077" s="5" t="str">
        <f ca="1">IFERROR(__xludf.DUMMYFUNCTION("""COMPUTED_VALUE"""),"مستشفى")</f>
        <v>مستشفى</v>
      </c>
      <c r="E1077" s="5" t="str">
        <f ca="1">IFERROR(__xludf.DUMMYFUNCTION("""COMPUTED_VALUE"""),"مستشفي طبي متكامل")</f>
        <v>مستشفي طبي متكامل</v>
      </c>
      <c r="F1077" s="5" t="str">
        <f ca="1">IFERROR(__xludf.DUMMYFUNCTION("""COMPUTED_VALUE"""),"جميع التخصصات الطبية")</f>
        <v>جميع التخصصات الطبية</v>
      </c>
      <c r="G1077" s="5" t="str">
        <f ca="1">IFERROR(__xludf.DUMMYFUNCTION("""COMPUTED_VALUE"""),"مستشفى جنوب سينا (د سامح سليمان)")</f>
        <v>مستشفى جنوب سينا (د سامح سليمان)</v>
      </c>
      <c r="H1077" s="5" t="str">
        <f ca="1">IFERROR(__xludf.DUMMYFUNCTION("""COMPUTED_VALUE"""),"القطعة 10 خدمات - رأس كيندي طريق السلام شرم الشيخ-شرم الشيخ-سيناء")</f>
        <v>القطعة 10 خدمات - رأس كيندي طريق السلام شرم الشيخ-شرم الشيخ-سيناء</v>
      </c>
      <c r="I1077" s="6" t="str">
        <f ca="1">IFERROR(__xludf.DUMMYFUNCTION("""COMPUTED_VALUE"""),"20693666020")</f>
        <v>20693666020</v>
      </c>
      <c r="J1077" s="6"/>
      <c r="K1077" s="6" t="str">
        <f ca="1">IFERROR(__xludf.DUMMYFUNCTION("""COMPUTED_VALUE"""),"خصم يصل الي 25%")</f>
        <v>خصم يصل الي 25%</v>
      </c>
    </row>
    <row r="1078" spans="1:11" x14ac:dyDescent="0.25">
      <c r="A1078" s="4" t="str">
        <f ca="1">IFERROR(__xludf.DUMMYFUNCTION("""COMPUTED_VALUE"""),"3597")</f>
        <v>3597</v>
      </c>
      <c r="B1078" s="5" t="str">
        <f ca="1">IFERROR(__xludf.DUMMYFUNCTION("""COMPUTED_VALUE"""),"قنا")</f>
        <v>قنا</v>
      </c>
      <c r="C1078" s="5" t="str">
        <f ca="1">IFERROR(__xludf.DUMMYFUNCTION("""COMPUTED_VALUE"""),"نجع حمادى")</f>
        <v>نجع حمادى</v>
      </c>
      <c r="D1078" s="5" t="str">
        <f ca="1">IFERROR(__xludf.DUMMYFUNCTION("""COMPUTED_VALUE"""),"مستشفى")</f>
        <v>مستشفى</v>
      </c>
      <c r="E1078" s="5" t="str">
        <f ca="1">IFERROR(__xludf.DUMMYFUNCTION("""COMPUTED_VALUE"""),"مستشفي طبي متكامل")</f>
        <v>مستشفي طبي متكامل</v>
      </c>
      <c r="F1078" s="5" t="str">
        <f ca="1">IFERROR(__xludf.DUMMYFUNCTION("""COMPUTED_VALUE"""),"جميع التخصصات الطبية")</f>
        <v>جميع التخصصات الطبية</v>
      </c>
      <c r="G1078" s="5" t="str">
        <f ca="1">IFERROR(__xludf.DUMMYFUNCTION("""COMPUTED_VALUE"""),"مستشفى الوعي الاسلامى")</f>
        <v>مستشفى الوعي الاسلامى</v>
      </c>
      <c r="H1078" s="5" t="str">
        <f ca="1">IFERROR(__xludf.DUMMYFUNCTION("""COMPUTED_VALUE"""),"ش الوعى الاسلامى بجوار موقف الاتوبيس نجع حمادى-نجع حمادى-قنا")</f>
        <v>ش الوعى الاسلامى بجوار موقف الاتوبيس نجع حمادى-نجع حمادى-قنا</v>
      </c>
      <c r="I1078" s="6" t="str">
        <f ca="1">IFERROR(__xludf.DUMMYFUNCTION("""COMPUTED_VALUE"""),"20962581381")</f>
        <v>20962581381</v>
      </c>
      <c r="J1078" s="6"/>
      <c r="K1078" s="6" t="str">
        <f ca="1">IFERROR(__xludf.DUMMYFUNCTION("""COMPUTED_VALUE"""),"خصم يصل الي 15%")</f>
        <v>خصم يصل الي 15%</v>
      </c>
    </row>
    <row r="1079" spans="1:11" x14ac:dyDescent="0.25">
      <c r="A1079" s="4" t="str">
        <f ca="1">IFERROR(__xludf.DUMMYFUNCTION("""COMPUTED_VALUE"""),"104663")</f>
        <v>104663</v>
      </c>
      <c r="B1079" s="5" t="str">
        <f ca="1">IFERROR(__xludf.DUMMYFUNCTION("""COMPUTED_VALUE"""),"القاهرة")</f>
        <v>القاهرة</v>
      </c>
      <c r="C1079" s="5" t="str">
        <f ca="1">IFERROR(__xludf.DUMMYFUNCTION("""COMPUTED_VALUE"""),"مصر الجديدة")</f>
        <v>مصر الجديدة</v>
      </c>
      <c r="D1079" s="5" t="str">
        <f ca="1">IFERROR(__xludf.DUMMYFUNCTION("""COMPUTED_VALUE"""),"مستشفى")</f>
        <v>مستشفى</v>
      </c>
      <c r="E1079" s="5" t="str">
        <f ca="1">IFERROR(__xludf.DUMMYFUNCTION("""COMPUTED_VALUE"""),"مستشفي طبي متكامل")</f>
        <v>مستشفي طبي متكامل</v>
      </c>
      <c r="F1079" s="5" t="str">
        <f ca="1">IFERROR(__xludf.DUMMYFUNCTION("""COMPUTED_VALUE"""),"جميع التخصصات الطبية")</f>
        <v>جميع التخصصات الطبية</v>
      </c>
      <c r="G1079" s="5" t="str">
        <f ca="1">IFERROR(__xludf.DUMMYFUNCTION("""COMPUTED_VALUE"""),"مستشفي روكسي (مستشفي الدكتور عمرو فايز التخصصي)")</f>
        <v>مستشفي روكسي (مستشفي الدكتور عمرو فايز التخصصي)</v>
      </c>
      <c r="H1079" s="5" t="str">
        <f ca="1">IFERROR(__xludf.DUMMYFUNCTION("""COMPUTED_VALUE"""),"25 شارع الخليفة المأمون - روكسي - مصر الجديدة")</f>
        <v>25 شارع الخليفة المأمون - روكسي - مصر الجديدة</v>
      </c>
      <c r="I1079" s="6" t="str">
        <f ca="1">IFERROR(__xludf.DUMMYFUNCTION("""COMPUTED_VALUE"""),"20222906595")</f>
        <v>20222906595</v>
      </c>
      <c r="J1079" s="6"/>
      <c r="K1079" s="6" t="str">
        <f ca="1">IFERROR(__xludf.DUMMYFUNCTION("""COMPUTED_VALUE"""),"خصم 30% علي الكشف و الفحوصات، 20% علي خدمات العيادات الخارجيه، 10% علي خدمات الرعايه و العمليات علي الأسعار النقدي المعلنه.")</f>
        <v>خصم 30% علي الكشف و الفحوصات، 20% علي خدمات العيادات الخارجيه، 10% علي خدمات الرعايه و العمليات علي الأسعار النقدي المعلنه.</v>
      </c>
    </row>
    <row r="1080" spans="1:11" x14ac:dyDescent="0.25">
      <c r="A1080" s="4" t="str">
        <f ca="1">IFERROR(__xludf.DUMMYFUNCTION("""COMPUTED_VALUE"""),"104389-B")</f>
        <v>104389-B</v>
      </c>
      <c r="B1080" s="5" t="str">
        <f ca="1">IFERROR(__xludf.DUMMYFUNCTION("""COMPUTED_VALUE"""),"القاهرة")</f>
        <v>القاهرة</v>
      </c>
      <c r="C1080" s="5" t="str">
        <f ca="1">IFERROR(__xludf.DUMMYFUNCTION("""COMPUTED_VALUE"""),"القاهرة الجديدة")</f>
        <v>القاهرة الجديدة</v>
      </c>
      <c r="D1080" s="5" t="str">
        <f ca="1">IFERROR(__xludf.DUMMYFUNCTION("""COMPUTED_VALUE"""),"معمل")</f>
        <v>معمل</v>
      </c>
      <c r="E1080" s="5" t="str">
        <f ca="1">IFERROR(__xludf.DUMMYFUNCTION("""COMPUTED_VALUE"""),"معمل")</f>
        <v>معمل</v>
      </c>
      <c r="F1080" s="5" t="str">
        <f ca="1">IFERROR(__xludf.DUMMYFUNCTION("""COMPUTED_VALUE"""),"معمل التحاليل الطبية")</f>
        <v>معمل التحاليل الطبية</v>
      </c>
      <c r="G1080" s="5" t="str">
        <f ca="1">IFERROR(__xludf.DUMMYFUNCTION("""COMPUTED_VALUE"""),"معامل سبيد للتحاليل الطبية")</f>
        <v>معامل سبيد للتحاليل الطبية</v>
      </c>
      <c r="H1080" s="5" t="str">
        <f ca="1">IFERROR(__xludf.DUMMYFUNCTION("""COMPUTED_VALUE"""),"مدينة عباد الرحمن - القطامية - القاهرة")</f>
        <v>مدينة عباد الرحمن - القطامية - القاهرة</v>
      </c>
      <c r="I1080" s="6" t="str">
        <f ca="1">IFERROR(__xludf.DUMMYFUNCTION("""COMPUTED_VALUE"""),"20226909060")</f>
        <v>20226909060</v>
      </c>
      <c r="J1080" s="6" t="str">
        <f ca="1">IFERROR(__xludf.DUMMYFUNCTION("""COMPUTED_VALUE"""),"19358")</f>
        <v>19358</v>
      </c>
      <c r="K1080" s="6" t="str">
        <f ca="1">IFERROR(__xludf.DUMMYFUNCTION("""COMPUTED_VALUE"""),"خصم 30% علي جميع الخدمات علي الاسعار النقدي")</f>
        <v>خصم 30% علي جميع الخدمات علي الاسعار النقدي</v>
      </c>
    </row>
    <row r="1081" spans="1:11" x14ac:dyDescent="0.25">
      <c r="A1081" s="4" t="str">
        <f ca="1">IFERROR(__xludf.DUMMYFUNCTION("""COMPUTED_VALUE"""),"104620")</f>
        <v>104620</v>
      </c>
      <c r="B1081" s="5" t="str">
        <f ca="1">IFERROR(__xludf.DUMMYFUNCTION("""COMPUTED_VALUE"""),"القليوبية")</f>
        <v>القليوبية</v>
      </c>
      <c r="C1081" s="5" t="str">
        <f ca="1">IFERROR(__xludf.DUMMYFUNCTION("""COMPUTED_VALUE"""),"بنها")</f>
        <v>بنها</v>
      </c>
      <c r="D1081" s="5" t="str">
        <f ca="1">IFERROR(__xludf.DUMMYFUNCTION("""COMPUTED_VALUE"""),"مستشفى")</f>
        <v>مستشفى</v>
      </c>
      <c r="E1081" s="5" t="str">
        <f ca="1">IFERROR(__xludf.DUMMYFUNCTION("""COMPUTED_VALUE"""),"مستشفي طبي متكامل")</f>
        <v>مستشفي طبي متكامل</v>
      </c>
      <c r="F1081" s="5" t="str">
        <f ca="1">IFERROR(__xludf.DUMMYFUNCTION("""COMPUTED_VALUE"""),"جميع التخصصات الطبية")</f>
        <v>جميع التخصصات الطبية</v>
      </c>
      <c r="G1081" s="5" t="str">
        <f ca="1">IFERROR(__xludf.DUMMYFUNCTION("""COMPUTED_VALUE"""),"مستشفى الكويتي التخصصي")</f>
        <v>مستشفى الكويتي التخصصي</v>
      </c>
      <c r="H1081" s="5" t="str">
        <f ca="1">IFERROR(__xludf.DUMMYFUNCTION("""COMPUTED_VALUE"""),"ش عمر بن الخطاب بجوار التامين الصحي-بنها-القليوبية")</f>
        <v>ش عمر بن الخطاب بجوار التامين الصحي-بنها-القليوبية</v>
      </c>
      <c r="I1081" s="6" t="str">
        <f ca="1">IFERROR(__xludf.DUMMYFUNCTION("""COMPUTED_VALUE"""),"01022211350")</f>
        <v>01022211350</v>
      </c>
      <c r="J1081" s="6"/>
      <c r="K1081" s="6" t="str">
        <f ca="1">IFERROR(__xludf.DUMMYFUNCTION("""COMPUTED_VALUE"""),"20%على الداخلي والخارجي ,25% على خدمات الأشعة والتحاليل,15% على وحدة قسطرة القلب , 5% على الصفقات الشاملة , 10% على أتعاب الأطباء، قيمة جلسة الغسيل الكلوي 800 جنيها، ما عدا الأدوية والمستلزمات         ")</f>
        <v xml:space="preserve">20%على الداخلي والخارجي ,25% على خدمات الأشعة والتحاليل,15% على وحدة قسطرة القلب , 5% على الصفقات الشاملة , 10% على أتعاب الأطباء، قيمة جلسة الغسيل الكلوي 800 جنيها، ما عدا الأدوية والمستلزمات         </v>
      </c>
    </row>
    <row r="1082" spans="1:11" x14ac:dyDescent="0.25">
      <c r="A1082" s="4" t="str">
        <f ca="1">IFERROR(__xludf.DUMMYFUNCTION("""COMPUTED_VALUE"""),"104389-B")</f>
        <v>104389-B</v>
      </c>
      <c r="B1082" s="5" t="str">
        <f ca="1">IFERROR(__xludf.DUMMYFUNCTION("""COMPUTED_VALUE"""),"القاهرة")</f>
        <v>القاهرة</v>
      </c>
      <c r="C1082" s="5" t="str">
        <f ca="1">IFERROR(__xludf.DUMMYFUNCTION("""COMPUTED_VALUE"""),"شبرا")</f>
        <v>شبرا</v>
      </c>
      <c r="D1082" s="5" t="str">
        <f ca="1">IFERROR(__xludf.DUMMYFUNCTION("""COMPUTED_VALUE"""),"معمل")</f>
        <v>معمل</v>
      </c>
      <c r="E1082" s="5" t="str">
        <f ca="1">IFERROR(__xludf.DUMMYFUNCTION("""COMPUTED_VALUE"""),"معمل")</f>
        <v>معمل</v>
      </c>
      <c r="F1082" s="5" t="str">
        <f ca="1">IFERROR(__xludf.DUMMYFUNCTION("""COMPUTED_VALUE"""),"معمل التحاليل الطبية")</f>
        <v>معمل التحاليل الطبية</v>
      </c>
      <c r="G1082" s="5" t="str">
        <f ca="1">IFERROR(__xludf.DUMMYFUNCTION("""COMPUTED_VALUE"""),"معامل سبيد للتحاليل الطبية")</f>
        <v>معامل سبيد للتحاليل الطبية</v>
      </c>
      <c r="H1082" s="5" t="str">
        <f ca="1">IFERROR(__xludf.DUMMYFUNCTION("""COMPUTED_VALUE"""),"مركز العيون - ميدان الخلفاوي - بجوار كنتاكي - شبرا - القاهرة")</f>
        <v>مركز العيون - ميدان الخلفاوي - بجوار كنتاكي - شبرا - القاهرة</v>
      </c>
      <c r="I1082" s="6" t="str">
        <f ca="1">IFERROR(__xludf.DUMMYFUNCTION("""COMPUTED_VALUE"""),"20226909060")</f>
        <v>20226909060</v>
      </c>
      <c r="J1082" s="6" t="str">
        <f ca="1">IFERROR(__xludf.DUMMYFUNCTION("""COMPUTED_VALUE"""),"19358")</f>
        <v>19358</v>
      </c>
      <c r="K1082" s="6" t="str">
        <f ca="1">IFERROR(__xludf.DUMMYFUNCTION("""COMPUTED_VALUE"""),"خصم 30% علي جميع الخدمات علي الاسعار النقدي")</f>
        <v>خصم 30% علي جميع الخدمات علي الاسعار النقدي</v>
      </c>
    </row>
    <row r="1083" spans="1:11" x14ac:dyDescent="0.25">
      <c r="A1083" s="4" t="str">
        <f ca="1">IFERROR(__xludf.DUMMYFUNCTION("""COMPUTED_VALUE"""),"104681")</f>
        <v>104681</v>
      </c>
      <c r="B1083" s="5" t="str">
        <f ca="1">IFERROR(__xludf.DUMMYFUNCTION("""COMPUTED_VALUE"""),"القليوبية")</f>
        <v>القليوبية</v>
      </c>
      <c r="C1083" s="5" t="str">
        <f ca="1">IFERROR(__xludf.DUMMYFUNCTION("""COMPUTED_VALUE"""),"الخانكة")</f>
        <v>الخانكة</v>
      </c>
      <c r="D1083" s="5" t="str">
        <f ca="1">IFERROR(__xludf.DUMMYFUNCTION("""COMPUTED_VALUE"""),"مجمع عيادات")</f>
        <v>مجمع عيادات</v>
      </c>
      <c r="E1083" s="5" t="str">
        <f ca="1">IFERROR(__xludf.DUMMYFUNCTION("""COMPUTED_VALUE"""),"جميع التخصصات")</f>
        <v>جميع التخصصات</v>
      </c>
      <c r="F1083" s="5" t="str">
        <f ca="1">IFERROR(__xludf.DUMMYFUNCTION("""COMPUTED_VALUE"""),"جميع التخصصات الطبية")</f>
        <v>جميع التخصصات الطبية</v>
      </c>
      <c r="G1083" s="5" t="str">
        <f ca="1">IFERROR(__xludf.DUMMYFUNCTION("""COMPUTED_VALUE"""),"مركز درة الطبي  - د/أحمد محمود اسماعيل")</f>
        <v>مركز درة الطبي  - د/أحمد محمود اسماعيل</v>
      </c>
      <c r="H1083" s="5" t="str">
        <f ca="1">IFERROR(__xludf.DUMMYFUNCTION("""COMPUTED_VALUE"""),"الخصوص - شارع صبحى فهيم- من شارع الصرف الصحى-الخانكة")</f>
        <v>الخصوص - شارع صبحى فهيم- من شارع الصرف الصحى-الخانكة</v>
      </c>
      <c r="I1083" s="6" t="str">
        <f ca="1">IFERROR(__xludf.DUMMYFUNCTION("""COMPUTED_VALUE"""),"01014424165")</f>
        <v>01014424165</v>
      </c>
      <c r="J1083" s="6"/>
      <c r="K1083" s="6" t="str">
        <f ca="1">IFERROR(__xludf.DUMMYFUNCTION("""COMPUTED_VALUE"""),"الكشف50جنية مؤسسه.2015")</f>
        <v>الكشف50جنية مؤسسه.2015</v>
      </c>
    </row>
    <row r="1084" spans="1:11" x14ac:dyDescent="0.25">
      <c r="A1084" s="4" t="str">
        <f ca="1">IFERROR(__xludf.DUMMYFUNCTION("""COMPUTED_VALUE"""),"104683")</f>
        <v>104683</v>
      </c>
      <c r="B1084" s="5" t="str">
        <f ca="1">IFERROR(__xludf.DUMMYFUNCTION("""COMPUTED_VALUE"""),"الإسماعيلية")</f>
        <v>الإسماعيلية</v>
      </c>
      <c r="C1084" s="5" t="str">
        <f ca="1">IFERROR(__xludf.DUMMYFUNCTION("""COMPUTED_VALUE"""),"الإسماعيلية")</f>
        <v>الإسماعيلية</v>
      </c>
      <c r="D1084" s="5" t="str">
        <f ca="1">IFERROR(__xludf.DUMMYFUNCTION("""COMPUTED_VALUE"""),"مجمع عيادات")</f>
        <v>مجمع عيادات</v>
      </c>
      <c r="E1084" s="5" t="str">
        <f ca="1">IFERROR(__xludf.DUMMYFUNCTION("""COMPUTED_VALUE"""),"جميع التخصصات")</f>
        <v>جميع التخصصات</v>
      </c>
      <c r="F1084" s="5" t="str">
        <f ca="1">IFERROR(__xludf.DUMMYFUNCTION("""COMPUTED_VALUE"""),"جميع التخصصات الطبية")</f>
        <v>جميع التخصصات الطبية</v>
      </c>
      <c r="G1084" s="5" t="str">
        <f ca="1">IFERROR(__xludf.DUMMYFUNCTION("""COMPUTED_VALUE"""),"مجمع المنار الطبى")</f>
        <v>مجمع المنار الطبى</v>
      </c>
      <c r="H1084" s="5" t="str">
        <f ca="1">IFERROR(__xludf.DUMMYFUNCTION("""COMPUTED_VALUE"""),"شارع عرب الهنادي- جاردن سيتى24 الشيخ زايد- الاسماعيلية")</f>
        <v>شارع عرب الهنادي- جاردن سيتى24 الشيخ زايد- الاسماعيلية</v>
      </c>
      <c r="I1084" s="6" t="str">
        <f ca="1">IFERROR(__xludf.DUMMYFUNCTION("""COMPUTED_VALUE"""),"201013005572")</f>
        <v>201013005572</v>
      </c>
      <c r="J1084" s="6"/>
      <c r="K1084" s="6" t="str">
        <f ca="1">IFERROR(__xludf.DUMMYFUNCTION("""COMPUTED_VALUE"""),"الكشف:75 جنية,نقابه 2017")</f>
        <v>الكشف:75 جنية,نقابه 2017</v>
      </c>
    </row>
    <row r="1085" spans="1:11" x14ac:dyDescent="0.25">
      <c r="A1085" s="4" t="str">
        <f ca="1">IFERROR(__xludf.DUMMYFUNCTION("""COMPUTED_VALUE"""),"104757")</f>
        <v>104757</v>
      </c>
      <c r="B1085" s="5" t="str">
        <f ca="1">IFERROR(__xludf.DUMMYFUNCTION("""COMPUTED_VALUE"""),"الجيزة")</f>
        <v>الجيزة</v>
      </c>
      <c r="C1085" s="5" t="str">
        <f ca="1">IFERROR(__xludf.DUMMYFUNCTION("""COMPUTED_VALUE"""),"فيصل")</f>
        <v>فيصل</v>
      </c>
      <c r="D1085" s="5" t="str">
        <f ca="1">IFERROR(__xludf.DUMMYFUNCTION("""COMPUTED_VALUE"""),"مجمع عيادات")</f>
        <v>مجمع عيادات</v>
      </c>
      <c r="E1085" s="5" t="str">
        <f ca="1">IFERROR(__xludf.DUMMYFUNCTION("""COMPUTED_VALUE"""),"جميع التخصصات")</f>
        <v>جميع التخصصات</v>
      </c>
      <c r="F1085" s="5" t="str">
        <f ca="1">IFERROR(__xludf.DUMMYFUNCTION("""COMPUTED_VALUE"""),"جميع التخصصات الطبية")</f>
        <v>جميع التخصصات الطبية</v>
      </c>
      <c r="G1085" s="5" t="str">
        <f ca="1">IFERROR(__xludf.DUMMYFUNCTION("""COMPUTED_VALUE"""),"عيادات ومعمل مصر ( شركة ريفرنس لاب)")</f>
        <v>عيادات ومعمل مصر ( شركة ريفرنس لاب)</v>
      </c>
      <c r="H1085" s="5" t="str">
        <f ca="1">IFERROR(__xludf.DUMMYFUNCTION("""COMPUTED_VALUE"""),"128 شارع فيصل - امام ش المستشفى- الدور الرابع - اعلى اديداس- فيصل - الجيزة")</f>
        <v>128 شارع فيصل - امام ش المستشفى- الدور الرابع - اعلى اديداس- فيصل - الجيزة</v>
      </c>
      <c r="I1085" s="6" t="str">
        <f ca="1">IFERROR(__xludf.DUMMYFUNCTION("""COMPUTED_VALUE"""),"20237420709")</f>
        <v>20237420709</v>
      </c>
      <c r="J1085" s="6"/>
      <c r="K1085" s="6" t="str">
        <f ca="1">IFERROR(__xludf.DUMMYFUNCTION("""COMPUTED_VALUE"""),"35% علي الكشف و التحاليل علي الأسعار النقدي المعلنه")</f>
        <v>35% علي الكشف و التحاليل علي الأسعار النقدي المعلنه</v>
      </c>
    </row>
    <row r="1086" spans="1:11" x14ac:dyDescent="0.25">
      <c r="A1086" s="4" t="str">
        <f ca="1">IFERROR(__xludf.DUMMYFUNCTION("""COMPUTED_VALUE"""),"104758")</f>
        <v>104758</v>
      </c>
      <c r="B1086" s="5" t="str">
        <f ca="1">IFERROR(__xludf.DUMMYFUNCTION("""COMPUTED_VALUE"""),"القليوبية")</f>
        <v>القليوبية</v>
      </c>
      <c r="C1086" s="5" t="str">
        <f ca="1">IFERROR(__xludf.DUMMYFUNCTION("""COMPUTED_VALUE"""),"بنها")</f>
        <v>بنها</v>
      </c>
      <c r="D1086" s="5" t="str">
        <f ca="1">IFERROR(__xludf.DUMMYFUNCTION("""COMPUTED_VALUE"""),"مستشفى")</f>
        <v>مستشفى</v>
      </c>
      <c r="E1086" s="5" t="str">
        <f ca="1">IFERROR(__xludf.DUMMYFUNCTION("""COMPUTED_VALUE"""),"مستشفي طبي متكامل")</f>
        <v>مستشفي طبي متكامل</v>
      </c>
      <c r="F1086" s="5" t="str">
        <f ca="1">IFERROR(__xludf.DUMMYFUNCTION("""COMPUTED_VALUE"""),"جميع التخصصات الطبية")</f>
        <v>جميع التخصصات الطبية</v>
      </c>
      <c r="G1086" s="5" t="str">
        <f ca="1">IFERROR(__xludf.DUMMYFUNCTION("""COMPUTED_VALUE"""),"شركة السلام التخصصي ( عيادات دار الطب التخصصية)")</f>
        <v>شركة السلام التخصصي ( عيادات دار الطب التخصصية)</v>
      </c>
      <c r="H1086" s="5" t="str">
        <f ca="1">IFERROR(__xludf.DUMMYFUNCTION("""COMPUTED_VALUE"""),"أمام مستشفى الصحة النفسية - بجوار جامع عمر بن الخطاب (1ش فتحي غريب) - بنها الجديدة - القليوبية")</f>
        <v>أمام مستشفى الصحة النفسية - بجوار جامع عمر بن الخطاب (1ش فتحي غريب) - بنها الجديدة - القليوبية</v>
      </c>
      <c r="I1086" s="6" t="str">
        <f ca="1">IFERROR(__xludf.DUMMYFUNCTION("""COMPUTED_VALUE"""),"01014666810")</f>
        <v>01014666810</v>
      </c>
      <c r="J1086" s="6"/>
      <c r="K1086" s="6" t="str">
        <f ca="1">IFERROR(__xludf.DUMMYFUNCTION("""COMPUTED_VALUE"""),"20% نسبة خصم")</f>
        <v>20% نسبة خصم</v>
      </c>
    </row>
    <row r="1087" spans="1:11" x14ac:dyDescent="0.25">
      <c r="A1087" s="4" t="str">
        <f ca="1">IFERROR(__xludf.DUMMYFUNCTION("""COMPUTED_VALUE"""),"104779")</f>
        <v>104779</v>
      </c>
      <c r="B1087" s="5" t="str">
        <f ca="1">IFERROR(__xludf.DUMMYFUNCTION("""COMPUTED_VALUE"""),"المنيا")</f>
        <v>المنيا</v>
      </c>
      <c r="C1087" s="5" t="str">
        <f ca="1">IFERROR(__xludf.DUMMYFUNCTION("""COMPUTED_VALUE"""),"بني مزار")</f>
        <v>بني مزار</v>
      </c>
      <c r="D1087" s="5" t="str">
        <f ca="1">IFERROR(__xludf.DUMMYFUNCTION("""COMPUTED_VALUE"""),"مستشفى")</f>
        <v>مستشفى</v>
      </c>
      <c r="E1087" s="5" t="str">
        <f ca="1">IFERROR(__xludf.DUMMYFUNCTION("""COMPUTED_VALUE"""),"مستشفي طبي متكامل")</f>
        <v>مستشفي طبي متكامل</v>
      </c>
      <c r="F1087" s="5" t="str">
        <f ca="1">IFERROR(__xludf.DUMMYFUNCTION("""COMPUTED_VALUE"""),"جميع التخصصات الطبية")</f>
        <v>جميع التخصصات الطبية</v>
      </c>
      <c r="G1087" s="5" t="str">
        <f ca="1">IFERROR(__xludf.DUMMYFUNCTION("""COMPUTED_VALUE"""),"مستشفى الصفوة - بني مزار")</f>
        <v>مستشفى الصفوة - بني مزار</v>
      </c>
      <c r="H1087" s="5" t="str">
        <f ca="1">IFERROR(__xludf.DUMMYFUNCTION("""COMPUTED_VALUE"""),"شارع العاشر من رمضان - الفوالة - بجوار بنك التنمية والائتمان الزراعي - بني مزار - المنيا")</f>
        <v>شارع العاشر من رمضان - الفوالة - بجوار بنك التنمية والائتمان الزراعي - بني مزار - المنيا</v>
      </c>
      <c r="I1087" s="6" t="str">
        <f ca="1">IFERROR(__xludf.DUMMYFUNCTION("""COMPUTED_VALUE"""),"20867825599")</f>
        <v>20867825599</v>
      </c>
      <c r="J1087" s="6"/>
      <c r="K1087" s="6" t="str">
        <f ca="1">IFERROR(__xludf.DUMMYFUNCTION("""COMPUTED_VALUE"""),"نقابه 2012")</f>
        <v>نقابه 2012</v>
      </c>
    </row>
    <row r="1088" spans="1:11" x14ac:dyDescent="0.25">
      <c r="A1088" s="4" t="str">
        <f ca="1">IFERROR(__xludf.DUMMYFUNCTION("""COMPUTED_VALUE"""),"104781")</f>
        <v>104781</v>
      </c>
      <c r="B1088" s="5" t="str">
        <f ca="1">IFERROR(__xludf.DUMMYFUNCTION("""COMPUTED_VALUE"""),"القاهرة")</f>
        <v>القاهرة</v>
      </c>
      <c r="C1088" s="5" t="str">
        <f ca="1">IFERROR(__xludf.DUMMYFUNCTION("""COMPUTED_VALUE"""),"المعادى")</f>
        <v>المعادى</v>
      </c>
      <c r="D1088" s="5" t="str">
        <f ca="1">IFERROR(__xludf.DUMMYFUNCTION("""COMPUTED_VALUE"""),"مستشفى")</f>
        <v>مستشفى</v>
      </c>
      <c r="E1088" s="5" t="str">
        <f ca="1">IFERROR(__xludf.DUMMYFUNCTION("""COMPUTED_VALUE"""),"مستشفي طبي متكامل")</f>
        <v>مستشفي طبي متكامل</v>
      </c>
      <c r="F1088" s="5" t="str">
        <f ca="1">IFERROR(__xludf.DUMMYFUNCTION("""COMPUTED_VALUE"""),"جميع التخصصات الطبية")</f>
        <v>جميع التخصصات الطبية</v>
      </c>
      <c r="G1088" s="5" t="str">
        <f ca="1">IFERROR(__xludf.DUMMYFUNCTION("""COMPUTED_VALUE"""),"مستشفى الياسمين ( المنارة للخدمات الطبية )")</f>
        <v>مستشفى الياسمين ( المنارة للخدمات الطبية )</v>
      </c>
      <c r="H1088" s="5" t="str">
        <f ca="1">IFERROR(__xludf.DUMMYFUNCTION("""COMPUTED_VALUE"""),"شارع الجزائر - الشطر العاشر - المعادي الجديدة")</f>
        <v>شارع الجزائر - الشطر العاشر - المعادي الجديدة</v>
      </c>
      <c r="I1088" s="6" t="str">
        <f ca="1">IFERROR(__xludf.DUMMYFUNCTION("""COMPUTED_VALUE"""),"20227040180")</f>
        <v>20227040180</v>
      </c>
      <c r="J1088" s="6"/>
      <c r="K1088" s="6" t="str">
        <f ca="1">IFERROR(__xludf.DUMMYFUNCTION("""COMPUTED_VALUE"""),"10%على جميع الخدمات ماعدا المستلزمات الطبية والأدوية واتعاب الأطباء وبنك الدم ")</f>
        <v xml:space="preserve">10%على جميع الخدمات ماعدا المستلزمات الطبية والأدوية واتعاب الأطباء وبنك الدم </v>
      </c>
    </row>
    <row r="1089" spans="1:11" x14ac:dyDescent="0.25">
      <c r="A1089" s="4" t="str">
        <f ca="1">IFERROR(__xludf.DUMMYFUNCTION("""COMPUTED_VALUE"""),"104389-B")</f>
        <v>104389-B</v>
      </c>
      <c r="B1089" s="5" t="str">
        <f ca="1">IFERROR(__xludf.DUMMYFUNCTION("""COMPUTED_VALUE"""),"الجيزة")</f>
        <v>الجيزة</v>
      </c>
      <c r="C1089" s="5" t="str">
        <f ca="1">IFERROR(__xludf.DUMMYFUNCTION("""COMPUTED_VALUE"""),"فيصل")</f>
        <v>فيصل</v>
      </c>
      <c r="D1089" s="5" t="str">
        <f ca="1">IFERROR(__xludf.DUMMYFUNCTION("""COMPUTED_VALUE"""),"معمل")</f>
        <v>معمل</v>
      </c>
      <c r="E1089" s="5" t="str">
        <f ca="1">IFERROR(__xludf.DUMMYFUNCTION("""COMPUTED_VALUE"""),"معمل")</f>
        <v>معمل</v>
      </c>
      <c r="F1089" s="5" t="str">
        <f ca="1">IFERROR(__xludf.DUMMYFUNCTION("""COMPUTED_VALUE"""),"معمل التحاليل الطبية")</f>
        <v>معمل التحاليل الطبية</v>
      </c>
      <c r="G1089" s="5" t="str">
        <f ca="1">IFERROR(__xludf.DUMMYFUNCTION("""COMPUTED_VALUE"""),"معامل سبيد للتحاليل الطبية")</f>
        <v>معامل سبيد للتحاليل الطبية</v>
      </c>
      <c r="H1089" s="5" t="str">
        <f ca="1">IFERROR(__xludf.DUMMYFUNCTION("""COMPUTED_VALUE"""),"داخل مستشفى تبارك - المريوطية - فيصل")</f>
        <v>داخل مستشفى تبارك - المريوطية - فيصل</v>
      </c>
      <c r="I1089" s="6" t="str">
        <f ca="1">IFERROR(__xludf.DUMMYFUNCTION("""COMPUTED_VALUE"""),"20226909060")</f>
        <v>20226909060</v>
      </c>
      <c r="J1089" s="6" t="str">
        <f ca="1">IFERROR(__xludf.DUMMYFUNCTION("""COMPUTED_VALUE"""),"19358")</f>
        <v>19358</v>
      </c>
      <c r="K1089" s="6" t="str">
        <f ca="1">IFERROR(__xludf.DUMMYFUNCTION("""COMPUTED_VALUE"""),"خصم 30% علي جميع الخدمات علي الاسعار النقدي")</f>
        <v>خصم 30% علي جميع الخدمات علي الاسعار النقدي</v>
      </c>
    </row>
    <row r="1090" spans="1:11" x14ac:dyDescent="0.25">
      <c r="A1090" s="4" t="str">
        <f ca="1">IFERROR(__xludf.DUMMYFUNCTION("""COMPUTED_VALUE"""),"104389-B")</f>
        <v>104389-B</v>
      </c>
      <c r="B1090" s="5" t="str">
        <f ca="1">IFERROR(__xludf.DUMMYFUNCTION("""COMPUTED_VALUE"""),"القاهرة")</f>
        <v>القاهرة</v>
      </c>
      <c r="C1090" s="5" t="str">
        <f ca="1">IFERROR(__xludf.DUMMYFUNCTION("""COMPUTED_VALUE"""),"حلمية الزيتون")</f>
        <v>حلمية الزيتون</v>
      </c>
      <c r="D1090" s="5" t="str">
        <f ca="1">IFERROR(__xludf.DUMMYFUNCTION("""COMPUTED_VALUE"""),"معمل")</f>
        <v>معمل</v>
      </c>
      <c r="E1090" s="5" t="str">
        <f ca="1">IFERROR(__xludf.DUMMYFUNCTION("""COMPUTED_VALUE"""),"معمل")</f>
        <v>معمل</v>
      </c>
      <c r="F1090" s="5" t="str">
        <f ca="1">IFERROR(__xludf.DUMMYFUNCTION("""COMPUTED_VALUE"""),"معمل التحاليل الطبية")</f>
        <v>معمل التحاليل الطبية</v>
      </c>
      <c r="G1090" s="5" t="str">
        <f ca="1">IFERROR(__xludf.DUMMYFUNCTION("""COMPUTED_VALUE"""),"معامل سبيد للتحاليل الطبية")</f>
        <v>معامل سبيد للتحاليل الطبية</v>
      </c>
      <c r="H1090" s="5" t="str">
        <f ca="1">IFERROR(__xludf.DUMMYFUNCTION("""COMPUTED_VALUE"""),"81ش سليم الاول - برج الفهيم - الدور الاول - اعلى صيدلية محمد فهيم - حلمية الزيتون - القاهرة")</f>
        <v>81ش سليم الاول - برج الفهيم - الدور الاول - اعلى صيدلية محمد فهيم - حلمية الزيتون - القاهرة</v>
      </c>
      <c r="I1090" s="6" t="str">
        <f ca="1">IFERROR(__xludf.DUMMYFUNCTION("""COMPUTED_VALUE"""),"20226909060")</f>
        <v>20226909060</v>
      </c>
      <c r="J1090" s="6" t="str">
        <f ca="1">IFERROR(__xludf.DUMMYFUNCTION("""COMPUTED_VALUE"""),"19358")</f>
        <v>19358</v>
      </c>
      <c r="K1090" s="6" t="str">
        <f ca="1">IFERROR(__xludf.DUMMYFUNCTION("""COMPUTED_VALUE"""),"خصم 30% علي جميع الخدمات علي الاسعار النقدي")</f>
        <v>خصم 30% علي جميع الخدمات علي الاسعار النقدي</v>
      </c>
    </row>
    <row r="1091" spans="1:11" x14ac:dyDescent="0.25">
      <c r="A1091" s="4" t="str">
        <f ca="1">IFERROR(__xludf.DUMMYFUNCTION("""COMPUTED_VALUE"""),"104389-B")</f>
        <v>104389-B</v>
      </c>
      <c r="B1091" s="5" t="str">
        <f ca="1">IFERROR(__xludf.DUMMYFUNCTION("""COMPUTED_VALUE"""),"الجيزة")</f>
        <v>الجيزة</v>
      </c>
      <c r="C1091" s="5" t="str">
        <f ca="1">IFERROR(__xludf.DUMMYFUNCTION("""COMPUTED_VALUE"""),"المهندسين")</f>
        <v>المهندسين</v>
      </c>
      <c r="D1091" s="5" t="str">
        <f ca="1">IFERROR(__xludf.DUMMYFUNCTION("""COMPUTED_VALUE"""),"معمل")</f>
        <v>معمل</v>
      </c>
      <c r="E1091" s="5" t="str">
        <f ca="1">IFERROR(__xludf.DUMMYFUNCTION("""COMPUTED_VALUE"""),"معمل")</f>
        <v>معمل</v>
      </c>
      <c r="F1091" s="5" t="str">
        <f ca="1">IFERROR(__xludf.DUMMYFUNCTION("""COMPUTED_VALUE"""),"معمل التحاليل الطبية")</f>
        <v>معمل التحاليل الطبية</v>
      </c>
      <c r="G1091" s="5" t="str">
        <f ca="1">IFERROR(__xludf.DUMMYFUNCTION("""COMPUTED_VALUE"""),"معامل سبيد للتحاليل الطبية")</f>
        <v>معامل سبيد للتحاليل الطبية</v>
      </c>
      <c r="H1091" s="5" t="str">
        <f ca="1">IFERROR(__xludf.DUMMYFUNCTION("""COMPUTED_VALUE"""),"55ش عبد المنعم رياض الدور 12 - برج الاطباء - المهندسين")</f>
        <v>55ش عبد المنعم رياض الدور 12 - برج الاطباء - المهندسين</v>
      </c>
      <c r="I1091" s="6" t="str">
        <f ca="1">IFERROR(__xludf.DUMMYFUNCTION("""COMPUTED_VALUE"""),"20226909060")</f>
        <v>20226909060</v>
      </c>
      <c r="J1091" s="6" t="str">
        <f ca="1">IFERROR(__xludf.DUMMYFUNCTION("""COMPUTED_VALUE"""),"19358")</f>
        <v>19358</v>
      </c>
      <c r="K1091" s="6" t="str">
        <f ca="1">IFERROR(__xludf.DUMMYFUNCTION("""COMPUTED_VALUE"""),"خصم 30% علي جميع الخدمات علي الاسعار النقدي")</f>
        <v>خصم 30% علي جميع الخدمات علي الاسعار النقدي</v>
      </c>
    </row>
    <row r="1092" spans="1:11" x14ac:dyDescent="0.25">
      <c r="A1092" s="4" t="str">
        <f ca="1">IFERROR(__xludf.DUMMYFUNCTION("""COMPUTED_VALUE"""),"104389-B")</f>
        <v>104389-B</v>
      </c>
      <c r="B1092" s="5" t="str">
        <f ca="1">IFERROR(__xludf.DUMMYFUNCTION("""COMPUTED_VALUE"""),"القاهرة")</f>
        <v>القاهرة</v>
      </c>
      <c r="C1092" s="5" t="str">
        <f ca="1">IFERROR(__xludf.DUMMYFUNCTION("""COMPUTED_VALUE"""),"مصر الجديدة")</f>
        <v>مصر الجديدة</v>
      </c>
      <c r="D1092" s="5" t="str">
        <f ca="1">IFERROR(__xludf.DUMMYFUNCTION("""COMPUTED_VALUE"""),"معمل")</f>
        <v>معمل</v>
      </c>
      <c r="E1092" s="5" t="str">
        <f ca="1">IFERROR(__xludf.DUMMYFUNCTION("""COMPUTED_VALUE"""),"معمل")</f>
        <v>معمل</v>
      </c>
      <c r="F1092" s="5" t="str">
        <f ca="1">IFERROR(__xludf.DUMMYFUNCTION("""COMPUTED_VALUE"""),"معمل التحاليل الطبية")</f>
        <v>معمل التحاليل الطبية</v>
      </c>
      <c r="G1092" s="5" t="str">
        <f ca="1">IFERROR(__xludf.DUMMYFUNCTION("""COMPUTED_VALUE"""),"معامل سبيد للتحاليل الطبية")</f>
        <v>معامل سبيد للتحاليل الطبية</v>
      </c>
      <c r="H1092" s="5" t="str">
        <f ca="1">IFERROR(__xludf.DUMMYFUNCTION("""COMPUTED_VALUE"""),"45 شارع الثورة - امام سنترال الماظه - داخل مركز ايليت - مصر الجديدة")</f>
        <v>45 شارع الثورة - امام سنترال الماظه - داخل مركز ايليت - مصر الجديدة</v>
      </c>
      <c r="I1092" s="6"/>
      <c r="J1092" s="6" t="str">
        <f ca="1">IFERROR(__xludf.DUMMYFUNCTION("""COMPUTED_VALUE"""),"19358")</f>
        <v>19358</v>
      </c>
      <c r="K1092" s="6" t="str">
        <f ca="1">IFERROR(__xludf.DUMMYFUNCTION("""COMPUTED_VALUE"""),"خصم 30% علي جميع الخدمات علي الاسعار النقدي")</f>
        <v>خصم 30% علي جميع الخدمات علي الاسعار النقدي</v>
      </c>
    </row>
    <row r="1093" spans="1:11" x14ac:dyDescent="0.25">
      <c r="A1093" s="4" t="str">
        <f ca="1">IFERROR(__xludf.DUMMYFUNCTION("""COMPUTED_VALUE"""),"104812")</f>
        <v>104812</v>
      </c>
      <c r="B1093" s="5" t="str">
        <f ca="1">IFERROR(__xludf.DUMMYFUNCTION("""COMPUTED_VALUE"""),"القاهرة")</f>
        <v>القاهرة</v>
      </c>
      <c r="C1093" s="5" t="str">
        <f ca="1">IFERROR(__xludf.DUMMYFUNCTION("""COMPUTED_VALUE"""),"القاهرة الجديدة")</f>
        <v>القاهرة الجديدة</v>
      </c>
      <c r="D1093" s="5" t="str">
        <f ca="1">IFERROR(__xludf.DUMMYFUNCTION("""COMPUTED_VALUE"""),"مستشفى")</f>
        <v>مستشفى</v>
      </c>
      <c r="E1093" s="5" t="str">
        <f ca="1">IFERROR(__xludf.DUMMYFUNCTION("""COMPUTED_VALUE"""),"مستشفي طبي متخصص")</f>
        <v>مستشفي طبي متخصص</v>
      </c>
      <c r="F1093" s="5" t="str">
        <f ca="1">IFERROR(__xludf.DUMMYFUNCTION("""COMPUTED_VALUE"""),"نساء وتوليد")</f>
        <v>نساء وتوليد</v>
      </c>
      <c r="G1093" s="5" t="str">
        <f ca="1">IFERROR(__xludf.DUMMYFUNCTION("""COMPUTED_VALUE"""),"مستشفى كوينز رويال ( كوينز ميديكال للخدمات الطبية )")</f>
        <v>مستشفى كوينز رويال ( كوينز ميديكال للخدمات الطبية )</v>
      </c>
      <c r="H1093" s="5" t="str">
        <f ca="1">IFERROR(__xludf.DUMMYFUNCTION("""COMPUTED_VALUE"""),"شارع التسعين - خلف المستشفى الجوي - التجمع الخامس- القاهرة الجديدة - القاهرة")</f>
        <v>شارع التسعين - خلف المستشفى الجوي - التجمع الخامس- القاهرة الجديدة - القاهرة</v>
      </c>
      <c r="I1093" s="6" t="str">
        <f ca="1">IFERROR(__xludf.DUMMYFUNCTION("""COMPUTED_VALUE"""),"0228124234")</f>
        <v>0228124234</v>
      </c>
      <c r="J1093" s="6" t="str">
        <f ca="1">IFERROR(__xludf.DUMMYFUNCTION("""COMPUTED_VALUE"""),"15679")</f>
        <v>15679</v>
      </c>
      <c r="K1093" s="6" t="str">
        <f ca="1">IFERROR(__xludf.DUMMYFUNCTION("""COMPUTED_VALUE"""),"10% على الكشف في العيادات الخارجية,15% على خدمات التحاليل الطبية        ")</f>
        <v xml:space="preserve">10% على الكشف في العيادات الخارجية,15% على خدمات التحاليل الطبية        </v>
      </c>
    </row>
    <row r="1094" spans="1:11" x14ac:dyDescent="0.25">
      <c r="A1094" s="4" t="str">
        <f ca="1">IFERROR(__xludf.DUMMYFUNCTION("""COMPUTED_VALUE"""),"104862")</f>
        <v>104862</v>
      </c>
      <c r="B1094" s="5" t="str">
        <f ca="1">IFERROR(__xludf.DUMMYFUNCTION("""COMPUTED_VALUE"""),"الجيزة")</f>
        <v>الجيزة</v>
      </c>
      <c r="C1094" s="5" t="str">
        <f ca="1">IFERROR(__xludf.DUMMYFUNCTION("""COMPUTED_VALUE"""),"الجيزة")</f>
        <v>الجيزة</v>
      </c>
      <c r="D1094" s="5" t="str">
        <f ca="1">IFERROR(__xludf.DUMMYFUNCTION("""COMPUTED_VALUE"""),"مستشفى")</f>
        <v>مستشفى</v>
      </c>
      <c r="E1094" s="5" t="str">
        <f ca="1">IFERROR(__xludf.DUMMYFUNCTION("""COMPUTED_VALUE"""),"مستشفي طبي متكامل")</f>
        <v>مستشفي طبي متكامل</v>
      </c>
      <c r="F1094" s="5" t="str">
        <f ca="1">IFERROR(__xludf.DUMMYFUNCTION("""COMPUTED_VALUE"""),"جميع التخصصات الطبية")</f>
        <v>جميع التخصصات الطبية</v>
      </c>
      <c r="G1094" s="5" t="str">
        <f ca="1">IFERROR(__xludf.DUMMYFUNCTION("""COMPUTED_VALUE"""),"د/محمد السيد عبد الحليم الغزلان (مستشفى الغزلانى)")</f>
        <v>د/محمد السيد عبد الحليم الغزلان (مستشفى الغزلانى)</v>
      </c>
      <c r="H1094" s="5" t="str">
        <f ca="1">IFERROR(__xludf.DUMMYFUNCTION("""COMPUTED_VALUE"""),"موقف كرداسة-كرداسة-الجيزة")</f>
        <v>موقف كرداسة-كرداسة-الجيزة</v>
      </c>
      <c r="I1094" s="6" t="str">
        <f ca="1">IFERROR(__xludf.DUMMYFUNCTION("""COMPUTED_VALUE"""),"201009903101")</f>
        <v>201009903101</v>
      </c>
      <c r="J1094" s="6"/>
      <c r="K1094" s="6" t="str">
        <f ca="1">IFERROR(__xludf.DUMMYFUNCTION("""COMPUTED_VALUE"""),"المؤسسه العلاجيه 2016, الكشف 50 جنية")</f>
        <v>المؤسسه العلاجيه 2016, الكشف 50 جنية</v>
      </c>
    </row>
    <row r="1095" spans="1:11" x14ac:dyDescent="0.25">
      <c r="A1095" s="4" t="str">
        <f ca="1">IFERROR(__xludf.DUMMYFUNCTION("""COMPUTED_VALUE"""),"104858")</f>
        <v>104858</v>
      </c>
      <c r="B1095" s="5" t="str">
        <f ca="1">IFERROR(__xludf.DUMMYFUNCTION("""COMPUTED_VALUE"""),"الجيزة")</f>
        <v>الجيزة</v>
      </c>
      <c r="C1095" s="5" t="str">
        <f ca="1">IFERROR(__xludf.DUMMYFUNCTION("""COMPUTED_VALUE"""),"الدقي")</f>
        <v>الدقي</v>
      </c>
      <c r="D1095" s="5" t="str">
        <f ca="1">IFERROR(__xludf.DUMMYFUNCTION("""COMPUTED_VALUE"""),"مستشفى")</f>
        <v>مستشفى</v>
      </c>
      <c r="E1095" s="5" t="str">
        <f ca="1">IFERROR(__xludf.DUMMYFUNCTION("""COMPUTED_VALUE"""),"مستشفي طبي متكامل")</f>
        <v>مستشفي طبي متكامل</v>
      </c>
      <c r="F1095" s="5" t="str">
        <f ca="1">IFERROR(__xludf.DUMMYFUNCTION("""COMPUTED_VALUE"""),"جميع التخصصات الطبية")</f>
        <v>جميع التخصصات الطبية</v>
      </c>
      <c r="G1095" s="5" t="str">
        <f ca="1">IFERROR(__xludf.DUMMYFUNCTION("""COMPUTED_VALUE"""),"مستشفى ابن سينا التخصصي")</f>
        <v>مستشفى ابن سينا التخصصي</v>
      </c>
      <c r="H1095" s="5" t="str">
        <f ca="1">IFERROR(__xludf.DUMMYFUNCTION("""COMPUTED_VALUE"""),"24 شارع مصدق -الدقى -الجيزة")</f>
        <v>24 شارع مصدق -الدقى -الجيزة</v>
      </c>
      <c r="I1095" s="6" t="str">
        <f ca="1">IFERROR(__xludf.DUMMYFUNCTION("""COMPUTED_VALUE"""),"0237496317")</f>
        <v>0237496317</v>
      </c>
      <c r="J1095" s="6" t="str">
        <f ca="1">IFERROR(__xludf.DUMMYFUNCTION("""COMPUTED_VALUE"""),"16205")</f>
        <v>16205</v>
      </c>
      <c r="K1095" s="6" t="str">
        <f ca="1">IFERROR(__xludf.DUMMYFUNCTION("""COMPUTED_VALUE"""),"تم الاتفاق علي خصم40% داخلي وخارجي")</f>
        <v>تم الاتفاق علي خصم40% داخلي وخارجي</v>
      </c>
    </row>
    <row r="1096" spans="1:11" x14ac:dyDescent="0.25">
      <c r="A1096" s="4" t="str">
        <f ca="1">IFERROR(__xludf.DUMMYFUNCTION("""COMPUTED_VALUE"""),"104898")</f>
        <v>104898</v>
      </c>
      <c r="B1096" s="5" t="str">
        <f ca="1">IFERROR(__xludf.DUMMYFUNCTION("""COMPUTED_VALUE"""),"الشرقية")</f>
        <v>الشرقية</v>
      </c>
      <c r="C1096" s="5" t="str">
        <f ca="1">IFERROR(__xludf.DUMMYFUNCTION("""COMPUTED_VALUE"""),"كفر صقر")</f>
        <v>كفر صقر</v>
      </c>
      <c r="D1096" s="5" t="str">
        <f ca="1">IFERROR(__xludf.DUMMYFUNCTION("""COMPUTED_VALUE"""),"مستشفى")</f>
        <v>مستشفى</v>
      </c>
      <c r="E1096" s="5" t="str">
        <f ca="1">IFERROR(__xludf.DUMMYFUNCTION("""COMPUTED_VALUE"""),"مستشفي طبي متكامل")</f>
        <v>مستشفي طبي متكامل</v>
      </c>
      <c r="F1096" s="5" t="str">
        <f ca="1">IFERROR(__xludf.DUMMYFUNCTION("""COMPUTED_VALUE"""),"جميع التخصصات الطبية")</f>
        <v>جميع التخصصات الطبية</v>
      </c>
      <c r="G1096" s="5" t="str">
        <f ca="1">IFERROR(__xludf.DUMMYFUNCTION("""COMPUTED_VALUE"""),"مستشفى مكة التخصصى")</f>
        <v>مستشفى مكة التخصصى</v>
      </c>
      <c r="H1096" s="5" t="str">
        <f ca="1">IFERROR(__xludf.DUMMYFUNCTION("""COMPUTED_VALUE"""),"خليج 37 بجوار وحدة مرور اولاد صقر - مركز اولاد صقر- الشرقية")</f>
        <v>خليج 37 بجوار وحدة مرور اولاد صقر - مركز اولاد صقر- الشرقية</v>
      </c>
      <c r="I1096" s="6" t="str">
        <f ca="1">IFERROR(__xludf.DUMMYFUNCTION("""COMPUTED_VALUE"""),"20553464399")</f>
        <v>20553464399</v>
      </c>
      <c r="J1096" s="6"/>
      <c r="K1096" s="6" t="str">
        <f ca="1">IFERROR(__xludf.DUMMYFUNCTION("""COMPUTED_VALUE"""),"المؤسسه العلاجيه 2016")</f>
        <v>المؤسسه العلاجيه 2016</v>
      </c>
    </row>
    <row r="1097" spans="1:11" x14ac:dyDescent="0.25">
      <c r="A1097" s="4" t="str">
        <f ca="1">IFERROR(__xludf.DUMMYFUNCTION("""COMPUTED_VALUE"""),"104901")</f>
        <v>104901</v>
      </c>
      <c r="B1097" s="5" t="str">
        <f ca="1">IFERROR(__xludf.DUMMYFUNCTION("""COMPUTED_VALUE"""),"الشرقية")</f>
        <v>الشرقية</v>
      </c>
      <c r="C1097" s="5" t="str">
        <f ca="1">IFERROR(__xludf.DUMMYFUNCTION("""COMPUTED_VALUE"""),"فاقوس")</f>
        <v>فاقوس</v>
      </c>
      <c r="D1097" s="5" t="str">
        <f ca="1">IFERROR(__xludf.DUMMYFUNCTION("""COMPUTED_VALUE"""),"مستشفى")</f>
        <v>مستشفى</v>
      </c>
      <c r="E1097" s="5" t="str">
        <f ca="1">IFERROR(__xludf.DUMMYFUNCTION("""COMPUTED_VALUE"""),"مستشفي طبي متكامل")</f>
        <v>مستشفي طبي متكامل</v>
      </c>
      <c r="F1097" s="5" t="str">
        <f ca="1">IFERROR(__xludf.DUMMYFUNCTION("""COMPUTED_VALUE"""),"جميع التخصصات الطبية")</f>
        <v>جميع التخصصات الطبية</v>
      </c>
      <c r="G1097" s="5" t="str">
        <f ca="1">IFERROR(__xludf.DUMMYFUNCTION("""COMPUTED_VALUE"""),"مستشفى دار الحكمة - فاقوس")</f>
        <v>مستشفى دار الحكمة - فاقوس</v>
      </c>
      <c r="H1097" s="5" t="str">
        <f ca="1">IFERROR(__xludf.DUMMYFUNCTION("""COMPUTED_VALUE"""),"شارع الانتاج - امام محطة اتوبيس الدلتا - فاقوس - الشرقية")</f>
        <v>شارع الانتاج - امام محطة اتوبيس الدلتا - فاقوس - الشرقية</v>
      </c>
      <c r="I1097" s="6" t="str">
        <f ca="1">IFERROR(__xludf.DUMMYFUNCTION("""COMPUTED_VALUE"""),"20553988839")</f>
        <v>20553988839</v>
      </c>
      <c r="J1097" s="6"/>
      <c r="K1097" s="6" t="str">
        <f ca="1">IFERROR(__xludf.DUMMYFUNCTION("""COMPUTED_VALUE"""),"خصم 25% علي الأسعار النقدي المعلنة")</f>
        <v>خصم 25% علي الأسعار النقدي المعلنة</v>
      </c>
    </row>
    <row r="1098" spans="1:11" x14ac:dyDescent="0.25">
      <c r="A1098" s="4" t="str">
        <f ca="1">IFERROR(__xludf.DUMMYFUNCTION("""COMPUTED_VALUE"""),"4107-B")</f>
        <v>4107-B</v>
      </c>
      <c r="B1098" s="5" t="str">
        <f ca="1">IFERROR(__xludf.DUMMYFUNCTION("""COMPUTED_VALUE"""),"الاسكندرية")</f>
        <v>الاسكندرية</v>
      </c>
      <c r="C1098" s="5" t="str">
        <f ca="1">IFERROR(__xludf.DUMMYFUNCTION("""COMPUTED_VALUE"""),"سموحة")</f>
        <v>سموحة</v>
      </c>
      <c r="D1098" s="5" t="str">
        <f ca="1">IFERROR(__xludf.DUMMYFUNCTION("""COMPUTED_VALUE"""),"مجمع عيادات")</f>
        <v>مجمع عيادات</v>
      </c>
      <c r="E1098" s="5" t="str">
        <f ca="1">IFERROR(__xludf.DUMMYFUNCTION("""COMPUTED_VALUE"""),"جميع التخصصات")</f>
        <v>جميع التخصصات</v>
      </c>
      <c r="F1098" s="5" t="str">
        <f ca="1">IFERROR(__xludf.DUMMYFUNCTION("""COMPUTED_VALUE"""),"جميع التخصصات الطبية")</f>
        <v>جميع التخصصات الطبية</v>
      </c>
      <c r="G1098" s="5" t="str">
        <f ca="1">IFERROR(__xludf.DUMMYFUNCTION("""COMPUTED_VALUE"""),"مستشفى السلامة ( سموحه ) عيادات أندلسية أنطونيادس")</f>
        <v>مستشفى السلامة ( سموحه ) عيادات أندلسية أنطونيادس</v>
      </c>
      <c r="H1098" s="5" t="str">
        <f ca="1">IFERROR(__xludf.DUMMYFUNCTION("""COMPUTED_VALUE"""),"عمارات جاردن سيتى شارع ادموند فريمون بجوار مجلس الدول-سموحه - الاسكندرية")</f>
        <v>عمارات جاردن سيتى شارع ادموند فريمون بجوار مجلس الدول-سموحه - الاسكندرية</v>
      </c>
      <c r="I1098" s="6" t="str">
        <f ca="1">IFERROR(__xludf.DUMMYFUNCTION("""COMPUTED_VALUE"""),"2034275124")</f>
        <v>2034275124</v>
      </c>
      <c r="J1098" s="6" t="str">
        <f ca="1">IFERROR(__xludf.DUMMYFUNCTION("""COMPUTED_VALUE"""),"16781")</f>
        <v>16781</v>
      </c>
      <c r="K1098" s="6" t="str">
        <f ca="1">IFERROR(__xludf.DUMMYFUNCTION("""COMPUTED_VALUE"""),"45% على خدمات القسم الخارجي و خدمات التحاليل والأشعة بالقسم الخارجي وكشوفات الطوارئ ,35% على خدمات القسم الداخلى ,ماعدا المناظير وكشوفات العيادات الخارجية باكدجات القسطرة والاشعة التداخلية وبنك الدم والمستلزمات والأجهزة الطبية والأدوية فصل البلازما والاست"&amp;"شارات الطبية بالقسم الداخلى والاتفاقيات الشاملة والدمغة ,15%خدمة        ")</f>
        <v xml:space="preserve">45% على خدمات القسم الخارجي و خدمات التحاليل والأشعة بالقسم الخارجي وكشوفات الطوارئ ,35% على خدمات القسم الداخلى ,ماعدا المناظير وكشوفات العيادات الخارجية باكدجات القسطرة والاشعة التداخلية وبنك الدم والمستلزمات والأجهزة الطبية والأدوية فصل البلازما والاستشارات الطبية بالقسم الداخلى والاتفاقيات الشاملة والدمغة ,15%خدمة        </v>
      </c>
    </row>
    <row r="1099" spans="1:11" x14ac:dyDescent="0.25">
      <c r="A1099" s="4" t="str">
        <f ca="1">IFERROR(__xludf.DUMMYFUNCTION("""COMPUTED_VALUE"""),"104921")</f>
        <v>104921</v>
      </c>
      <c r="B1099" s="5" t="str">
        <f ca="1">IFERROR(__xludf.DUMMYFUNCTION("""COMPUTED_VALUE"""),"الغربية")</f>
        <v>الغربية</v>
      </c>
      <c r="C1099" s="5" t="str">
        <f ca="1">IFERROR(__xludf.DUMMYFUNCTION("""COMPUTED_VALUE"""),"سمنود")</f>
        <v>سمنود</v>
      </c>
      <c r="D1099" s="5" t="str">
        <f ca="1">IFERROR(__xludf.DUMMYFUNCTION("""COMPUTED_VALUE"""),"مستشفى")</f>
        <v>مستشفى</v>
      </c>
      <c r="E1099" s="5" t="str">
        <f ca="1">IFERROR(__xludf.DUMMYFUNCTION("""COMPUTED_VALUE"""),"مستشفي طبي متكامل")</f>
        <v>مستشفي طبي متكامل</v>
      </c>
      <c r="F1099" s="5" t="str">
        <f ca="1">IFERROR(__xludf.DUMMYFUNCTION("""COMPUTED_VALUE"""),"جميع التخصصات الطبية")</f>
        <v>جميع التخصصات الطبية</v>
      </c>
      <c r="G1099" s="5" t="str">
        <f ca="1">IFERROR(__xludf.DUMMYFUNCTION("""COMPUTED_VALUE"""),"مستشفى الواحة")</f>
        <v>مستشفى الواحة</v>
      </c>
      <c r="H1099" s="5" t="str">
        <f ca="1">IFERROR(__xludf.DUMMYFUNCTION("""COMPUTED_VALUE"""),"شارع الممر العلوى برج الفردوس امام المحكمة- سمنود - الغربية")</f>
        <v>شارع الممر العلوى برج الفردوس امام المحكمة- سمنود - الغربية</v>
      </c>
      <c r="I1099" s="6" t="str">
        <f ca="1">IFERROR(__xludf.DUMMYFUNCTION("""COMPUTED_VALUE"""),"20402978333")</f>
        <v>20402978333</v>
      </c>
      <c r="J1099" s="6"/>
      <c r="K1099" s="6" t="str">
        <f ca="1">IFERROR(__xludf.DUMMYFUNCTION("""COMPUTED_VALUE"""),"خصم يصل الي 20%")</f>
        <v>خصم يصل الي 20%</v>
      </c>
    </row>
    <row r="1100" spans="1:11" x14ac:dyDescent="0.25">
      <c r="A1100" s="4" t="str">
        <f ca="1">IFERROR(__xludf.DUMMYFUNCTION("""COMPUTED_VALUE"""),"104925")</f>
        <v>104925</v>
      </c>
      <c r="B1100" s="5" t="str">
        <f ca="1">IFERROR(__xludf.DUMMYFUNCTION("""COMPUTED_VALUE"""),"المنوفية")</f>
        <v>المنوفية</v>
      </c>
      <c r="C1100" s="5" t="str">
        <f ca="1">IFERROR(__xludf.DUMMYFUNCTION("""COMPUTED_VALUE"""),"قويسنا")</f>
        <v>قويسنا</v>
      </c>
      <c r="D1100" s="5" t="str">
        <f ca="1">IFERROR(__xludf.DUMMYFUNCTION("""COMPUTED_VALUE"""),"مستشفى")</f>
        <v>مستشفى</v>
      </c>
      <c r="E1100" s="5" t="str">
        <f ca="1">IFERROR(__xludf.DUMMYFUNCTION("""COMPUTED_VALUE"""),"مستشفي طبي متكامل")</f>
        <v>مستشفي طبي متكامل</v>
      </c>
      <c r="F1100" s="5" t="str">
        <f ca="1">IFERROR(__xludf.DUMMYFUNCTION("""COMPUTED_VALUE"""),"جميع التخصصات الطبية")</f>
        <v>جميع التخصصات الطبية</v>
      </c>
      <c r="G1100" s="5" t="str">
        <f ca="1">IFERROR(__xludf.DUMMYFUNCTION("""COMPUTED_VALUE"""),"مستشفى الهدى التخصصى")</f>
        <v>مستشفى الهدى التخصصى</v>
      </c>
      <c r="H1100" s="5" t="str">
        <f ca="1">IFERROR(__xludf.DUMMYFUNCTION("""COMPUTED_VALUE"""),"60شارع الصباحى - ناصية شارع الجيش - قوسنا - المنوفية")</f>
        <v>60شارع الصباحى - ناصية شارع الجيش - قوسنا - المنوفية</v>
      </c>
      <c r="I1100" s="6" t="str">
        <f ca="1">IFERROR(__xludf.DUMMYFUNCTION("""COMPUTED_VALUE"""),"20482573515")</f>
        <v>20482573515</v>
      </c>
      <c r="J1100" s="6"/>
      <c r="K1100" s="6" t="str">
        <f ca="1">IFERROR(__xludf.DUMMYFUNCTION("""COMPUTED_VALUE"""),"خصم 25% علي الأسعار النقدي المعلنة")</f>
        <v>خصم 25% علي الأسعار النقدي المعلنة</v>
      </c>
    </row>
    <row r="1101" spans="1:11" x14ac:dyDescent="0.25">
      <c r="A1101" s="4" t="str">
        <f ca="1">IFERROR(__xludf.DUMMYFUNCTION("""COMPUTED_VALUE"""),"104243-B")</f>
        <v>104243-B</v>
      </c>
      <c r="B1101" s="5" t="str">
        <f ca="1">IFERROR(__xludf.DUMMYFUNCTION("""COMPUTED_VALUE"""),"القاهرة")</f>
        <v>القاهرة</v>
      </c>
      <c r="C1101" s="5" t="str">
        <f ca="1">IFERROR(__xludf.DUMMYFUNCTION("""COMPUTED_VALUE"""),"القاهرة الجديدة")</f>
        <v>القاهرة الجديدة</v>
      </c>
      <c r="D1101" s="5" t="str">
        <f ca="1">IFERROR(__xludf.DUMMYFUNCTION("""COMPUTED_VALUE"""),"مستشفى")</f>
        <v>مستشفى</v>
      </c>
      <c r="E1101" s="5" t="str">
        <f ca="1">IFERROR(__xludf.DUMMYFUNCTION("""COMPUTED_VALUE"""),"مستشفي طبي متخصص")</f>
        <v>مستشفي طبي متخصص</v>
      </c>
      <c r="F1101" s="5" t="str">
        <f ca="1">IFERROR(__xludf.DUMMYFUNCTION("""COMPUTED_VALUE"""),"قلب واوعية دموية")</f>
        <v>قلب واوعية دموية</v>
      </c>
      <c r="G1101" s="5" t="str">
        <f ca="1">IFERROR(__xludf.DUMMYFUNCTION("""COMPUTED_VALUE"""),"مركز أي فين ( للأوردة )")</f>
        <v>مركز أي فين ( للأوردة )</v>
      </c>
      <c r="H1101" s="5" t="str">
        <f ca="1">IFERROR(__xludf.DUMMYFUNCTION("""COMPUTED_VALUE"""),"مركز CMC  الطبي - 162ش التسعين الشمالي -عيادة رقم 223 - خلف المستشفى الجوي-  التجمع الخامس - القاهرة الجديدة")</f>
        <v>مركز CMC  الطبي - 162ش التسعين الشمالي -عيادة رقم 223 - خلف المستشفى الجوي-  التجمع الخامس - القاهرة الجديدة</v>
      </c>
      <c r="I1101" s="6" t="str">
        <f ca="1">IFERROR(__xludf.DUMMYFUNCTION("""COMPUTED_VALUE"""),"201110060088")</f>
        <v>201110060088</v>
      </c>
      <c r="J1101" s="6" t="str">
        <f ca="1">IFERROR(__xludf.DUMMYFUNCTION("""COMPUTED_VALUE"""),"15780")</f>
        <v>15780</v>
      </c>
      <c r="K1101" s="6" t="str">
        <f ca="1">IFERROR(__xludf.DUMMYFUNCTION("""COMPUTED_VALUE"""),"خصم 25% على الكشف , خصم 15% على باقي الاجراءات")</f>
        <v>خصم 25% على الكشف , خصم 15% على باقي الاجراءات</v>
      </c>
    </row>
    <row r="1102" spans="1:11" x14ac:dyDescent="0.25">
      <c r="A1102" s="4" t="str">
        <f ca="1">IFERROR(__xludf.DUMMYFUNCTION("""COMPUTED_VALUE"""),"104943")</f>
        <v>104943</v>
      </c>
      <c r="B1102" s="5" t="str">
        <f ca="1">IFERROR(__xludf.DUMMYFUNCTION("""COMPUTED_VALUE"""),"الأقصر")</f>
        <v>الأقصر</v>
      </c>
      <c r="C1102" s="5" t="str">
        <f ca="1">IFERROR(__xludf.DUMMYFUNCTION("""COMPUTED_VALUE"""),"اسنا")</f>
        <v>اسنا</v>
      </c>
      <c r="D1102" s="5" t="str">
        <f ca="1">IFERROR(__xludf.DUMMYFUNCTION("""COMPUTED_VALUE"""),"هيئة الأطباء")</f>
        <v>هيئة الأطباء</v>
      </c>
      <c r="E1102" s="5" t="str">
        <f ca="1">IFERROR(__xludf.DUMMYFUNCTION("""COMPUTED_VALUE"""),"باطنة")</f>
        <v>باطنة</v>
      </c>
      <c r="F1102" s="5" t="str">
        <f ca="1">IFERROR(__xludf.DUMMYFUNCTION("""COMPUTED_VALUE"""),"باطنة عامة")</f>
        <v>باطنة عامة</v>
      </c>
      <c r="G1102" s="5" t="str">
        <f ca="1">IFERROR(__xludf.DUMMYFUNCTION("""COMPUTED_VALUE"""),"د/ يوسف محمود حسين عبد الرحمن")</f>
        <v>د/ يوسف محمود حسين عبد الرحمن</v>
      </c>
      <c r="H1102" s="5" t="str">
        <f ca="1">IFERROR(__xludf.DUMMYFUNCTION("""COMPUTED_VALUE"""),"شارع البحر - بجوار  بنك مصر - اسنا- الاقصر")</f>
        <v>شارع البحر - بجوار  بنك مصر - اسنا- الاقصر</v>
      </c>
      <c r="I1102" s="6" t="str">
        <f ca="1">IFERROR(__xludf.DUMMYFUNCTION("""COMPUTED_VALUE"""),"201010416289")</f>
        <v>201010416289</v>
      </c>
      <c r="J1102" s="6"/>
      <c r="K1102" s="6" t="str">
        <f ca="1">IFERROR(__xludf.DUMMYFUNCTION("""COMPUTED_VALUE"""),"الكشف 55 جنية")</f>
        <v>الكشف 55 جنية</v>
      </c>
    </row>
    <row r="1103" spans="1:11" x14ac:dyDescent="0.25">
      <c r="A1103" s="4" t="str">
        <f ca="1">IFERROR(__xludf.DUMMYFUNCTION("""COMPUTED_VALUE"""),"104937")</f>
        <v>104937</v>
      </c>
      <c r="B1103" s="5" t="str">
        <f ca="1">IFERROR(__xludf.DUMMYFUNCTION("""COMPUTED_VALUE"""),"الفيوم")</f>
        <v>الفيوم</v>
      </c>
      <c r="C1103" s="5" t="str">
        <f ca="1">IFERROR(__xludf.DUMMYFUNCTION("""COMPUTED_VALUE"""),"الفيوم")</f>
        <v>الفيوم</v>
      </c>
      <c r="D1103" s="5" t="str">
        <f ca="1">IFERROR(__xludf.DUMMYFUNCTION("""COMPUTED_VALUE"""),"مستشفى")</f>
        <v>مستشفى</v>
      </c>
      <c r="E1103" s="5" t="str">
        <f ca="1">IFERROR(__xludf.DUMMYFUNCTION("""COMPUTED_VALUE"""),"مستشفي طبي متكامل")</f>
        <v>مستشفي طبي متكامل</v>
      </c>
      <c r="F1103" s="5" t="str">
        <f ca="1">IFERROR(__xludf.DUMMYFUNCTION("""COMPUTED_VALUE"""),"جميع التخصصات الطبية")</f>
        <v>جميع التخصصات الطبية</v>
      </c>
      <c r="G1103" s="5" t="str">
        <f ca="1">IFERROR(__xludf.DUMMYFUNCTION("""COMPUTED_VALUE"""),"مستشفى الحياة ( الحياة الفيوم للخدمات الطبية)")</f>
        <v>مستشفى الحياة ( الحياة الفيوم للخدمات الطبية)</v>
      </c>
      <c r="H1103" s="5" t="str">
        <f ca="1">IFERROR(__xludf.DUMMYFUNCTION("""COMPUTED_VALUE"""),"حى دلة - اول طريق مصر الفيوم -الفيوم")</f>
        <v>حى دلة - اول طريق مصر الفيوم -الفيوم</v>
      </c>
      <c r="I1103" s="6" t="str">
        <f ca="1">IFERROR(__xludf.DUMMYFUNCTION("""COMPUTED_VALUE"""),"20842140173")</f>
        <v>20842140173</v>
      </c>
      <c r="J1103" s="6"/>
      <c r="K1103" s="6" t="str">
        <f ca="1">IFERROR(__xludf.DUMMYFUNCTION("""COMPUTED_VALUE"""),"خصم 30% علي الأسعار النقدي")</f>
        <v>خصم 30% علي الأسعار النقدي</v>
      </c>
    </row>
    <row r="1104" spans="1:11" x14ac:dyDescent="0.25">
      <c r="A1104" s="4" t="str">
        <f ca="1">IFERROR(__xludf.DUMMYFUNCTION("""COMPUTED_VALUE"""),"104935")</f>
        <v>104935</v>
      </c>
      <c r="B1104" s="5" t="str">
        <f ca="1">IFERROR(__xludf.DUMMYFUNCTION("""COMPUTED_VALUE"""),"الاسكندرية")</f>
        <v>الاسكندرية</v>
      </c>
      <c r="C1104" s="5" t="str">
        <f ca="1">IFERROR(__xludf.DUMMYFUNCTION("""COMPUTED_VALUE"""),"جليم")</f>
        <v>جليم</v>
      </c>
      <c r="D1104" s="5" t="str">
        <f ca="1">IFERROR(__xludf.DUMMYFUNCTION("""COMPUTED_VALUE"""),"مستشفى")</f>
        <v>مستشفى</v>
      </c>
      <c r="E1104" s="5" t="str">
        <f ca="1">IFERROR(__xludf.DUMMYFUNCTION("""COMPUTED_VALUE"""),"مستشفي طبي متخصص")</f>
        <v>مستشفي طبي متخصص</v>
      </c>
      <c r="F1104" s="5" t="str">
        <f ca="1">IFERROR(__xludf.DUMMYFUNCTION("""COMPUTED_VALUE"""),"كبد وجهاز هضمي")</f>
        <v>كبد وجهاز هضمي</v>
      </c>
      <c r="G1104" s="5" t="str">
        <f ca="1">IFERROR(__xludf.DUMMYFUNCTION("""COMPUTED_VALUE"""),"شركة مستشفى التخصصى للجهاز الهضمى والكبد")</f>
        <v>شركة مستشفى التخصصى للجهاز الهضمى والكبد</v>
      </c>
      <c r="H1104" s="5" t="str">
        <f ca="1">IFERROR(__xludf.DUMMYFUNCTION("""COMPUTED_VALUE"""),"583 طريق الحرية - جليم - الاسكندرية")</f>
        <v>583 طريق الحرية - جليم - الاسكندرية</v>
      </c>
      <c r="I1104" s="6" t="str">
        <f ca="1">IFERROR(__xludf.DUMMYFUNCTION("""COMPUTED_VALUE"""),"03-5777357")</f>
        <v>03-5777357</v>
      </c>
      <c r="J1104" s="6"/>
      <c r="K1104" s="6" t="str">
        <f ca="1">IFERROR(__xludf.DUMMYFUNCTION("""COMPUTED_VALUE"""),"خصم يصل الي 20%")</f>
        <v>خصم يصل الي 20%</v>
      </c>
    </row>
    <row r="1105" spans="1:11" x14ac:dyDescent="0.25">
      <c r="A1105" s="4" t="str">
        <f ca="1">IFERROR(__xludf.DUMMYFUNCTION("""COMPUTED_VALUE"""),"104967")</f>
        <v>104967</v>
      </c>
      <c r="B1105" s="5" t="str">
        <f ca="1">IFERROR(__xludf.DUMMYFUNCTION("""COMPUTED_VALUE"""),"قنا")</f>
        <v>قنا</v>
      </c>
      <c r="C1105" s="5" t="str">
        <f ca="1">IFERROR(__xludf.DUMMYFUNCTION("""COMPUTED_VALUE"""),"قوص")</f>
        <v>قوص</v>
      </c>
      <c r="D1105" s="5" t="str">
        <f ca="1">IFERROR(__xludf.DUMMYFUNCTION("""COMPUTED_VALUE"""),"هيئة الأطباء")</f>
        <v>هيئة الأطباء</v>
      </c>
      <c r="E1105" s="5" t="str">
        <f ca="1">IFERROR(__xludf.DUMMYFUNCTION("""COMPUTED_VALUE"""),"باطنة")</f>
        <v>باطنة</v>
      </c>
      <c r="F1105" s="5" t="str">
        <f ca="1">IFERROR(__xludf.DUMMYFUNCTION("""COMPUTED_VALUE"""),"قلب واوعية دموية")</f>
        <v>قلب واوعية دموية</v>
      </c>
      <c r="G1105" s="5" t="str">
        <f ca="1">IFERROR(__xludf.DUMMYFUNCTION("""COMPUTED_VALUE"""),"د/ بيشوى فلور نجيب حبيب")</f>
        <v>د/ بيشوى فلور نجيب حبيب</v>
      </c>
      <c r="H1105" s="5" t="str">
        <f ca="1">IFERROR(__xludf.DUMMYFUNCTION("""COMPUTED_VALUE"""),"شارع الجمهورية - قوص- قنا")</f>
        <v>شارع الجمهورية - قوص- قنا</v>
      </c>
      <c r="I1105" s="6" t="str">
        <f ca="1">IFERROR(__xludf.DUMMYFUNCTION("""COMPUTED_VALUE"""),"201224007034")</f>
        <v>201224007034</v>
      </c>
      <c r="J1105" s="6"/>
      <c r="K1105" s="6" t="str">
        <f ca="1">IFERROR(__xludf.DUMMYFUNCTION("""COMPUTED_VALUE"""),"الكشف 30 , رسم قلب 20 , موجات صوتيه علي القلب 100 جنية")</f>
        <v>الكشف 30 , رسم قلب 20 , موجات صوتيه علي القلب 100 جنية</v>
      </c>
    </row>
    <row r="1106" spans="1:11" x14ac:dyDescent="0.25">
      <c r="A1106" s="4" t="str">
        <f ca="1">IFERROR(__xludf.DUMMYFUNCTION("""COMPUTED_VALUE"""),"104969")</f>
        <v>104969</v>
      </c>
      <c r="B1106" s="5" t="str">
        <f ca="1">IFERROR(__xludf.DUMMYFUNCTION("""COMPUTED_VALUE"""),"المنيا")</f>
        <v>المنيا</v>
      </c>
      <c r="C1106" s="5" t="str">
        <f ca="1">IFERROR(__xludf.DUMMYFUNCTION("""COMPUTED_VALUE"""),"بني مزار")</f>
        <v>بني مزار</v>
      </c>
      <c r="D1106" s="5" t="str">
        <f ca="1">IFERROR(__xludf.DUMMYFUNCTION("""COMPUTED_VALUE"""),"صيدلية")</f>
        <v>صيدلية</v>
      </c>
      <c r="E1106" s="5" t="str">
        <f ca="1">IFERROR(__xludf.DUMMYFUNCTION("""COMPUTED_VALUE"""),"صيدلية")</f>
        <v>صيدلية</v>
      </c>
      <c r="F1106" s="5" t="str">
        <f ca="1">IFERROR(__xludf.DUMMYFUNCTION("""COMPUTED_VALUE"""),"صيدلية (أدوية ومستلزمات طبية)")</f>
        <v>صيدلية (أدوية ومستلزمات طبية)</v>
      </c>
      <c r="G1106" s="5" t="str">
        <f ca="1">IFERROR(__xludf.DUMMYFUNCTION("""COMPUTED_VALUE"""),"صيدلية د/ منى صلاح ذكى")</f>
        <v>صيدلية د/ منى صلاح ذكى</v>
      </c>
      <c r="H1106" s="5" t="str">
        <f ca="1">IFERROR(__xludf.DUMMYFUNCTION("""COMPUTED_VALUE"""),"7 ِشارع متفرع من طريق البحر مستشفى غسيل الكلى - بنى مزار - منيا")</f>
        <v>7 ِشارع متفرع من طريق البحر مستشفى غسيل الكلى - بنى مزار - منيا</v>
      </c>
      <c r="I1106" s="6" t="str">
        <f ca="1">IFERROR(__xludf.DUMMYFUNCTION("""COMPUTED_VALUE"""),"01289714527")</f>
        <v>01289714527</v>
      </c>
      <c r="J1106" s="6"/>
      <c r="K1106" s="6" t="str">
        <f ca="1">IFERROR(__xludf.DUMMYFUNCTION("""COMPUTED_VALUE"""),"خصم 12% علي المحلي و 7% علي المستورد")</f>
        <v>خصم 12% علي المحلي و 7% علي المستورد</v>
      </c>
    </row>
    <row r="1107" spans="1:11" x14ac:dyDescent="0.25">
      <c r="A1107" s="4" t="str">
        <f ca="1">IFERROR(__xludf.DUMMYFUNCTION("""COMPUTED_VALUE"""),"104389-B")</f>
        <v>104389-B</v>
      </c>
      <c r="B1107" s="5" t="str">
        <f ca="1">IFERROR(__xludf.DUMMYFUNCTION("""COMPUTED_VALUE"""),"القاهرة")</f>
        <v>القاهرة</v>
      </c>
      <c r="C1107" s="5" t="str">
        <f ca="1">IFERROR(__xludf.DUMMYFUNCTION("""COMPUTED_VALUE"""),"مصر الجديدة")</f>
        <v>مصر الجديدة</v>
      </c>
      <c r="D1107" s="5" t="str">
        <f ca="1">IFERROR(__xludf.DUMMYFUNCTION("""COMPUTED_VALUE"""),"معمل")</f>
        <v>معمل</v>
      </c>
      <c r="E1107" s="5" t="str">
        <f ca="1">IFERROR(__xludf.DUMMYFUNCTION("""COMPUTED_VALUE"""),"معمل")</f>
        <v>معمل</v>
      </c>
      <c r="F1107" s="5" t="str">
        <f ca="1">IFERROR(__xludf.DUMMYFUNCTION("""COMPUTED_VALUE"""),"معمل التحاليل الطبية")</f>
        <v>معمل التحاليل الطبية</v>
      </c>
      <c r="G1107" s="5" t="str">
        <f ca="1">IFERROR(__xludf.DUMMYFUNCTION("""COMPUTED_VALUE"""),"معامل سبيد للتحاليل الطبية")</f>
        <v>معامل سبيد للتحاليل الطبية</v>
      </c>
      <c r="H1107" s="5" t="str">
        <f ca="1">IFERROR(__xludf.DUMMYFUNCTION("""COMPUTED_VALUE"""),"32 شارع رشيد متفرع من شارع عثمان بن عفان داخل مجمع عيادات ماى كلينيك - مصر الجديدة")</f>
        <v>32 شارع رشيد متفرع من شارع عثمان بن عفان داخل مجمع عيادات ماى كلينيك - مصر الجديدة</v>
      </c>
      <c r="I1107" s="6"/>
      <c r="J1107" s="6" t="str">
        <f ca="1">IFERROR(__xludf.DUMMYFUNCTION("""COMPUTED_VALUE"""),"19358")</f>
        <v>19358</v>
      </c>
      <c r="K1107" s="6" t="str">
        <f ca="1">IFERROR(__xludf.DUMMYFUNCTION("""COMPUTED_VALUE"""),"خصم 30% علي جميع الخدمات علي الاسعار النقدي")</f>
        <v>خصم 30% علي جميع الخدمات علي الاسعار النقدي</v>
      </c>
    </row>
    <row r="1108" spans="1:11" x14ac:dyDescent="0.25">
      <c r="A1108" s="4" t="str">
        <f ca="1">IFERROR(__xludf.DUMMYFUNCTION("""COMPUTED_VALUE"""),"104389-B")</f>
        <v>104389-B</v>
      </c>
      <c r="B1108" s="5" t="str">
        <f ca="1">IFERROR(__xludf.DUMMYFUNCTION("""COMPUTED_VALUE"""),"الجيزة")</f>
        <v>الجيزة</v>
      </c>
      <c r="C1108" s="5" t="str">
        <f ca="1">IFERROR(__xludf.DUMMYFUNCTION("""COMPUTED_VALUE"""),"المهندسين")</f>
        <v>المهندسين</v>
      </c>
      <c r="D1108" s="5" t="str">
        <f ca="1">IFERROR(__xludf.DUMMYFUNCTION("""COMPUTED_VALUE"""),"معمل")</f>
        <v>معمل</v>
      </c>
      <c r="E1108" s="5" t="str">
        <f ca="1">IFERROR(__xludf.DUMMYFUNCTION("""COMPUTED_VALUE"""),"معمل")</f>
        <v>معمل</v>
      </c>
      <c r="F1108" s="5" t="str">
        <f ca="1">IFERROR(__xludf.DUMMYFUNCTION("""COMPUTED_VALUE"""),"معمل التحاليل الطبية")</f>
        <v>معمل التحاليل الطبية</v>
      </c>
      <c r="G1108" s="5" t="str">
        <f ca="1">IFERROR(__xludf.DUMMYFUNCTION("""COMPUTED_VALUE"""),"معامل سبيد للتحاليل الطبية")</f>
        <v>معامل سبيد للتحاليل الطبية</v>
      </c>
      <c r="H1108" s="5" t="str">
        <f ca="1">IFERROR(__xludf.DUMMYFUNCTION("""COMPUTED_VALUE"""),"123 شارع حسن المأمون  امام نادى الاهلى داخل مركز ENT - الدور الرابع")</f>
        <v>123 شارع حسن المأمون  امام نادى الاهلى داخل مركز ENT - الدور الرابع</v>
      </c>
      <c r="I1108" s="6"/>
      <c r="J1108" s="6" t="str">
        <f ca="1">IFERROR(__xludf.DUMMYFUNCTION("""COMPUTED_VALUE"""),"19358")</f>
        <v>19358</v>
      </c>
      <c r="K1108" s="6" t="str">
        <f ca="1">IFERROR(__xludf.DUMMYFUNCTION("""COMPUTED_VALUE"""),"خصم 30% علي جميع الخدمات علي الاسعار النقدي")</f>
        <v>خصم 30% علي جميع الخدمات علي الاسعار النقدي</v>
      </c>
    </row>
    <row r="1109" spans="1:11" x14ac:dyDescent="0.25">
      <c r="A1109" s="4" t="str">
        <f ca="1">IFERROR(__xludf.DUMMYFUNCTION("""COMPUTED_VALUE"""),"104389-B")</f>
        <v>104389-B</v>
      </c>
      <c r="B1109" s="5" t="str">
        <f ca="1">IFERROR(__xludf.DUMMYFUNCTION("""COMPUTED_VALUE"""),"القاهرة")</f>
        <v>القاهرة</v>
      </c>
      <c r="C1109" s="5" t="str">
        <f ca="1">IFERROR(__xludf.DUMMYFUNCTION("""COMPUTED_VALUE"""),"شبرا")</f>
        <v>شبرا</v>
      </c>
      <c r="D1109" s="5" t="str">
        <f ca="1">IFERROR(__xludf.DUMMYFUNCTION("""COMPUTED_VALUE"""),"معمل")</f>
        <v>معمل</v>
      </c>
      <c r="E1109" s="5" t="str">
        <f ca="1">IFERROR(__xludf.DUMMYFUNCTION("""COMPUTED_VALUE"""),"معمل")</f>
        <v>معمل</v>
      </c>
      <c r="F1109" s="5" t="str">
        <f ca="1">IFERROR(__xludf.DUMMYFUNCTION("""COMPUTED_VALUE"""),"معمل التحاليل الطبية")</f>
        <v>معمل التحاليل الطبية</v>
      </c>
      <c r="G1109" s="5" t="str">
        <f ca="1">IFERROR(__xludf.DUMMYFUNCTION("""COMPUTED_VALUE"""),"معامل سبيد للتحاليل الطبية")</f>
        <v>معامل سبيد للتحاليل الطبية</v>
      </c>
      <c r="H1109" s="5" t="str">
        <f ca="1">IFERROR(__xludf.DUMMYFUNCTION("""COMPUTED_VALUE"""),"16 شارع دولتيان ميدان الخلفاوى اعلى كنتاكى  - داخل مركز عيون الدور الاول")</f>
        <v>16 شارع دولتيان ميدان الخلفاوى اعلى كنتاكى  - داخل مركز عيون الدور الاول</v>
      </c>
      <c r="I1109" s="6"/>
      <c r="J1109" s="6" t="str">
        <f ca="1">IFERROR(__xludf.DUMMYFUNCTION("""COMPUTED_VALUE"""),"19358")</f>
        <v>19358</v>
      </c>
      <c r="K1109" s="6" t="str">
        <f ca="1">IFERROR(__xludf.DUMMYFUNCTION("""COMPUTED_VALUE"""),"خصم 30% علي جميع الخدمات علي الاسعار النقدي")</f>
        <v>خصم 30% علي جميع الخدمات علي الاسعار النقدي</v>
      </c>
    </row>
    <row r="1110" spans="1:11" x14ac:dyDescent="0.25">
      <c r="A1110" s="4" t="str">
        <f ca="1">IFERROR(__xludf.DUMMYFUNCTION("""COMPUTED_VALUE"""),"104389-B")</f>
        <v>104389-B</v>
      </c>
      <c r="B1110" s="5" t="str">
        <f ca="1">IFERROR(__xludf.DUMMYFUNCTION("""COMPUTED_VALUE"""),"القاهرة")</f>
        <v>القاهرة</v>
      </c>
      <c r="C1110" s="5" t="str">
        <f ca="1">IFERROR(__xludf.DUMMYFUNCTION("""COMPUTED_VALUE"""),"المعادى")</f>
        <v>المعادى</v>
      </c>
      <c r="D1110" s="5" t="str">
        <f ca="1">IFERROR(__xludf.DUMMYFUNCTION("""COMPUTED_VALUE"""),"معمل")</f>
        <v>معمل</v>
      </c>
      <c r="E1110" s="5" t="str">
        <f ca="1">IFERROR(__xludf.DUMMYFUNCTION("""COMPUTED_VALUE"""),"معمل")</f>
        <v>معمل</v>
      </c>
      <c r="F1110" s="5" t="str">
        <f ca="1">IFERROR(__xludf.DUMMYFUNCTION("""COMPUTED_VALUE"""),"معمل التحاليل الطبية")</f>
        <v>معمل التحاليل الطبية</v>
      </c>
      <c r="G1110" s="5" t="str">
        <f ca="1">IFERROR(__xludf.DUMMYFUNCTION("""COMPUTED_VALUE"""),"معامل سبيد للتحاليل الطبية")</f>
        <v>معامل سبيد للتحاليل الطبية</v>
      </c>
      <c r="H1110" s="5" t="str">
        <f ca="1">IFERROR(__xludf.DUMMYFUNCTION("""COMPUTED_VALUE"""),"57 ابراج زهراء المعادى - داخل مركز كلينيكا - المعادى")</f>
        <v>57 ابراج زهراء المعادى - داخل مركز كلينيكا - المعادى</v>
      </c>
      <c r="I1110" s="6"/>
      <c r="J1110" s="6" t="str">
        <f ca="1">IFERROR(__xludf.DUMMYFUNCTION("""COMPUTED_VALUE"""),"19358")</f>
        <v>19358</v>
      </c>
      <c r="K1110" s="6" t="str">
        <f ca="1">IFERROR(__xludf.DUMMYFUNCTION("""COMPUTED_VALUE"""),"خصم 30% علي جميع الخدمات علي الاسعار النقدي")</f>
        <v>خصم 30% علي جميع الخدمات علي الاسعار النقدي</v>
      </c>
    </row>
    <row r="1111" spans="1:11" x14ac:dyDescent="0.25">
      <c r="A1111" s="4" t="str">
        <f ca="1">IFERROR(__xludf.DUMMYFUNCTION("""COMPUTED_VALUE"""),"104389-B")</f>
        <v>104389-B</v>
      </c>
      <c r="B1111" s="5" t="str">
        <f ca="1">IFERROR(__xludf.DUMMYFUNCTION("""COMPUTED_VALUE"""),"الجيزة")</f>
        <v>الجيزة</v>
      </c>
      <c r="C1111" s="5" t="str">
        <f ca="1">IFERROR(__xludf.DUMMYFUNCTION("""COMPUTED_VALUE"""),"المهندسين")</f>
        <v>المهندسين</v>
      </c>
      <c r="D1111" s="5" t="str">
        <f ca="1">IFERROR(__xludf.DUMMYFUNCTION("""COMPUTED_VALUE"""),"معمل")</f>
        <v>معمل</v>
      </c>
      <c r="E1111" s="5" t="str">
        <f ca="1">IFERROR(__xludf.DUMMYFUNCTION("""COMPUTED_VALUE"""),"معمل")</f>
        <v>معمل</v>
      </c>
      <c r="F1111" s="5" t="str">
        <f ca="1">IFERROR(__xludf.DUMMYFUNCTION("""COMPUTED_VALUE"""),"معمل التحاليل الطبية")</f>
        <v>معمل التحاليل الطبية</v>
      </c>
      <c r="G1111" s="5" t="str">
        <f ca="1">IFERROR(__xludf.DUMMYFUNCTION("""COMPUTED_VALUE"""),"معامل سبيد للتحاليل الطبية")</f>
        <v>معامل سبيد للتحاليل الطبية</v>
      </c>
      <c r="H1111" s="5" t="str">
        <f ca="1">IFERROR(__xludf.DUMMYFUNCTION("""COMPUTED_VALUE"""),"56 شارع سوريا - الدور الرابع - داخل مركز ENT")</f>
        <v>56 شارع سوريا - الدور الرابع - داخل مركز ENT</v>
      </c>
      <c r="I1111" s="6"/>
      <c r="J1111" s="6" t="str">
        <f ca="1">IFERROR(__xludf.DUMMYFUNCTION("""COMPUTED_VALUE"""),"19358")</f>
        <v>19358</v>
      </c>
      <c r="K1111" s="6" t="str">
        <f ca="1">IFERROR(__xludf.DUMMYFUNCTION("""COMPUTED_VALUE"""),"خصم 30% علي جميع الخدمات علي الاسعار النقدي")</f>
        <v>خصم 30% علي جميع الخدمات علي الاسعار النقدي</v>
      </c>
    </row>
    <row r="1112" spans="1:11" x14ac:dyDescent="0.25">
      <c r="A1112" s="4" t="str">
        <f ca="1">IFERROR(__xludf.DUMMYFUNCTION("""COMPUTED_VALUE"""),"104389-B")</f>
        <v>104389-B</v>
      </c>
      <c r="B1112" s="5" t="str">
        <f ca="1">IFERROR(__xludf.DUMMYFUNCTION("""COMPUTED_VALUE"""),"القاهرة")</f>
        <v>القاهرة</v>
      </c>
      <c r="C1112" s="5" t="str">
        <f ca="1">IFERROR(__xludf.DUMMYFUNCTION("""COMPUTED_VALUE"""),"رمسيس")</f>
        <v>رمسيس</v>
      </c>
      <c r="D1112" s="5" t="str">
        <f ca="1">IFERROR(__xludf.DUMMYFUNCTION("""COMPUTED_VALUE"""),"معمل")</f>
        <v>معمل</v>
      </c>
      <c r="E1112" s="5" t="str">
        <f ca="1">IFERROR(__xludf.DUMMYFUNCTION("""COMPUTED_VALUE"""),"معمل")</f>
        <v>معمل</v>
      </c>
      <c r="F1112" s="5" t="str">
        <f ca="1">IFERROR(__xludf.DUMMYFUNCTION("""COMPUTED_VALUE"""),"معمل التحاليل الطبية")</f>
        <v>معمل التحاليل الطبية</v>
      </c>
      <c r="G1112" s="5" t="str">
        <f ca="1">IFERROR(__xludf.DUMMYFUNCTION("""COMPUTED_VALUE"""),"معامل سبيد للتحاليل الطبية")</f>
        <v>معامل سبيد للتحاليل الطبية</v>
      </c>
      <c r="H1112" s="5" t="str">
        <f ca="1">IFERROR(__xludf.DUMMYFUNCTION("""COMPUTED_VALUE"""),"38 شارع رمسيس - الدور الخامس - امام بنزينة التعاون  اعلى صيدلية رشدى")</f>
        <v>38 شارع رمسيس - الدور الخامس - امام بنزينة التعاون  اعلى صيدلية رشدى</v>
      </c>
      <c r="I1112" s="6"/>
      <c r="J1112" s="6" t="str">
        <f ca="1">IFERROR(__xludf.DUMMYFUNCTION("""COMPUTED_VALUE"""),"19358")</f>
        <v>19358</v>
      </c>
      <c r="K1112" s="6" t="str">
        <f ca="1">IFERROR(__xludf.DUMMYFUNCTION("""COMPUTED_VALUE"""),"خصم 30% علي جميع الخدمات علي الاسعار النقدي")</f>
        <v>خصم 30% علي جميع الخدمات علي الاسعار النقدي</v>
      </c>
    </row>
    <row r="1113" spans="1:11" x14ac:dyDescent="0.25">
      <c r="A1113" s="4" t="str">
        <f ca="1">IFERROR(__xludf.DUMMYFUNCTION("""COMPUTED_VALUE"""),"104389-B")</f>
        <v>104389-B</v>
      </c>
      <c r="B1113" s="5" t="str">
        <f ca="1">IFERROR(__xludf.DUMMYFUNCTION("""COMPUTED_VALUE"""),"القاهرة")</f>
        <v>القاهرة</v>
      </c>
      <c r="C1113" s="5" t="str">
        <f ca="1">IFERROR(__xludf.DUMMYFUNCTION("""COMPUTED_VALUE"""),"العباسية")</f>
        <v>العباسية</v>
      </c>
      <c r="D1113" s="5" t="str">
        <f ca="1">IFERROR(__xludf.DUMMYFUNCTION("""COMPUTED_VALUE"""),"معمل")</f>
        <v>معمل</v>
      </c>
      <c r="E1113" s="5" t="str">
        <f ca="1">IFERROR(__xludf.DUMMYFUNCTION("""COMPUTED_VALUE"""),"معمل")</f>
        <v>معمل</v>
      </c>
      <c r="F1113" s="5" t="str">
        <f ca="1">IFERROR(__xludf.DUMMYFUNCTION("""COMPUTED_VALUE"""),"معمل التحاليل الطبية")</f>
        <v>معمل التحاليل الطبية</v>
      </c>
      <c r="G1113" s="5" t="str">
        <f ca="1">IFERROR(__xludf.DUMMYFUNCTION("""COMPUTED_VALUE"""),"معامل سبيد للتحاليل الطبية")</f>
        <v>معامل سبيد للتحاليل الطبية</v>
      </c>
      <c r="H1113" s="5" t="str">
        <f ca="1">IFERROR(__xludf.DUMMYFUNCTION("""COMPUTED_VALUE"""),"385 شارع رمسيس - العابسية - الدور الثانى -شقة 9")</f>
        <v>385 شارع رمسيس - العابسية - الدور الثانى -شقة 9</v>
      </c>
      <c r="I1113" s="6"/>
      <c r="J1113" s="6" t="str">
        <f ca="1">IFERROR(__xludf.DUMMYFUNCTION("""COMPUTED_VALUE"""),"19358")</f>
        <v>19358</v>
      </c>
      <c r="K1113" s="6" t="str">
        <f ca="1">IFERROR(__xludf.DUMMYFUNCTION("""COMPUTED_VALUE"""),"خصم 30% علي جميع الخدمات علي الاسعار النقدي")</f>
        <v>خصم 30% علي جميع الخدمات علي الاسعار النقدي</v>
      </c>
    </row>
    <row r="1114" spans="1:11" x14ac:dyDescent="0.25">
      <c r="A1114" s="4" t="str">
        <f ca="1">IFERROR(__xludf.DUMMYFUNCTION("""COMPUTED_VALUE"""),"104389-B")</f>
        <v>104389-B</v>
      </c>
      <c r="B1114" s="5" t="str">
        <f ca="1">IFERROR(__xludf.DUMMYFUNCTION("""COMPUTED_VALUE"""),"الدقهلية")</f>
        <v>الدقهلية</v>
      </c>
      <c r="C1114" s="5" t="str">
        <f ca="1">IFERROR(__xludf.DUMMYFUNCTION("""COMPUTED_VALUE"""),"المنصورة")</f>
        <v>المنصورة</v>
      </c>
      <c r="D1114" s="5" t="str">
        <f ca="1">IFERROR(__xludf.DUMMYFUNCTION("""COMPUTED_VALUE"""),"معمل")</f>
        <v>معمل</v>
      </c>
      <c r="E1114" s="5" t="str">
        <f ca="1">IFERROR(__xludf.DUMMYFUNCTION("""COMPUTED_VALUE"""),"معمل")</f>
        <v>معمل</v>
      </c>
      <c r="F1114" s="5" t="str">
        <f ca="1">IFERROR(__xludf.DUMMYFUNCTION("""COMPUTED_VALUE"""),"معمل التحاليل الطبية")</f>
        <v>معمل التحاليل الطبية</v>
      </c>
      <c r="G1114" s="5" t="str">
        <f ca="1">IFERROR(__xludf.DUMMYFUNCTION("""COMPUTED_VALUE"""),"معامل سبيد للتحاليل الطبية")</f>
        <v>معامل سبيد للتحاليل الطبية</v>
      </c>
      <c r="H1114" s="5" t="str">
        <f ca="1">IFERROR(__xludf.DUMMYFUNCTION("""COMPUTED_VALUE"""),"برج زايد - الدور التاسع - اعلى شركة اتصالات  امام مركز مدينة سمنود")</f>
        <v>برج زايد - الدور التاسع - اعلى شركة اتصالات  امام مركز مدينة سمنود</v>
      </c>
      <c r="I1114" s="6"/>
      <c r="J1114" s="6" t="str">
        <f ca="1">IFERROR(__xludf.DUMMYFUNCTION("""COMPUTED_VALUE"""),"19358")</f>
        <v>19358</v>
      </c>
      <c r="K1114" s="6" t="str">
        <f ca="1">IFERROR(__xludf.DUMMYFUNCTION("""COMPUTED_VALUE"""),"خصم 30% علي جميع الخدمات علي الاسعار النقدي")</f>
        <v>خصم 30% علي جميع الخدمات علي الاسعار النقدي</v>
      </c>
    </row>
    <row r="1115" spans="1:11" x14ac:dyDescent="0.25">
      <c r="A1115" s="4" t="str">
        <f ca="1">IFERROR(__xludf.DUMMYFUNCTION("""COMPUTED_VALUE"""),"104389-B")</f>
        <v>104389-B</v>
      </c>
      <c r="B1115" s="5" t="str">
        <f ca="1">IFERROR(__xludf.DUMMYFUNCTION("""COMPUTED_VALUE"""),"الدقهلية")</f>
        <v>الدقهلية</v>
      </c>
      <c r="C1115" s="5" t="str">
        <f ca="1">IFERROR(__xludf.DUMMYFUNCTION("""COMPUTED_VALUE"""),"المنصورة")</f>
        <v>المنصورة</v>
      </c>
      <c r="D1115" s="5" t="str">
        <f ca="1">IFERROR(__xludf.DUMMYFUNCTION("""COMPUTED_VALUE"""),"معمل")</f>
        <v>معمل</v>
      </c>
      <c r="E1115" s="5" t="str">
        <f ca="1">IFERROR(__xludf.DUMMYFUNCTION("""COMPUTED_VALUE"""),"معمل")</f>
        <v>معمل</v>
      </c>
      <c r="F1115" s="5" t="str">
        <f ca="1">IFERROR(__xludf.DUMMYFUNCTION("""COMPUTED_VALUE"""),"معمل التحاليل الطبية")</f>
        <v>معمل التحاليل الطبية</v>
      </c>
      <c r="G1115" s="5" t="str">
        <f ca="1">IFERROR(__xludf.DUMMYFUNCTION("""COMPUTED_VALUE"""),"معامل سبيد للتحاليل الطبية")</f>
        <v>معامل سبيد للتحاليل الطبية</v>
      </c>
      <c r="H1115" s="5" t="str">
        <f ca="1">IFERROR(__xludf.DUMMYFUNCTION("""COMPUTED_VALUE"""),"شارع حسين بك امام - مركز تنظيم الاسرة  الدور السابع")</f>
        <v>شارع حسين بك امام - مركز تنظيم الاسرة  الدور السابع</v>
      </c>
      <c r="I1115" s="6"/>
      <c r="J1115" s="6" t="str">
        <f ca="1">IFERROR(__xludf.DUMMYFUNCTION("""COMPUTED_VALUE"""),"19358")</f>
        <v>19358</v>
      </c>
      <c r="K1115" s="6" t="str">
        <f ca="1">IFERROR(__xludf.DUMMYFUNCTION("""COMPUTED_VALUE"""),"خصم 30% علي جميع الخدمات علي الاسعار النقدي")</f>
        <v>خصم 30% علي جميع الخدمات علي الاسعار النقدي</v>
      </c>
    </row>
    <row r="1116" spans="1:11" x14ac:dyDescent="0.25">
      <c r="A1116" s="4" t="str">
        <f ca="1">IFERROR(__xludf.DUMMYFUNCTION("""COMPUTED_VALUE"""),"104389-B")</f>
        <v>104389-B</v>
      </c>
      <c r="B1116" s="5" t="str">
        <f ca="1">IFERROR(__xludf.DUMMYFUNCTION("""COMPUTED_VALUE"""),"الدقهلية")</f>
        <v>الدقهلية</v>
      </c>
      <c r="C1116" s="5" t="str">
        <f ca="1">IFERROR(__xludf.DUMMYFUNCTION("""COMPUTED_VALUE"""),"دكرنس")</f>
        <v>دكرنس</v>
      </c>
      <c r="D1116" s="5" t="str">
        <f ca="1">IFERROR(__xludf.DUMMYFUNCTION("""COMPUTED_VALUE"""),"معمل")</f>
        <v>معمل</v>
      </c>
      <c r="E1116" s="5" t="str">
        <f ca="1">IFERROR(__xludf.DUMMYFUNCTION("""COMPUTED_VALUE"""),"معمل")</f>
        <v>معمل</v>
      </c>
      <c r="F1116" s="5" t="str">
        <f ca="1">IFERROR(__xludf.DUMMYFUNCTION("""COMPUTED_VALUE"""),"معمل التحاليل الطبية")</f>
        <v>معمل التحاليل الطبية</v>
      </c>
      <c r="G1116" s="5" t="str">
        <f ca="1">IFERROR(__xludf.DUMMYFUNCTION("""COMPUTED_VALUE"""),"معامل سبيد للتحاليل الطبية")</f>
        <v>معامل سبيد للتحاليل الطبية</v>
      </c>
      <c r="H1116" s="5" t="str">
        <f ca="1">IFERROR(__xludf.DUMMYFUNCTION("""COMPUTED_VALUE"""),"برج التحرير  الدور الرابع - اعلى فودافون - امام قسم شرطة دكرنس")</f>
        <v>برج التحرير  الدور الرابع - اعلى فودافون - امام قسم شرطة دكرنس</v>
      </c>
      <c r="I1116" s="6"/>
      <c r="J1116" s="6" t="str">
        <f ca="1">IFERROR(__xludf.DUMMYFUNCTION("""COMPUTED_VALUE"""),"19358")</f>
        <v>19358</v>
      </c>
      <c r="K1116" s="6" t="str">
        <f ca="1">IFERROR(__xludf.DUMMYFUNCTION("""COMPUTED_VALUE"""),"خصم 30% علي جميع الخدمات علي الاسعار النقدي")</f>
        <v>خصم 30% علي جميع الخدمات علي الاسعار النقدي</v>
      </c>
    </row>
    <row r="1117" spans="1:11" x14ac:dyDescent="0.25">
      <c r="A1117" s="4" t="str">
        <f ca="1">IFERROR(__xludf.DUMMYFUNCTION("""COMPUTED_VALUE"""),"104997")</f>
        <v>104997</v>
      </c>
      <c r="B1117" s="5" t="str">
        <f ca="1">IFERROR(__xludf.DUMMYFUNCTION("""COMPUTED_VALUE"""),"البحيرة")</f>
        <v>البحيرة</v>
      </c>
      <c r="C1117" s="5" t="str">
        <f ca="1">IFERROR(__xludf.DUMMYFUNCTION("""COMPUTED_VALUE"""),"كفر الدوار")</f>
        <v>كفر الدوار</v>
      </c>
      <c r="D1117" s="5" t="str">
        <f ca="1">IFERROR(__xludf.DUMMYFUNCTION("""COMPUTED_VALUE"""),"مركز أشعة")</f>
        <v>مركز أشعة</v>
      </c>
      <c r="E1117" s="5" t="str">
        <f ca="1">IFERROR(__xludf.DUMMYFUNCTION("""COMPUTED_VALUE"""),"مركز أشعة")</f>
        <v>مركز أشعة</v>
      </c>
      <c r="F1117" s="5" t="str">
        <f ca="1">IFERROR(__xludf.DUMMYFUNCTION("""COMPUTED_VALUE"""),"مركز الأشعة التشخيصية")</f>
        <v>مركز الأشعة التشخيصية</v>
      </c>
      <c r="G1117" s="5" t="str">
        <f ca="1">IFERROR(__xludf.DUMMYFUNCTION("""COMPUTED_VALUE"""),"مركز مصر سكان للتشخيص والمعالجة- بكفر الدوار")</f>
        <v>مركز مصر سكان للتشخيص والمعالجة- بكفر الدوار</v>
      </c>
      <c r="H1117" s="5" t="str">
        <f ca="1">IFERROR(__xludf.DUMMYFUNCTION("""COMPUTED_VALUE"""),"شارع العيادى - من شارع المحكمة - المهاجرين - كفر الدوار -البحيرة")</f>
        <v>شارع العيادى - من شارع المحكمة - المهاجرين - كفر الدوار -البحيرة</v>
      </c>
      <c r="I1117" s="6" t="str">
        <f ca="1">IFERROR(__xludf.DUMMYFUNCTION("""COMPUTED_VALUE"""),"20452240050")</f>
        <v>20452240050</v>
      </c>
      <c r="J1117" s="6"/>
      <c r="K1117" s="6" t="str">
        <f ca="1">IFERROR(__xludf.DUMMYFUNCTION("""COMPUTED_VALUE"""),"خصم يصل الي 20%")</f>
        <v>خصم يصل الي 20%</v>
      </c>
    </row>
    <row r="1118" spans="1:11" x14ac:dyDescent="0.25">
      <c r="A1118" s="4" t="str">
        <f ca="1">IFERROR(__xludf.DUMMYFUNCTION("""COMPUTED_VALUE"""),"104999")</f>
        <v>104999</v>
      </c>
      <c r="B1118" s="5" t="str">
        <f ca="1">IFERROR(__xludf.DUMMYFUNCTION("""COMPUTED_VALUE"""),"الجيزة")</f>
        <v>الجيزة</v>
      </c>
      <c r="C1118" s="5" t="str">
        <f ca="1">IFERROR(__xludf.DUMMYFUNCTION("""COMPUTED_VALUE"""),"الدقي")</f>
        <v>الدقي</v>
      </c>
      <c r="D1118" s="5" t="str">
        <f ca="1">IFERROR(__xludf.DUMMYFUNCTION("""COMPUTED_VALUE"""),"شركة")</f>
        <v>شركة</v>
      </c>
      <c r="E1118" s="5" t="str">
        <f ca="1">IFERROR(__xludf.DUMMYFUNCTION("""COMPUTED_VALUE"""),"شركة اجهزة طبية")</f>
        <v>شركة اجهزة طبية</v>
      </c>
      <c r="F1118" s="5" t="str">
        <f ca="1">IFERROR(__xludf.DUMMYFUNCTION("""COMPUTED_VALUE"""),"مستلزمات واجهزة طبية")</f>
        <v>مستلزمات واجهزة طبية</v>
      </c>
      <c r="G1118" s="5" t="str">
        <f ca="1">IFERROR(__xludf.DUMMYFUNCTION("""COMPUTED_VALUE"""),"شركة ك أ فارما (ارثو ميديكس للاجهزه التعويضية والاطراف الصناعية)")</f>
        <v>شركة ك أ فارما (ارثو ميديكس للاجهزه التعويضية والاطراف الصناعية)</v>
      </c>
      <c r="H1118" s="5" t="str">
        <f ca="1">IFERROR(__xludf.DUMMYFUNCTION("""COMPUTED_VALUE"""),"97 شارع التحرير - الدقى -الجيزة")</f>
        <v>97 شارع التحرير - الدقى -الجيزة</v>
      </c>
      <c r="I1118" s="6" t="str">
        <f ca="1">IFERROR(__xludf.DUMMYFUNCTION("""COMPUTED_VALUE"""),"0237623945")</f>
        <v>0237623945</v>
      </c>
      <c r="J1118" s="6"/>
      <c r="K1118" s="6" t="str">
        <f ca="1">IFERROR(__xludf.DUMMYFUNCTION("""COMPUTED_VALUE"""),"20% على المحلى ,10% على المستورد ,5% على الأطراف الصناعية والأجهزة التعوضية والقومية وأجهزة الشللوالهاند ميد")</f>
        <v>20% على المحلى ,10% على المستورد ,5% على الأطراف الصناعية والأجهزة التعوضية والقومية وأجهزة الشللوالهاند ميد</v>
      </c>
    </row>
    <row r="1119" spans="1:11" x14ac:dyDescent="0.25">
      <c r="A1119" s="4" t="str">
        <f ca="1">IFERROR(__xludf.DUMMYFUNCTION("""COMPUTED_VALUE"""),"105001")</f>
        <v>105001</v>
      </c>
      <c r="B1119" s="5" t="str">
        <f ca="1">IFERROR(__xludf.DUMMYFUNCTION("""COMPUTED_VALUE"""),"الفيوم")</f>
        <v>الفيوم</v>
      </c>
      <c r="C1119" s="5" t="str">
        <f ca="1">IFERROR(__xludf.DUMMYFUNCTION("""COMPUTED_VALUE"""),"الفيوم")</f>
        <v>الفيوم</v>
      </c>
      <c r="D1119" s="5" t="str">
        <f ca="1">IFERROR(__xludf.DUMMYFUNCTION("""COMPUTED_VALUE"""),"مركز أشعة")</f>
        <v>مركز أشعة</v>
      </c>
      <c r="E1119" s="5" t="str">
        <f ca="1">IFERROR(__xludf.DUMMYFUNCTION("""COMPUTED_VALUE"""),"مركز أشعة")</f>
        <v>مركز أشعة</v>
      </c>
      <c r="F1119" s="5" t="str">
        <f ca="1">IFERROR(__xludf.DUMMYFUNCTION("""COMPUTED_VALUE"""),"مركز الأشعة التشخيصية")</f>
        <v>مركز الأشعة التشخيصية</v>
      </c>
      <c r="G1119" s="5" t="str">
        <f ca="1">IFERROR(__xludf.DUMMYFUNCTION("""COMPUTED_VALUE"""),"مركز البرج للاشعة والرنين المغناطيسي")</f>
        <v>مركز البرج للاشعة والرنين المغناطيسي</v>
      </c>
      <c r="H1119" s="5" t="str">
        <f ca="1">IFERROR(__xludf.DUMMYFUNCTION("""COMPUTED_VALUE"""),"ميدان المسلة - برج الشروق - اول الكوبرى العلوى - الفيوم")</f>
        <v>ميدان المسلة - برج الشروق - اول الكوبرى العلوى - الفيوم</v>
      </c>
      <c r="I1119" s="6" t="str">
        <f ca="1">IFERROR(__xludf.DUMMYFUNCTION("""COMPUTED_VALUE"""),"20842128060")</f>
        <v>20842128060</v>
      </c>
      <c r="J1119" s="6"/>
      <c r="K1119" s="6" t="str">
        <f ca="1">IFERROR(__xludf.DUMMYFUNCTION("""COMPUTED_VALUE"""),"20%على الرنين والمقطعية ,10%على الصبغة ,25% على باقى الخدمات")</f>
        <v>20%على الرنين والمقطعية ,10%على الصبغة ,25% على باقى الخدمات</v>
      </c>
    </row>
    <row r="1120" spans="1:11" x14ac:dyDescent="0.25">
      <c r="A1120" s="4" t="str">
        <f ca="1">IFERROR(__xludf.DUMMYFUNCTION("""COMPUTED_VALUE"""),"1683-B")</f>
        <v>1683-B</v>
      </c>
      <c r="B1120" s="5" t="str">
        <f ca="1">IFERROR(__xludf.DUMMYFUNCTION("""COMPUTED_VALUE"""),"القاهرة")</f>
        <v>القاهرة</v>
      </c>
      <c r="C1120" s="5" t="str">
        <f ca="1">IFERROR(__xludf.DUMMYFUNCTION("""COMPUTED_VALUE"""),"جسر السويس")</f>
        <v>جسر السويس</v>
      </c>
      <c r="D1120" s="5" t="str">
        <f ca="1">IFERROR(__xludf.DUMMYFUNCTION("""COMPUTED_VALUE"""),"صيدلية")</f>
        <v>صيدلية</v>
      </c>
      <c r="E1120" s="5" t="str">
        <f ca="1">IFERROR(__xludf.DUMMYFUNCTION("""COMPUTED_VALUE"""),"صيدلية")</f>
        <v>صيدلية</v>
      </c>
      <c r="F1120" s="5" t="str">
        <f ca="1">IFERROR(__xludf.DUMMYFUNCTION("""COMPUTED_VALUE"""),"صيدلية (أدوية ومستلزمات طبية)")</f>
        <v>صيدلية (أدوية ومستلزمات طبية)</v>
      </c>
      <c r="G112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20" s="5" t="str">
        <f ca="1">IFERROR(__xludf.DUMMYFUNCTION("""COMPUTED_VALUE"""),"241ش جسر السويس امام ش منشيه التحرير - جسر السويس - القاهرة")</f>
        <v>241ش جسر السويس امام ش منشيه التحرير - جسر السويس - القاهرة</v>
      </c>
      <c r="I1120" s="6" t="str">
        <f ca="1">IFERROR(__xludf.DUMMYFUNCTION("""COMPUTED_VALUE"""),"1111505783
")</f>
        <v xml:space="preserve">1111505783
</v>
      </c>
      <c r="J1120" s="6" t="str">
        <f ca="1">IFERROR(__xludf.DUMMYFUNCTION("""COMPUTED_VALUE"""),"19600")</f>
        <v>19600</v>
      </c>
      <c r="K1120" s="6" t="str">
        <f ca="1">IFERROR(__xludf.DUMMYFUNCTION("""COMPUTED_VALUE"""),"7.5 % على المحلى ,5% على المستلزمات الطبية و التجميل")</f>
        <v>7.5 % على المحلى ,5% على المستلزمات الطبية و التجميل</v>
      </c>
    </row>
    <row r="1121" spans="1:11" x14ac:dyDescent="0.25">
      <c r="A1121" s="4" t="str">
        <f ca="1">IFERROR(__xludf.DUMMYFUNCTION("""COMPUTED_VALUE"""),"103339-B")</f>
        <v>103339-B</v>
      </c>
      <c r="B1121" s="5" t="str">
        <f ca="1">IFERROR(__xludf.DUMMYFUNCTION("""COMPUTED_VALUE"""),"الاسكندرية")</f>
        <v>الاسكندرية</v>
      </c>
      <c r="C1121" s="5" t="str">
        <f ca="1">IFERROR(__xludf.DUMMYFUNCTION("""COMPUTED_VALUE"""),"الازاريطا")</f>
        <v>الازاريطا</v>
      </c>
      <c r="D1121" s="5" t="str">
        <f ca="1">IFERROR(__xludf.DUMMYFUNCTION("""COMPUTED_VALUE"""),"هيئة الأطباء")</f>
        <v>هيئة الأطباء</v>
      </c>
      <c r="E1121" s="5" t="str">
        <f ca="1">IFERROR(__xludf.DUMMYFUNCTION("""COMPUTED_VALUE"""),"جراحة")</f>
        <v>جراحة</v>
      </c>
      <c r="F1121" s="5" t="str">
        <f ca="1">IFERROR(__xludf.DUMMYFUNCTION("""COMPUTED_VALUE"""),"جراحة عظام")</f>
        <v>جراحة عظام</v>
      </c>
      <c r="G1121" s="5" t="str">
        <f ca="1">IFERROR(__xludf.DUMMYFUNCTION("""COMPUTED_VALUE"""),"د/ جورج مجدي مرشد")</f>
        <v>د/ جورج مجدي مرشد</v>
      </c>
      <c r="H1121" s="5" t="str">
        <f ca="1">IFERROR(__xludf.DUMMYFUNCTION("""COMPUTED_VALUE"""),"28ش طاغور (عيادات م.غبور) - الازاريطا - الاسكندرية")</f>
        <v>28ش طاغور (عيادات م.غبور) - الازاريطا - الاسكندرية</v>
      </c>
      <c r="I1121" s="6" t="str">
        <f ca="1">IFERROR(__xludf.DUMMYFUNCTION("""COMPUTED_VALUE"""),"2034837007")</f>
        <v>2034837007</v>
      </c>
      <c r="J1121" s="6"/>
      <c r="K1121" s="6" t="str">
        <f ca="1">IFERROR(__xludf.DUMMYFUNCTION("""COMPUTED_VALUE"""),"20% على الخارجي ,10% الداخلى")</f>
        <v>20% على الخارجي ,10% الداخلى</v>
      </c>
    </row>
    <row r="1122" spans="1:11" x14ac:dyDescent="0.25">
      <c r="A1122" s="4" t="str">
        <f ca="1">IFERROR(__xludf.DUMMYFUNCTION("""COMPUTED_VALUE"""),"103348-B")</f>
        <v>103348-B</v>
      </c>
      <c r="B1122" s="5" t="str">
        <f ca="1">IFERROR(__xludf.DUMMYFUNCTION("""COMPUTED_VALUE"""),"القاهرة")</f>
        <v>القاهرة</v>
      </c>
      <c r="C1122" s="5" t="str">
        <f ca="1">IFERROR(__xludf.DUMMYFUNCTION("""COMPUTED_VALUE"""),"القاهرة الجديدة")</f>
        <v>القاهرة الجديدة</v>
      </c>
      <c r="D1122" s="5" t="str">
        <f ca="1">IFERROR(__xludf.DUMMYFUNCTION("""COMPUTED_VALUE"""),"هيئة الأطباء")</f>
        <v>هيئة الأطباء</v>
      </c>
      <c r="E1122" s="5" t="str">
        <f ca="1">IFERROR(__xludf.DUMMYFUNCTION("""COMPUTED_VALUE"""),"باطنة")</f>
        <v>باطنة</v>
      </c>
      <c r="F1122" s="5" t="str">
        <f ca="1">IFERROR(__xludf.DUMMYFUNCTION("""COMPUTED_VALUE"""),"غدد صماء و سكر")</f>
        <v>غدد صماء و سكر</v>
      </c>
      <c r="G1122" s="5" t="str">
        <f ca="1">IFERROR(__xludf.DUMMYFUNCTION("""COMPUTED_VALUE"""),"د/ نرمين أحمد شريبة")</f>
        <v>د/ نرمين أحمد شريبة</v>
      </c>
      <c r="H1122" s="5" t="str">
        <f ca="1">IFERROR(__xludf.DUMMYFUNCTION("""COMPUTED_VALUE"""),"الحي الثاني - منطقة 3 (clinic of new cairo)- شارع 39 - التجمع الخامس - القاهرة الجديدة- القاهرة")</f>
        <v>الحي الثاني - منطقة 3 (clinic of new cairo)- شارع 39 - التجمع الخامس - القاهرة الجديدة- القاهرة</v>
      </c>
      <c r="I1122" s="6" t="str">
        <f ca="1">IFERROR(__xludf.DUMMYFUNCTION("""COMPUTED_VALUE"""),"201158816770")</f>
        <v>201158816770</v>
      </c>
      <c r="J1122" s="6"/>
      <c r="K1122" s="6" t="str">
        <f ca="1">IFERROR(__xludf.DUMMYFUNCTION("""COMPUTED_VALUE"""),"الكشف : 250")</f>
        <v>الكشف : 250</v>
      </c>
    </row>
    <row r="1123" spans="1:11" x14ac:dyDescent="0.25">
      <c r="A1123" s="4" t="str">
        <f ca="1">IFERROR(__xludf.DUMMYFUNCTION("""COMPUTED_VALUE"""),"105019")</f>
        <v>105019</v>
      </c>
      <c r="B1123" s="5" t="str">
        <f ca="1">IFERROR(__xludf.DUMMYFUNCTION("""COMPUTED_VALUE"""),"الجيزة")</f>
        <v>الجيزة</v>
      </c>
      <c r="C1123" s="5" t="str">
        <f ca="1">IFERROR(__xludf.DUMMYFUNCTION("""COMPUTED_VALUE"""),"أوسيم")</f>
        <v>أوسيم</v>
      </c>
      <c r="D1123" s="5" t="str">
        <f ca="1">IFERROR(__xludf.DUMMYFUNCTION("""COMPUTED_VALUE"""),"هيئة الأطباء")</f>
        <v>هيئة الأطباء</v>
      </c>
      <c r="E1123" s="5" t="str">
        <f ca="1">IFERROR(__xludf.DUMMYFUNCTION("""COMPUTED_VALUE"""),"جراحة")</f>
        <v>جراحة</v>
      </c>
      <c r="F1123" s="5" t="str">
        <f ca="1">IFERROR(__xludf.DUMMYFUNCTION("""COMPUTED_VALUE"""),"جراحة عظام")</f>
        <v>جراحة عظام</v>
      </c>
      <c r="G1123" s="5" t="str">
        <f ca="1">IFERROR(__xludf.DUMMYFUNCTION("""COMPUTED_VALUE"""),"د/ فادى كمال عبد الدايم عبد الدايم")</f>
        <v>د/ فادى كمال عبد الدايم عبد الدايم</v>
      </c>
      <c r="H1123" s="5" t="str">
        <f ca="1">IFERROR(__xludf.DUMMYFUNCTION("""COMPUTED_VALUE"""),"امام مطحن - اوسيم - الجيزة")</f>
        <v>امام مطحن - اوسيم - الجيزة</v>
      </c>
      <c r="I1123" s="6" t="str">
        <f ca="1">IFERROR(__xludf.DUMMYFUNCTION("""COMPUTED_VALUE"""),"201116344991")</f>
        <v>201116344991</v>
      </c>
      <c r="J1123" s="6"/>
      <c r="K1123" s="6" t="str">
        <f ca="1">IFERROR(__xludf.DUMMYFUNCTION("""COMPUTED_VALUE"""),"الكشف 60 جنيةالمؤسسه العلاجيه 2015")</f>
        <v>الكشف 60 جنيةالمؤسسه العلاجيه 2015</v>
      </c>
    </row>
    <row r="1124" spans="1:11" x14ac:dyDescent="0.25">
      <c r="A1124" s="4" t="str">
        <f ca="1">IFERROR(__xludf.DUMMYFUNCTION("""COMPUTED_VALUE"""),"105025")</f>
        <v>105025</v>
      </c>
      <c r="B1124" s="5" t="str">
        <f ca="1">IFERROR(__xludf.DUMMYFUNCTION("""COMPUTED_VALUE"""),"القاهرة")</f>
        <v>القاهرة</v>
      </c>
      <c r="C1124" s="5" t="str">
        <f ca="1">IFERROR(__xludf.DUMMYFUNCTION("""COMPUTED_VALUE"""),"مصر الجديدة")</f>
        <v>مصر الجديدة</v>
      </c>
      <c r="D1124" s="5" t="str">
        <f ca="1">IFERROR(__xludf.DUMMYFUNCTION("""COMPUTED_VALUE"""),"مستشفى")</f>
        <v>مستشفى</v>
      </c>
      <c r="E1124" s="5" t="str">
        <f ca="1">IFERROR(__xludf.DUMMYFUNCTION("""COMPUTED_VALUE"""),"مستشفي طبي متكامل")</f>
        <v>مستشفي طبي متكامل</v>
      </c>
      <c r="F1124" s="5" t="str">
        <f ca="1">IFERROR(__xludf.DUMMYFUNCTION("""COMPUTED_VALUE"""),"جميع التخصصات الطبية")</f>
        <v>جميع التخصصات الطبية</v>
      </c>
      <c r="G1124" s="5" t="str">
        <f ca="1">IFERROR(__xludf.DUMMYFUNCTION("""COMPUTED_VALUE"""),"ويدج جروب للخدمات الطبية( مستشفى المستقبل التخصصى)")</f>
        <v>ويدج جروب للخدمات الطبية( مستشفى المستقبل التخصصى)</v>
      </c>
      <c r="H1124" s="5" t="str">
        <f ca="1">IFERROR(__xludf.DUMMYFUNCTION("""COMPUTED_VALUE"""),"67(أ) شارع نخلة المطبعى - ميدان ترينف - مصر الجديدة- القاهرة")</f>
        <v>67(أ) شارع نخلة المطبعى - ميدان ترينف - مصر الجديدة- القاهرة</v>
      </c>
      <c r="I1124" s="6" t="str">
        <f ca="1">IFERROR(__xludf.DUMMYFUNCTION("""COMPUTED_VALUE"""),"20224156798")</f>
        <v>20224156798</v>
      </c>
      <c r="J1124" s="6"/>
      <c r="K1124" s="6" t="str">
        <f ca="1">IFERROR(__xludf.DUMMYFUNCTION("""COMPUTED_VALUE"""),"نسبة خصم 20% علي كل الخدمات ما عدا الادوية والمستلزمات الطبية واتعاب الاطباء")</f>
        <v>نسبة خصم 20% علي كل الخدمات ما عدا الادوية والمستلزمات الطبية واتعاب الاطباء</v>
      </c>
    </row>
    <row r="1125" spans="1:11" x14ac:dyDescent="0.25">
      <c r="A1125" s="4" t="str">
        <f ca="1">IFERROR(__xludf.DUMMYFUNCTION("""COMPUTED_VALUE"""),"2194")</f>
        <v>2194</v>
      </c>
      <c r="B1125" s="5" t="str">
        <f ca="1">IFERROR(__xludf.DUMMYFUNCTION("""COMPUTED_VALUE"""),"بورسعيد")</f>
        <v>بورسعيد</v>
      </c>
      <c r="C1125" s="5" t="str">
        <f ca="1">IFERROR(__xludf.DUMMYFUNCTION("""COMPUTED_VALUE"""),"بورسعيد")</f>
        <v>بورسعيد</v>
      </c>
      <c r="D1125" s="5" t="str">
        <f ca="1">IFERROR(__xludf.DUMMYFUNCTION("""COMPUTED_VALUE"""),"مركز أشعة")</f>
        <v>مركز أشعة</v>
      </c>
      <c r="E1125" s="5" t="str">
        <f ca="1">IFERROR(__xludf.DUMMYFUNCTION("""COMPUTED_VALUE"""),"مركز أشعة")</f>
        <v>مركز أشعة</v>
      </c>
      <c r="F1125" s="5" t="str">
        <f ca="1">IFERROR(__xludf.DUMMYFUNCTION("""COMPUTED_VALUE"""),"مركز الأشعة التشخيصية")</f>
        <v>مركز الأشعة التشخيصية</v>
      </c>
      <c r="G1125" s="5" t="str">
        <f ca="1">IFERROR(__xludf.DUMMYFUNCTION("""COMPUTED_VALUE"""),"مراكز الايمان للاشعة و المسح الذري")</f>
        <v>مراكز الايمان للاشعة و المسح الذري</v>
      </c>
      <c r="H1125" s="5" t="str">
        <f ca="1">IFERROR(__xludf.DUMMYFUNCTION("""COMPUTED_VALUE"""),"برج مركز الايمان بجوار مكتب صحة العرب خلف مسجد علوان - حى العرب - بورسعيد")</f>
        <v>برج مركز الايمان بجوار مكتب صحة العرب خلف مسجد علوان - حى العرب - بورسعيد</v>
      </c>
      <c r="I1125" s="6" t="str">
        <f ca="1">IFERROR(__xludf.DUMMYFUNCTION("""COMPUTED_VALUE"""),"0663238310")</f>
        <v>0663238310</v>
      </c>
      <c r="J1125" s="6" t="str">
        <f ca="1">IFERROR(__xludf.DUMMYFUNCTION("""COMPUTED_VALUE"""),"16961")</f>
        <v>16961</v>
      </c>
      <c r="K1125" s="6" t="str">
        <f ca="1">IFERROR(__xludf.DUMMYFUNCTION("""COMPUTED_VALUE"""),"20% على جميع الخدمات")</f>
        <v>20% على جميع الخدمات</v>
      </c>
    </row>
    <row r="1126" spans="1:11" x14ac:dyDescent="0.25">
      <c r="A1126" s="4" t="str">
        <f ca="1">IFERROR(__xludf.DUMMYFUNCTION("""COMPUTED_VALUE"""),"105032")</f>
        <v>105032</v>
      </c>
      <c r="B1126" s="5" t="str">
        <f ca="1">IFERROR(__xludf.DUMMYFUNCTION("""COMPUTED_VALUE"""),"كفر الشيخ")</f>
        <v>كفر الشيخ</v>
      </c>
      <c r="C1126" s="5" t="str">
        <f ca="1">IFERROR(__xludf.DUMMYFUNCTION("""COMPUTED_VALUE"""),"كفر الشيخ")</f>
        <v>كفر الشيخ</v>
      </c>
      <c r="D1126" s="5" t="str">
        <f ca="1">IFERROR(__xludf.DUMMYFUNCTION("""COMPUTED_VALUE"""),"هيئة الأطباء")</f>
        <v>هيئة الأطباء</v>
      </c>
      <c r="E1126" s="5" t="str">
        <f ca="1">IFERROR(__xludf.DUMMYFUNCTION("""COMPUTED_VALUE"""),"باطنة")</f>
        <v>باطنة</v>
      </c>
      <c r="F1126" s="5" t="str">
        <f ca="1">IFERROR(__xludf.DUMMYFUNCTION("""COMPUTED_VALUE"""),"باطنة عامة")</f>
        <v>باطنة عامة</v>
      </c>
      <c r="G1126" s="5" t="str">
        <f ca="1">IFERROR(__xludf.DUMMYFUNCTION("""COMPUTED_VALUE"""),"د/بهاء محمد ابو شعيشع عبدالعزيز")</f>
        <v>د/بهاء محمد ابو شعيشع عبدالعزيز</v>
      </c>
      <c r="H1126" s="5" t="str">
        <f ca="1">IFERROR(__xludf.DUMMYFUNCTION("""COMPUTED_VALUE"""),"امام المستشفى العام - مركز الكبد - كفر الشيخ")</f>
        <v>امام المستشفى العام - مركز الكبد - كفر الشيخ</v>
      </c>
      <c r="I1126" s="6" t="str">
        <f ca="1">IFERROR(__xludf.DUMMYFUNCTION("""COMPUTED_VALUE"""),"201096776779")</f>
        <v>201096776779</v>
      </c>
      <c r="J1126" s="6"/>
      <c r="K1126" s="6" t="str">
        <f ca="1">IFERROR(__xludf.DUMMYFUNCTION("""COMPUTED_VALUE"""),"الكشف مع موجات صوتيه 50 جنية")</f>
        <v>الكشف مع موجات صوتيه 50 جنية</v>
      </c>
    </row>
    <row r="1127" spans="1:11" x14ac:dyDescent="0.25">
      <c r="A1127" s="4" t="str">
        <f ca="1">IFERROR(__xludf.DUMMYFUNCTION("""COMPUTED_VALUE"""),"105032-B")</f>
        <v>105032-B</v>
      </c>
      <c r="B1127" s="5" t="str">
        <f ca="1">IFERROR(__xludf.DUMMYFUNCTION("""COMPUTED_VALUE"""),"كفر الشيخ")</f>
        <v>كفر الشيخ</v>
      </c>
      <c r="C1127" s="5" t="str">
        <f ca="1">IFERROR(__xludf.DUMMYFUNCTION("""COMPUTED_VALUE"""),"كفر الشيخ")</f>
        <v>كفر الشيخ</v>
      </c>
      <c r="D1127" s="5" t="str">
        <f ca="1">IFERROR(__xludf.DUMMYFUNCTION("""COMPUTED_VALUE"""),"هيئة الأطباء")</f>
        <v>هيئة الأطباء</v>
      </c>
      <c r="E1127" s="5" t="str">
        <f ca="1">IFERROR(__xludf.DUMMYFUNCTION("""COMPUTED_VALUE"""),"باطنة")</f>
        <v>باطنة</v>
      </c>
      <c r="F1127" s="5" t="str">
        <f ca="1">IFERROR(__xludf.DUMMYFUNCTION("""COMPUTED_VALUE"""),"باطنة عامة")</f>
        <v>باطنة عامة</v>
      </c>
      <c r="G1127" s="5" t="str">
        <f ca="1">IFERROR(__xludf.DUMMYFUNCTION("""COMPUTED_VALUE"""),"د/بهاء محمد ابو شعيشع عبدالعزيز")</f>
        <v>د/بهاء محمد ابو شعيشع عبدالعزيز</v>
      </c>
      <c r="H1127" s="5" t="str">
        <f ca="1">IFERROR(__xludf.DUMMYFUNCTION("""COMPUTED_VALUE"""),"اعلى بنك القاهرة - امام مركزة شرطه الحامول - الحامول - كفر الشيخ")</f>
        <v>اعلى بنك القاهرة - امام مركزة شرطه الحامول - الحامول - كفر الشيخ</v>
      </c>
      <c r="I1127" s="6" t="str">
        <f ca="1">IFERROR(__xludf.DUMMYFUNCTION("""COMPUTED_VALUE"""),"201096775775")</f>
        <v>201096775775</v>
      </c>
      <c r="J1127" s="6"/>
      <c r="K1127" s="6" t="str">
        <f ca="1">IFERROR(__xludf.DUMMYFUNCTION("""COMPUTED_VALUE"""),"الكشف مع موجات صوتيه 50 جنية")</f>
        <v>الكشف مع موجات صوتيه 50 جنية</v>
      </c>
    </row>
    <row r="1128" spans="1:11" x14ac:dyDescent="0.25">
      <c r="A1128" s="4" t="str">
        <f ca="1">IFERROR(__xludf.DUMMYFUNCTION("""COMPUTED_VALUE"""),"3222-B")</f>
        <v>3222-B</v>
      </c>
      <c r="B1128" s="5" t="str">
        <f ca="1">IFERROR(__xludf.DUMMYFUNCTION("""COMPUTED_VALUE"""),"الجيزة")</f>
        <v>الجيزة</v>
      </c>
      <c r="C1128" s="5" t="str">
        <f ca="1">IFERROR(__xludf.DUMMYFUNCTION("""COMPUTED_VALUE"""),"السادس من اكتوبر")</f>
        <v>السادس من اكتوبر</v>
      </c>
      <c r="D1128" s="5" t="str">
        <f ca="1">IFERROR(__xludf.DUMMYFUNCTION("""COMPUTED_VALUE"""),"مركز علاج طبيعي")</f>
        <v>مركز علاج طبيعي</v>
      </c>
      <c r="E1128" s="5" t="str">
        <f ca="1">IFERROR(__xludf.DUMMYFUNCTION("""COMPUTED_VALUE"""),"علاج طبيعي")</f>
        <v>علاج طبيعي</v>
      </c>
      <c r="F1128" s="5" t="str">
        <f ca="1">IFERROR(__xludf.DUMMYFUNCTION("""COMPUTED_VALUE"""),"جلسات العلاج الطبيعي")</f>
        <v>جلسات العلاج الطبيعي</v>
      </c>
      <c r="G1128" s="5" t="str">
        <f ca="1">IFERROR(__xludf.DUMMYFUNCTION("""COMPUTED_VALUE"""),"مركز حسبو للعلاج الطبيعي")</f>
        <v>مركز حسبو للعلاج الطبيعي</v>
      </c>
      <c r="H1128" s="5" t="str">
        <f ca="1">IFERROR(__xludf.DUMMYFUNCTION("""COMPUTED_VALUE"""),"المحور المركزى - بعد بنك الاسكان والتعمير - بجوار مستشفى ايدن (الشرطة سابقاً) - 6اكتوبر - الجيزة")</f>
        <v>المحور المركزى - بعد بنك الاسكان والتعمير - بجوار مستشفى ايدن (الشرطة سابقاً) - 6اكتوبر - الجيزة</v>
      </c>
      <c r="I1128" s="6" t="str">
        <f ca="1">IFERROR(__xludf.DUMMYFUNCTION("""COMPUTED_VALUE"""),"201007412217")</f>
        <v>201007412217</v>
      </c>
      <c r="J1128" s="6"/>
      <c r="K1128" s="6" t="str">
        <f ca="1">IFERROR(__xludf.DUMMYFUNCTION("""COMPUTED_VALUE"""),"خصم 25% علي جميع الخدمات")</f>
        <v>خصم 25% علي جميع الخدمات</v>
      </c>
    </row>
    <row r="1129" spans="1:11" x14ac:dyDescent="0.25">
      <c r="A1129" s="4" t="str">
        <f ca="1">IFERROR(__xludf.DUMMYFUNCTION("""COMPUTED_VALUE"""),"105041")</f>
        <v>105041</v>
      </c>
      <c r="B1129" s="5" t="str">
        <f ca="1">IFERROR(__xludf.DUMMYFUNCTION("""COMPUTED_VALUE"""),"الجيزة")</f>
        <v>الجيزة</v>
      </c>
      <c r="C1129" s="5" t="str">
        <f ca="1">IFERROR(__xludf.DUMMYFUNCTION("""COMPUTED_VALUE"""),"المهندسين")</f>
        <v>المهندسين</v>
      </c>
      <c r="D1129" s="5" t="str">
        <f ca="1">IFERROR(__xludf.DUMMYFUNCTION("""COMPUTED_VALUE"""),"صيدلية")</f>
        <v>صيدلية</v>
      </c>
      <c r="E1129" s="5" t="str">
        <f ca="1">IFERROR(__xludf.DUMMYFUNCTION("""COMPUTED_VALUE"""),"صيدلية")</f>
        <v>صيدلية</v>
      </c>
      <c r="F1129" s="5" t="str">
        <f ca="1">IFERROR(__xludf.DUMMYFUNCTION("""COMPUTED_VALUE"""),"صيدلية (أدوية ومستلزمات طبية)")</f>
        <v>صيدلية (أدوية ومستلزمات طبية)</v>
      </c>
      <c r="G1129" s="5" t="str">
        <f ca="1">IFERROR(__xludf.DUMMYFUNCTION("""COMPUTED_VALUE"""),"صيدلية مستشفى الشروق -الهندسين")</f>
        <v>صيدلية مستشفى الشروق -الهندسين</v>
      </c>
      <c r="H1129" s="5" t="str">
        <f ca="1">IFERROR(__xludf.DUMMYFUNCTION("""COMPUTED_VALUE"""),"5 شارع بحر الغزال متفرع من شارع احمد عرابي - مدينة الطلبة - الصحفيين-المهندسين- الجيزة")</f>
        <v>5 شارع بحر الغزال متفرع من شارع احمد عرابي - مدينة الطلبة - الصحفيين-المهندسين- الجيزة</v>
      </c>
      <c r="I1129" s="6" t="str">
        <f ca="1">IFERROR(__xludf.DUMMYFUNCTION("""COMPUTED_VALUE"""),"20233044901")</f>
        <v>20233044901</v>
      </c>
      <c r="J1129" s="6"/>
      <c r="K1129" s="6" t="str">
        <f ca="1">IFERROR(__xludf.DUMMYFUNCTION("""COMPUTED_VALUE"""),"7% على الادوية المحلية , 2% على الادوية المستوردة         ")</f>
        <v xml:space="preserve">7% على الادوية المحلية , 2% على الادوية المستوردة         </v>
      </c>
    </row>
    <row r="1130" spans="1:11" x14ac:dyDescent="0.25">
      <c r="A1130" s="4" t="str">
        <f ca="1">IFERROR(__xludf.DUMMYFUNCTION("""COMPUTED_VALUE"""),"105045")</f>
        <v>105045</v>
      </c>
      <c r="B1130" s="5" t="str">
        <f ca="1">IFERROR(__xludf.DUMMYFUNCTION("""COMPUTED_VALUE"""),"القليوبية")</f>
        <v>القليوبية</v>
      </c>
      <c r="C1130" s="5" t="str">
        <f ca="1">IFERROR(__xludf.DUMMYFUNCTION("""COMPUTED_VALUE"""),"بنها")</f>
        <v>بنها</v>
      </c>
      <c r="D1130" s="5" t="str">
        <f ca="1">IFERROR(__xludf.DUMMYFUNCTION("""COMPUTED_VALUE"""),"مركز أشعة")</f>
        <v>مركز أشعة</v>
      </c>
      <c r="E1130" s="5" t="str">
        <f ca="1">IFERROR(__xludf.DUMMYFUNCTION("""COMPUTED_VALUE"""),"مركز أشعة")</f>
        <v>مركز أشعة</v>
      </c>
      <c r="F1130" s="5" t="str">
        <f ca="1">IFERROR(__xludf.DUMMYFUNCTION("""COMPUTED_VALUE"""),"مركز الأشعة التشخيصية")</f>
        <v>مركز الأشعة التشخيصية</v>
      </c>
      <c r="G1130" s="5" t="str">
        <f ca="1">IFERROR(__xludf.DUMMYFUNCTION("""COMPUTED_VALUE"""),"شركة كير ميد للأشعة (مركز د/أحمد فريد للاشعة)")</f>
        <v>شركة كير ميد للأشعة (مركز د/أحمد فريد للاشعة)</v>
      </c>
      <c r="H1130" s="5" t="str">
        <f ca="1">IFERROR(__xludf.DUMMYFUNCTION("""COMPUTED_VALUE"""),"بنها- ميدان سعد زغلول - عمارة البلدية المثلثة-بنها-القليوبية")</f>
        <v>بنها- ميدان سعد زغلول - عمارة البلدية المثلثة-بنها-القليوبية</v>
      </c>
      <c r="I1130" s="6" t="str">
        <f ca="1">IFERROR(__xludf.DUMMYFUNCTION("""COMPUTED_VALUE"""),"01064035999")</f>
        <v>01064035999</v>
      </c>
      <c r="J1130" s="6"/>
      <c r="K1130" s="6" t="str">
        <f ca="1">IFERROR(__xludf.DUMMYFUNCTION("""COMPUTED_VALUE"""),"20% على جميع الخدمات")</f>
        <v>20% على جميع الخدمات</v>
      </c>
    </row>
    <row r="1131" spans="1:11" x14ac:dyDescent="0.25">
      <c r="A1131" s="4" t="str">
        <f ca="1">IFERROR(__xludf.DUMMYFUNCTION("""COMPUTED_VALUE"""),"105045-B")</f>
        <v>105045-B</v>
      </c>
      <c r="B1131" s="5" t="str">
        <f ca="1">IFERROR(__xludf.DUMMYFUNCTION("""COMPUTED_VALUE"""),"القليوبية")</f>
        <v>القليوبية</v>
      </c>
      <c r="C1131" s="5" t="str">
        <f ca="1">IFERROR(__xludf.DUMMYFUNCTION("""COMPUTED_VALUE"""),"شبين القناطر")</f>
        <v>شبين القناطر</v>
      </c>
      <c r="D1131" s="5" t="str">
        <f ca="1">IFERROR(__xludf.DUMMYFUNCTION("""COMPUTED_VALUE"""),"مركز أشعة")</f>
        <v>مركز أشعة</v>
      </c>
      <c r="E1131" s="5" t="str">
        <f ca="1">IFERROR(__xludf.DUMMYFUNCTION("""COMPUTED_VALUE"""),"مركز أشعة")</f>
        <v>مركز أشعة</v>
      </c>
      <c r="F1131" s="5" t="str">
        <f ca="1">IFERROR(__xludf.DUMMYFUNCTION("""COMPUTED_VALUE"""),"مركز الأشعة التشخيصية")</f>
        <v>مركز الأشعة التشخيصية</v>
      </c>
      <c r="G1131" s="5" t="str">
        <f ca="1">IFERROR(__xludf.DUMMYFUNCTION("""COMPUTED_VALUE"""),"شركة كير ميد للأشعة (مركز د/أحمد فريد للاشعة)")</f>
        <v>شركة كير ميد للأشعة (مركز د/أحمد فريد للاشعة)</v>
      </c>
      <c r="H1131" s="5" t="str">
        <f ca="1">IFERROR(__xludf.DUMMYFUNCTION("""COMPUTED_VALUE"""),"شبين القناطر - اول الطريق الزراعي - بجوار برج الصيادلة-شبين القناطر -القليوبية")</f>
        <v>شبين القناطر - اول الطريق الزراعي - بجوار برج الصيادلة-شبين القناطر -القليوبية</v>
      </c>
      <c r="I1131" s="6" t="str">
        <f ca="1">IFERROR(__xludf.DUMMYFUNCTION("""COMPUTED_VALUE"""),"20132726206")</f>
        <v>20132726206</v>
      </c>
      <c r="J1131" s="6"/>
      <c r="K1131" s="6" t="str">
        <f ca="1">IFERROR(__xludf.DUMMYFUNCTION("""COMPUTED_VALUE"""),"20% على جميع الخدمات")</f>
        <v>20% على جميع الخدمات</v>
      </c>
    </row>
    <row r="1132" spans="1:11" x14ac:dyDescent="0.25">
      <c r="A1132" s="4" t="str">
        <f ca="1">IFERROR(__xludf.DUMMYFUNCTION("""COMPUTED_VALUE"""),"105045-B")</f>
        <v>105045-B</v>
      </c>
      <c r="B1132" s="5" t="str">
        <f ca="1">IFERROR(__xludf.DUMMYFUNCTION("""COMPUTED_VALUE"""),"القليوبية")</f>
        <v>القليوبية</v>
      </c>
      <c r="C1132" s="5" t="str">
        <f ca="1">IFERROR(__xludf.DUMMYFUNCTION("""COMPUTED_VALUE"""),"قليوب")</f>
        <v>قليوب</v>
      </c>
      <c r="D1132" s="5" t="str">
        <f ca="1">IFERROR(__xludf.DUMMYFUNCTION("""COMPUTED_VALUE"""),"مركز أشعة")</f>
        <v>مركز أشعة</v>
      </c>
      <c r="E1132" s="5" t="str">
        <f ca="1">IFERROR(__xludf.DUMMYFUNCTION("""COMPUTED_VALUE"""),"مركز أشعة")</f>
        <v>مركز أشعة</v>
      </c>
      <c r="F1132" s="5" t="str">
        <f ca="1">IFERROR(__xludf.DUMMYFUNCTION("""COMPUTED_VALUE"""),"مركز الأشعة التشخيصية")</f>
        <v>مركز الأشعة التشخيصية</v>
      </c>
      <c r="G1132" s="5" t="str">
        <f ca="1">IFERROR(__xludf.DUMMYFUNCTION("""COMPUTED_VALUE"""),"شركة كير ميد للأشعة (مركز د/أحمد فريد للاشعة)")</f>
        <v>شركة كير ميد للأشعة (مركز د/أحمد فريد للاشعة)</v>
      </c>
      <c r="H1132" s="5" t="str">
        <f ca="1">IFERROR(__xludf.DUMMYFUNCTION("""COMPUTED_VALUE"""),"قليوب البلد - شارع العاشر من رمضان - ناصية شارع العوام-قليوب-القليوبية")</f>
        <v>قليوب البلد - شارع العاشر من رمضان - ناصية شارع العوام-قليوب-القليوبية</v>
      </c>
      <c r="I1132" s="6" t="str">
        <f ca="1">IFERROR(__xludf.DUMMYFUNCTION("""COMPUTED_VALUE"""),"20242159239")</f>
        <v>20242159239</v>
      </c>
      <c r="J1132" s="6"/>
      <c r="K1132" s="6" t="str">
        <f ca="1">IFERROR(__xludf.DUMMYFUNCTION("""COMPUTED_VALUE"""),"20% على جميع الخدمات")</f>
        <v>20% على جميع الخدمات</v>
      </c>
    </row>
    <row r="1133" spans="1:11" x14ac:dyDescent="0.25">
      <c r="A1133" s="4" t="str">
        <f ca="1">IFERROR(__xludf.DUMMYFUNCTION("""COMPUTED_VALUE"""),"105055-B")</f>
        <v>105055-B</v>
      </c>
      <c r="B1133" s="5" t="str">
        <f ca="1">IFERROR(__xludf.DUMMYFUNCTION("""COMPUTED_VALUE"""),"الجيزة")</f>
        <v>الجيزة</v>
      </c>
      <c r="C1133" s="5" t="str">
        <f ca="1">IFERROR(__xludf.DUMMYFUNCTION("""COMPUTED_VALUE"""),"فيصل")</f>
        <v>فيصل</v>
      </c>
      <c r="D1133" s="5" t="str">
        <f ca="1">IFERROR(__xludf.DUMMYFUNCTION("""COMPUTED_VALUE"""),"صيدلية")</f>
        <v>صيدلية</v>
      </c>
      <c r="E1133" s="5" t="str">
        <f ca="1">IFERROR(__xludf.DUMMYFUNCTION("""COMPUTED_VALUE"""),"صيدلية")</f>
        <v>صيدلية</v>
      </c>
      <c r="F1133" s="5" t="str">
        <f ca="1">IFERROR(__xludf.DUMMYFUNCTION("""COMPUTED_VALUE"""),"صيدلية (أدوية ومستلزمات طبية)")</f>
        <v>صيدلية (أدوية ومستلزمات طبية)</v>
      </c>
      <c r="G1133" s="5" t="str">
        <f ca="1">IFERROR(__xludf.DUMMYFUNCTION("""COMPUTED_VALUE"""),"د/صموئيل سمير يوسف ميخائيل(صيدلية صموئيل يوسف)")</f>
        <v>د/صموئيل سمير يوسف ميخائيل(صيدلية صموئيل يوسف)</v>
      </c>
      <c r="H1133" s="5" t="str">
        <f ca="1">IFERROR(__xludf.DUMMYFUNCTION("""COMPUTED_VALUE"""),"14ش الشهيد احمد حمدي - فيصل - الجيزة")</f>
        <v>14ش الشهيد احمد حمدي - فيصل - الجيزة</v>
      </c>
      <c r="I1133" s="6" t="str">
        <f ca="1">IFERROR(__xludf.DUMMYFUNCTION("""COMPUTED_VALUE"""),"201102649529")</f>
        <v>201102649529</v>
      </c>
      <c r="J1133" s="6"/>
      <c r="K1133" s="6" t="str">
        <f ca="1">IFERROR(__xludf.DUMMYFUNCTION("""COMPUTED_VALUE"""),"خصم 12% محلي و 6% المستورد")</f>
        <v>خصم 12% محلي و 6% المستورد</v>
      </c>
    </row>
    <row r="1134" spans="1:11" x14ac:dyDescent="0.25">
      <c r="A1134" s="4" t="str">
        <f ca="1">IFERROR(__xludf.DUMMYFUNCTION("""COMPUTED_VALUE"""),"105055")</f>
        <v>105055</v>
      </c>
      <c r="B1134" s="5" t="str">
        <f ca="1">IFERROR(__xludf.DUMMYFUNCTION("""COMPUTED_VALUE"""),"المنيا")</f>
        <v>المنيا</v>
      </c>
      <c r="C1134" s="5" t="str">
        <f ca="1">IFERROR(__xludf.DUMMYFUNCTION("""COMPUTED_VALUE"""),"مغاغة")</f>
        <v>مغاغة</v>
      </c>
      <c r="D1134" s="5" t="str">
        <f ca="1">IFERROR(__xludf.DUMMYFUNCTION("""COMPUTED_VALUE"""),"صيدلية")</f>
        <v>صيدلية</v>
      </c>
      <c r="E1134" s="5" t="str">
        <f ca="1">IFERROR(__xludf.DUMMYFUNCTION("""COMPUTED_VALUE"""),"صيدلية")</f>
        <v>صيدلية</v>
      </c>
      <c r="F1134" s="5" t="str">
        <f ca="1">IFERROR(__xludf.DUMMYFUNCTION("""COMPUTED_VALUE"""),"صيدلية (أدوية ومستلزمات طبية)")</f>
        <v>صيدلية (أدوية ومستلزمات طبية)</v>
      </c>
      <c r="G1134" s="5" t="str">
        <f ca="1">IFERROR(__xludf.DUMMYFUNCTION("""COMPUTED_VALUE"""),"د/صموئيل سمير يوسف ميخائيل(صيدلية صموئيل يوسف)")</f>
        <v>د/صموئيل سمير يوسف ميخائيل(صيدلية صموئيل يوسف)</v>
      </c>
      <c r="H1134" s="5" t="str">
        <f ca="1">IFERROR(__xludf.DUMMYFUNCTION("""COMPUTED_VALUE"""),"ش المستشارين متفرع من ش السلام - مغاغة - المنيا")</f>
        <v>ش المستشارين متفرع من ش السلام - مغاغة - المنيا</v>
      </c>
      <c r="I1134" s="6" t="str">
        <f ca="1">IFERROR(__xludf.DUMMYFUNCTION("""COMPUTED_VALUE"""),"201102649529")</f>
        <v>201102649529</v>
      </c>
      <c r="J1134" s="6"/>
      <c r="K1134" s="6" t="str">
        <f ca="1">IFERROR(__xludf.DUMMYFUNCTION("""COMPUTED_VALUE"""),"خصم 12% محلي و 6% المستورد")</f>
        <v>خصم 12% محلي و 6% المستورد</v>
      </c>
    </row>
    <row r="1135" spans="1:11" x14ac:dyDescent="0.25">
      <c r="A1135" s="4" t="str">
        <f ca="1">IFERROR(__xludf.DUMMYFUNCTION("""COMPUTED_VALUE"""),"105057")</f>
        <v>105057</v>
      </c>
      <c r="B1135" s="5" t="str">
        <f ca="1">IFERROR(__xludf.DUMMYFUNCTION("""COMPUTED_VALUE"""),"المنيا")</f>
        <v>المنيا</v>
      </c>
      <c r="C1135" s="5" t="str">
        <f ca="1">IFERROR(__xludf.DUMMYFUNCTION("""COMPUTED_VALUE"""),"المنيا")</f>
        <v>المنيا</v>
      </c>
      <c r="D1135" s="5" t="str">
        <f ca="1">IFERROR(__xludf.DUMMYFUNCTION("""COMPUTED_VALUE"""),"هيئة الأطباء")</f>
        <v>هيئة الأطباء</v>
      </c>
      <c r="E1135" s="5" t="str">
        <f ca="1">IFERROR(__xludf.DUMMYFUNCTION("""COMPUTED_VALUE"""),"باطنة")</f>
        <v>باطنة</v>
      </c>
      <c r="F1135" s="5" t="str">
        <f ca="1">IFERROR(__xludf.DUMMYFUNCTION("""COMPUTED_VALUE"""),"كبد وجهاز هضمي")</f>
        <v>كبد وجهاز هضمي</v>
      </c>
      <c r="G1135" s="5" t="str">
        <f ca="1">IFERROR(__xludf.DUMMYFUNCTION("""COMPUTED_VALUE"""),"د/احمد امين ابراهيم زيان")</f>
        <v>د/احمد امين ابراهيم زيان</v>
      </c>
      <c r="H1135" s="5" t="str">
        <f ca="1">IFERROR(__xludf.DUMMYFUNCTION("""COMPUTED_VALUE"""),"28ش عبدالمنعم ناصية ش بن خصيب - بجوار مجمع المحاكم - المنيا")</f>
        <v>28ش عبدالمنعم ناصية ش بن خصيب - بجوار مجمع المحاكم - المنيا</v>
      </c>
      <c r="I1135" s="6" t="str">
        <f ca="1">IFERROR(__xludf.DUMMYFUNCTION("""COMPUTED_VALUE"""),"20862346932")</f>
        <v>20862346932</v>
      </c>
      <c r="J1135" s="6"/>
      <c r="K1135" s="6" t="str">
        <f ca="1">IFERROR(__xludf.DUMMYFUNCTION("""COMPUTED_VALUE"""),"الكشف :70 رسم قلب: 20 جنية")</f>
        <v>الكشف :70 رسم قلب: 20 جنية</v>
      </c>
    </row>
    <row r="1136" spans="1:11" x14ac:dyDescent="0.25">
      <c r="A1136" s="4" t="str">
        <f ca="1">IFERROR(__xludf.DUMMYFUNCTION("""COMPUTED_VALUE"""),"105061")</f>
        <v>105061</v>
      </c>
      <c r="B1136" s="5" t="str">
        <f ca="1">IFERROR(__xludf.DUMMYFUNCTION("""COMPUTED_VALUE"""),"القليوبية")</f>
        <v>القليوبية</v>
      </c>
      <c r="C1136" s="5" t="str">
        <f ca="1">IFERROR(__xludf.DUMMYFUNCTION("""COMPUTED_VALUE"""),"الخصوص")</f>
        <v>الخصوص</v>
      </c>
      <c r="D1136" s="5" t="str">
        <f ca="1">IFERROR(__xludf.DUMMYFUNCTION("""COMPUTED_VALUE"""),"صيدلية")</f>
        <v>صيدلية</v>
      </c>
      <c r="E1136" s="5" t="str">
        <f ca="1">IFERROR(__xludf.DUMMYFUNCTION("""COMPUTED_VALUE"""),"صيدلية")</f>
        <v>صيدلية</v>
      </c>
      <c r="F1136" s="5" t="str">
        <f ca="1">IFERROR(__xludf.DUMMYFUNCTION("""COMPUTED_VALUE"""),"صيدلية (أدوية ومستلزمات طبية)")</f>
        <v>صيدلية (أدوية ومستلزمات طبية)</v>
      </c>
      <c r="G1136" s="5" t="str">
        <f ca="1">IFERROR(__xludf.DUMMYFUNCTION("""COMPUTED_VALUE"""),"صيدلية د/هاني فايز لمعي الجديدة")</f>
        <v>صيدلية د/هاني فايز لمعي الجديدة</v>
      </c>
      <c r="H1136" s="5" t="str">
        <f ca="1">IFERROR(__xludf.DUMMYFUNCTION("""COMPUTED_VALUE"""),"20ش الرشاح العمومي - حوض المنيرة - الخصوص - القليوبية")</f>
        <v>20ش الرشاح العمومي - حوض المنيرة - الخصوص - القليوبية</v>
      </c>
      <c r="I1136" s="6" t="str">
        <f ca="1">IFERROR(__xludf.DUMMYFUNCTION("""COMPUTED_VALUE"""),"0109416997")</f>
        <v>0109416997</v>
      </c>
      <c r="J1136" s="6" t="str">
        <f ca="1">IFERROR(__xludf.DUMMYFUNCTION("""COMPUTED_VALUE"""),"19930")</f>
        <v>19930</v>
      </c>
      <c r="K1136" s="6" t="str">
        <f ca="1">IFERROR(__xludf.DUMMYFUNCTION("""COMPUTED_VALUE"""),"خصم 12% محلي و 6% المستورد")</f>
        <v>خصم 12% محلي و 6% المستورد</v>
      </c>
    </row>
    <row r="1137" spans="1:11" x14ac:dyDescent="0.25">
      <c r="A1137" s="4" t="str">
        <f ca="1">IFERROR(__xludf.DUMMYFUNCTION("""COMPUTED_VALUE"""),"105067")</f>
        <v>105067</v>
      </c>
      <c r="B1137" s="5" t="str">
        <f ca="1">IFERROR(__xludf.DUMMYFUNCTION("""COMPUTED_VALUE"""),"القليوبية")</f>
        <v>القليوبية</v>
      </c>
      <c r="C1137" s="5" t="str">
        <f ca="1">IFERROR(__xludf.DUMMYFUNCTION("""COMPUTED_VALUE"""),"شبرا الخيمة")</f>
        <v>شبرا الخيمة</v>
      </c>
      <c r="D1137" s="5" t="str">
        <f ca="1">IFERROR(__xludf.DUMMYFUNCTION("""COMPUTED_VALUE"""),"مستشفى")</f>
        <v>مستشفى</v>
      </c>
      <c r="E1137" s="5" t="str">
        <f ca="1">IFERROR(__xludf.DUMMYFUNCTION("""COMPUTED_VALUE"""),"مستشفي طبي متكامل")</f>
        <v>مستشفي طبي متكامل</v>
      </c>
      <c r="F1137" s="5" t="str">
        <f ca="1">IFERROR(__xludf.DUMMYFUNCTION("""COMPUTED_VALUE"""),"جميع التخصصات الطبية")</f>
        <v>جميع التخصصات الطبية</v>
      </c>
      <c r="G1137" s="5" t="str">
        <f ca="1">IFERROR(__xludf.DUMMYFUNCTION("""COMPUTED_VALUE"""),"مستشفى وادي الطب")</f>
        <v>مستشفى وادي الطب</v>
      </c>
      <c r="H1137" s="5" t="str">
        <f ca="1">IFERROR(__xludf.DUMMYFUNCTION("""COMPUTED_VALUE"""),"66ش 15 مايو - حي شرق شبرا الخيمة - القليوبية")</f>
        <v>66ش 15 مايو - حي شرق شبرا الخيمة - القليوبية</v>
      </c>
      <c r="I1137" s="6" t="str">
        <f ca="1">IFERROR(__xludf.DUMMYFUNCTION("""COMPUTED_VALUE"""),"20242209000")</f>
        <v>20242209000</v>
      </c>
      <c r="J1137" s="6"/>
      <c r="K1137" s="6" t="str">
        <f ca="1">IFERROR(__xludf.DUMMYFUNCTION("""COMPUTED_VALUE"""),"خصم يصل الي 20%")</f>
        <v>خصم يصل الي 20%</v>
      </c>
    </row>
    <row r="1138" spans="1:11" x14ac:dyDescent="0.25">
      <c r="A1138" s="4" t="str">
        <f ca="1">IFERROR(__xludf.DUMMYFUNCTION("""COMPUTED_VALUE"""),"4703-B")</f>
        <v>4703-B</v>
      </c>
      <c r="B1138" s="5" t="str">
        <f ca="1">IFERROR(__xludf.DUMMYFUNCTION("""COMPUTED_VALUE"""),"القاهرة")</f>
        <v>القاهرة</v>
      </c>
      <c r="C1138" s="5" t="str">
        <f ca="1">IFERROR(__xludf.DUMMYFUNCTION("""COMPUTED_VALUE"""),"المعادى")</f>
        <v>المعادى</v>
      </c>
      <c r="D1138" s="5" t="str">
        <f ca="1">IFERROR(__xludf.DUMMYFUNCTION("""COMPUTED_VALUE"""),"مستشفى")</f>
        <v>مستشفى</v>
      </c>
      <c r="E1138" s="5" t="str">
        <f ca="1">IFERROR(__xludf.DUMMYFUNCTION("""COMPUTED_VALUE"""),"مستشفي طبي متخصص")</f>
        <v>مستشفي طبي متخصص</v>
      </c>
      <c r="F1138" s="5" t="str">
        <f ca="1">IFERROR(__xludf.DUMMYFUNCTION("""COMPUTED_VALUE"""),"طب النوم والأعصاب")</f>
        <v>طب النوم والأعصاب</v>
      </c>
      <c r="G1138" s="5" t="str">
        <f ca="1">IFERROR(__xludf.DUMMYFUNCTION("""COMPUTED_VALUE"""),"مركز طب النوم والأعصاب ( مركز د/ رامز رضا محمود مصطفى)")</f>
        <v>مركز طب النوم والأعصاب ( مركز د/ رامز رضا محمود مصطفى)</v>
      </c>
      <c r="H1138" s="5" t="str">
        <f ca="1">IFERROR(__xludf.DUMMYFUNCTION("""COMPUTED_VALUE"""),"150 كورنيش النيل – برج السلام - المعادي  - القاهرة")</f>
        <v>150 كورنيش النيل – برج السلام - المعادي  - القاهرة</v>
      </c>
      <c r="I1138" s="6" t="str">
        <f ca="1">IFERROR(__xludf.DUMMYFUNCTION("""COMPUTED_VALUE"""),"201222915004")</f>
        <v>201222915004</v>
      </c>
      <c r="J1138" s="6"/>
      <c r="K1138" s="6" t="str">
        <f ca="1">IFERROR(__xludf.DUMMYFUNCTION("""COMPUTED_VALUE"""),"خصم 30% علي الأسعار النقدي المعلنة")</f>
        <v>خصم 30% علي الأسعار النقدي المعلنة</v>
      </c>
    </row>
    <row r="1139" spans="1:11" x14ac:dyDescent="0.25">
      <c r="A1139" s="4" t="str">
        <f ca="1">IFERROR(__xludf.DUMMYFUNCTION("""COMPUTED_VALUE"""),"105091")</f>
        <v>105091</v>
      </c>
      <c r="B1139" s="5" t="str">
        <f ca="1">IFERROR(__xludf.DUMMYFUNCTION("""COMPUTED_VALUE"""),"الدقهلية")</f>
        <v>الدقهلية</v>
      </c>
      <c r="C1139" s="5" t="str">
        <f ca="1">IFERROR(__xludf.DUMMYFUNCTION("""COMPUTED_VALUE"""),"ميت غمر")</f>
        <v>ميت غمر</v>
      </c>
      <c r="D1139" s="5" t="str">
        <f ca="1">IFERROR(__xludf.DUMMYFUNCTION("""COMPUTED_VALUE"""),"مستشفى")</f>
        <v>مستشفى</v>
      </c>
      <c r="E1139" s="5" t="str">
        <f ca="1">IFERROR(__xludf.DUMMYFUNCTION("""COMPUTED_VALUE"""),"مستشفي طبي متكامل")</f>
        <v>مستشفي طبي متكامل</v>
      </c>
      <c r="F1139" s="5" t="str">
        <f ca="1">IFERROR(__xludf.DUMMYFUNCTION("""COMPUTED_VALUE"""),"جميع التخصصات الطبية")</f>
        <v>جميع التخصصات الطبية</v>
      </c>
      <c r="G1139" s="5" t="str">
        <f ca="1">IFERROR(__xludf.DUMMYFUNCTION("""COMPUTED_VALUE"""),"مستشفى الصفا التخصصي - ميت غمر")</f>
        <v>مستشفى الصفا التخصصي - ميت غمر</v>
      </c>
      <c r="H1139" s="5" t="str">
        <f ca="1">IFERROR(__xludf.DUMMYFUNCTION("""COMPUTED_VALUE"""),"شارع محمود الحفني - متفرع من شارع الجيش - ميت غمر - الدقهلية")</f>
        <v>شارع محمود الحفني - متفرع من شارع الجيش - ميت غمر - الدقهلية</v>
      </c>
      <c r="I1139" s="6" t="str">
        <f ca="1">IFERROR(__xludf.DUMMYFUNCTION("""COMPUTED_VALUE"""),"504902688")</f>
        <v>504902688</v>
      </c>
      <c r="J1139" s="6"/>
      <c r="K1139" s="6" t="str">
        <f ca="1">IFERROR(__xludf.DUMMYFUNCTION("""COMPUTED_VALUE"""),"25% على الكشف وخدمات الخارجي ،20%على قسم الداخلى")</f>
        <v>25% على الكشف وخدمات الخارجي ،20%على قسم الداخلى</v>
      </c>
    </row>
    <row r="1140" spans="1:11" x14ac:dyDescent="0.25">
      <c r="A1140" s="4" t="str">
        <f ca="1">IFERROR(__xludf.DUMMYFUNCTION("""COMPUTED_VALUE"""),"105092")</f>
        <v>105092</v>
      </c>
      <c r="B1140" s="5" t="str">
        <f ca="1">IFERROR(__xludf.DUMMYFUNCTION("""COMPUTED_VALUE"""),"القاهرة")</f>
        <v>القاهرة</v>
      </c>
      <c r="C1140" s="5" t="str">
        <f ca="1">IFERROR(__xludf.DUMMYFUNCTION("""COMPUTED_VALUE"""),"مدينة الشروق")</f>
        <v>مدينة الشروق</v>
      </c>
      <c r="D1140" s="5" t="str">
        <f ca="1">IFERROR(__xludf.DUMMYFUNCTION("""COMPUTED_VALUE"""),"مجمع عيادات")</f>
        <v>مجمع عيادات</v>
      </c>
      <c r="E1140" s="5" t="str">
        <f ca="1">IFERROR(__xludf.DUMMYFUNCTION("""COMPUTED_VALUE"""),"جميع التخصصات")</f>
        <v>جميع التخصصات</v>
      </c>
      <c r="F1140" s="5" t="str">
        <f ca="1">IFERROR(__xludf.DUMMYFUNCTION("""COMPUTED_VALUE"""),"جميع التخصصات الطبية")</f>
        <v>جميع التخصصات الطبية</v>
      </c>
      <c r="G1140" s="5" t="str">
        <f ca="1">IFERROR(__xludf.DUMMYFUNCTION("""COMPUTED_VALUE"""),"عيادات الأمين كلينك التخصصية ( د. سها أحمد أمين مصطفى)")</f>
        <v>عيادات الأمين كلينك التخصصية ( د. سها أحمد أمين مصطفى)</v>
      </c>
      <c r="H1140" s="5" t="str">
        <f ca="1">IFERROR(__xludf.DUMMYFUNCTION("""COMPUTED_VALUE"""),"قطعة رقم 2 الحي الثالث - شقة رقم واحد - مول الشروق - مدينة الشروق")</f>
        <v>قطعة رقم 2 الحي الثالث - شقة رقم واحد - مول الشروق - مدينة الشروق</v>
      </c>
      <c r="I1140" s="6" t="str">
        <f ca="1">IFERROR(__xludf.DUMMYFUNCTION("""COMPUTED_VALUE"""),"201155632323")</f>
        <v>201155632323</v>
      </c>
      <c r="J1140" s="6"/>
      <c r="K1140" s="6" t="str">
        <f ca="1">IFERROR(__xludf.DUMMYFUNCTION("""COMPUTED_VALUE"""),"20% نسبة خصم")</f>
        <v>20% نسبة خصم</v>
      </c>
    </row>
    <row r="1141" spans="1:11" x14ac:dyDescent="0.25">
      <c r="A1141" s="4" t="str">
        <f ca="1">IFERROR(__xludf.DUMMYFUNCTION("""COMPUTED_VALUE"""),"105093")</f>
        <v>105093</v>
      </c>
      <c r="B1141" s="5" t="str">
        <f ca="1">IFERROR(__xludf.DUMMYFUNCTION("""COMPUTED_VALUE"""),"القاهرة")</f>
        <v>القاهرة</v>
      </c>
      <c r="C1141" s="5" t="str">
        <f ca="1">IFERROR(__xludf.DUMMYFUNCTION("""COMPUTED_VALUE"""),"حلوان")</f>
        <v>حلوان</v>
      </c>
      <c r="D1141" s="5" t="str">
        <f ca="1">IFERROR(__xludf.DUMMYFUNCTION("""COMPUTED_VALUE"""),"هيئة الأطباء")</f>
        <v>هيئة الأطباء</v>
      </c>
      <c r="E1141" s="5" t="str">
        <f ca="1">IFERROR(__xludf.DUMMYFUNCTION("""COMPUTED_VALUE"""),"اسنان")</f>
        <v>اسنان</v>
      </c>
      <c r="F1141" s="5" t="str">
        <f ca="1">IFERROR(__xludf.DUMMYFUNCTION("""COMPUTED_VALUE"""),"جراحة الفم والأسنان")</f>
        <v>جراحة الفم والأسنان</v>
      </c>
      <c r="G1141" s="5" t="str">
        <f ca="1">IFERROR(__xludf.DUMMYFUNCTION("""COMPUTED_VALUE"""),"د- مريم عبد الغني إبراهيم النجار ( دينتال سمايل )")</f>
        <v>د- مريم عبد الغني إبراهيم النجار ( دينتال سمايل )</v>
      </c>
      <c r="H1141" s="5" t="str">
        <f ca="1">IFERROR(__xludf.DUMMYFUNCTION("""COMPUTED_VALUE"""),"50 أ شارع منصور - بجوار محطة مترو حلوان - حلوان - القاهرة")</f>
        <v>50 أ شارع منصور - بجوار محطة مترو حلوان - حلوان - القاهرة</v>
      </c>
      <c r="I1141" s="6" t="str">
        <f ca="1">IFERROR(__xludf.DUMMYFUNCTION("""COMPUTED_VALUE"""),"201092592504")</f>
        <v>201092592504</v>
      </c>
      <c r="J1141" s="6"/>
      <c r="K1141" s="6" t="str">
        <f ca="1">IFERROR(__xludf.DUMMYFUNCTION("""COMPUTED_VALUE"""),"الكشف : 40 جنية , نقابه 2016")</f>
        <v>الكشف : 40 جنية , نقابه 2016</v>
      </c>
    </row>
    <row r="1142" spans="1:11" x14ac:dyDescent="0.25">
      <c r="A1142" s="4" t="str">
        <f ca="1">IFERROR(__xludf.DUMMYFUNCTION("""COMPUTED_VALUE"""),"105098")</f>
        <v>105098</v>
      </c>
      <c r="B1142" s="5" t="str">
        <f ca="1">IFERROR(__xludf.DUMMYFUNCTION("""COMPUTED_VALUE"""),"القليوبية")</f>
        <v>القليوبية</v>
      </c>
      <c r="C1142" s="5" t="str">
        <f ca="1">IFERROR(__xludf.DUMMYFUNCTION("""COMPUTED_VALUE"""),"مدينة العبور")</f>
        <v>مدينة العبور</v>
      </c>
      <c r="D1142" s="5" t="str">
        <f ca="1">IFERROR(__xludf.DUMMYFUNCTION("""COMPUTED_VALUE"""),"هيئة الأطباء")</f>
        <v>هيئة الأطباء</v>
      </c>
      <c r="E1142" s="5" t="str">
        <f ca="1">IFERROR(__xludf.DUMMYFUNCTION("""COMPUTED_VALUE"""),"باطنة")</f>
        <v>باطنة</v>
      </c>
      <c r="F1142" s="5" t="str">
        <f ca="1">IFERROR(__xludf.DUMMYFUNCTION("""COMPUTED_VALUE"""),"طب أطفال")</f>
        <v>طب أطفال</v>
      </c>
      <c r="G1142" s="5" t="str">
        <f ca="1">IFERROR(__xludf.DUMMYFUNCTION("""COMPUTED_VALUE"""),"د- حسام عدلي كامل عبد الحميد")</f>
        <v>د- حسام عدلي كامل عبد الحميد</v>
      </c>
      <c r="H1142" s="5" t="str">
        <f ca="1">IFERROR(__xludf.DUMMYFUNCTION("""COMPUTED_VALUE"""),"الحي الأول - سنتر الحجاز - امام المركز الإسلامي - مدينة العبور - القليوبية")</f>
        <v>الحي الأول - سنتر الحجاز - امام المركز الإسلامي - مدينة العبور - القليوبية</v>
      </c>
      <c r="I1142" s="6" t="str">
        <f ca="1">IFERROR(__xludf.DUMMYFUNCTION("""COMPUTED_VALUE"""),"201114314477")</f>
        <v>201114314477</v>
      </c>
      <c r="J1142" s="6"/>
      <c r="K1142" s="6" t="str">
        <f ca="1">IFERROR(__xludf.DUMMYFUNCTION("""COMPUTED_VALUE"""),"الكشف : 75")</f>
        <v>الكشف : 75</v>
      </c>
    </row>
    <row r="1143" spans="1:11" x14ac:dyDescent="0.25">
      <c r="A1143" s="4" t="str">
        <f ca="1">IFERROR(__xludf.DUMMYFUNCTION("""COMPUTED_VALUE"""),"105104")</f>
        <v>105104</v>
      </c>
      <c r="B1143" s="5" t="str">
        <f ca="1">IFERROR(__xludf.DUMMYFUNCTION("""COMPUTED_VALUE"""),"القاهرة")</f>
        <v>القاهرة</v>
      </c>
      <c r="C1143" s="5" t="str">
        <f ca="1">IFERROR(__xludf.DUMMYFUNCTION("""COMPUTED_VALUE"""),"وسط البلد")</f>
        <v>وسط البلد</v>
      </c>
      <c r="D1143" s="5" t="str">
        <f ca="1">IFERROR(__xludf.DUMMYFUNCTION("""COMPUTED_VALUE"""),"هيئة الأطباء")</f>
        <v>هيئة الأطباء</v>
      </c>
      <c r="E1143" s="5" t="str">
        <f ca="1">IFERROR(__xludf.DUMMYFUNCTION("""COMPUTED_VALUE"""),"جراحة")</f>
        <v>جراحة</v>
      </c>
      <c r="F1143" s="5" t="str">
        <f ca="1">IFERROR(__xludf.DUMMYFUNCTION("""COMPUTED_VALUE"""),"جراحة عظام")</f>
        <v>جراحة عظام</v>
      </c>
      <c r="G1143" s="5" t="str">
        <f ca="1">IFERROR(__xludf.DUMMYFUNCTION("""COMPUTED_VALUE"""),"د- عماد علاء الدين الزهيري")</f>
        <v>د- عماد علاء الدين الزهيري</v>
      </c>
      <c r="H1143" s="5" t="str">
        <f ca="1">IFERROR(__xludf.DUMMYFUNCTION("""COMPUTED_VALUE"""),"4 شارع الفلكي - المبتديان - بجوار حديقة دار العلوم - القصر العيني - القاهرة")</f>
        <v>4 شارع الفلكي - المبتديان - بجوار حديقة دار العلوم - القصر العيني - القاهرة</v>
      </c>
      <c r="I1143" s="6" t="str">
        <f ca="1">IFERROR(__xludf.DUMMYFUNCTION("""COMPUTED_VALUE"""),"201066111175")</f>
        <v>201066111175</v>
      </c>
      <c r="J1143" s="6"/>
      <c r="K1143" s="6" t="str">
        <f ca="1">IFERROR(__xludf.DUMMYFUNCTION("""COMPUTED_VALUE"""),"الكشف :70جنية , نقابه 2014")</f>
        <v>الكشف :70جنية , نقابه 2014</v>
      </c>
    </row>
    <row r="1144" spans="1:11" x14ac:dyDescent="0.25">
      <c r="A1144" s="4" t="str">
        <f ca="1">IFERROR(__xludf.DUMMYFUNCTION("""COMPUTED_VALUE"""),"3101-B")</f>
        <v>3101-B</v>
      </c>
      <c r="B1144" s="5" t="str">
        <f ca="1">IFERROR(__xludf.DUMMYFUNCTION("""COMPUTED_VALUE"""),"أسيوط")</f>
        <v>أسيوط</v>
      </c>
      <c r="C1144" s="5" t="str">
        <f ca="1">IFERROR(__xludf.DUMMYFUNCTION("""COMPUTED_VALUE"""),"أسيوط")</f>
        <v>أسيوط</v>
      </c>
      <c r="D1144" s="5" t="str">
        <f ca="1">IFERROR(__xludf.DUMMYFUNCTION("""COMPUTED_VALUE"""),"صيدلية")</f>
        <v>صيدلية</v>
      </c>
      <c r="E1144" s="5" t="str">
        <f ca="1">IFERROR(__xludf.DUMMYFUNCTION("""COMPUTED_VALUE"""),"صيدلية")</f>
        <v>صيدلية</v>
      </c>
      <c r="F1144" s="5" t="str">
        <f ca="1">IFERROR(__xludf.DUMMYFUNCTION("""COMPUTED_VALUE"""),"صيدلية (أدوية ومستلزمات طبية)")</f>
        <v>صيدلية (أدوية ومستلزمات طبية)</v>
      </c>
      <c r="G1144" s="5" t="str">
        <f ca="1">IFERROR(__xludf.DUMMYFUNCTION("""COMPUTED_VALUE"""),"صيدلية محمد حلمى سيد ضاهر (طب القلوب )")</f>
        <v>صيدلية محمد حلمى سيد ضاهر (طب القلوب )</v>
      </c>
      <c r="H1144" s="5" t="str">
        <f ca="1">IFERROR(__xludf.DUMMYFUNCTION("""COMPUTED_VALUE"""),"شارع عبد الوارث - متفرع من شارع سعد زغلول - أسيوط")</f>
        <v>شارع عبد الوارث - متفرع من شارع سعد زغلول - أسيوط</v>
      </c>
      <c r="I1144" s="6" t="str">
        <f ca="1">IFERROR(__xludf.DUMMYFUNCTION("""COMPUTED_VALUE"""),"20882339536")</f>
        <v>20882339536</v>
      </c>
      <c r="J1144" s="6"/>
      <c r="K1144" s="6" t="str">
        <f ca="1">IFERROR(__xludf.DUMMYFUNCTION("""COMPUTED_VALUE"""),"خصم 8% علي كل الادويه")</f>
        <v>خصم 8% علي كل الادويه</v>
      </c>
    </row>
    <row r="1145" spans="1:11" x14ac:dyDescent="0.25">
      <c r="A1145" s="4" t="str">
        <f ca="1">IFERROR(__xludf.DUMMYFUNCTION("""COMPUTED_VALUE"""),"105106")</f>
        <v>105106</v>
      </c>
      <c r="B1145" s="5" t="str">
        <f ca="1">IFERROR(__xludf.DUMMYFUNCTION("""COMPUTED_VALUE"""),"المنيا")</f>
        <v>المنيا</v>
      </c>
      <c r="C1145" s="5" t="str">
        <f ca="1">IFERROR(__xludf.DUMMYFUNCTION("""COMPUTED_VALUE"""),"المنيا")</f>
        <v>المنيا</v>
      </c>
      <c r="D1145" s="5" t="str">
        <f ca="1">IFERROR(__xludf.DUMMYFUNCTION("""COMPUTED_VALUE"""),"شركة")</f>
        <v>شركة</v>
      </c>
      <c r="E1145" s="5" t="str">
        <f ca="1">IFERROR(__xludf.DUMMYFUNCTION("""COMPUTED_VALUE"""),"شركة اجهزة طبية")</f>
        <v>شركة اجهزة طبية</v>
      </c>
      <c r="F1145" s="5" t="str">
        <f ca="1">IFERROR(__xludf.DUMMYFUNCTION("""COMPUTED_VALUE"""),"مركز بصريات")</f>
        <v>مركز بصريات</v>
      </c>
      <c r="G1145" s="5" t="str">
        <f ca="1">IFERROR(__xludf.DUMMYFUNCTION("""COMPUTED_VALUE"""),"مركز الفادي للبصريات ( أ- عادل اسحق طوسه جرجس )")</f>
        <v>مركز الفادي للبصريات ( أ- عادل اسحق طوسه جرجس )</v>
      </c>
      <c r="H1145" s="5" t="str">
        <f ca="1">IFERROR(__xludf.DUMMYFUNCTION("""COMPUTED_VALUE"""),"50 شارع بن خصيب  - ميدان بلاس - المنيا")</f>
        <v>50 شارع بن خصيب  - ميدان بلاس - المنيا</v>
      </c>
      <c r="I1145" s="6" t="str">
        <f ca="1">IFERROR(__xludf.DUMMYFUNCTION("""COMPUTED_VALUE"""),"20862349669")</f>
        <v>20862349669</v>
      </c>
      <c r="J1145" s="6"/>
      <c r="K1145" s="6" t="str">
        <f ca="1">IFERROR(__xludf.DUMMYFUNCTION("""COMPUTED_VALUE"""),"خصم يصل الي 20%")</f>
        <v>خصم يصل الي 20%</v>
      </c>
    </row>
    <row r="1146" spans="1:11" x14ac:dyDescent="0.25">
      <c r="A1146" s="4" t="str">
        <f ca="1">IFERROR(__xludf.DUMMYFUNCTION("""COMPUTED_VALUE"""),"105106-B")</f>
        <v>105106-B</v>
      </c>
      <c r="B1146" s="5" t="str">
        <f ca="1">IFERROR(__xludf.DUMMYFUNCTION("""COMPUTED_VALUE"""),"المنيا")</f>
        <v>المنيا</v>
      </c>
      <c r="C1146" s="5" t="str">
        <f ca="1">IFERROR(__xludf.DUMMYFUNCTION("""COMPUTED_VALUE"""),"المنيا")</f>
        <v>المنيا</v>
      </c>
      <c r="D1146" s="5" t="str">
        <f ca="1">IFERROR(__xludf.DUMMYFUNCTION("""COMPUTED_VALUE"""),"شركة")</f>
        <v>شركة</v>
      </c>
      <c r="E1146" s="5" t="str">
        <f ca="1">IFERROR(__xludf.DUMMYFUNCTION("""COMPUTED_VALUE"""),"شركة اجهزة طبية")</f>
        <v>شركة اجهزة طبية</v>
      </c>
      <c r="F1146" s="5" t="str">
        <f ca="1">IFERROR(__xludf.DUMMYFUNCTION("""COMPUTED_VALUE"""),"مركز بصريات")</f>
        <v>مركز بصريات</v>
      </c>
      <c r="G1146" s="5" t="str">
        <f ca="1">IFERROR(__xludf.DUMMYFUNCTION("""COMPUTED_VALUE"""),"مركز الفادي للبصريات ( أ- عادل اسحق طوسه جرجس )")</f>
        <v>مركز الفادي للبصريات ( أ- عادل اسحق طوسه جرجس )</v>
      </c>
      <c r="H1146" s="5" t="str">
        <f ca="1">IFERROR(__xludf.DUMMYFUNCTION("""COMPUTED_VALUE"""),"أبو هلال - شارع التنظيم والإدارة - المنيا")</f>
        <v>أبو هلال - شارع التنظيم والإدارة - المنيا</v>
      </c>
      <c r="I1146" s="6" t="str">
        <f ca="1">IFERROR(__xludf.DUMMYFUNCTION("""COMPUTED_VALUE"""),"20869248222")</f>
        <v>20869248222</v>
      </c>
      <c r="J1146" s="6"/>
      <c r="K1146" s="6" t="str">
        <f ca="1">IFERROR(__xludf.DUMMYFUNCTION("""COMPUTED_VALUE"""),"خصم يصل الي 20%")</f>
        <v>خصم يصل الي 20%</v>
      </c>
    </row>
    <row r="1147" spans="1:11" x14ac:dyDescent="0.25">
      <c r="A1147" s="4" t="str">
        <f ca="1">IFERROR(__xludf.DUMMYFUNCTION("""COMPUTED_VALUE"""),"105107")</f>
        <v>105107</v>
      </c>
      <c r="B1147" s="5" t="str">
        <f ca="1">IFERROR(__xludf.DUMMYFUNCTION("""COMPUTED_VALUE"""),"البحر الاحمر")</f>
        <v>البحر الاحمر</v>
      </c>
      <c r="C1147" s="5" t="str">
        <f ca="1">IFERROR(__xludf.DUMMYFUNCTION("""COMPUTED_VALUE"""),"القصير")</f>
        <v>القصير</v>
      </c>
      <c r="D1147" s="5" t="str">
        <f ca="1">IFERROR(__xludf.DUMMYFUNCTION("""COMPUTED_VALUE"""),"صيدلية")</f>
        <v>صيدلية</v>
      </c>
      <c r="E1147" s="5" t="str">
        <f ca="1">IFERROR(__xludf.DUMMYFUNCTION("""COMPUTED_VALUE"""),"صيدلية")</f>
        <v>صيدلية</v>
      </c>
      <c r="F1147" s="5" t="str">
        <f ca="1">IFERROR(__xludf.DUMMYFUNCTION("""COMPUTED_VALUE"""),"صيدلية (أدوية ومستلزمات طبية)")</f>
        <v>صيدلية (أدوية ومستلزمات طبية)</v>
      </c>
      <c r="G1147" s="5" t="str">
        <f ca="1">IFERROR(__xludf.DUMMYFUNCTION("""COMPUTED_VALUE"""),"صيدلية د- هدى مبارك")</f>
        <v>صيدلية د- هدى مبارك</v>
      </c>
      <c r="H1147" s="5" t="str">
        <f ca="1">IFERROR(__xludf.DUMMYFUNCTION("""COMPUTED_VALUE"""),"تقسيم شيشين - بجوار بنك مصر - القصير - البحر الأحمر")</f>
        <v>تقسيم شيشين - بجوار بنك مصر - القصير - البحر الأحمر</v>
      </c>
      <c r="I1147" s="6" t="str">
        <f ca="1">IFERROR(__xludf.DUMMYFUNCTION("""COMPUTED_VALUE"""),"20653337880")</f>
        <v>20653337880</v>
      </c>
      <c r="J1147" s="6"/>
      <c r="K1147" s="6" t="str">
        <f ca="1">IFERROR(__xludf.DUMMYFUNCTION("""COMPUTED_VALUE"""),"خصم 14% محلي و 6% المستورد")</f>
        <v>خصم 14% محلي و 6% المستورد</v>
      </c>
    </row>
    <row r="1148" spans="1:11" x14ac:dyDescent="0.25">
      <c r="A1148" s="4" t="str">
        <f ca="1">IFERROR(__xludf.DUMMYFUNCTION("""COMPUTED_VALUE"""),"105109")</f>
        <v>105109</v>
      </c>
      <c r="B1148" s="5" t="str">
        <f ca="1">IFERROR(__xludf.DUMMYFUNCTION("""COMPUTED_VALUE"""),"القليوبية")</f>
        <v>القليوبية</v>
      </c>
      <c r="C1148" s="5" t="str">
        <f ca="1">IFERROR(__xludf.DUMMYFUNCTION("""COMPUTED_VALUE"""),"شبين القناطر")</f>
        <v>شبين القناطر</v>
      </c>
      <c r="D1148" s="5" t="str">
        <f ca="1">IFERROR(__xludf.DUMMYFUNCTION("""COMPUTED_VALUE"""),"صيدلية")</f>
        <v>صيدلية</v>
      </c>
      <c r="E1148" s="5" t="str">
        <f ca="1">IFERROR(__xludf.DUMMYFUNCTION("""COMPUTED_VALUE"""),"صيدلية")</f>
        <v>صيدلية</v>
      </c>
      <c r="F1148" s="5" t="str">
        <f ca="1">IFERROR(__xludf.DUMMYFUNCTION("""COMPUTED_VALUE"""),"صيدلية (أدوية ومستلزمات طبية)")</f>
        <v>صيدلية (أدوية ومستلزمات طبية)</v>
      </c>
      <c r="G1148" s="5" t="str">
        <f ca="1">IFERROR(__xludf.DUMMYFUNCTION("""COMPUTED_VALUE"""),"صيدلية د- محمد وياسر فيصل الورداني")</f>
        <v>صيدلية د- محمد وياسر فيصل الورداني</v>
      </c>
      <c r="H1148" s="5" t="str">
        <f ca="1">IFERROR(__xludf.DUMMYFUNCTION("""COMPUTED_VALUE"""),"11 شارع الروضة الشريفة - منطقة الدلتا - شبين القناطر - القليوبية")</f>
        <v>11 شارع الروضة الشريفة - منطقة الدلتا - شبين القناطر - القليوبية</v>
      </c>
      <c r="I1148" s="6" t="str">
        <f ca="1">IFERROR(__xludf.DUMMYFUNCTION("""COMPUTED_VALUE"""),"20132724337")</f>
        <v>20132724337</v>
      </c>
      <c r="J1148" s="6"/>
      <c r="K1148" s="6" t="str">
        <f ca="1">IFERROR(__xludf.DUMMYFUNCTION("""COMPUTED_VALUE"""),"خصم 14% محلي و 7% المستورد")</f>
        <v>خصم 14% محلي و 7% المستورد</v>
      </c>
    </row>
    <row r="1149" spans="1:11" x14ac:dyDescent="0.25">
      <c r="A1149" s="4" t="str">
        <f ca="1">IFERROR(__xludf.DUMMYFUNCTION("""COMPUTED_VALUE"""),"105111")</f>
        <v>105111</v>
      </c>
      <c r="B1149" s="5" t="str">
        <f ca="1">IFERROR(__xludf.DUMMYFUNCTION("""COMPUTED_VALUE"""),"الشرقية")</f>
        <v>الشرقية</v>
      </c>
      <c r="C1149" s="5" t="str">
        <f ca="1">IFERROR(__xludf.DUMMYFUNCTION("""COMPUTED_VALUE"""),"منيا القمح")</f>
        <v>منيا القمح</v>
      </c>
      <c r="D1149" s="5" t="str">
        <f ca="1">IFERROR(__xludf.DUMMYFUNCTION("""COMPUTED_VALUE"""),"صيدلية")</f>
        <v>صيدلية</v>
      </c>
      <c r="E1149" s="5" t="str">
        <f ca="1">IFERROR(__xludf.DUMMYFUNCTION("""COMPUTED_VALUE"""),"صيدلية")</f>
        <v>صيدلية</v>
      </c>
      <c r="F1149" s="5" t="str">
        <f ca="1">IFERROR(__xludf.DUMMYFUNCTION("""COMPUTED_VALUE"""),"صيدلية (أدوية ومستلزمات طبية)")</f>
        <v>صيدلية (أدوية ومستلزمات طبية)</v>
      </c>
      <c r="G1149" s="5" t="str">
        <f ca="1">IFERROR(__xludf.DUMMYFUNCTION("""COMPUTED_VALUE"""),"د- محمد فرج السيد عبد العال - ( صيدلية الحياة )")</f>
        <v>د- محمد فرج السيد عبد العال - ( صيدلية الحياة )</v>
      </c>
      <c r="H1149" s="5" t="str">
        <f ca="1">IFERROR(__xludf.DUMMYFUNCTION("""COMPUTED_VALUE"""),"شارع مجمع المدارس - متفرع من شارع سعد زغلول - منيا القمح - الشرقية")</f>
        <v>شارع مجمع المدارس - متفرع من شارع سعد زغلول - منيا القمح - الشرقية</v>
      </c>
      <c r="I1149" s="6" t="str">
        <f ca="1">IFERROR(__xludf.DUMMYFUNCTION("""COMPUTED_VALUE"""),"201069885486")</f>
        <v>201069885486</v>
      </c>
      <c r="J1149" s="6"/>
      <c r="K1149" s="6" t="str">
        <f ca="1">IFERROR(__xludf.DUMMYFUNCTION("""COMPUTED_VALUE"""),"خصم 12% محلي و 6% المستورد")</f>
        <v>خصم 12% محلي و 6% المستورد</v>
      </c>
    </row>
    <row r="1150" spans="1:11" x14ac:dyDescent="0.25">
      <c r="A1150" s="4" t="str">
        <f ca="1">IFERROR(__xludf.DUMMYFUNCTION("""COMPUTED_VALUE"""),"105121")</f>
        <v>105121</v>
      </c>
      <c r="B1150" s="5" t="str">
        <f ca="1">IFERROR(__xludf.DUMMYFUNCTION("""COMPUTED_VALUE"""),"الفيوم")</f>
        <v>الفيوم</v>
      </c>
      <c r="C1150" s="5" t="str">
        <f ca="1">IFERROR(__xludf.DUMMYFUNCTION("""COMPUTED_VALUE"""),"الفيوم")</f>
        <v>الفيوم</v>
      </c>
      <c r="D1150" s="5" t="str">
        <f ca="1">IFERROR(__xludf.DUMMYFUNCTION("""COMPUTED_VALUE"""),"مستشفى")</f>
        <v>مستشفى</v>
      </c>
      <c r="E1150" s="5" t="str">
        <f ca="1">IFERROR(__xludf.DUMMYFUNCTION("""COMPUTED_VALUE"""),"مستشفي طبي متكامل")</f>
        <v>مستشفي طبي متكامل</v>
      </c>
      <c r="F1150" s="5" t="str">
        <f ca="1">IFERROR(__xludf.DUMMYFUNCTION("""COMPUTED_VALUE"""),"جميع التخصصات الطبية")</f>
        <v>جميع التخصصات الطبية</v>
      </c>
      <c r="G1150" s="5" t="str">
        <f ca="1">IFERROR(__xludf.DUMMYFUNCTION("""COMPUTED_VALUE"""),"مصر الفيوم للخدمات الطبية ( مراكز مصر التخصصية")</f>
        <v>مصر الفيوم للخدمات الطبية ( مراكز مصر التخصصية</v>
      </c>
      <c r="H1150" s="5" t="str">
        <f ca="1">IFERROR(__xludf.DUMMYFUNCTION("""COMPUTED_VALUE"""),"أبراج التجاريين - امام قسم اول الفيوم - الفيوم")</f>
        <v>أبراج التجاريين - امام قسم اول الفيوم - الفيوم</v>
      </c>
      <c r="I1150" s="6" t="str">
        <f ca="1">IFERROR(__xludf.DUMMYFUNCTION("""COMPUTED_VALUE"""),"20842153800")</f>
        <v>20842153800</v>
      </c>
      <c r="J1150" s="6"/>
      <c r="K1150" s="6" t="str">
        <f ca="1">IFERROR(__xludf.DUMMYFUNCTION("""COMPUTED_VALUE"""),"الكشف :50جنية , المؤسسه العلاجيه 2016")</f>
        <v>الكشف :50جنية , المؤسسه العلاجيه 2016</v>
      </c>
    </row>
    <row r="1151" spans="1:11" x14ac:dyDescent="0.25">
      <c r="A1151" s="4" t="str">
        <f ca="1">IFERROR(__xludf.DUMMYFUNCTION("""COMPUTED_VALUE"""),"105127")</f>
        <v>105127</v>
      </c>
      <c r="B1151" s="5" t="str">
        <f ca="1">IFERROR(__xludf.DUMMYFUNCTION("""COMPUTED_VALUE"""),"الجيزة")</f>
        <v>الجيزة</v>
      </c>
      <c r="C1151" s="5" t="str">
        <f ca="1">IFERROR(__xludf.DUMMYFUNCTION("""COMPUTED_VALUE"""),"المهندسين")</f>
        <v>المهندسين</v>
      </c>
      <c r="D1151" s="5" t="str">
        <f ca="1">IFERROR(__xludf.DUMMYFUNCTION("""COMPUTED_VALUE"""),"مركز علاج طبيعي")</f>
        <v>مركز علاج طبيعي</v>
      </c>
      <c r="E1151" s="5" t="str">
        <f ca="1">IFERROR(__xludf.DUMMYFUNCTION("""COMPUTED_VALUE"""),"علاج طبيعي")</f>
        <v>علاج طبيعي</v>
      </c>
      <c r="F1151" s="5" t="str">
        <f ca="1">IFERROR(__xludf.DUMMYFUNCTION("""COMPUTED_VALUE"""),"جلسات العلاج الطبيعي")</f>
        <v>جلسات العلاج الطبيعي</v>
      </c>
      <c r="G1151" s="5" t="str">
        <f ca="1">IFERROR(__xludf.DUMMYFUNCTION("""COMPUTED_VALUE"""),"المجموعة المصرية للروماتيزم والطب الطبيعي  ( مركز الفا فيتنيس )")</f>
        <v>المجموعة المصرية للروماتيزم والطب الطبيعي  ( مركز الفا فيتنيس )</v>
      </c>
      <c r="H1151" s="5" t="str">
        <f ca="1">IFERROR(__xludf.DUMMYFUNCTION("""COMPUTED_VALUE"""),"برج الصفا - ميدان الحجاز - المهندسين - الجيزة")</f>
        <v>برج الصفا - ميدان الحجاز - المهندسين - الجيزة</v>
      </c>
      <c r="I1151" s="6" t="str">
        <f ca="1">IFERROR(__xludf.DUMMYFUNCTION("""COMPUTED_VALUE"""),"20233377993")</f>
        <v>20233377993</v>
      </c>
      <c r="J1151" s="6"/>
      <c r="K1151" s="6" t="str">
        <f ca="1">IFERROR(__xludf.DUMMYFUNCTION("""COMPUTED_VALUE"""),"20% علي الموجات التصادميه، 30% علي باقي الخدمات")</f>
        <v>20% علي الموجات التصادميه، 30% علي باقي الخدمات</v>
      </c>
    </row>
    <row r="1152" spans="1:11" x14ac:dyDescent="0.25">
      <c r="A1152" s="4" t="str">
        <f ca="1">IFERROR(__xludf.DUMMYFUNCTION("""COMPUTED_VALUE"""),"105131")</f>
        <v>105131</v>
      </c>
      <c r="B1152" s="5" t="str">
        <f ca="1">IFERROR(__xludf.DUMMYFUNCTION("""COMPUTED_VALUE"""),"الغربية")</f>
        <v>الغربية</v>
      </c>
      <c r="C1152" s="5" t="str">
        <f ca="1">IFERROR(__xludf.DUMMYFUNCTION("""COMPUTED_VALUE"""),"طنطا")</f>
        <v>طنطا</v>
      </c>
      <c r="D1152" s="5" t="str">
        <f ca="1">IFERROR(__xludf.DUMMYFUNCTION("""COMPUTED_VALUE"""),"هيئة الأطباء")</f>
        <v>هيئة الأطباء</v>
      </c>
      <c r="E1152" s="5" t="str">
        <f ca="1">IFERROR(__xludf.DUMMYFUNCTION("""COMPUTED_VALUE"""),"اسنان")</f>
        <v>اسنان</v>
      </c>
      <c r="F1152" s="5" t="str">
        <f ca="1">IFERROR(__xludf.DUMMYFUNCTION("""COMPUTED_VALUE"""),"جراحة الفم والأسنان")</f>
        <v>جراحة الفم والأسنان</v>
      </c>
      <c r="G1152" s="5" t="str">
        <f ca="1">IFERROR(__xludf.DUMMYFUNCTION("""COMPUTED_VALUE"""),"د- محمد احمد علي قريبة")</f>
        <v>د- محمد احمد علي قريبة</v>
      </c>
      <c r="H1152" s="5" t="str">
        <f ca="1">IFERROR(__xludf.DUMMYFUNCTION("""COMPUTED_VALUE"""),"برج حمزة شقة 9، شارع طه الحكيم، أمام مستشفى الحميات، الدور الثاني العلوي، طنطا - الغربية")</f>
        <v>برج حمزة شقة 9، شارع طه الحكيم، أمام مستشفى الحميات، الدور الثاني العلوي، طنطا - الغربية</v>
      </c>
      <c r="I1152" s="6" t="str">
        <f ca="1">IFERROR(__xludf.DUMMYFUNCTION("""COMPUTED_VALUE"""),"01552370372")</f>
        <v>01552370372</v>
      </c>
      <c r="J1152" s="6"/>
      <c r="K1152" s="6" t="str">
        <f ca="1">IFERROR(__xludf.DUMMYFUNCTION("""COMPUTED_VALUE"""),"الكشف :40جنية , نقابه 2017")</f>
        <v>الكشف :40جنية , نقابه 2017</v>
      </c>
    </row>
    <row r="1153" spans="1:11" x14ac:dyDescent="0.25">
      <c r="A1153" s="4" t="str">
        <f ca="1">IFERROR(__xludf.DUMMYFUNCTION("""COMPUTED_VALUE"""),"105133")</f>
        <v>105133</v>
      </c>
      <c r="B1153" s="5" t="str">
        <f ca="1">IFERROR(__xludf.DUMMYFUNCTION("""COMPUTED_VALUE"""),"القليوبية")</f>
        <v>القليوبية</v>
      </c>
      <c r="C1153" s="5" t="str">
        <f ca="1">IFERROR(__xludf.DUMMYFUNCTION("""COMPUTED_VALUE"""),"الخصوص")</f>
        <v>الخصوص</v>
      </c>
      <c r="D1153" s="5" t="str">
        <f ca="1">IFERROR(__xludf.DUMMYFUNCTION("""COMPUTED_VALUE"""),"صيدلية")</f>
        <v>صيدلية</v>
      </c>
      <c r="E1153" s="5" t="str">
        <f ca="1">IFERROR(__xludf.DUMMYFUNCTION("""COMPUTED_VALUE"""),"صيدلية")</f>
        <v>صيدلية</v>
      </c>
      <c r="F1153" s="5" t="str">
        <f ca="1">IFERROR(__xludf.DUMMYFUNCTION("""COMPUTED_VALUE"""),"صيدلية (أدوية ومستلزمات طبية)")</f>
        <v>صيدلية (أدوية ومستلزمات طبية)</v>
      </c>
      <c r="G1153" s="5" t="str">
        <f ca="1">IFERROR(__xludf.DUMMYFUNCTION("""COMPUTED_VALUE"""),"صيدلية الدكتور إسماعيل صالح إبراهيم")</f>
        <v>صيدلية الدكتور إسماعيل صالح إبراهيم</v>
      </c>
      <c r="H1153" s="5" t="str">
        <f ca="1">IFERROR(__xludf.DUMMYFUNCTION("""COMPUTED_VALUE"""),"شارع الخصوص  - العمومي - بجوار البنزينة - القليوبية")</f>
        <v>شارع الخصوص  - العمومي - بجوار البنزينة - القليوبية</v>
      </c>
      <c r="I1153" s="6" t="str">
        <f ca="1">IFERROR(__xludf.DUMMYFUNCTION("""COMPUTED_VALUE"""),"201228435521")</f>
        <v>201228435521</v>
      </c>
      <c r="J1153" s="6"/>
      <c r="K1153" s="6" t="str">
        <f ca="1">IFERROR(__xludf.DUMMYFUNCTION("""COMPUTED_VALUE"""),"خصم 12% علي المحلي و 6% علي المستورد")</f>
        <v>خصم 12% علي المحلي و 6% علي المستورد</v>
      </c>
    </row>
    <row r="1154" spans="1:11" x14ac:dyDescent="0.25">
      <c r="A1154" s="4" t="str">
        <f ca="1">IFERROR(__xludf.DUMMYFUNCTION("""COMPUTED_VALUE"""),"105132")</f>
        <v>105132</v>
      </c>
      <c r="B1154" s="5" t="str">
        <f ca="1">IFERROR(__xludf.DUMMYFUNCTION("""COMPUTED_VALUE"""),"البحيرة")</f>
        <v>البحيرة</v>
      </c>
      <c r="C1154" s="5" t="str">
        <f ca="1">IFERROR(__xludf.DUMMYFUNCTION("""COMPUTED_VALUE"""),"أبو حمص")</f>
        <v>أبو حمص</v>
      </c>
      <c r="D1154" s="5" t="str">
        <f ca="1">IFERROR(__xludf.DUMMYFUNCTION("""COMPUTED_VALUE"""),"معمل")</f>
        <v>معمل</v>
      </c>
      <c r="E1154" s="5" t="str">
        <f ca="1">IFERROR(__xludf.DUMMYFUNCTION("""COMPUTED_VALUE"""),"معمل")</f>
        <v>معمل</v>
      </c>
      <c r="F1154" s="5" t="str">
        <f ca="1">IFERROR(__xludf.DUMMYFUNCTION("""COMPUTED_VALUE"""),"معمل التحاليل الطبية")</f>
        <v>معمل التحاليل الطبية</v>
      </c>
      <c r="G1154" s="5" t="str">
        <f ca="1">IFERROR(__xludf.DUMMYFUNCTION("""COMPUTED_VALUE"""),"معمل تحاليل طبية اندلسية")</f>
        <v>معمل تحاليل طبية اندلسية</v>
      </c>
      <c r="H1154" s="5" t="str">
        <f ca="1">IFERROR(__xludf.DUMMYFUNCTION("""COMPUTED_VALUE"""),"الموقف - امام مستشفى بلال التخصصي - ابو حمص -  البحيرة")</f>
        <v>الموقف - امام مستشفى بلال التخصصي - ابو حمص -  البحيرة</v>
      </c>
      <c r="I1154" s="6" t="str">
        <f ca="1">IFERROR(__xludf.DUMMYFUNCTION("""COMPUTED_VALUE"""),"20452560062")</f>
        <v>20452560062</v>
      </c>
      <c r="J1154" s="6"/>
      <c r="K1154" s="6" t="str">
        <f ca="1">IFERROR(__xludf.DUMMYFUNCTION("""COMPUTED_VALUE"""),"30% خصم علي الأسعار النقدي المعلنة")</f>
        <v>30% خصم علي الأسعار النقدي المعلنة</v>
      </c>
    </row>
    <row r="1155" spans="1:11" x14ac:dyDescent="0.25">
      <c r="A1155" s="4" t="str">
        <f ca="1">IFERROR(__xludf.DUMMYFUNCTION("""COMPUTED_VALUE"""),"105137")</f>
        <v>105137</v>
      </c>
      <c r="B1155" s="5" t="str">
        <f ca="1">IFERROR(__xludf.DUMMYFUNCTION("""COMPUTED_VALUE"""),"الاسكندرية")</f>
        <v>الاسكندرية</v>
      </c>
      <c r="C1155" s="5" t="str">
        <f ca="1">IFERROR(__xludf.DUMMYFUNCTION("""COMPUTED_VALUE"""),"سيدي بشر")</f>
        <v>سيدي بشر</v>
      </c>
      <c r="D1155" s="5" t="str">
        <f ca="1">IFERROR(__xludf.DUMMYFUNCTION("""COMPUTED_VALUE"""),"مستشفى")</f>
        <v>مستشفى</v>
      </c>
      <c r="E1155" s="5" t="str">
        <f ca="1">IFERROR(__xludf.DUMMYFUNCTION("""COMPUTED_VALUE"""),"مستشفي طبي متكامل")</f>
        <v>مستشفي طبي متكامل</v>
      </c>
      <c r="F1155" s="5" t="str">
        <f ca="1">IFERROR(__xludf.DUMMYFUNCTION("""COMPUTED_VALUE"""),"جميع التخصصات الطبية")</f>
        <v>جميع التخصصات الطبية</v>
      </c>
      <c r="G1155" s="5" t="str">
        <f ca="1">IFERROR(__xludf.DUMMYFUNCTION("""COMPUTED_VALUE"""),"ميدل ايست هلث كير - للخدمات الطبية ( مستشفى سيدي بشر الملكي )")</f>
        <v>ميدل ايست هلث كير - للخدمات الطبية ( مستشفى سيدي بشر الملكي )</v>
      </c>
      <c r="H1155" s="5" t="str">
        <f ca="1">IFERROR(__xludf.DUMMYFUNCTION("""COMPUTED_VALUE"""),"1  شارع الصاغ محمد عبد السلام - سيدي بشر - الإسكندرية")</f>
        <v>1  شارع الصاغ محمد عبد السلام - سيدي بشر - الإسكندرية</v>
      </c>
      <c r="I1155" s="6" t="str">
        <f ca="1">IFERROR(__xludf.DUMMYFUNCTION("""COMPUTED_VALUE"""),"2035878425-6-7-8")</f>
        <v>2035878425-6-7-8</v>
      </c>
      <c r="J1155" s="6"/>
      <c r="K1155" s="6" t="str">
        <f ca="1">IFERROR(__xludf.DUMMYFUNCTION("""COMPUTED_VALUE"""),"15% على كل الخدمات ")</f>
        <v xml:space="preserve">15% على كل الخدمات </v>
      </c>
    </row>
    <row r="1156" spans="1:11" x14ac:dyDescent="0.25">
      <c r="A1156" s="4" t="str">
        <f ca="1">IFERROR(__xludf.DUMMYFUNCTION("""COMPUTED_VALUE"""),"105070")</f>
        <v>105070</v>
      </c>
      <c r="B1156" s="5" t="str">
        <f ca="1">IFERROR(__xludf.DUMMYFUNCTION("""COMPUTED_VALUE"""),"القاهرة")</f>
        <v>القاهرة</v>
      </c>
      <c r="C1156" s="5" t="str">
        <f ca="1">IFERROR(__xludf.DUMMYFUNCTION("""COMPUTED_VALUE"""),"مدينة نصر")</f>
        <v>مدينة نصر</v>
      </c>
      <c r="D1156" s="5" t="str">
        <f ca="1">IFERROR(__xludf.DUMMYFUNCTION("""COMPUTED_VALUE"""),"مستشفى")</f>
        <v>مستشفى</v>
      </c>
      <c r="E1156" s="5" t="str">
        <f ca="1">IFERROR(__xludf.DUMMYFUNCTION("""COMPUTED_VALUE"""),"مستشفي طبي متكامل")</f>
        <v>مستشفي طبي متكامل</v>
      </c>
      <c r="F1156" s="5" t="str">
        <f ca="1">IFERROR(__xludf.DUMMYFUNCTION("""COMPUTED_VALUE"""),"جميع التخصصات الطبية")</f>
        <v>جميع التخصصات الطبية</v>
      </c>
      <c r="G1156" s="5" t="str">
        <f ca="1">IFERROR(__xludf.DUMMYFUNCTION("""COMPUTED_VALUE"""),"مستشفى دار الفؤاد - مدينة نصر ( الشركة الطبية العربية الدولية  )")</f>
        <v>مستشفى دار الفؤاد - مدينة نصر ( الشركة الطبية العربية الدولية  )</v>
      </c>
      <c r="H1156" s="5" t="str">
        <f ca="1">IFERROR(__xludf.DUMMYFUNCTION("""COMPUTED_VALUE"""),"تقاطع طريق النصر مع شارع يوسف عباس - ارض الغابة الدولية - مدينة نصر - القاهرة")</f>
        <v>تقاطع طريق النصر مع شارع يوسف عباس - ارض الغابة الدولية - مدينة نصر - القاهرة</v>
      </c>
      <c r="I1156" s="6"/>
      <c r="J1156" s="6" t="str">
        <f ca="1">IFERROR(__xludf.DUMMYFUNCTION("""COMPUTED_VALUE"""),"16370")</f>
        <v>16370</v>
      </c>
      <c r="K1156" s="6" t="str">
        <f ca="1">IFERROR(__xludf.DUMMYFUNCTION("""COMPUTED_VALUE"""),"60% على الكشف بالعيادات الخارجية و الطوارئ, 50% على الاشعة والتحاليل بالقسم الخارجي و خدمات عيادة الانف و الاذن و السمعيات و عيادة الجهاز الهضمي و امراض الكبد و عيادة القلب و عيادة العظام ,45%على جميع الخدمات باستثناء الادوية والاتفقات الشاملة وجميع المست"&amp;"لزمات الطبيةالعادية او الخاصة ,15% على اتعاب الأطباء ، 10% علي الغسيل، 10% علي المناظير و 5% علي الصفقات الشاملة")</f>
        <v>60% على الكشف بالعيادات الخارجية و الطوارئ, 50% على الاشعة والتحاليل بالقسم الخارجي و خدمات عيادة الانف و الاذن و السمعيات و عيادة الجهاز الهضمي و امراض الكبد و عيادة القلب و عيادة العظام ,45%على جميع الخدمات باستثناء الادوية والاتفقات الشاملة وجميع المستلزمات الطبيةالعادية او الخاصة ,15% على اتعاب الأطباء ، 10% علي الغسيل، 10% علي المناظير و 5% علي الصفقات الشاملة</v>
      </c>
    </row>
    <row r="1157" spans="1:11" x14ac:dyDescent="0.25">
      <c r="A1157" s="4" t="str">
        <f ca="1">IFERROR(__xludf.DUMMYFUNCTION("""COMPUTED_VALUE"""),"105129")</f>
        <v>105129</v>
      </c>
      <c r="B1157" s="5" t="str">
        <f ca="1">IFERROR(__xludf.DUMMYFUNCTION("""COMPUTED_VALUE"""),"الجيزة")</f>
        <v>الجيزة</v>
      </c>
      <c r="C1157" s="5" t="str">
        <f ca="1">IFERROR(__xludf.DUMMYFUNCTION("""COMPUTED_VALUE"""),"الدقي")</f>
        <v>الدقي</v>
      </c>
      <c r="D1157" s="5" t="str">
        <f ca="1">IFERROR(__xludf.DUMMYFUNCTION("""COMPUTED_VALUE"""),"مستشفى")</f>
        <v>مستشفى</v>
      </c>
      <c r="E1157" s="5" t="str">
        <f ca="1">IFERROR(__xludf.DUMMYFUNCTION("""COMPUTED_VALUE"""),"مستشفي طبي متخصص")</f>
        <v>مستشفي طبي متخصص</v>
      </c>
      <c r="F1157" s="5" t="str">
        <f ca="1">IFERROR(__xludf.DUMMYFUNCTION("""COMPUTED_VALUE"""),"مناظير الجهاز الهضمي")</f>
        <v>مناظير الجهاز الهضمي</v>
      </c>
      <c r="G1157" s="5" t="str">
        <f ca="1">IFERROR(__xludf.DUMMYFUNCTION("""COMPUTED_VALUE"""),"مصر سكوب لمناظير الجهاز الهضمي (القاهرة)")</f>
        <v>مصر سكوب لمناظير الجهاز الهضمي (القاهرة)</v>
      </c>
      <c r="H1157" s="5" t="str">
        <f ca="1">IFERROR(__xludf.DUMMYFUNCTION("""COMPUTED_VALUE"""),"107 شارع التحرير - امام مقار - بجوار محطة مترو البحوث-الدقي- الجيزة")</f>
        <v>107 شارع التحرير - امام مقار - بجوار محطة مترو البحوث-الدقي- الجيزة</v>
      </c>
      <c r="I1157" s="6" t="str">
        <f ca="1">IFERROR(__xludf.DUMMYFUNCTION("""COMPUTED_VALUE"""),"01152360225")</f>
        <v>01152360225</v>
      </c>
      <c r="J1157" s="6"/>
      <c r="K1157" s="6" t="str">
        <f ca="1">IFERROR(__xludf.DUMMYFUNCTION("""COMPUTED_VALUE"""),"40% على جميع الخدمات")</f>
        <v>40% على جميع الخدمات</v>
      </c>
    </row>
    <row r="1158" spans="1:11" x14ac:dyDescent="0.25">
      <c r="A1158" s="4" t="str">
        <f ca="1">IFERROR(__xludf.DUMMYFUNCTION("""COMPUTED_VALUE"""),"105129-B")</f>
        <v>105129-B</v>
      </c>
      <c r="B1158" s="5" t="str">
        <f ca="1">IFERROR(__xludf.DUMMYFUNCTION("""COMPUTED_VALUE"""),"القاهرة")</f>
        <v>القاهرة</v>
      </c>
      <c r="C1158" s="5" t="str">
        <f ca="1">IFERROR(__xludf.DUMMYFUNCTION("""COMPUTED_VALUE"""),"مصر الجديدة")</f>
        <v>مصر الجديدة</v>
      </c>
      <c r="D1158" s="5" t="str">
        <f ca="1">IFERROR(__xludf.DUMMYFUNCTION("""COMPUTED_VALUE"""),"مستشفى")</f>
        <v>مستشفى</v>
      </c>
      <c r="E1158" s="5" t="str">
        <f ca="1">IFERROR(__xludf.DUMMYFUNCTION("""COMPUTED_VALUE"""),"مستشفي طبي متخصص")</f>
        <v>مستشفي طبي متخصص</v>
      </c>
      <c r="F1158" s="5" t="str">
        <f ca="1">IFERROR(__xludf.DUMMYFUNCTION("""COMPUTED_VALUE"""),"مناظير الجهاز الهضمي")</f>
        <v>مناظير الجهاز الهضمي</v>
      </c>
      <c r="G1158" s="5" t="str">
        <f ca="1">IFERROR(__xludf.DUMMYFUNCTION("""COMPUTED_VALUE"""),"مصر سكوب لمناظير الجهاز الهضمي (القاهرة)")</f>
        <v>مصر سكوب لمناظير الجهاز الهضمي (القاهرة)</v>
      </c>
      <c r="H1158" s="5" t="str">
        <f ca="1">IFERROR(__xludf.DUMMYFUNCTION("""COMPUTED_VALUE"""),"138ش النزهه - برج بانوراما - ميدان تريومف - مصر الجديدة - القاهرة.")</f>
        <v>138ش النزهه - برج بانوراما - ميدان تريومف - مصر الجديدة - القاهرة.</v>
      </c>
      <c r="I1158" s="6" t="str">
        <f ca="1">IFERROR(__xludf.DUMMYFUNCTION("""COMPUTED_VALUE"""),"201211546666")</f>
        <v>201211546666</v>
      </c>
      <c r="J1158" s="6"/>
      <c r="K1158" s="6" t="str">
        <f ca="1">IFERROR(__xludf.DUMMYFUNCTION("""COMPUTED_VALUE"""),"40% على جميع الخدمات")</f>
        <v>40% على جميع الخدمات</v>
      </c>
    </row>
    <row r="1159" spans="1:11" x14ac:dyDescent="0.25">
      <c r="A1159" s="4" t="str">
        <f ca="1">IFERROR(__xludf.DUMMYFUNCTION("""COMPUTED_VALUE"""),"104719-B")</f>
        <v>104719-B</v>
      </c>
      <c r="B1159" s="5" t="str">
        <f ca="1">IFERROR(__xludf.DUMMYFUNCTION("""COMPUTED_VALUE"""),"القاهرة")</f>
        <v>القاهرة</v>
      </c>
      <c r="C1159" s="5" t="str">
        <f ca="1">IFERROR(__xludf.DUMMYFUNCTION("""COMPUTED_VALUE"""),"مدينة نصر")</f>
        <v>مدينة نصر</v>
      </c>
      <c r="D1159" s="5" t="str">
        <f ca="1">IFERROR(__xludf.DUMMYFUNCTION("""COMPUTED_VALUE"""),"شركة")</f>
        <v>شركة</v>
      </c>
      <c r="E1159" s="5" t="str">
        <f ca="1">IFERROR(__xludf.DUMMYFUNCTION("""COMPUTED_VALUE"""),"شركة اجهزة طبية")</f>
        <v>شركة اجهزة طبية</v>
      </c>
      <c r="F1159" s="5" t="str">
        <f ca="1">IFERROR(__xludf.DUMMYFUNCTION("""COMPUTED_VALUE"""),"مركز بصريات")</f>
        <v>مركز بصريات</v>
      </c>
      <c r="G1159" s="5" t="str">
        <f ca="1">IFERROR(__xludf.DUMMYFUNCTION("""COMPUTED_VALUE"""),"شركة أوبتك جاليري للتجارة")</f>
        <v>شركة أوبتك جاليري للتجارة</v>
      </c>
      <c r="H1159" s="5" t="str">
        <f ca="1">IFERROR(__xludf.DUMMYFUNCTION("""COMPUTED_VALUE"""),"53 شارع ابن النفيس - ناصية حسن المأمون  - مركز التيسير الطبي - مدينة نصر - القاهرة")</f>
        <v>53 شارع ابن النفيس - ناصية حسن المأمون  - مركز التيسير الطبي - مدينة نصر - القاهرة</v>
      </c>
      <c r="I1159" s="6" t="str">
        <f ca="1">IFERROR(__xludf.DUMMYFUNCTION("""COMPUTED_VALUE"""),"201004870888")</f>
        <v>201004870888</v>
      </c>
      <c r="J1159" s="6"/>
      <c r="K1159" s="6" t="str">
        <f ca="1">IFERROR(__xludf.DUMMYFUNCTION("""COMPUTED_VALUE"""),"25% نسبة خصم")</f>
        <v>25% نسبة خصم</v>
      </c>
    </row>
    <row r="1160" spans="1:11" x14ac:dyDescent="0.25">
      <c r="A1160" s="4" t="str">
        <f ca="1">IFERROR(__xludf.DUMMYFUNCTION("""COMPUTED_VALUE"""),"104719-B")</f>
        <v>104719-B</v>
      </c>
      <c r="B1160" s="5" t="str">
        <f ca="1">IFERROR(__xludf.DUMMYFUNCTION("""COMPUTED_VALUE"""),"القاهرة")</f>
        <v>القاهرة</v>
      </c>
      <c r="C1160" s="5" t="str">
        <f ca="1">IFERROR(__xludf.DUMMYFUNCTION("""COMPUTED_VALUE"""),"مدينة نصر")</f>
        <v>مدينة نصر</v>
      </c>
      <c r="D1160" s="5" t="str">
        <f ca="1">IFERROR(__xludf.DUMMYFUNCTION("""COMPUTED_VALUE"""),"شركة")</f>
        <v>شركة</v>
      </c>
      <c r="E1160" s="5" t="str">
        <f ca="1">IFERROR(__xludf.DUMMYFUNCTION("""COMPUTED_VALUE"""),"شركة اجهزة طبية")</f>
        <v>شركة اجهزة طبية</v>
      </c>
      <c r="F1160" s="5" t="str">
        <f ca="1">IFERROR(__xludf.DUMMYFUNCTION("""COMPUTED_VALUE"""),"مركز بصريات")</f>
        <v>مركز بصريات</v>
      </c>
      <c r="G1160" s="5" t="str">
        <f ca="1">IFERROR(__xludf.DUMMYFUNCTION("""COMPUTED_VALUE"""),"شركة أوبتك جاليري للتجارة")</f>
        <v>شركة أوبتك جاليري للتجارة</v>
      </c>
      <c r="H1160" s="5" t="str">
        <f ca="1">IFERROR(__xludf.DUMMYFUNCTION("""COMPUTED_VALUE"""),"شارع أنور المفتي  - مستشفى الرواد للعيون - خلف طيبة مول - مدينة نصر - القاهرة")</f>
        <v>شارع أنور المفتي  - مستشفى الرواد للعيون - خلف طيبة مول - مدينة نصر - القاهرة</v>
      </c>
      <c r="I1160" s="6" t="str">
        <f ca="1">IFERROR(__xludf.DUMMYFUNCTION("""COMPUTED_VALUE"""),"201033301874")</f>
        <v>201033301874</v>
      </c>
      <c r="J1160" s="6"/>
      <c r="K1160" s="6" t="str">
        <f ca="1">IFERROR(__xludf.DUMMYFUNCTION("""COMPUTED_VALUE"""),"25% نسبة خصم")</f>
        <v>25% نسبة خصم</v>
      </c>
    </row>
    <row r="1161" spans="1:11" x14ac:dyDescent="0.25">
      <c r="A1161" s="4" t="str">
        <f ca="1">IFERROR(__xludf.DUMMYFUNCTION("""COMPUTED_VALUE"""),"104719-B")</f>
        <v>104719-B</v>
      </c>
      <c r="B1161" s="5" t="str">
        <f ca="1">IFERROR(__xludf.DUMMYFUNCTION("""COMPUTED_VALUE"""),"الجيزة")</f>
        <v>الجيزة</v>
      </c>
      <c r="C1161" s="5" t="str">
        <f ca="1">IFERROR(__xludf.DUMMYFUNCTION("""COMPUTED_VALUE"""),"الدقي")</f>
        <v>الدقي</v>
      </c>
      <c r="D1161" s="5" t="str">
        <f ca="1">IFERROR(__xludf.DUMMYFUNCTION("""COMPUTED_VALUE"""),"شركة")</f>
        <v>شركة</v>
      </c>
      <c r="E1161" s="5" t="str">
        <f ca="1">IFERROR(__xludf.DUMMYFUNCTION("""COMPUTED_VALUE"""),"شركة اجهزة طبية")</f>
        <v>شركة اجهزة طبية</v>
      </c>
      <c r="F1161" s="5" t="str">
        <f ca="1">IFERROR(__xludf.DUMMYFUNCTION("""COMPUTED_VALUE"""),"مركز بصريات")</f>
        <v>مركز بصريات</v>
      </c>
      <c r="G1161" s="5" t="str">
        <f ca="1">IFERROR(__xludf.DUMMYFUNCTION("""COMPUTED_VALUE"""),"شركة أوبتك جاليري للتجارة")</f>
        <v>شركة أوبتك جاليري للتجارة</v>
      </c>
      <c r="H1161" s="5" t="str">
        <f ca="1">IFERROR(__xludf.DUMMYFUNCTION("""COMPUTED_VALUE"""),"29 شارع ايران - خلف مسجد الأسد بن الفرات - مستفى الرواد للعيون - الدقى الجيزة")</f>
        <v>29 شارع ايران - خلف مسجد الأسد بن الفرات - مستفى الرواد للعيون - الدقى الجيزة</v>
      </c>
      <c r="I1161" s="6" t="str">
        <f ca="1">IFERROR(__xludf.DUMMYFUNCTION("""COMPUTED_VALUE"""),"201002140193")</f>
        <v>201002140193</v>
      </c>
      <c r="J1161" s="6"/>
      <c r="K1161" s="6" t="str">
        <f ca="1">IFERROR(__xludf.DUMMYFUNCTION("""COMPUTED_VALUE"""),"25% نسبة خصم")</f>
        <v>25% نسبة خصم</v>
      </c>
    </row>
    <row r="1162" spans="1:11" x14ac:dyDescent="0.25">
      <c r="A1162" s="4" t="str">
        <f ca="1">IFERROR(__xludf.DUMMYFUNCTION("""COMPUTED_VALUE"""),"105139")</f>
        <v>105139</v>
      </c>
      <c r="B1162" s="5" t="str">
        <f ca="1">IFERROR(__xludf.DUMMYFUNCTION("""COMPUTED_VALUE"""),"الجيزة")</f>
        <v>الجيزة</v>
      </c>
      <c r="C1162" s="5" t="str">
        <f ca="1">IFERROR(__xludf.DUMMYFUNCTION("""COMPUTED_VALUE"""),"السادس من اكتوبر")</f>
        <v>السادس من اكتوبر</v>
      </c>
      <c r="D1162" s="5" t="str">
        <f ca="1">IFERROR(__xludf.DUMMYFUNCTION("""COMPUTED_VALUE"""),"مستشفى")</f>
        <v>مستشفى</v>
      </c>
      <c r="E1162" s="5" t="str">
        <f ca="1">IFERROR(__xludf.DUMMYFUNCTION("""COMPUTED_VALUE"""),"مستشفي طبي متكامل")</f>
        <v>مستشفي طبي متكامل</v>
      </c>
      <c r="F1162" s="5" t="str">
        <f ca="1">IFERROR(__xludf.DUMMYFUNCTION("""COMPUTED_VALUE"""),"جميع التخصصات الطبية")</f>
        <v>جميع التخصصات الطبية</v>
      </c>
      <c r="G1162" s="5" t="str">
        <f ca="1">IFERROR(__xludf.DUMMYFUNCTION("""COMPUTED_VALUE"""),"شركة ماجيوم للأنظمة الطبية والتعليمية ( مستشفى دريم )")</f>
        <v>شركة ماجيوم للأنظمة الطبية والتعليمية ( مستشفى دريم )</v>
      </c>
      <c r="H1162" s="5" t="str">
        <f ca="1">IFERROR(__xludf.DUMMYFUNCTION("""COMPUTED_VALUE"""),"دريم لاند - منطقة طريق الوحات - السادس من اكتوبر  - الجيزة")</f>
        <v>دريم لاند - منطقة طريق الوحات - السادس من اكتوبر  - الجيزة</v>
      </c>
      <c r="I1162" s="6"/>
      <c r="J1162" s="6" t="str">
        <f ca="1">IFERROR(__xludf.DUMMYFUNCTION("""COMPUTED_VALUE"""),"19351")</f>
        <v>19351</v>
      </c>
      <c r="K1162" s="6" t="str">
        <f ca="1">IFERROR(__xludf.DUMMYFUNCTION("""COMPUTED_VALUE"""),"الكشف: 75, نقابه 2017")</f>
        <v>الكشف: 75, نقابه 2017</v>
      </c>
    </row>
    <row r="1163" spans="1:11" x14ac:dyDescent="0.25">
      <c r="A1163" s="4" t="str">
        <f ca="1">IFERROR(__xludf.DUMMYFUNCTION("""COMPUTED_VALUE"""),"105144")</f>
        <v>105144</v>
      </c>
      <c r="B1163" s="5" t="str">
        <f ca="1">IFERROR(__xludf.DUMMYFUNCTION("""COMPUTED_VALUE"""),"دمياط")</f>
        <v>دمياط</v>
      </c>
      <c r="C1163" s="5" t="str">
        <f ca="1">IFERROR(__xludf.DUMMYFUNCTION("""COMPUTED_VALUE"""),"دمياط")</f>
        <v>دمياط</v>
      </c>
      <c r="D1163" s="5" t="str">
        <f ca="1">IFERROR(__xludf.DUMMYFUNCTION("""COMPUTED_VALUE"""),"مستشفى")</f>
        <v>مستشفى</v>
      </c>
      <c r="E1163" s="5" t="str">
        <f ca="1">IFERROR(__xludf.DUMMYFUNCTION("""COMPUTED_VALUE"""),"مستشفي طبي متخصص")</f>
        <v>مستشفي طبي متخصص</v>
      </c>
      <c r="F1163" s="5" t="str">
        <f ca="1">IFERROR(__xludf.DUMMYFUNCTION("""COMPUTED_VALUE"""),"رمد (جراحة عيون)")</f>
        <v>رمد (جراحة عيون)</v>
      </c>
      <c r="G1163" s="5" t="str">
        <f ca="1">IFERROR(__xludf.DUMMYFUNCTION("""COMPUTED_VALUE"""),"مركز عيون المدينة")</f>
        <v>مركز عيون المدينة</v>
      </c>
      <c r="H1163" s="5" t="str">
        <f ca="1">IFERROR(__xludf.DUMMYFUNCTION("""COMPUTED_VALUE"""),"الحي الثاني - المجاورة الأولى - بجوار كلية التربية النوعية - دمياط")</f>
        <v>الحي الثاني - المجاورة الأولى - بجوار كلية التربية النوعية - دمياط</v>
      </c>
      <c r="I1163" s="6" t="str">
        <f ca="1">IFERROR(__xludf.DUMMYFUNCTION("""COMPUTED_VALUE"""),"20572077772")</f>
        <v>20572077772</v>
      </c>
      <c r="J1163" s="6"/>
      <c r="K1163" s="6" t="str">
        <f ca="1">IFERROR(__xludf.DUMMYFUNCTION("""COMPUTED_VALUE"""),"الكشف: 70, نقابه 2015")</f>
        <v>الكشف: 70, نقابه 2015</v>
      </c>
    </row>
    <row r="1164" spans="1:11" x14ac:dyDescent="0.25">
      <c r="A1164" s="4" t="str">
        <f ca="1">IFERROR(__xludf.DUMMYFUNCTION("""COMPUTED_VALUE"""),"105148")</f>
        <v>105148</v>
      </c>
      <c r="B1164" s="5" t="str">
        <f ca="1">IFERROR(__xludf.DUMMYFUNCTION("""COMPUTED_VALUE"""),"الجيزة")</f>
        <v>الجيزة</v>
      </c>
      <c r="C1164" s="5" t="str">
        <f ca="1">IFERROR(__xludf.DUMMYFUNCTION("""COMPUTED_VALUE"""),"المهندسين")</f>
        <v>المهندسين</v>
      </c>
      <c r="D1164" s="5" t="str">
        <f ca="1">IFERROR(__xludf.DUMMYFUNCTION("""COMPUTED_VALUE"""),"مركز أشعة")</f>
        <v>مركز أشعة</v>
      </c>
      <c r="E1164" s="5" t="str">
        <f ca="1">IFERROR(__xludf.DUMMYFUNCTION("""COMPUTED_VALUE"""),"مركز أشعة")</f>
        <v>مركز أشعة</v>
      </c>
      <c r="F1164" s="5" t="str">
        <f ca="1">IFERROR(__xludf.DUMMYFUNCTION("""COMPUTED_VALUE"""),"مركز الأشعة التشخيصية")</f>
        <v>مركز الأشعة التشخيصية</v>
      </c>
      <c r="G1164" s="5" t="str">
        <f ca="1">IFERROR(__xludf.DUMMYFUNCTION("""COMPUTED_VALUE"""),"البرج سكان ( معامل البرج)")</f>
        <v>البرج سكان ( معامل البرج)</v>
      </c>
      <c r="H1164" s="5" t="str">
        <f ca="1">IFERROR(__xludf.DUMMYFUNCTION("""COMPUTED_VALUE"""),"55شارع عبدالمنعم رياض  برج الاطباء الدور الثاني-المهندسين- الجيزة")</f>
        <v>55شارع عبدالمنعم رياض  برج الاطباء الدور الثاني-المهندسين- الجيزة</v>
      </c>
      <c r="I1164" s="6"/>
      <c r="J1164" s="6" t="str">
        <f ca="1">IFERROR(__xludf.DUMMYFUNCTION("""COMPUTED_VALUE"""),"19911")</f>
        <v>19911</v>
      </c>
      <c r="K1164" s="6" t="str">
        <f ca="1">IFERROR(__xludf.DUMMYFUNCTION("""COMPUTED_VALUE"""),"30% علي الأسعار النقدي المعلنة")</f>
        <v>30% علي الأسعار النقدي المعلنة</v>
      </c>
    </row>
    <row r="1165" spans="1:11" x14ac:dyDescent="0.25">
      <c r="A1165" s="4" t="str">
        <f ca="1">IFERROR(__xludf.DUMMYFUNCTION("""COMPUTED_VALUE"""),"104676-B")</f>
        <v>104676-B</v>
      </c>
      <c r="B1165" s="5" t="str">
        <f ca="1">IFERROR(__xludf.DUMMYFUNCTION("""COMPUTED_VALUE"""),"الاسكندرية")</f>
        <v>الاسكندرية</v>
      </c>
      <c r="C1165" s="5" t="str">
        <f ca="1">IFERROR(__xludf.DUMMYFUNCTION("""COMPUTED_VALUE"""),"لوران")</f>
        <v>لوران</v>
      </c>
      <c r="D1165" s="5" t="str">
        <f ca="1">IFERROR(__xludf.DUMMYFUNCTION("""COMPUTED_VALUE"""),"صيدلية")</f>
        <v>صيدلية</v>
      </c>
      <c r="E1165" s="5" t="str">
        <f ca="1">IFERROR(__xludf.DUMMYFUNCTION("""COMPUTED_VALUE"""),"صيدلية")</f>
        <v>صيدلية</v>
      </c>
      <c r="F1165" s="5" t="str">
        <f ca="1">IFERROR(__xludf.DUMMYFUNCTION("""COMPUTED_VALUE"""),"صيدلية (أدوية ومستلزمات طبية)")</f>
        <v>صيدلية (أدوية ومستلزمات طبية)</v>
      </c>
      <c r="G1165" s="5" t="str">
        <f ca="1">IFERROR(__xludf.DUMMYFUNCTION("""COMPUTED_VALUE"""),"صيدليات الدواء")</f>
        <v>صيدليات الدواء</v>
      </c>
      <c r="H1165" s="5" t="str">
        <f ca="1">IFERROR(__xludf.DUMMYFUNCTION("""COMPUTED_VALUE"""),"386 شارع عبد السلام عارف - لوران")</f>
        <v>386 شارع عبد السلام عارف - لوران</v>
      </c>
      <c r="I1165" s="6" t="str">
        <f ca="1">IFERROR(__xludf.DUMMYFUNCTION("""COMPUTED_VALUE"""),"033583293")</f>
        <v>033583293</v>
      </c>
      <c r="J1165" s="6" t="str">
        <f ca="1">IFERROR(__xludf.DUMMYFUNCTION("""COMPUTED_VALUE"""),"201211113131")</f>
        <v>201211113131</v>
      </c>
      <c r="K1165" s="6" t="str">
        <f ca="1">IFERROR(__xludf.DUMMYFUNCTION("""COMPUTED_VALUE"""),"خصم 10% علي كل الادويه")</f>
        <v>خصم 10% علي كل الادويه</v>
      </c>
    </row>
    <row r="1166" spans="1:11" x14ac:dyDescent="0.25">
      <c r="A1166" s="4" t="str">
        <f ca="1">IFERROR(__xludf.DUMMYFUNCTION("""COMPUTED_VALUE"""),"104676-B")</f>
        <v>104676-B</v>
      </c>
      <c r="B1166" s="5" t="str">
        <f ca="1">IFERROR(__xludf.DUMMYFUNCTION("""COMPUTED_VALUE"""),"الاسكندرية")</f>
        <v>الاسكندرية</v>
      </c>
      <c r="C1166" s="5" t="str">
        <f ca="1">IFERROR(__xludf.DUMMYFUNCTION("""COMPUTED_VALUE"""),"سيدي بشر")</f>
        <v>سيدي بشر</v>
      </c>
      <c r="D1166" s="5" t="str">
        <f ca="1">IFERROR(__xludf.DUMMYFUNCTION("""COMPUTED_VALUE"""),"صيدلية")</f>
        <v>صيدلية</v>
      </c>
      <c r="E1166" s="5" t="str">
        <f ca="1">IFERROR(__xludf.DUMMYFUNCTION("""COMPUTED_VALUE"""),"صيدلية")</f>
        <v>صيدلية</v>
      </c>
      <c r="F1166" s="5" t="str">
        <f ca="1">IFERROR(__xludf.DUMMYFUNCTION("""COMPUTED_VALUE"""),"صيدلية (أدوية ومستلزمات طبية)")</f>
        <v>صيدلية (أدوية ومستلزمات طبية)</v>
      </c>
      <c r="G1166" s="5" t="str">
        <f ca="1">IFERROR(__xludf.DUMMYFUNCTION("""COMPUTED_VALUE"""),"صيدليات الدواء")</f>
        <v>صيدليات الدواء</v>
      </c>
      <c r="H1166" s="5" t="str">
        <f ca="1">IFERROR(__xludf.DUMMYFUNCTION("""COMPUTED_VALUE"""),"1 ميدان الفسحة - سيدي بشر الترام - سيدي بشر")</f>
        <v>1 ميدان الفسحة - سيدي بشر الترام - سيدي بشر</v>
      </c>
      <c r="I1166" s="6" t="str">
        <f ca="1">IFERROR(__xludf.DUMMYFUNCTION("""COMPUTED_VALUE"""),"2033582875")</f>
        <v>2033582875</v>
      </c>
      <c r="J1166" s="6" t="str">
        <f ca="1">IFERROR(__xludf.DUMMYFUNCTION("""COMPUTED_VALUE"""),"201211113131")</f>
        <v>201211113131</v>
      </c>
      <c r="K1166" s="6" t="str">
        <f ca="1">IFERROR(__xludf.DUMMYFUNCTION("""COMPUTED_VALUE"""),"خصم 10% علي كل الادويه")</f>
        <v>خصم 10% علي كل الادويه</v>
      </c>
    </row>
    <row r="1167" spans="1:11" x14ac:dyDescent="0.25">
      <c r="A1167" s="4" t="str">
        <f ca="1">IFERROR(__xludf.DUMMYFUNCTION("""COMPUTED_VALUE"""),"104676-B")</f>
        <v>104676-B</v>
      </c>
      <c r="B1167" s="5" t="str">
        <f ca="1">IFERROR(__xludf.DUMMYFUNCTION("""COMPUTED_VALUE"""),"الاسكندرية")</f>
        <v>الاسكندرية</v>
      </c>
      <c r="C1167" s="5" t="str">
        <f ca="1">IFERROR(__xludf.DUMMYFUNCTION("""COMPUTED_VALUE"""),"السيوف")</f>
        <v>السيوف</v>
      </c>
      <c r="D1167" s="5" t="str">
        <f ca="1">IFERROR(__xludf.DUMMYFUNCTION("""COMPUTED_VALUE"""),"صيدلية")</f>
        <v>صيدلية</v>
      </c>
      <c r="E1167" s="5" t="str">
        <f ca="1">IFERROR(__xludf.DUMMYFUNCTION("""COMPUTED_VALUE"""),"صيدلية")</f>
        <v>صيدلية</v>
      </c>
      <c r="F1167" s="5" t="str">
        <f ca="1">IFERROR(__xludf.DUMMYFUNCTION("""COMPUTED_VALUE"""),"صيدلية (أدوية ومستلزمات طبية)")</f>
        <v>صيدلية (أدوية ومستلزمات طبية)</v>
      </c>
      <c r="G1167" s="5" t="str">
        <f ca="1">IFERROR(__xludf.DUMMYFUNCTION("""COMPUTED_VALUE"""),"صيدليات الدواء")</f>
        <v>صيدليات الدواء</v>
      </c>
      <c r="H1167" s="5" t="str">
        <f ca="1">IFERROR(__xludf.DUMMYFUNCTION("""COMPUTED_VALUE"""),"شارع مصطفى كامل - بجوار كارفور سيتي مول لايت")</f>
        <v>شارع مصطفى كامل - بجوار كارفور سيتي مول لايت</v>
      </c>
      <c r="I1167" s="6" t="str">
        <f ca="1">IFERROR(__xludf.DUMMYFUNCTION("""COMPUTED_VALUE"""),"01284679499")</f>
        <v>01284679499</v>
      </c>
      <c r="J1167" s="6" t="str">
        <f ca="1">IFERROR(__xludf.DUMMYFUNCTION("""COMPUTED_VALUE"""),"201211113131")</f>
        <v>201211113131</v>
      </c>
      <c r="K1167" s="6" t="str">
        <f ca="1">IFERROR(__xludf.DUMMYFUNCTION("""COMPUTED_VALUE"""),"خصم 10% علي كل الادويه")</f>
        <v>خصم 10% علي كل الادويه</v>
      </c>
    </row>
    <row r="1168" spans="1:11" x14ac:dyDescent="0.25">
      <c r="A1168" s="4" t="str">
        <f ca="1">IFERROR(__xludf.DUMMYFUNCTION("""COMPUTED_VALUE"""),"104676-B")</f>
        <v>104676-B</v>
      </c>
      <c r="B1168" s="5" t="str">
        <f ca="1">IFERROR(__xludf.DUMMYFUNCTION("""COMPUTED_VALUE"""),"الاسكندرية")</f>
        <v>الاسكندرية</v>
      </c>
      <c r="C1168" s="5" t="str">
        <f ca="1">IFERROR(__xludf.DUMMYFUNCTION("""COMPUTED_VALUE"""),"جناكليس")</f>
        <v>جناكليس</v>
      </c>
      <c r="D1168" s="5" t="str">
        <f ca="1">IFERROR(__xludf.DUMMYFUNCTION("""COMPUTED_VALUE"""),"صيدلية")</f>
        <v>صيدلية</v>
      </c>
      <c r="E1168" s="5" t="str">
        <f ca="1">IFERROR(__xludf.DUMMYFUNCTION("""COMPUTED_VALUE"""),"صيدلية")</f>
        <v>صيدلية</v>
      </c>
      <c r="F1168" s="5" t="str">
        <f ca="1">IFERROR(__xludf.DUMMYFUNCTION("""COMPUTED_VALUE"""),"صيدلية (أدوية ومستلزمات طبية)")</f>
        <v>صيدلية (أدوية ومستلزمات طبية)</v>
      </c>
      <c r="G1168" s="5" t="str">
        <f ca="1">IFERROR(__xludf.DUMMYFUNCTION("""COMPUTED_VALUE"""),"صيدليات الدواء")</f>
        <v>صيدليات الدواء</v>
      </c>
      <c r="H1168" s="5" t="str">
        <f ca="1">IFERROR(__xludf.DUMMYFUNCTION("""COMPUTED_VALUE"""),"630 طرق الحرية - شارع أبو قير - جنكاليس")</f>
        <v>630 طرق الحرية - شارع أبو قير - جنكاليس</v>
      </c>
      <c r="I1168" s="6" t="str">
        <f ca="1">IFERROR(__xludf.DUMMYFUNCTION("""COMPUTED_VALUE"""),"2035820117")</f>
        <v>2035820117</v>
      </c>
      <c r="J1168" s="6" t="str">
        <f ca="1">IFERROR(__xludf.DUMMYFUNCTION("""COMPUTED_VALUE"""),"201211113131")</f>
        <v>201211113131</v>
      </c>
      <c r="K1168" s="6" t="str">
        <f ca="1">IFERROR(__xludf.DUMMYFUNCTION("""COMPUTED_VALUE"""),"خصم 10% علي كل الادويه")</f>
        <v>خصم 10% علي كل الادويه</v>
      </c>
    </row>
    <row r="1169" spans="1:11" x14ac:dyDescent="0.25">
      <c r="A1169" s="4" t="str">
        <f ca="1">IFERROR(__xludf.DUMMYFUNCTION("""COMPUTED_VALUE"""),"105157")</f>
        <v>105157</v>
      </c>
      <c r="B1169" s="5" t="str">
        <f ca="1">IFERROR(__xludf.DUMMYFUNCTION("""COMPUTED_VALUE"""),"القاهرة")</f>
        <v>القاهرة</v>
      </c>
      <c r="C1169" s="5" t="str">
        <f ca="1">IFERROR(__xludf.DUMMYFUNCTION("""COMPUTED_VALUE"""),"مدينة نصر")</f>
        <v>مدينة نصر</v>
      </c>
      <c r="D1169" s="5" t="str">
        <f ca="1">IFERROR(__xludf.DUMMYFUNCTION("""COMPUTED_VALUE"""),"مستشفى")</f>
        <v>مستشفى</v>
      </c>
      <c r="E1169" s="5" t="str">
        <f ca="1">IFERROR(__xludf.DUMMYFUNCTION("""COMPUTED_VALUE"""),"مستشفي طبي متخصص")</f>
        <v>مستشفي طبي متخصص</v>
      </c>
      <c r="F1169" s="5" t="str">
        <f ca="1">IFERROR(__xludf.DUMMYFUNCTION("""COMPUTED_VALUE"""),"جراحة أوعية دموية")</f>
        <v>جراحة أوعية دموية</v>
      </c>
      <c r="G1169" s="5" t="str">
        <f ca="1">IFERROR(__xludf.DUMMYFUNCTION("""COMPUTED_VALUE"""),"جامعة الازهر المركز الإسلامي لامراض القلب وجراحاته")</f>
        <v>جامعة الازهر المركز الإسلامي لامراض القلب وجراحاته</v>
      </c>
      <c r="H1169" s="5" t="str">
        <f ca="1">IFERROR(__xludf.DUMMYFUNCTION("""COMPUTED_VALUE"""),"شارع المخيم - بجوار كلية طب جامعة الازهر - الحي السادس  - مدينة نصر - القاهرة")</f>
        <v>شارع المخيم - بجوار كلية طب جامعة الازهر - الحي السادس  - مدينة نصر - القاهرة</v>
      </c>
      <c r="I1169" s="6" t="str">
        <f ca="1">IFERROR(__xludf.DUMMYFUNCTION("""COMPUTED_VALUE"""),"2024013824")</f>
        <v>2024013824</v>
      </c>
      <c r="J1169" s="6"/>
      <c r="K1169" s="6" t="str">
        <f ca="1">IFERROR(__xludf.DUMMYFUNCTION("""COMPUTED_VALUE"""),"40% علي الكشف و الخدمات الاخري ما عدا الصبغات.")</f>
        <v>40% علي الكشف و الخدمات الاخري ما عدا الصبغات.</v>
      </c>
    </row>
    <row r="1170" spans="1:11" x14ac:dyDescent="0.25">
      <c r="A1170" s="4" t="str">
        <f ca="1">IFERROR(__xludf.DUMMYFUNCTION("""COMPUTED_VALUE"""),"105159")</f>
        <v>105159</v>
      </c>
      <c r="B1170" s="5" t="str">
        <f ca="1">IFERROR(__xludf.DUMMYFUNCTION("""COMPUTED_VALUE"""),"الجيزة")</f>
        <v>الجيزة</v>
      </c>
      <c r="C1170" s="5" t="str">
        <f ca="1">IFERROR(__xludf.DUMMYFUNCTION("""COMPUTED_VALUE"""),"المهندسين")</f>
        <v>المهندسين</v>
      </c>
      <c r="D1170" s="5" t="str">
        <f ca="1">IFERROR(__xludf.DUMMYFUNCTION("""COMPUTED_VALUE"""),"هيئة الأطباء")</f>
        <v>هيئة الأطباء</v>
      </c>
      <c r="E1170" s="5" t="str">
        <f ca="1">IFERROR(__xludf.DUMMYFUNCTION("""COMPUTED_VALUE"""),"جراحة")</f>
        <v>جراحة</v>
      </c>
      <c r="F1170" s="5" t="str">
        <f ca="1">IFERROR(__xludf.DUMMYFUNCTION("""COMPUTED_VALUE"""),"جراحة أوعية دموية")</f>
        <v>جراحة أوعية دموية</v>
      </c>
      <c r="G1170" s="5" t="str">
        <f ca="1">IFERROR(__xludf.DUMMYFUNCTION("""COMPUTED_VALUE"""),"د . طارق محمد خيري محمود حلمي عبد الدايم")</f>
        <v>د . طارق محمد خيري محمود حلمي عبد الدايم</v>
      </c>
      <c r="H1170" s="5" t="str">
        <f ca="1">IFERROR(__xludf.DUMMYFUNCTION("""COMPUTED_VALUE"""),"55 شارع عبد المنعم رياض -برج الاطباء -الدور 12-المهندسين - الجيزة")</f>
        <v>55 شارع عبد المنعم رياض -برج الاطباء -الدور 12-المهندسين - الجيزة</v>
      </c>
      <c r="I1170" s="6" t="str">
        <f ca="1">IFERROR(__xludf.DUMMYFUNCTION("""COMPUTED_VALUE"""),"201116655111")</f>
        <v>201116655111</v>
      </c>
      <c r="J1170" s="6"/>
      <c r="K1170" s="6" t="str">
        <f ca="1">IFERROR(__xludf.DUMMYFUNCTION("""COMPUTED_VALUE"""),"الكشف : 80 جنية")</f>
        <v>الكشف : 80 جنية</v>
      </c>
    </row>
    <row r="1171" spans="1:11" x14ac:dyDescent="0.25">
      <c r="A1171" s="4" t="str">
        <f ca="1">IFERROR(__xludf.DUMMYFUNCTION("""COMPUTED_VALUE"""),"105159-B")</f>
        <v>105159-B</v>
      </c>
      <c r="B1171" s="5" t="str">
        <f ca="1">IFERROR(__xludf.DUMMYFUNCTION("""COMPUTED_VALUE"""),"القاهرة")</f>
        <v>القاهرة</v>
      </c>
      <c r="C1171" s="5" t="str">
        <f ca="1">IFERROR(__xludf.DUMMYFUNCTION("""COMPUTED_VALUE"""),"المقطم")</f>
        <v>المقطم</v>
      </c>
      <c r="D1171" s="5" t="str">
        <f ca="1">IFERROR(__xludf.DUMMYFUNCTION("""COMPUTED_VALUE"""),"هيئة الأطباء")</f>
        <v>هيئة الأطباء</v>
      </c>
      <c r="E1171" s="5" t="str">
        <f ca="1">IFERROR(__xludf.DUMMYFUNCTION("""COMPUTED_VALUE"""),"جراحة")</f>
        <v>جراحة</v>
      </c>
      <c r="F1171" s="5" t="str">
        <f ca="1">IFERROR(__xludf.DUMMYFUNCTION("""COMPUTED_VALUE"""),"جراحة أوعية دموية")</f>
        <v>جراحة أوعية دموية</v>
      </c>
      <c r="G1171" s="5" t="str">
        <f ca="1">IFERROR(__xludf.DUMMYFUNCTION("""COMPUTED_VALUE"""),"د . طارق محمد خيري محمود حلمي عبد الدايم")</f>
        <v>د . طارق محمد خيري محمود حلمي عبد الدايم</v>
      </c>
      <c r="H1171" s="5" t="str">
        <f ca="1">IFERROR(__xludf.DUMMYFUNCTION("""COMPUTED_VALUE"""),"2 شارع  16 - خلف مترو ماركت - المقطم")</f>
        <v>2 شارع  16 - خلف مترو ماركت - المقطم</v>
      </c>
      <c r="I1171" s="6" t="str">
        <f ca="1">IFERROR(__xludf.DUMMYFUNCTION("""COMPUTED_VALUE"""),"201117783388")</f>
        <v>201117783388</v>
      </c>
      <c r="J1171" s="6"/>
      <c r="K1171" s="6" t="str">
        <f ca="1">IFERROR(__xludf.DUMMYFUNCTION("""COMPUTED_VALUE"""),"الكشف : 80 جنية")</f>
        <v>الكشف : 80 جنية</v>
      </c>
    </row>
    <row r="1172" spans="1:11" x14ac:dyDescent="0.25">
      <c r="A1172" s="4" t="str">
        <f ca="1">IFERROR(__xludf.DUMMYFUNCTION("""COMPUTED_VALUE"""),"105162")</f>
        <v>105162</v>
      </c>
      <c r="B1172" s="5" t="str">
        <f ca="1">IFERROR(__xludf.DUMMYFUNCTION("""COMPUTED_VALUE"""),"البحر الاحمر")</f>
        <v>البحر الاحمر</v>
      </c>
      <c r="C1172" s="5" t="str">
        <f ca="1">IFERROR(__xludf.DUMMYFUNCTION("""COMPUTED_VALUE"""),"القصير")</f>
        <v>القصير</v>
      </c>
      <c r="D1172" s="5" t="str">
        <f ca="1">IFERROR(__xludf.DUMMYFUNCTION("""COMPUTED_VALUE"""),"معمل")</f>
        <v>معمل</v>
      </c>
      <c r="E1172" s="5" t="str">
        <f ca="1">IFERROR(__xludf.DUMMYFUNCTION("""COMPUTED_VALUE"""),"معمل")</f>
        <v>معمل</v>
      </c>
      <c r="F1172" s="5" t="str">
        <f ca="1">IFERROR(__xludf.DUMMYFUNCTION("""COMPUTED_VALUE"""),"معمل التحاليل الطبية")</f>
        <v>معمل التحاليل الطبية</v>
      </c>
      <c r="G1172" s="5" t="str">
        <f ca="1">IFERROR(__xludf.DUMMYFUNCTION("""COMPUTED_VALUE"""),"د. مرتضى يوسف ثابت إسماعيل ( معمل الثقة - القصير )")</f>
        <v>د. مرتضى يوسف ثابت إسماعيل ( معمل الثقة - القصير )</v>
      </c>
      <c r="H1172" s="5" t="str">
        <f ca="1">IFERROR(__xludf.DUMMYFUNCTION("""COMPUTED_VALUE"""),"17 شارع الجمهورية - القصير - البحر الأحمر")</f>
        <v>17 شارع الجمهورية - القصير - البحر الأحمر</v>
      </c>
      <c r="I1172" s="6" t="str">
        <f ca="1">IFERROR(__xludf.DUMMYFUNCTION("""COMPUTED_VALUE"""),"201099929054")</f>
        <v>201099929054</v>
      </c>
      <c r="J1172" s="6"/>
      <c r="K1172" s="6" t="str">
        <f ca="1">IFERROR(__xludf.DUMMYFUNCTION("""COMPUTED_VALUE"""),"المؤسسه العلاجيه 2016 مع خصم 10%")</f>
        <v>المؤسسه العلاجيه 2016 مع خصم 10%</v>
      </c>
    </row>
    <row r="1173" spans="1:11" x14ac:dyDescent="0.25">
      <c r="A1173" s="4" t="str">
        <f ca="1">IFERROR(__xludf.DUMMYFUNCTION("""COMPUTED_VALUE"""),"105162-B")</f>
        <v>105162-B</v>
      </c>
      <c r="B1173" s="5" t="str">
        <f ca="1">IFERROR(__xludf.DUMMYFUNCTION("""COMPUTED_VALUE"""),"البحر الاحمر")</f>
        <v>البحر الاحمر</v>
      </c>
      <c r="C1173" s="5" t="str">
        <f ca="1">IFERROR(__xludf.DUMMYFUNCTION("""COMPUTED_VALUE"""),"رأس غارب")</f>
        <v>رأس غارب</v>
      </c>
      <c r="D1173" s="5" t="str">
        <f ca="1">IFERROR(__xludf.DUMMYFUNCTION("""COMPUTED_VALUE"""),"معمل")</f>
        <v>معمل</v>
      </c>
      <c r="E1173" s="5" t="str">
        <f ca="1">IFERROR(__xludf.DUMMYFUNCTION("""COMPUTED_VALUE"""),"معمل")</f>
        <v>معمل</v>
      </c>
      <c r="F1173" s="5" t="str">
        <f ca="1">IFERROR(__xludf.DUMMYFUNCTION("""COMPUTED_VALUE"""),"معمل التحاليل الطبية")</f>
        <v>معمل التحاليل الطبية</v>
      </c>
      <c r="G1173" s="5" t="str">
        <f ca="1">IFERROR(__xludf.DUMMYFUNCTION("""COMPUTED_VALUE"""),"د. مرتضى يوسف ثابت إسماعيل ( معمل الثقة - القصير )")</f>
        <v>د. مرتضى يوسف ثابت إسماعيل ( معمل الثقة - القصير )</v>
      </c>
      <c r="H1173" s="5" t="str">
        <f ca="1">IFERROR(__xludf.DUMMYFUNCTION("""COMPUTED_VALUE"""),"شارع الحرية - بجوار حلواني السنوري - راس غارب")</f>
        <v>شارع الحرية - بجوار حلواني السنوري - راس غارب</v>
      </c>
      <c r="I1173" s="6" t="str">
        <f ca="1">IFERROR(__xludf.DUMMYFUNCTION("""COMPUTED_VALUE"""),"201065481920")</f>
        <v>201065481920</v>
      </c>
      <c r="J1173" s="6"/>
      <c r="K1173" s="6" t="str">
        <f ca="1">IFERROR(__xludf.DUMMYFUNCTION("""COMPUTED_VALUE"""),"المؤسسه العلاجيه 2016 مع خصم 10%")</f>
        <v>المؤسسه العلاجيه 2016 مع خصم 10%</v>
      </c>
    </row>
    <row r="1174" spans="1:11" x14ac:dyDescent="0.25">
      <c r="A1174" s="4" t="str">
        <f ca="1">IFERROR(__xludf.DUMMYFUNCTION("""COMPUTED_VALUE"""),"105164")</f>
        <v>105164</v>
      </c>
      <c r="B1174" s="5" t="str">
        <f ca="1">IFERROR(__xludf.DUMMYFUNCTION("""COMPUTED_VALUE"""),"القاهرة")</f>
        <v>القاهرة</v>
      </c>
      <c r="C1174" s="5" t="str">
        <f ca="1">IFERROR(__xludf.DUMMYFUNCTION("""COMPUTED_VALUE"""),"المقطم")</f>
        <v>المقطم</v>
      </c>
      <c r="D1174" s="5" t="str">
        <f ca="1">IFERROR(__xludf.DUMMYFUNCTION("""COMPUTED_VALUE"""),"مستشفى")</f>
        <v>مستشفى</v>
      </c>
      <c r="E1174" s="5" t="str">
        <f ca="1">IFERROR(__xludf.DUMMYFUNCTION("""COMPUTED_VALUE"""),"مستشفي طبي متخصص")</f>
        <v>مستشفي طبي متخصص</v>
      </c>
      <c r="F1174" s="5" t="str">
        <f ca="1">IFERROR(__xludf.DUMMYFUNCTION("""COMPUTED_VALUE"""),"جراحة مخ وأعصاب")</f>
        <v>جراحة مخ وأعصاب</v>
      </c>
      <c r="G1174" s="5" t="str">
        <f ca="1">IFERROR(__xludf.DUMMYFUNCTION("""COMPUTED_VALUE"""),"المركز الطبي لجراحة المخ والاعصاب والعمود الفقري")</f>
        <v>المركز الطبي لجراحة المخ والاعصاب والعمود الفقري</v>
      </c>
      <c r="H1174" s="5" t="str">
        <f ca="1">IFERROR(__xludf.DUMMYFUNCTION("""COMPUTED_VALUE"""),"شارع 9 - ميدان النافورة - اعلى كنتاكي - المقطم")</f>
        <v>شارع 9 - ميدان النافورة - اعلى كنتاكي - المقطم</v>
      </c>
      <c r="I1174" s="6" t="str">
        <f ca="1">IFERROR(__xludf.DUMMYFUNCTION("""COMPUTED_VALUE"""),"2022040496")</f>
        <v>2022040496</v>
      </c>
      <c r="J1174" s="6"/>
      <c r="K1174" s="6" t="str">
        <f ca="1">IFERROR(__xludf.DUMMYFUNCTION("""COMPUTED_VALUE"""),"20% على جميع الخدمات  ماعدا اتعاب الأطباء وبنك الدم الادوية والمستلزمات الطبية والاجهزه الخارجية")</f>
        <v>20% على جميع الخدمات  ماعدا اتعاب الأطباء وبنك الدم الادوية والمستلزمات الطبية والاجهزه الخارجية</v>
      </c>
    </row>
    <row r="1175" spans="1:11" x14ac:dyDescent="0.25">
      <c r="A1175" s="4" t="str">
        <f ca="1">IFERROR(__xludf.DUMMYFUNCTION("""COMPUTED_VALUE"""),"1683-B")</f>
        <v>1683-B</v>
      </c>
      <c r="B1175" s="5" t="str">
        <f ca="1">IFERROR(__xludf.DUMMYFUNCTION("""COMPUTED_VALUE"""),"الجيزة")</f>
        <v>الجيزة</v>
      </c>
      <c r="C1175" s="5" t="str">
        <f ca="1">IFERROR(__xludf.DUMMYFUNCTION("""COMPUTED_VALUE"""),"السادس من اكتوبر")</f>
        <v>السادس من اكتوبر</v>
      </c>
      <c r="D1175" s="5" t="str">
        <f ca="1">IFERROR(__xludf.DUMMYFUNCTION("""COMPUTED_VALUE"""),"صيدلية")</f>
        <v>صيدلية</v>
      </c>
      <c r="E1175" s="5" t="str">
        <f ca="1">IFERROR(__xludf.DUMMYFUNCTION("""COMPUTED_VALUE"""),"صيدلية")</f>
        <v>صيدلية</v>
      </c>
      <c r="F1175" s="5" t="str">
        <f ca="1">IFERROR(__xludf.DUMMYFUNCTION("""COMPUTED_VALUE"""),"صيدلية (أدوية ومستلزمات طبية)")</f>
        <v>صيدلية (أدوية ومستلزمات طبية)</v>
      </c>
      <c r="G117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75" s="5" t="str">
        <f ca="1">IFERROR(__xludf.DUMMYFUNCTION("""COMPUTED_VALUE"""),"طريق القاهرة اسكندرية-اسفل كوبرى الدوران- المواجة للقرية الذكية  اتجاه الاسكندرية")</f>
        <v>طريق القاهرة اسكندرية-اسفل كوبرى الدوران- المواجة للقرية الذكية  اتجاه الاسكندرية</v>
      </c>
      <c r="I1175" s="6" t="str">
        <f ca="1">IFERROR(__xludf.DUMMYFUNCTION("""COMPUTED_VALUE"""),"1111506878
")</f>
        <v xml:space="preserve">1111506878
</v>
      </c>
      <c r="J1175" s="6" t="str">
        <f ca="1">IFERROR(__xludf.DUMMYFUNCTION("""COMPUTED_VALUE"""),"19600")</f>
        <v>19600</v>
      </c>
      <c r="K1175" s="6" t="str">
        <f ca="1">IFERROR(__xludf.DUMMYFUNCTION("""COMPUTED_VALUE"""),"7.5 % على المحلى ,5% على المستلزمات الطبية و التجميل")</f>
        <v>7.5 % على المحلى ,5% على المستلزمات الطبية و التجميل</v>
      </c>
    </row>
    <row r="1176" spans="1:11" x14ac:dyDescent="0.25">
      <c r="A1176" s="4" t="str">
        <f ca="1">IFERROR(__xludf.DUMMYFUNCTION("""COMPUTED_VALUE"""),"1683-B")</f>
        <v>1683-B</v>
      </c>
      <c r="B1176" s="5" t="str">
        <f ca="1">IFERROR(__xludf.DUMMYFUNCTION("""COMPUTED_VALUE"""),"الجيزة")</f>
        <v>الجيزة</v>
      </c>
      <c r="C1176" s="5" t="str">
        <f ca="1">IFERROR(__xludf.DUMMYFUNCTION("""COMPUTED_VALUE"""),"الهرم")</f>
        <v>الهرم</v>
      </c>
      <c r="D1176" s="5" t="str">
        <f ca="1">IFERROR(__xludf.DUMMYFUNCTION("""COMPUTED_VALUE"""),"صيدلية")</f>
        <v>صيدلية</v>
      </c>
      <c r="E1176" s="5" t="str">
        <f ca="1">IFERROR(__xludf.DUMMYFUNCTION("""COMPUTED_VALUE"""),"صيدلية")</f>
        <v>صيدلية</v>
      </c>
      <c r="F1176" s="5" t="str">
        <f ca="1">IFERROR(__xludf.DUMMYFUNCTION("""COMPUTED_VALUE"""),"صيدلية (أدوية ومستلزمات طبية)")</f>
        <v>صيدلية (أدوية ومستلزمات طبية)</v>
      </c>
      <c r="G117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76" s="5" t="str">
        <f ca="1">IFERROR(__xludf.DUMMYFUNCTION("""COMPUTED_VALUE"""),"365شارع الهرم-ناصية عبدالخالق عزوز-بجوار السلاب - الهرم")</f>
        <v>365شارع الهرم-ناصية عبدالخالق عزوز-بجوار السلاب - الهرم</v>
      </c>
      <c r="I1176" s="6" t="str">
        <f ca="1">IFERROR(__xludf.DUMMYFUNCTION("""COMPUTED_VALUE"""),"1144077733
")</f>
        <v xml:space="preserve">1144077733
</v>
      </c>
      <c r="J1176" s="6" t="str">
        <f ca="1">IFERROR(__xludf.DUMMYFUNCTION("""COMPUTED_VALUE"""),"19600")</f>
        <v>19600</v>
      </c>
      <c r="K1176" s="6" t="str">
        <f ca="1">IFERROR(__xludf.DUMMYFUNCTION("""COMPUTED_VALUE"""),"7.5 % على المحلى ,5% على المستلزمات الطبية و التجميل")</f>
        <v>7.5 % على المحلى ,5% على المستلزمات الطبية و التجميل</v>
      </c>
    </row>
    <row r="1177" spans="1:11" x14ac:dyDescent="0.25">
      <c r="A1177" s="4" t="str">
        <f ca="1">IFERROR(__xludf.DUMMYFUNCTION("""COMPUTED_VALUE"""),"1683-B")</f>
        <v>1683-B</v>
      </c>
      <c r="B1177" s="5" t="str">
        <f ca="1">IFERROR(__xludf.DUMMYFUNCTION("""COMPUTED_VALUE"""),"الجيزة")</f>
        <v>الجيزة</v>
      </c>
      <c r="C1177" s="5" t="str">
        <f ca="1">IFERROR(__xludf.DUMMYFUNCTION("""COMPUTED_VALUE"""),"العجوزة")</f>
        <v>العجوزة</v>
      </c>
      <c r="D1177" s="5" t="str">
        <f ca="1">IFERROR(__xludf.DUMMYFUNCTION("""COMPUTED_VALUE"""),"صيدلية")</f>
        <v>صيدلية</v>
      </c>
      <c r="E1177" s="5" t="str">
        <f ca="1">IFERROR(__xludf.DUMMYFUNCTION("""COMPUTED_VALUE"""),"صيدلية")</f>
        <v>صيدلية</v>
      </c>
      <c r="F1177" s="5" t="str">
        <f ca="1">IFERROR(__xludf.DUMMYFUNCTION("""COMPUTED_VALUE"""),"صيدلية (أدوية ومستلزمات طبية)")</f>
        <v>صيدلية (أدوية ومستلزمات طبية)</v>
      </c>
      <c r="G117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77" s="5" t="str">
        <f ca="1">IFERROR(__xludf.DUMMYFUNCTION("""COMPUTED_VALUE"""),"ش عبد الرجمن الكواكبي-العجوزة-نصر سيد حسان خلف مسجد فريد شوقي")</f>
        <v>ش عبد الرجمن الكواكبي-العجوزة-نصر سيد حسان خلف مسجد فريد شوقي</v>
      </c>
      <c r="I1177" s="6" t="str">
        <f ca="1">IFERROR(__xludf.DUMMYFUNCTION("""COMPUTED_VALUE"""),"1151335669
")</f>
        <v xml:space="preserve">1151335669
</v>
      </c>
      <c r="J1177" s="6" t="str">
        <f ca="1">IFERROR(__xludf.DUMMYFUNCTION("""COMPUTED_VALUE"""),"19600")</f>
        <v>19600</v>
      </c>
      <c r="K1177" s="6" t="str">
        <f ca="1">IFERROR(__xludf.DUMMYFUNCTION("""COMPUTED_VALUE"""),"7.5 % على المحلى ,5% على المستلزمات الطبية و التجميل")</f>
        <v>7.5 % على المحلى ,5% على المستلزمات الطبية و التجميل</v>
      </c>
    </row>
    <row r="1178" spans="1:11" x14ac:dyDescent="0.25">
      <c r="A1178" s="4" t="str">
        <f ca="1">IFERROR(__xludf.DUMMYFUNCTION("""COMPUTED_VALUE"""),"1683-B")</f>
        <v>1683-B</v>
      </c>
      <c r="B1178" s="5" t="str">
        <f ca="1">IFERROR(__xludf.DUMMYFUNCTION("""COMPUTED_VALUE"""),"الاسكندرية")</f>
        <v>الاسكندرية</v>
      </c>
      <c r="C1178" s="5" t="str">
        <f ca="1">IFERROR(__xludf.DUMMYFUNCTION("""COMPUTED_VALUE"""),"المنتزة")</f>
        <v>المنتزة</v>
      </c>
      <c r="D1178" s="5" t="str">
        <f ca="1">IFERROR(__xludf.DUMMYFUNCTION("""COMPUTED_VALUE"""),"صيدلية")</f>
        <v>صيدلية</v>
      </c>
      <c r="E1178" s="5" t="str">
        <f ca="1">IFERROR(__xludf.DUMMYFUNCTION("""COMPUTED_VALUE"""),"صيدلية")</f>
        <v>صيدلية</v>
      </c>
      <c r="F1178" s="5" t="str">
        <f ca="1">IFERROR(__xludf.DUMMYFUNCTION("""COMPUTED_VALUE"""),"صيدلية (أدوية ومستلزمات طبية)")</f>
        <v>صيدلية (أدوية ومستلزمات طبية)</v>
      </c>
      <c r="G117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78" s="5" t="str">
        <f ca="1">IFERROR(__xludf.DUMMYFUNCTION("""COMPUTED_VALUE"""),"محل رقم 39,40,41 الدور الأرضى - رويال مول - المنتزه")</f>
        <v>محل رقم 39,40,41 الدور الأرضى - رويال مول - المنتزه</v>
      </c>
      <c r="I1178" s="6" t="str">
        <f ca="1">IFERROR(__xludf.DUMMYFUNCTION("""COMPUTED_VALUE"""),"1117774254
")</f>
        <v xml:space="preserve">1117774254
</v>
      </c>
      <c r="J1178" s="6" t="str">
        <f ca="1">IFERROR(__xludf.DUMMYFUNCTION("""COMPUTED_VALUE"""),"19600")</f>
        <v>19600</v>
      </c>
      <c r="K1178" s="6" t="str">
        <f ca="1">IFERROR(__xludf.DUMMYFUNCTION("""COMPUTED_VALUE"""),"7.5 % على المحلى ,5% على المستلزمات الطبية و التجميل")</f>
        <v>7.5 % على المحلى ,5% على المستلزمات الطبية و التجميل</v>
      </c>
    </row>
    <row r="1179" spans="1:11" x14ac:dyDescent="0.25">
      <c r="A1179" s="4" t="str">
        <f ca="1">IFERROR(__xludf.DUMMYFUNCTION("""COMPUTED_VALUE"""),"1683-B")</f>
        <v>1683-B</v>
      </c>
      <c r="B1179" s="5" t="str">
        <f ca="1">IFERROR(__xludf.DUMMYFUNCTION("""COMPUTED_VALUE"""),"مرسى مطروح")</f>
        <v>مرسى مطروح</v>
      </c>
      <c r="C1179" s="5" t="str">
        <f ca="1">IFERROR(__xludf.DUMMYFUNCTION("""COMPUTED_VALUE"""),"الساحل الشمالي")</f>
        <v>الساحل الشمالي</v>
      </c>
      <c r="D1179" s="5" t="str">
        <f ca="1">IFERROR(__xludf.DUMMYFUNCTION("""COMPUTED_VALUE"""),"صيدلية")</f>
        <v>صيدلية</v>
      </c>
      <c r="E1179" s="5" t="str">
        <f ca="1">IFERROR(__xludf.DUMMYFUNCTION("""COMPUTED_VALUE"""),"صيدلية")</f>
        <v>صيدلية</v>
      </c>
      <c r="F1179" s="5" t="str">
        <f ca="1">IFERROR(__xludf.DUMMYFUNCTION("""COMPUTED_VALUE"""),"صيدلية (أدوية ومستلزمات طبية)")</f>
        <v>صيدلية (أدوية ومستلزمات طبية)</v>
      </c>
      <c r="G117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79" s="5" t="str">
        <f ca="1">IFERROR(__xludf.DUMMYFUNCTION("""COMPUTED_VALUE"""),"محل رقم 36 - الكورت مول - بجوار قرية هاسيندا - سيدى عبد الرحمن")</f>
        <v>محل رقم 36 - الكورت مول - بجوار قرية هاسيندا - سيدى عبد الرحمن</v>
      </c>
      <c r="I1179" s="6" t="str">
        <f ca="1">IFERROR(__xludf.DUMMYFUNCTION("""COMPUTED_VALUE"""),"1111932405
")</f>
        <v xml:space="preserve">1111932405
</v>
      </c>
      <c r="J1179" s="6" t="str">
        <f ca="1">IFERROR(__xludf.DUMMYFUNCTION("""COMPUTED_VALUE"""),"19600")</f>
        <v>19600</v>
      </c>
      <c r="K1179" s="6" t="str">
        <f ca="1">IFERROR(__xludf.DUMMYFUNCTION("""COMPUTED_VALUE"""),"7.5 % على المحلى ,5% على المستلزمات الطبية و التجميل")</f>
        <v>7.5 % على المحلى ,5% على المستلزمات الطبية و التجميل</v>
      </c>
    </row>
    <row r="1180" spans="1:11" x14ac:dyDescent="0.25">
      <c r="A1180" s="4" t="str">
        <f ca="1">IFERROR(__xludf.DUMMYFUNCTION("""COMPUTED_VALUE"""),"1683-B")</f>
        <v>1683-B</v>
      </c>
      <c r="B1180" s="5" t="str">
        <f ca="1">IFERROR(__xludf.DUMMYFUNCTION("""COMPUTED_VALUE"""),"الاسكندرية")</f>
        <v>الاسكندرية</v>
      </c>
      <c r="C1180" s="5" t="str">
        <f ca="1">IFERROR(__xludf.DUMMYFUNCTION("""COMPUTED_VALUE"""),"سيدي بشر")</f>
        <v>سيدي بشر</v>
      </c>
      <c r="D1180" s="5" t="str">
        <f ca="1">IFERROR(__xludf.DUMMYFUNCTION("""COMPUTED_VALUE"""),"صيدلية")</f>
        <v>صيدلية</v>
      </c>
      <c r="E1180" s="5" t="str">
        <f ca="1">IFERROR(__xludf.DUMMYFUNCTION("""COMPUTED_VALUE"""),"صيدلية")</f>
        <v>صيدلية</v>
      </c>
      <c r="F1180" s="5" t="str">
        <f ca="1">IFERROR(__xludf.DUMMYFUNCTION("""COMPUTED_VALUE"""),"صيدلية (أدوية ومستلزمات طبية)")</f>
        <v>صيدلية (أدوية ومستلزمات طبية)</v>
      </c>
      <c r="G118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80" s="5" t="str">
        <f ca="1">IFERROR(__xludf.DUMMYFUNCTION("""COMPUTED_VALUE"""),"544تنظيم طريق الجيش (الكورنيش بسيدي بشر-قسم المنزه)")</f>
        <v>544تنظيم طريق الجيش (الكورنيش بسيدي بشر-قسم المنزه)</v>
      </c>
      <c r="I1180" s="6" t="str">
        <f ca="1">IFERROR(__xludf.DUMMYFUNCTION("""COMPUTED_VALUE"""),"1128831010
")</f>
        <v xml:space="preserve">1128831010
</v>
      </c>
      <c r="J1180" s="6" t="str">
        <f ca="1">IFERROR(__xludf.DUMMYFUNCTION("""COMPUTED_VALUE"""),"19600")</f>
        <v>19600</v>
      </c>
      <c r="K1180" s="6" t="str">
        <f ca="1">IFERROR(__xludf.DUMMYFUNCTION("""COMPUTED_VALUE"""),"7.5 % على المحلى ,5% على المستلزمات الطبية و التجميل")</f>
        <v>7.5 % على المحلى ,5% على المستلزمات الطبية و التجميل</v>
      </c>
    </row>
    <row r="1181" spans="1:11" x14ac:dyDescent="0.25">
      <c r="A1181" s="4" t="str">
        <f ca="1">IFERROR(__xludf.DUMMYFUNCTION("""COMPUTED_VALUE"""),"1683-B")</f>
        <v>1683-B</v>
      </c>
      <c r="B1181" s="5" t="str">
        <f ca="1">IFERROR(__xludf.DUMMYFUNCTION("""COMPUTED_VALUE"""),"الإسماعيلية")</f>
        <v>الإسماعيلية</v>
      </c>
      <c r="C1181" s="5" t="str">
        <f ca="1">IFERROR(__xludf.DUMMYFUNCTION("""COMPUTED_VALUE"""),"الإسماعيلية")</f>
        <v>الإسماعيلية</v>
      </c>
      <c r="D1181" s="5" t="str">
        <f ca="1">IFERROR(__xludf.DUMMYFUNCTION("""COMPUTED_VALUE"""),"صيدلية")</f>
        <v>صيدلية</v>
      </c>
      <c r="E1181" s="5" t="str">
        <f ca="1">IFERROR(__xludf.DUMMYFUNCTION("""COMPUTED_VALUE"""),"صيدلية")</f>
        <v>صيدلية</v>
      </c>
      <c r="F1181" s="5" t="str">
        <f ca="1">IFERROR(__xludf.DUMMYFUNCTION("""COMPUTED_VALUE"""),"صيدلية (أدوية ومستلزمات طبية)")</f>
        <v>صيدلية (أدوية ومستلزمات طبية)</v>
      </c>
      <c r="G118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81" s="5" t="str">
        <f ca="1">IFERROR(__xludf.DUMMYFUNCTION("""COMPUTED_VALUE"""),"3برج السنترال -امتداد الثلاثينية -شارع جمهورية عرايشية مصر الاسماعيلية
")</f>
        <v xml:space="preserve">3برج السنترال -امتداد الثلاثينية -شارع جمهورية عرايشية مصر الاسماعيلية
</v>
      </c>
      <c r="I1181" s="6" t="str">
        <f ca="1">IFERROR(__xludf.DUMMYFUNCTION("""COMPUTED_VALUE"""),"20643349047")</f>
        <v>20643349047</v>
      </c>
      <c r="J1181" s="6" t="str">
        <f ca="1">IFERROR(__xludf.DUMMYFUNCTION("""COMPUTED_VALUE"""),"19600")</f>
        <v>19600</v>
      </c>
      <c r="K1181" s="6" t="str">
        <f ca="1">IFERROR(__xludf.DUMMYFUNCTION("""COMPUTED_VALUE"""),"7.5 % على المحلى ,5% على المستلزمات الطبية و التجميل")</f>
        <v>7.5 % على المحلى ,5% على المستلزمات الطبية و التجميل</v>
      </c>
    </row>
    <row r="1182" spans="1:11" x14ac:dyDescent="0.25">
      <c r="A1182" s="4" t="str">
        <f ca="1">IFERROR(__xludf.DUMMYFUNCTION("""COMPUTED_VALUE"""),"1683-B")</f>
        <v>1683-B</v>
      </c>
      <c r="B1182" s="5" t="str">
        <f ca="1">IFERROR(__xludf.DUMMYFUNCTION("""COMPUTED_VALUE"""),"أسوان")</f>
        <v>أسوان</v>
      </c>
      <c r="C1182" s="5" t="str">
        <f ca="1">IFERROR(__xludf.DUMMYFUNCTION("""COMPUTED_VALUE"""),"أسوان")</f>
        <v>أسوان</v>
      </c>
      <c r="D1182" s="5" t="str">
        <f ca="1">IFERROR(__xludf.DUMMYFUNCTION("""COMPUTED_VALUE"""),"صيدلية")</f>
        <v>صيدلية</v>
      </c>
      <c r="E1182" s="5" t="str">
        <f ca="1">IFERROR(__xludf.DUMMYFUNCTION("""COMPUTED_VALUE"""),"صيدلية")</f>
        <v>صيدلية</v>
      </c>
      <c r="F1182" s="5" t="str">
        <f ca="1">IFERROR(__xludf.DUMMYFUNCTION("""COMPUTED_VALUE"""),"صيدلية (أدوية ومستلزمات طبية)")</f>
        <v>صيدلية (أدوية ومستلزمات طبية)</v>
      </c>
      <c r="G118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82" s="5" t="str">
        <f ca="1">IFERROR(__xludf.DUMMYFUNCTION("""COMPUTED_VALUE"""),"كورنيش النيل -مبنى الغرفة التجارية-بجوار اتصالات - اسوان")</f>
        <v>كورنيش النيل -مبنى الغرفة التجارية-بجوار اتصالات - اسوان</v>
      </c>
      <c r="I1182" s="6" t="str">
        <f ca="1">IFERROR(__xludf.DUMMYFUNCTION("""COMPUTED_VALUE"""),"1125333710
")</f>
        <v xml:space="preserve">1125333710
</v>
      </c>
      <c r="J1182" s="6" t="str">
        <f ca="1">IFERROR(__xludf.DUMMYFUNCTION("""COMPUTED_VALUE"""),"19600")</f>
        <v>19600</v>
      </c>
      <c r="K1182" s="6" t="str">
        <f ca="1">IFERROR(__xludf.DUMMYFUNCTION("""COMPUTED_VALUE"""),"7.5 % على المحلى ,5% على المستلزمات الطبية و التجميل")</f>
        <v>7.5 % على المحلى ,5% على المستلزمات الطبية و التجميل</v>
      </c>
    </row>
    <row r="1183" spans="1:11" x14ac:dyDescent="0.25">
      <c r="A1183" s="4" t="str">
        <f ca="1">IFERROR(__xludf.DUMMYFUNCTION("""COMPUTED_VALUE"""),"1683-B")</f>
        <v>1683-B</v>
      </c>
      <c r="B1183" s="5" t="str">
        <f ca="1">IFERROR(__xludf.DUMMYFUNCTION("""COMPUTED_VALUE"""),"الأقصر")</f>
        <v>الأقصر</v>
      </c>
      <c r="C1183" s="5" t="str">
        <f ca="1">IFERROR(__xludf.DUMMYFUNCTION("""COMPUTED_VALUE"""),"الأقصر")</f>
        <v>الأقصر</v>
      </c>
      <c r="D1183" s="5" t="str">
        <f ca="1">IFERROR(__xludf.DUMMYFUNCTION("""COMPUTED_VALUE"""),"صيدلية")</f>
        <v>صيدلية</v>
      </c>
      <c r="E1183" s="5" t="str">
        <f ca="1">IFERROR(__xludf.DUMMYFUNCTION("""COMPUTED_VALUE"""),"صيدلية")</f>
        <v>صيدلية</v>
      </c>
      <c r="F1183" s="5" t="str">
        <f ca="1">IFERROR(__xludf.DUMMYFUNCTION("""COMPUTED_VALUE"""),"صيدلية (أدوية ومستلزمات طبية)")</f>
        <v>صيدلية (أدوية ومستلزمات طبية)</v>
      </c>
      <c r="G118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83" s="5" t="str">
        <f ca="1">IFERROR(__xludf.DUMMYFUNCTION("""COMPUTED_VALUE"""),"شارع التلفزيون بجوار خير زمان - الأقصر")</f>
        <v>شارع التلفزيون بجوار خير زمان - الأقصر</v>
      </c>
      <c r="I1183" s="6" t="str">
        <f ca="1">IFERROR(__xludf.DUMMYFUNCTION("""COMPUTED_VALUE"""),"1154322777
")</f>
        <v xml:space="preserve">1154322777
</v>
      </c>
      <c r="J1183" s="6" t="str">
        <f ca="1">IFERROR(__xludf.DUMMYFUNCTION("""COMPUTED_VALUE"""),"19600")</f>
        <v>19600</v>
      </c>
      <c r="K1183" s="6" t="str">
        <f ca="1">IFERROR(__xludf.DUMMYFUNCTION("""COMPUTED_VALUE"""),"7.5 % على المحلى ,5% على المستلزمات الطبية و التجميل")</f>
        <v>7.5 % على المحلى ,5% على المستلزمات الطبية و التجميل</v>
      </c>
    </row>
    <row r="1184" spans="1:11" x14ac:dyDescent="0.25">
      <c r="A1184" s="4" t="str">
        <f ca="1">IFERROR(__xludf.DUMMYFUNCTION("""COMPUTED_VALUE"""),"1683-B")</f>
        <v>1683-B</v>
      </c>
      <c r="B1184" s="5" t="str">
        <f ca="1">IFERROR(__xludf.DUMMYFUNCTION("""COMPUTED_VALUE"""),"المنوفية")</f>
        <v>المنوفية</v>
      </c>
      <c r="C1184" s="5" t="str">
        <f ca="1">IFERROR(__xludf.DUMMYFUNCTION("""COMPUTED_VALUE"""),"شبين الكوم")</f>
        <v>شبين الكوم</v>
      </c>
      <c r="D1184" s="5" t="str">
        <f ca="1">IFERROR(__xludf.DUMMYFUNCTION("""COMPUTED_VALUE"""),"صيدلية")</f>
        <v>صيدلية</v>
      </c>
      <c r="E1184" s="5" t="str">
        <f ca="1">IFERROR(__xludf.DUMMYFUNCTION("""COMPUTED_VALUE"""),"صيدلية")</f>
        <v>صيدلية</v>
      </c>
      <c r="F1184" s="5" t="str">
        <f ca="1">IFERROR(__xludf.DUMMYFUNCTION("""COMPUTED_VALUE"""),"صيدلية (أدوية ومستلزمات طبية)")</f>
        <v>صيدلية (أدوية ومستلزمات طبية)</v>
      </c>
      <c r="G118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84" s="5" t="str">
        <f ca="1">IFERROR(__xludf.DUMMYFUNCTION("""COMPUTED_VALUE"""),"امتداد شارع طلعت حرب- البر الشرقى - شبين الكوم-منوفية")</f>
        <v>امتداد شارع طلعت حرب- البر الشرقى - شبين الكوم-منوفية</v>
      </c>
      <c r="I1184" s="6" t="str">
        <f ca="1">IFERROR(__xludf.DUMMYFUNCTION("""COMPUTED_VALUE"""),"1111874224
")</f>
        <v xml:space="preserve">1111874224
</v>
      </c>
      <c r="J1184" s="6" t="str">
        <f ca="1">IFERROR(__xludf.DUMMYFUNCTION("""COMPUTED_VALUE"""),"19600")</f>
        <v>19600</v>
      </c>
      <c r="K1184" s="6" t="str">
        <f ca="1">IFERROR(__xludf.DUMMYFUNCTION("""COMPUTED_VALUE"""),"7.5 % على المحلى ,5% على المستلزمات الطبية و التجميل")</f>
        <v>7.5 % على المحلى ,5% على المستلزمات الطبية و التجميل</v>
      </c>
    </row>
    <row r="1185" spans="1:11" x14ac:dyDescent="0.25">
      <c r="A1185" s="4" t="str">
        <f ca="1">IFERROR(__xludf.DUMMYFUNCTION("""COMPUTED_VALUE"""),"1683-B")</f>
        <v>1683-B</v>
      </c>
      <c r="B1185" s="5" t="str">
        <f ca="1">IFERROR(__xludf.DUMMYFUNCTION("""COMPUTED_VALUE"""),"الفيوم")</f>
        <v>الفيوم</v>
      </c>
      <c r="C1185" s="5" t="str">
        <f ca="1">IFERROR(__xludf.DUMMYFUNCTION("""COMPUTED_VALUE"""),"الفيوم")</f>
        <v>الفيوم</v>
      </c>
      <c r="D1185" s="5" t="str">
        <f ca="1">IFERROR(__xludf.DUMMYFUNCTION("""COMPUTED_VALUE"""),"صيدلية")</f>
        <v>صيدلية</v>
      </c>
      <c r="E1185" s="5" t="str">
        <f ca="1">IFERROR(__xludf.DUMMYFUNCTION("""COMPUTED_VALUE"""),"صيدلية")</f>
        <v>صيدلية</v>
      </c>
      <c r="F1185" s="5" t="str">
        <f ca="1">IFERROR(__xludf.DUMMYFUNCTION("""COMPUTED_VALUE"""),"صيدلية (أدوية ومستلزمات طبية)")</f>
        <v>صيدلية (أدوية ومستلزمات طبية)</v>
      </c>
      <c r="G118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85" s="5" t="str">
        <f ca="1">IFERROR(__xludf.DUMMYFUNCTION("""COMPUTED_VALUE"""),"شارع الشهيد احمد ابراهيم-حى الجامعه-امام كلية التربية- بندر الفيوم-الفيوم")</f>
        <v>شارع الشهيد احمد ابراهيم-حى الجامعه-امام كلية التربية- بندر الفيوم-الفيوم</v>
      </c>
      <c r="I1185" s="6" t="str">
        <f ca="1">IFERROR(__xludf.DUMMYFUNCTION("""COMPUTED_VALUE"""),"1111952716
")</f>
        <v xml:space="preserve">1111952716
</v>
      </c>
      <c r="J1185" s="6" t="str">
        <f ca="1">IFERROR(__xludf.DUMMYFUNCTION("""COMPUTED_VALUE"""),"19600")</f>
        <v>19600</v>
      </c>
      <c r="K1185" s="6" t="str">
        <f ca="1">IFERROR(__xludf.DUMMYFUNCTION("""COMPUTED_VALUE"""),"7.5 % على المحلى ,5% على المستلزمات الطبية و التجميل")</f>
        <v>7.5 % على المحلى ,5% على المستلزمات الطبية و التجميل</v>
      </c>
    </row>
    <row r="1186" spans="1:11" x14ac:dyDescent="0.25">
      <c r="A1186" s="4" t="str">
        <f ca="1">IFERROR(__xludf.DUMMYFUNCTION("""COMPUTED_VALUE"""),"1683-B")</f>
        <v>1683-B</v>
      </c>
      <c r="B1186" s="5" t="str">
        <f ca="1">IFERROR(__xludf.DUMMYFUNCTION("""COMPUTED_VALUE"""),"القاهرة")</f>
        <v>القاهرة</v>
      </c>
      <c r="C1186" s="5" t="str">
        <f ca="1">IFERROR(__xludf.DUMMYFUNCTION("""COMPUTED_VALUE"""),"مدينة نصر")</f>
        <v>مدينة نصر</v>
      </c>
      <c r="D1186" s="5" t="str">
        <f ca="1">IFERROR(__xludf.DUMMYFUNCTION("""COMPUTED_VALUE"""),"صيدلية")</f>
        <v>صيدلية</v>
      </c>
      <c r="E1186" s="5" t="str">
        <f ca="1">IFERROR(__xludf.DUMMYFUNCTION("""COMPUTED_VALUE"""),"صيدلية")</f>
        <v>صيدلية</v>
      </c>
      <c r="F1186" s="5" t="str">
        <f ca="1">IFERROR(__xludf.DUMMYFUNCTION("""COMPUTED_VALUE"""),"صيدلية (أدوية ومستلزمات طبية)")</f>
        <v>صيدلية (أدوية ومستلزمات طبية)</v>
      </c>
      <c r="G118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86" s="5" t="str">
        <f ca="1">IFERROR(__xludf.DUMMYFUNCTION("""COMPUTED_VALUE"""),"جنينة مول الدور الارضي  -   شارع البطراوي متفرع من عباس العقاد - مدينة نصر")</f>
        <v>جنينة مول الدور الارضي  -   شارع البطراوي متفرع من عباس العقاد - مدينة نصر</v>
      </c>
      <c r="I1186" s="6" t="str">
        <f ca="1">IFERROR(__xludf.DUMMYFUNCTION("""COMPUTED_VALUE"""),"1111506676
")</f>
        <v xml:space="preserve">1111506676
</v>
      </c>
      <c r="J1186" s="6" t="str">
        <f ca="1">IFERROR(__xludf.DUMMYFUNCTION("""COMPUTED_VALUE"""),"19600")</f>
        <v>19600</v>
      </c>
      <c r="K1186" s="6" t="str">
        <f ca="1">IFERROR(__xludf.DUMMYFUNCTION("""COMPUTED_VALUE"""),"7.5 % على المحلى ,5% على المستلزمات الطبية و التجميل")</f>
        <v>7.5 % على المحلى ,5% على المستلزمات الطبية و التجميل</v>
      </c>
    </row>
    <row r="1187" spans="1:11" x14ac:dyDescent="0.25">
      <c r="A1187" s="4" t="str">
        <f ca="1">IFERROR(__xludf.DUMMYFUNCTION("""COMPUTED_VALUE"""),"1683-B")</f>
        <v>1683-B</v>
      </c>
      <c r="B1187" s="5" t="str">
        <f ca="1">IFERROR(__xludf.DUMMYFUNCTION("""COMPUTED_VALUE"""),"القاهرة")</f>
        <v>القاهرة</v>
      </c>
      <c r="C1187" s="5" t="str">
        <f ca="1">IFERROR(__xludf.DUMMYFUNCTION("""COMPUTED_VALUE"""),"شبرا")</f>
        <v>شبرا</v>
      </c>
      <c r="D1187" s="5" t="str">
        <f ca="1">IFERROR(__xludf.DUMMYFUNCTION("""COMPUTED_VALUE"""),"صيدلية")</f>
        <v>صيدلية</v>
      </c>
      <c r="E1187" s="5" t="str">
        <f ca="1">IFERROR(__xludf.DUMMYFUNCTION("""COMPUTED_VALUE"""),"صيدلية")</f>
        <v>صيدلية</v>
      </c>
      <c r="F1187" s="5" t="str">
        <f ca="1">IFERROR(__xludf.DUMMYFUNCTION("""COMPUTED_VALUE"""),"صيدلية (أدوية ومستلزمات طبية)")</f>
        <v>صيدلية (أدوية ومستلزمات طبية)</v>
      </c>
      <c r="G118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87" s="5" t="str">
        <f ca="1">IFERROR(__xludf.DUMMYFUNCTION("""COMPUTED_VALUE"""),"224-شارع الترعة البولاقية شبرا -القاهرة")</f>
        <v>224-شارع الترعة البولاقية شبرا -القاهرة</v>
      </c>
      <c r="I1187" s="6" t="str">
        <f ca="1">IFERROR(__xludf.DUMMYFUNCTION("""COMPUTED_VALUE"""),"1111506693
")</f>
        <v xml:space="preserve">1111506693
</v>
      </c>
      <c r="J1187" s="6" t="str">
        <f ca="1">IFERROR(__xludf.DUMMYFUNCTION("""COMPUTED_VALUE"""),"19600")</f>
        <v>19600</v>
      </c>
      <c r="K1187" s="6" t="str">
        <f ca="1">IFERROR(__xludf.DUMMYFUNCTION("""COMPUTED_VALUE"""),"7.5 % على المحلى ,5% على المستلزمات الطبية و التجميل")</f>
        <v>7.5 % على المحلى ,5% على المستلزمات الطبية و التجميل</v>
      </c>
    </row>
    <row r="1188" spans="1:11" x14ac:dyDescent="0.25">
      <c r="A1188" s="4" t="str">
        <f ca="1">IFERROR(__xludf.DUMMYFUNCTION("""COMPUTED_VALUE"""),"1683-B")</f>
        <v>1683-B</v>
      </c>
      <c r="B1188" s="5" t="str">
        <f ca="1">IFERROR(__xludf.DUMMYFUNCTION("""COMPUTED_VALUE"""),"القليوبية")</f>
        <v>القليوبية</v>
      </c>
      <c r="C1188" s="5" t="str">
        <f ca="1">IFERROR(__xludf.DUMMYFUNCTION("""COMPUTED_VALUE"""),"شبرا الخيمة")</f>
        <v>شبرا الخيمة</v>
      </c>
      <c r="D1188" s="5" t="str">
        <f ca="1">IFERROR(__xludf.DUMMYFUNCTION("""COMPUTED_VALUE"""),"صيدلية")</f>
        <v>صيدلية</v>
      </c>
      <c r="E1188" s="5" t="str">
        <f ca="1">IFERROR(__xludf.DUMMYFUNCTION("""COMPUTED_VALUE"""),"صيدلية")</f>
        <v>صيدلية</v>
      </c>
      <c r="F1188" s="5" t="str">
        <f ca="1">IFERROR(__xludf.DUMMYFUNCTION("""COMPUTED_VALUE"""),"صيدلية (أدوية ومستلزمات طبية)")</f>
        <v>صيدلية (أدوية ومستلزمات طبية)</v>
      </c>
      <c r="G118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88" s="5" t="str">
        <f ca="1">IFERROR(__xludf.DUMMYFUNCTION("""COMPUTED_VALUE"""),"برج طيبة شارع 15مايو بجهة منشية الحرية-حوض ابراهيم صالح شبرا الخيمة ثان -قليوبية")</f>
        <v>برج طيبة شارع 15مايو بجهة منشية الحرية-حوض ابراهيم صالح شبرا الخيمة ثان -قليوبية</v>
      </c>
      <c r="I1188" s="6" t="str">
        <f ca="1">IFERROR(__xludf.DUMMYFUNCTION("""COMPUTED_VALUE"""),"1000726211
")</f>
        <v xml:space="preserve">1000726211
</v>
      </c>
      <c r="J1188" s="6" t="str">
        <f ca="1">IFERROR(__xludf.DUMMYFUNCTION("""COMPUTED_VALUE"""),"19600")</f>
        <v>19600</v>
      </c>
      <c r="K1188" s="6" t="str">
        <f ca="1">IFERROR(__xludf.DUMMYFUNCTION("""COMPUTED_VALUE"""),"7.5 % على المحلى ,5% على المستلزمات الطبية و التجميل")</f>
        <v>7.5 % على المحلى ,5% على المستلزمات الطبية و التجميل</v>
      </c>
    </row>
    <row r="1189" spans="1:11" x14ac:dyDescent="0.25">
      <c r="A1189" s="4" t="str">
        <f ca="1">IFERROR(__xludf.DUMMYFUNCTION("""COMPUTED_VALUE"""),"1683-B")</f>
        <v>1683-B</v>
      </c>
      <c r="B1189" s="5" t="str">
        <f ca="1">IFERROR(__xludf.DUMMYFUNCTION("""COMPUTED_VALUE"""),"القاهرة")</f>
        <v>القاهرة</v>
      </c>
      <c r="C1189" s="5" t="str">
        <f ca="1">IFERROR(__xludf.DUMMYFUNCTION("""COMPUTED_VALUE"""),"المعادى")</f>
        <v>المعادى</v>
      </c>
      <c r="D1189" s="5" t="str">
        <f ca="1">IFERROR(__xludf.DUMMYFUNCTION("""COMPUTED_VALUE"""),"صيدلية")</f>
        <v>صيدلية</v>
      </c>
      <c r="E1189" s="5" t="str">
        <f ca="1">IFERROR(__xludf.DUMMYFUNCTION("""COMPUTED_VALUE"""),"صيدلية")</f>
        <v>صيدلية</v>
      </c>
      <c r="F1189" s="5" t="str">
        <f ca="1">IFERROR(__xludf.DUMMYFUNCTION("""COMPUTED_VALUE"""),"صيدلية (أدوية ومستلزمات طبية)")</f>
        <v>صيدلية (أدوية ومستلزمات طبية)</v>
      </c>
      <c r="G118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89" s="5" t="str">
        <f ca="1">IFERROR(__xludf.DUMMYFUNCTION("""COMPUTED_VALUE"""),"125 شارع النصر - الشطر الثالث - المعادي الجديدة")</f>
        <v>125 شارع النصر - الشطر الثالث - المعادي الجديدة</v>
      </c>
      <c r="I1189" s="6" t="str">
        <f ca="1">IFERROR(__xludf.DUMMYFUNCTION("""COMPUTED_VALUE"""),"1111873052
")</f>
        <v xml:space="preserve">1111873052
</v>
      </c>
      <c r="J1189" s="6" t="str">
        <f ca="1">IFERROR(__xludf.DUMMYFUNCTION("""COMPUTED_VALUE"""),"19600")</f>
        <v>19600</v>
      </c>
      <c r="K1189" s="6" t="str">
        <f ca="1">IFERROR(__xludf.DUMMYFUNCTION("""COMPUTED_VALUE"""),"7.5 % على المحلى ,5% على المستلزمات الطبية و التجميل")</f>
        <v>7.5 % على المحلى ,5% على المستلزمات الطبية و التجميل</v>
      </c>
    </row>
    <row r="1190" spans="1:11" x14ac:dyDescent="0.25">
      <c r="A1190" s="4" t="str">
        <f ca="1">IFERROR(__xludf.DUMMYFUNCTION("""COMPUTED_VALUE"""),"1683-B")</f>
        <v>1683-B</v>
      </c>
      <c r="B1190" s="5" t="str">
        <f ca="1">IFERROR(__xludf.DUMMYFUNCTION("""COMPUTED_VALUE"""),"القاهرة")</f>
        <v>القاهرة</v>
      </c>
      <c r="C1190" s="5" t="str">
        <f ca="1">IFERROR(__xludf.DUMMYFUNCTION("""COMPUTED_VALUE"""),"مدينة بدر")</f>
        <v>مدينة بدر</v>
      </c>
      <c r="D1190" s="5" t="str">
        <f ca="1">IFERROR(__xludf.DUMMYFUNCTION("""COMPUTED_VALUE"""),"صيدلية")</f>
        <v>صيدلية</v>
      </c>
      <c r="E1190" s="5" t="str">
        <f ca="1">IFERROR(__xludf.DUMMYFUNCTION("""COMPUTED_VALUE"""),"صيدلية")</f>
        <v>صيدلية</v>
      </c>
      <c r="F1190" s="5" t="str">
        <f ca="1">IFERROR(__xludf.DUMMYFUNCTION("""COMPUTED_VALUE"""),"صيدلية (أدوية ومستلزمات طبية)")</f>
        <v>صيدلية (أدوية ومستلزمات طبية)</v>
      </c>
      <c r="G119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90" s="5" t="str">
        <f ca="1">IFERROR(__xludf.DUMMYFUNCTION("""COMPUTED_VALUE"""),"الحى الاول-المجاورة الثانية-قطعة رقم 6-محل رقم 4 -مدينة بدر")</f>
        <v>الحى الاول-المجاورة الثانية-قطعة رقم 6-محل رقم 4 -مدينة بدر</v>
      </c>
      <c r="I1190" s="6" t="str">
        <f ca="1">IFERROR(__xludf.DUMMYFUNCTION("""COMPUTED_VALUE"""),"111874077
")</f>
        <v xml:space="preserve">111874077
</v>
      </c>
      <c r="J1190" s="6" t="str">
        <f ca="1">IFERROR(__xludf.DUMMYFUNCTION("""COMPUTED_VALUE"""),"19600")</f>
        <v>19600</v>
      </c>
      <c r="K1190" s="6" t="str">
        <f ca="1">IFERROR(__xludf.DUMMYFUNCTION("""COMPUTED_VALUE"""),"7.5 % على المحلى ,5% على المستلزمات الطبية و التجميل")</f>
        <v>7.5 % على المحلى ,5% على المستلزمات الطبية و التجميل</v>
      </c>
    </row>
    <row r="1191" spans="1:11" x14ac:dyDescent="0.25">
      <c r="A1191" s="4" t="str">
        <f ca="1">IFERROR(__xludf.DUMMYFUNCTION("""COMPUTED_VALUE"""),"1683-B")</f>
        <v>1683-B</v>
      </c>
      <c r="B1191" s="5" t="str">
        <f ca="1">IFERROR(__xludf.DUMMYFUNCTION("""COMPUTED_VALUE"""),"القاهرة")</f>
        <v>القاهرة</v>
      </c>
      <c r="C1191" s="5" t="str">
        <f ca="1">IFERROR(__xludf.DUMMYFUNCTION("""COMPUTED_VALUE"""),"مدينة نصر")</f>
        <v>مدينة نصر</v>
      </c>
      <c r="D1191" s="5" t="str">
        <f ca="1">IFERROR(__xludf.DUMMYFUNCTION("""COMPUTED_VALUE"""),"صيدلية")</f>
        <v>صيدلية</v>
      </c>
      <c r="E1191" s="5" t="str">
        <f ca="1">IFERROR(__xludf.DUMMYFUNCTION("""COMPUTED_VALUE"""),"صيدلية")</f>
        <v>صيدلية</v>
      </c>
      <c r="F1191" s="5" t="str">
        <f ca="1">IFERROR(__xludf.DUMMYFUNCTION("""COMPUTED_VALUE"""),"صيدلية (أدوية ومستلزمات طبية)")</f>
        <v>صيدلية (أدوية ومستلزمات طبية)</v>
      </c>
      <c r="G119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91" s="5" t="str">
        <f ca="1">IFERROR(__xludf.DUMMYFUNCTION("""COMPUTED_VALUE"""),"47عباس العقاد-بجوار بنك مصر -م.نصر-القاهرة")</f>
        <v>47عباس العقاد-بجوار بنك مصر -م.نصر-القاهرة</v>
      </c>
      <c r="I1191" s="6" t="str">
        <f ca="1">IFERROR(__xludf.DUMMYFUNCTION("""COMPUTED_VALUE"""),"1156444631
")</f>
        <v xml:space="preserve">1156444631
</v>
      </c>
      <c r="J1191" s="6" t="str">
        <f ca="1">IFERROR(__xludf.DUMMYFUNCTION("""COMPUTED_VALUE"""),"19600")</f>
        <v>19600</v>
      </c>
      <c r="K1191" s="6" t="str">
        <f ca="1">IFERROR(__xludf.DUMMYFUNCTION("""COMPUTED_VALUE"""),"7.5 % على المحلى ,5% على المستلزمات الطبية و التجميل")</f>
        <v>7.5 % على المحلى ,5% على المستلزمات الطبية و التجميل</v>
      </c>
    </row>
    <row r="1192" spans="1:11" x14ac:dyDescent="0.25">
      <c r="A1192" s="4" t="str">
        <f ca="1">IFERROR(__xludf.DUMMYFUNCTION("""COMPUTED_VALUE"""),"1683-B")</f>
        <v>1683-B</v>
      </c>
      <c r="B1192" s="5" t="str">
        <f ca="1">IFERROR(__xludf.DUMMYFUNCTION("""COMPUTED_VALUE"""),"القاهرة")</f>
        <v>القاهرة</v>
      </c>
      <c r="C1192" s="5" t="str">
        <f ca="1">IFERROR(__xludf.DUMMYFUNCTION("""COMPUTED_VALUE"""),"مصر الجديدة")</f>
        <v>مصر الجديدة</v>
      </c>
      <c r="D1192" s="5" t="str">
        <f ca="1">IFERROR(__xludf.DUMMYFUNCTION("""COMPUTED_VALUE"""),"صيدلية")</f>
        <v>صيدلية</v>
      </c>
      <c r="E1192" s="5" t="str">
        <f ca="1">IFERROR(__xludf.DUMMYFUNCTION("""COMPUTED_VALUE"""),"صيدلية")</f>
        <v>صيدلية</v>
      </c>
      <c r="F1192" s="5" t="str">
        <f ca="1">IFERROR(__xludf.DUMMYFUNCTION("""COMPUTED_VALUE"""),"صيدلية (أدوية ومستلزمات طبية)")</f>
        <v>صيدلية (أدوية ومستلزمات طبية)</v>
      </c>
      <c r="G119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92" s="5" t="str">
        <f ca="1">IFERROR(__xludf.DUMMYFUNCTION("""COMPUTED_VALUE"""),"71ش عبد الحميد بدوي -امام نادي الشمس -مصر الجديدة")</f>
        <v>71ش عبد الحميد بدوي -امام نادي الشمس -مصر الجديدة</v>
      </c>
      <c r="I1192" s="6" t="str">
        <f ca="1">IFERROR(__xludf.DUMMYFUNCTION("""COMPUTED_VALUE"""),"1095552604
")</f>
        <v xml:space="preserve">1095552604
</v>
      </c>
      <c r="J1192" s="6" t="str">
        <f ca="1">IFERROR(__xludf.DUMMYFUNCTION("""COMPUTED_VALUE"""),"19600")</f>
        <v>19600</v>
      </c>
      <c r="K1192" s="6" t="str">
        <f ca="1">IFERROR(__xludf.DUMMYFUNCTION("""COMPUTED_VALUE"""),"7.5 % على المحلى ,5% على المستلزمات الطبية و التجميل")</f>
        <v>7.5 % على المحلى ,5% على المستلزمات الطبية و التجميل</v>
      </c>
    </row>
    <row r="1193" spans="1:11" x14ac:dyDescent="0.25">
      <c r="A1193" s="4" t="str">
        <f ca="1">IFERROR(__xludf.DUMMYFUNCTION("""COMPUTED_VALUE"""),"1683-B")</f>
        <v>1683-B</v>
      </c>
      <c r="B1193" s="5" t="str">
        <f ca="1">IFERROR(__xludf.DUMMYFUNCTION("""COMPUTED_VALUE"""),"سوهاج")</f>
        <v>سوهاج</v>
      </c>
      <c r="C1193" s="5" t="str">
        <f ca="1">IFERROR(__xludf.DUMMYFUNCTION("""COMPUTED_VALUE"""),"سوهاج")</f>
        <v>سوهاج</v>
      </c>
      <c r="D1193" s="5" t="str">
        <f ca="1">IFERROR(__xludf.DUMMYFUNCTION("""COMPUTED_VALUE"""),"صيدلية")</f>
        <v>صيدلية</v>
      </c>
      <c r="E1193" s="5" t="str">
        <f ca="1">IFERROR(__xludf.DUMMYFUNCTION("""COMPUTED_VALUE"""),"صيدلية")</f>
        <v>صيدلية</v>
      </c>
      <c r="F1193" s="5" t="str">
        <f ca="1">IFERROR(__xludf.DUMMYFUNCTION("""COMPUTED_VALUE"""),"صيدلية (أدوية ومستلزمات طبية)")</f>
        <v>صيدلية (أدوية ومستلزمات طبية)</v>
      </c>
      <c r="G119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93" s="5" t="str">
        <f ca="1">IFERROR(__xludf.DUMMYFUNCTION("""COMPUTED_VALUE"""),"تقاطع ش الجمهورية مع ش النهضة بجوار فندق الصفا السياحى")</f>
        <v>تقاطع ش الجمهورية مع ش النهضة بجوار فندق الصفا السياحى</v>
      </c>
      <c r="I1193" s="6" t="str">
        <f ca="1">IFERROR(__xludf.DUMMYFUNCTION("""COMPUTED_VALUE"""),"1128449333
")</f>
        <v xml:space="preserve">1128449333
</v>
      </c>
      <c r="J1193" s="6" t="str">
        <f ca="1">IFERROR(__xludf.DUMMYFUNCTION("""COMPUTED_VALUE"""),"19600")</f>
        <v>19600</v>
      </c>
      <c r="K1193" s="6" t="str">
        <f ca="1">IFERROR(__xludf.DUMMYFUNCTION("""COMPUTED_VALUE"""),"7.5 % على المحلى ,5% على المستلزمات الطبية و التجميل")</f>
        <v>7.5 % على المحلى ,5% على المستلزمات الطبية و التجميل</v>
      </c>
    </row>
    <row r="1194" spans="1:11" x14ac:dyDescent="0.25">
      <c r="A1194" s="4" t="str">
        <f ca="1">IFERROR(__xludf.DUMMYFUNCTION("""COMPUTED_VALUE"""),"1683-B")</f>
        <v>1683-B</v>
      </c>
      <c r="B1194" s="5" t="str">
        <f ca="1">IFERROR(__xludf.DUMMYFUNCTION("""COMPUTED_VALUE"""),"الفيوم")</f>
        <v>الفيوم</v>
      </c>
      <c r="C1194" s="5" t="str">
        <f ca="1">IFERROR(__xludf.DUMMYFUNCTION("""COMPUTED_VALUE"""),"الفيوم")</f>
        <v>الفيوم</v>
      </c>
      <c r="D1194" s="5" t="str">
        <f ca="1">IFERROR(__xludf.DUMMYFUNCTION("""COMPUTED_VALUE"""),"صيدلية")</f>
        <v>صيدلية</v>
      </c>
      <c r="E1194" s="5" t="str">
        <f ca="1">IFERROR(__xludf.DUMMYFUNCTION("""COMPUTED_VALUE"""),"صيدلية")</f>
        <v>صيدلية</v>
      </c>
      <c r="F1194" s="5" t="str">
        <f ca="1">IFERROR(__xludf.DUMMYFUNCTION("""COMPUTED_VALUE"""),"صيدلية (أدوية ومستلزمات طبية)")</f>
        <v>صيدلية (أدوية ومستلزمات طبية)</v>
      </c>
      <c r="G119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194" s="5" t="str">
        <f ca="1">IFERROR(__xludf.DUMMYFUNCTION("""COMPUTED_VALUE"""),"4برج أجيادش جمال عبد الناصر أمام عمارة التأمين المسلة الفيوم")</f>
        <v>4برج أجيادش جمال عبد الناصر أمام عمارة التأمين المسلة الفيوم</v>
      </c>
      <c r="I1194" s="6" t="str">
        <f ca="1">IFERROR(__xludf.DUMMYFUNCTION("""COMPUTED_VALUE"""),"1128455543
")</f>
        <v xml:space="preserve">1128455543
</v>
      </c>
      <c r="J1194" s="6" t="str">
        <f ca="1">IFERROR(__xludf.DUMMYFUNCTION("""COMPUTED_VALUE"""),"19600")</f>
        <v>19600</v>
      </c>
      <c r="K1194" s="6" t="str">
        <f ca="1">IFERROR(__xludf.DUMMYFUNCTION("""COMPUTED_VALUE"""),"7.5 % على المحلى ,5% على المستلزمات الطبية و التجميل")</f>
        <v>7.5 % على المحلى ,5% على المستلزمات الطبية و التجميل</v>
      </c>
    </row>
    <row r="1195" spans="1:11" x14ac:dyDescent="0.25">
      <c r="A1195" s="4" t="str">
        <f ca="1">IFERROR(__xludf.DUMMYFUNCTION("""COMPUTED_VALUE"""),"105164-B")</f>
        <v>105164-B</v>
      </c>
      <c r="B1195" s="5" t="str">
        <f ca="1">IFERROR(__xludf.DUMMYFUNCTION("""COMPUTED_VALUE"""),"الدقهلية")</f>
        <v>الدقهلية</v>
      </c>
      <c r="C1195" s="5" t="str">
        <f ca="1">IFERROR(__xludf.DUMMYFUNCTION("""COMPUTED_VALUE"""),"المنصورة")</f>
        <v>المنصورة</v>
      </c>
      <c r="D1195" s="5" t="str">
        <f ca="1">IFERROR(__xludf.DUMMYFUNCTION("""COMPUTED_VALUE"""),"مستشفى")</f>
        <v>مستشفى</v>
      </c>
      <c r="E1195" s="5" t="str">
        <f ca="1">IFERROR(__xludf.DUMMYFUNCTION("""COMPUTED_VALUE"""),"مستشفي طبي متخصص")</f>
        <v>مستشفي طبي متخصص</v>
      </c>
      <c r="F1195" s="5" t="str">
        <f ca="1">IFERROR(__xludf.DUMMYFUNCTION("""COMPUTED_VALUE"""),"جراحة مخ وأعصاب")</f>
        <v>جراحة مخ وأعصاب</v>
      </c>
      <c r="G1195" s="5" t="str">
        <f ca="1">IFERROR(__xludf.DUMMYFUNCTION("""COMPUTED_VALUE"""),"المركز الطبي لجراحة المخ والاعصاب والعمود الفقري")</f>
        <v>المركز الطبي لجراحة المخ والاعصاب والعمود الفقري</v>
      </c>
      <c r="H1195" s="5" t="str">
        <f ca="1">IFERROR(__xludf.DUMMYFUNCTION("""COMPUTED_VALUE"""),"ميدان المحطة - بجوار فندق مارشال - المنصورة - الدقهلية")</f>
        <v>ميدان المحطة - بجوار فندق مارشال - المنصورة - الدقهلية</v>
      </c>
      <c r="I1195" s="6" t="str">
        <f ca="1">IFERROR(__xludf.DUMMYFUNCTION("""COMPUTED_VALUE"""),"201270249989")</f>
        <v>201270249989</v>
      </c>
      <c r="J1195" s="6"/>
      <c r="K1195" s="6" t="str">
        <f ca="1">IFERROR(__xludf.DUMMYFUNCTION("""COMPUTED_VALUE"""),"20% على جميع الخدمات  ماعدا اتعاب الأطباء وبنك الدم الادوية والمستلزمات الطبية والاجهزه الخارجية")</f>
        <v>20% على جميع الخدمات  ماعدا اتعاب الأطباء وبنك الدم الادوية والمستلزمات الطبية والاجهزه الخارجية</v>
      </c>
    </row>
    <row r="1196" spans="1:11" x14ac:dyDescent="0.25">
      <c r="A1196" s="4" t="str">
        <f ca="1">IFERROR(__xludf.DUMMYFUNCTION("""COMPUTED_VALUE"""),"105164-B")</f>
        <v>105164-B</v>
      </c>
      <c r="B1196" s="5" t="str">
        <f ca="1">IFERROR(__xludf.DUMMYFUNCTION("""COMPUTED_VALUE"""),"الدقهلية")</f>
        <v>الدقهلية</v>
      </c>
      <c r="C1196" s="5" t="str">
        <f ca="1">IFERROR(__xludf.DUMMYFUNCTION("""COMPUTED_VALUE"""),"السنبلاوين")</f>
        <v>السنبلاوين</v>
      </c>
      <c r="D1196" s="5" t="str">
        <f ca="1">IFERROR(__xludf.DUMMYFUNCTION("""COMPUTED_VALUE"""),"مستشفى")</f>
        <v>مستشفى</v>
      </c>
      <c r="E1196" s="5" t="str">
        <f ca="1">IFERROR(__xludf.DUMMYFUNCTION("""COMPUTED_VALUE"""),"مستشفي طبي متخصص")</f>
        <v>مستشفي طبي متخصص</v>
      </c>
      <c r="F1196" s="5" t="str">
        <f ca="1">IFERROR(__xludf.DUMMYFUNCTION("""COMPUTED_VALUE"""),"جراحة مخ وأعصاب")</f>
        <v>جراحة مخ وأعصاب</v>
      </c>
      <c r="G1196" s="5" t="str">
        <f ca="1">IFERROR(__xludf.DUMMYFUNCTION("""COMPUTED_VALUE"""),"المركز الطبي لجراحة المخ والاعصاب والعمود الفقري")</f>
        <v>المركز الطبي لجراحة المخ والاعصاب والعمود الفقري</v>
      </c>
      <c r="H1196" s="5" t="str">
        <f ca="1">IFERROR(__xludf.DUMMYFUNCTION("""COMPUTED_VALUE"""),"قنطرة الحمام - برج الحداد - السنبيلاوين - الدقهلية")</f>
        <v>قنطرة الحمام - برج الحداد - السنبيلاوين - الدقهلية</v>
      </c>
      <c r="I1196" s="6" t="str">
        <f ca="1">IFERROR(__xludf.DUMMYFUNCTION("""COMPUTED_VALUE"""),"201270249989")</f>
        <v>201270249989</v>
      </c>
      <c r="J1196" s="6"/>
      <c r="K1196" s="6" t="str">
        <f ca="1">IFERROR(__xludf.DUMMYFUNCTION("""COMPUTED_VALUE"""),"20% على جميع الخدمات  ماعدا اتعاب الأطباء وبنك الدم الادوية والمستلزمات الطبية والاجهزه الخارجية")</f>
        <v>20% على جميع الخدمات  ماعدا اتعاب الأطباء وبنك الدم الادوية والمستلزمات الطبية والاجهزه الخارجية</v>
      </c>
    </row>
    <row r="1197" spans="1:11" x14ac:dyDescent="0.25">
      <c r="A1197" s="4" t="str">
        <f ca="1">IFERROR(__xludf.DUMMYFUNCTION("""COMPUTED_VALUE"""),"105169")</f>
        <v>105169</v>
      </c>
      <c r="B1197" s="5" t="str">
        <f ca="1">IFERROR(__xludf.DUMMYFUNCTION("""COMPUTED_VALUE"""),"الجيزة")</f>
        <v>الجيزة</v>
      </c>
      <c r="C1197" s="5" t="str">
        <f ca="1">IFERROR(__xludf.DUMMYFUNCTION("""COMPUTED_VALUE"""),"الهرم")</f>
        <v>الهرم</v>
      </c>
      <c r="D1197" s="5" t="str">
        <f ca="1">IFERROR(__xludf.DUMMYFUNCTION("""COMPUTED_VALUE"""),"مستشفى")</f>
        <v>مستشفى</v>
      </c>
      <c r="E1197" s="5" t="str">
        <f ca="1">IFERROR(__xludf.DUMMYFUNCTION("""COMPUTED_VALUE"""),"مستشفي طبي متخصص")</f>
        <v>مستشفي طبي متخصص</v>
      </c>
      <c r="F1197" s="5" t="str">
        <f ca="1">IFERROR(__xludf.DUMMYFUNCTION("""COMPUTED_VALUE"""),"نساء وتوليد")</f>
        <v>نساء وتوليد</v>
      </c>
      <c r="G1197" s="5" t="str">
        <f ca="1">IFERROR(__xludf.DUMMYFUNCTION("""COMPUTED_VALUE"""),"د . محمود محمد عبد الحليم علي ( مركز الوفاء للنساء والتوليد )")</f>
        <v>د . محمود محمد عبد الحليم علي ( مركز الوفاء للنساء والتوليد )</v>
      </c>
      <c r="H1197" s="5" t="str">
        <f ca="1">IFERROR(__xludf.DUMMYFUNCTION("""COMPUTED_VALUE"""),"4 شارع عبد اللطيف عبد الفتاح - شارع العريش - وسهل حمزة - الهرم الجيزة")</f>
        <v>4 شارع عبد اللطيف عبد الفتاح - شارع العريش - وسهل حمزة - الهرم الجيزة</v>
      </c>
      <c r="I1197" s="6" t="str">
        <f ca="1">IFERROR(__xludf.DUMMYFUNCTION("""COMPUTED_VALUE"""),"20233886207")</f>
        <v>20233886207</v>
      </c>
      <c r="J1197" s="6"/>
      <c r="K1197" s="6" t="str">
        <f ca="1">IFERROR(__xludf.DUMMYFUNCTION("""COMPUTED_VALUE"""),"20% علي الكشف والسونار واشعه 4D 
")</f>
        <v xml:space="preserve">20% علي الكشف والسونار واشعه 4D 
</v>
      </c>
    </row>
    <row r="1198" spans="1:11" x14ac:dyDescent="0.25">
      <c r="A1198" s="4" t="str">
        <f ca="1">IFERROR(__xludf.DUMMYFUNCTION("""COMPUTED_VALUE"""),"105172")</f>
        <v>105172</v>
      </c>
      <c r="B1198" s="5" t="str">
        <f ca="1">IFERROR(__xludf.DUMMYFUNCTION("""COMPUTED_VALUE"""),"شمال سيناء")</f>
        <v>شمال سيناء</v>
      </c>
      <c r="C1198" s="5" t="str">
        <f ca="1">IFERROR(__xludf.DUMMYFUNCTION("""COMPUTED_VALUE"""),"العريش")</f>
        <v>العريش</v>
      </c>
      <c r="D1198" s="5" t="str">
        <f ca="1">IFERROR(__xludf.DUMMYFUNCTION("""COMPUTED_VALUE"""),"صيدلية")</f>
        <v>صيدلية</v>
      </c>
      <c r="E1198" s="5" t="str">
        <f ca="1">IFERROR(__xludf.DUMMYFUNCTION("""COMPUTED_VALUE"""),"صيدلية")</f>
        <v>صيدلية</v>
      </c>
      <c r="F1198" s="5" t="str">
        <f ca="1">IFERROR(__xludf.DUMMYFUNCTION("""COMPUTED_VALUE"""),"صيدلية (أدوية ومستلزمات طبية)")</f>
        <v>صيدلية (أدوية ومستلزمات طبية)</v>
      </c>
      <c r="G1198" s="5" t="str">
        <f ca="1">IFERROR(__xludf.DUMMYFUNCTION("""COMPUTED_VALUE"""),"صيدلية الدكتور أسماء محسن عوض إبراهيم")</f>
        <v>صيدلية الدكتور أسماء محسن عوض إبراهيم</v>
      </c>
      <c r="H1198" s="5" t="str">
        <f ca="1">IFERROR(__xludf.DUMMYFUNCTION("""COMPUTED_VALUE"""),"شارع الفاتح - بجوار ميدان الساعة - شمال سيناء")</f>
        <v>شارع الفاتح - بجوار ميدان الساعة - شمال سيناء</v>
      </c>
      <c r="I1198" s="6" t="str">
        <f ca="1">IFERROR(__xludf.DUMMYFUNCTION("""COMPUTED_VALUE"""),"0683364644")</f>
        <v>0683364644</v>
      </c>
      <c r="J1198" s="6"/>
      <c r="K1198" s="6" t="str">
        <f ca="1">IFERROR(__xludf.DUMMYFUNCTION("""COMPUTED_VALUE"""),"خصم 10% علي المحلي و المستورد")</f>
        <v>خصم 10% علي المحلي و المستورد</v>
      </c>
    </row>
    <row r="1199" spans="1:11" x14ac:dyDescent="0.25">
      <c r="A1199" s="4" t="str">
        <f ca="1">IFERROR(__xludf.DUMMYFUNCTION("""COMPUTED_VALUE"""),"105173-B")</f>
        <v>105173-B</v>
      </c>
      <c r="B1199" s="5" t="str">
        <f ca="1">IFERROR(__xludf.DUMMYFUNCTION("""COMPUTED_VALUE"""),"القاهرة")</f>
        <v>القاهرة</v>
      </c>
      <c r="C1199" s="5" t="str">
        <f ca="1">IFERROR(__xludf.DUMMYFUNCTION("""COMPUTED_VALUE"""),"حدائق القبة")</f>
        <v>حدائق القبة</v>
      </c>
      <c r="D1199" s="5" t="str">
        <f ca="1">IFERROR(__xludf.DUMMYFUNCTION("""COMPUTED_VALUE"""),"هيئة الأطباء")</f>
        <v>هيئة الأطباء</v>
      </c>
      <c r="E1199" s="5" t="str">
        <f ca="1">IFERROR(__xludf.DUMMYFUNCTION("""COMPUTED_VALUE"""),"باطنة")</f>
        <v>باطنة</v>
      </c>
      <c r="F1199" s="5" t="str">
        <f ca="1">IFERROR(__xludf.DUMMYFUNCTION("""COMPUTED_VALUE"""),"صدرية")</f>
        <v>صدرية</v>
      </c>
      <c r="G1199" s="5" t="str">
        <f ca="1">IFERROR(__xludf.DUMMYFUNCTION("""COMPUTED_VALUE"""),"د . فريد فايز منقريوس  ( د. فريد فايز الاتلاتي )")</f>
        <v>د . فريد فايز منقريوس  ( د. فريد فايز الاتلاتي )</v>
      </c>
      <c r="H1199" s="5" t="str">
        <f ca="1">IFERROR(__xludf.DUMMYFUNCTION("""COMPUTED_VALUE"""),"60  شارع مصر والسودان - ناصية شارع دير الملاك - جدائق القبة - القاهرة")</f>
        <v>60  شارع مصر والسودان - ناصية شارع دير الملاك - جدائق القبة - القاهرة</v>
      </c>
      <c r="I1199" s="6" t="str">
        <f ca="1">IFERROR(__xludf.DUMMYFUNCTION("""COMPUTED_VALUE"""),"201205287927")</f>
        <v>201205287927</v>
      </c>
      <c r="J1199" s="6"/>
      <c r="K1199" s="6" t="str">
        <f ca="1">IFERROR(__xludf.DUMMYFUNCTION("""COMPUTED_VALUE"""),"الكشف : 65 جنية")</f>
        <v>الكشف : 65 جنية</v>
      </c>
    </row>
    <row r="1200" spans="1:11" x14ac:dyDescent="0.25">
      <c r="A1200" s="4" t="str">
        <f ca="1">IFERROR(__xludf.DUMMYFUNCTION("""COMPUTED_VALUE"""),"105173")</f>
        <v>105173</v>
      </c>
      <c r="B1200" s="5" t="str">
        <f ca="1">IFERROR(__xludf.DUMMYFUNCTION("""COMPUTED_VALUE"""),"المنيا")</f>
        <v>المنيا</v>
      </c>
      <c r="C1200" s="5" t="str">
        <f ca="1">IFERROR(__xludf.DUMMYFUNCTION("""COMPUTED_VALUE"""),"بني مزار")</f>
        <v>بني مزار</v>
      </c>
      <c r="D1200" s="5" t="str">
        <f ca="1">IFERROR(__xludf.DUMMYFUNCTION("""COMPUTED_VALUE"""),"هيئة الأطباء")</f>
        <v>هيئة الأطباء</v>
      </c>
      <c r="E1200" s="5" t="str">
        <f ca="1">IFERROR(__xludf.DUMMYFUNCTION("""COMPUTED_VALUE"""),"باطنة")</f>
        <v>باطنة</v>
      </c>
      <c r="F1200" s="5" t="str">
        <f ca="1">IFERROR(__xludf.DUMMYFUNCTION("""COMPUTED_VALUE"""),"صدرية")</f>
        <v>صدرية</v>
      </c>
      <c r="G1200" s="5" t="str">
        <f ca="1">IFERROR(__xludf.DUMMYFUNCTION("""COMPUTED_VALUE"""),"د . فريد فايز منقريوس  ( د. فريد فايز الاتلاتي )")</f>
        <v>د . فريد فايز منقريوس  ( د. فريد فايز الاتلاتي )</v>
      </c>
      <c r="H1200" s="5" t="str">
        <f ca="1">IFERROR(__xludf.DUMMYFUNCTION("""COMPUTED_VALUE"""),"شارع بورسعيد - امام كشري العمدة - بني مزار - المنيا")</f>
        <v>شارع بورسعيد - امام كشري العمدة - بني مزار - المنيا</v>
      </c>
      <c r="I1200" s="6" t="str">
        <f ca="1">IFERROR(__xludf.DUMMYFUNCTION("""COMPUTED_VALUE"""),"201007213065")</f>
        <v>201007213065</v>
      </c>
      <c r="J1200" s="6"/>
      <c r="K1200" s="6" t="str">
        <f ca="1">IFERROR(__xludf.DUMMYFUNCTION("""COMPUTED_VALUE"""),"الكشف : 65 جنية")</f>
        <v>الكشف : 65 جنية</v>
      </c>
    </row>
    <row r="1201" spans="1:11" x14ac:dyDescent="0.25">
      <c r="A1201" s="4" t="str">
        <f ca="1">IFERROR(__xludf.DUMMYFUNCTION("""COMPUTED_VALUE"""),"2822-B")</f>
        <v>2822-B</v>
      </c>
      <c r="B1201" s="5" t="str">
        <f ca="1">IFERROR(__xludf.DUMMYFUNCTION("""COMPUTED_VALUE"""),"القاهرة")</f>
        <v>القاهرة</v>
      </c>
      <c r="C1201" s="5" t="str">
        <f ca="1">IFERROR(__xludf.DUMMYFUNCTION("""COMPUTED_VALUE"""),"العباسية")</f>
        <v>العباسية</v>
      </c>
      <c r="D1201" s="5" t="str">
        <f ca="1">IFERROR(__xludf.DUMMYFUNCTION("""COMPUTED_VALUE"""),"صيدلية")</f>
        <v>صيدلية</v>
      </c>
      <c r="E1201" s="5" t="str">
        <f ca="1">IFERROR(__xludf.DUMMYFUNCTION("""COMPUTED_VALUE"""),"صيدلية")</f>
        <v>صيدلية</v>
      </c>
      <c r="F1201" s="5" t="str">
        <f ca="1">IFERROR(__xludf.DUMMYFUNCTION("""COMPUTED_VALUE"""),"صيدلية (أدوية ومستلزمات طبية)")</f>
        <v>صيدلية (أدوية ومستلزمات طبية)</v>
      </c>
      <c r="G1201" s="5" t="str">
        <f ca="1">IFERROR(__xludf.DUMMYFUNCTION("""COMPUTED_VALUE"""),"صيدليات سيف")</f>
        <v>صيدليات سيف</v>
      </c>
      <c r="H1201" s="5" t="str">
        <f ca="1">IFERROR(__xludf.DUMMYFUNCTION("""COMPUTED_VALUE"""),"445 أ شارع رمسيس - ميدان العباسية")</f>
        <v>445 أ شارع رمسيس - ميدان العباسية</v>
      </c>
      <c r="I1201" s="6" t="str">
        <f ca="1">IFERROR(__xludf.DUMMYFUNCTION("""COMPUTED_VALUE"""),"2026840531")</f>
        <v>2026840531</v>
      </c>
      <c r="J1201" s="6" t="str">
        <f ca="1">IFERROR(__xludf.DUMMYFUNCTION("""COMPUTED_VALUE"""),"19199")</f>
        <v>19199</v>
      </c>
      <c r="K1201"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1202" spans="1:11" x14ac:dyDescent="0.25">
      <c r="A1202" s="4" t="str">
        <f ca="1">IFERROR(__xludf.DUMMYFUNCTION("""COMPUTED_VALUE"""),"2822-B")</f>
        <v>2822-B</v>
      </c>
      <c r="B1202" s="5" t="str">
        <f ca="1">IFERROR(__xludf.DUMMYFUNCTION("""COMPUTED_VALUE"""),"القاهرة")</f>
        <v>القاهرة</v>
      </c>
      <c r="C1202" s="5" t="str">
        <f ca="1">IFERROR(__xludf.DUMMYFUNCTION("""COMPUTED_VALUE"""),"حلمية الزيتون")</f>
        <v>حلمية الزيتون</v>
      </c>
      <c r="D1202" s="5" t="str">
        <f ca="1">IFERROR(__xludf.DUMMYFUNCTION("""COMPUTED_VALUE"""),"صيدلية")</f>
        <v>صيدلية</v>
      </c>
      <c r="E1202" s="5" t="str">
        <f ca="1">IFERROR(__xludf.DUMMYFUNCTION("""COMPUTED_VALUE"""),"صيدلية")</f>
        <v>صيدلية</v>
      </c>
      <c r="F1202" s="5" t="str">
        <f ca="1">IFERROR(__xludf.DUMMYFUNCTION("""COMPUTED_VALUE"""),"صيدلية (أدوية ومستلزمات طبية)")</f>
        <v>صيدلية (أدوية ومستلزمات طبية)</v>
      </c>
      <c r="G1202" s="5" t="str">
        <f ca="1">IFERROR(__xludf.DUMMYFUNCTION("""COMPUTED_VALUE"""),"صيدليات سيف")</f>
        <v>صيدليات سيف</v>
      </c>
      <c r="H1202" s="5" t="str">
        <f ca="1">IFERROR(__xludf.DUMMYFUNCTION("""COMPUTED_VALUE"""),"11 شارع ابن الحكم حلمية الزيتون")</f>
        <v>11 شارع ابن الحكم حلمية الزيتون</v>
      </c>
      <c r="I1202" s="6" t="str">
        <f ca="1">IFERROR(__xludf.DUMMYFUNCTION("""COMPUTED_VALUE"""),"2026347318")</f>
        <v>2026347318</v>
      </c>
      <c r="J1202" s="6" t="str">
        <f ca="1">IFERROR(__xludf.DUMMYFUNCTION("""COMPUTED_VALUE"""),"19199")</f>
        <v>19199</v>
      </c>
      <c r="K1202"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1203" spans="1:11" x14ac:dyDescent="0.25">
      <c r="A1203" s="4" t="str">
        <f ca="1">IFERROR(__xludf.DUMMYFUNCTION("""COMPUTED_VALUE"""),"2822-B")</f>
        <v>2822-B</v>
      </c>
      <c r="B1203" s="5" t="str">
        <f ca="1">IFERROR(__xludf.DUMMYFUNCTION("""COMPUTED_VALUE"""),"الجيزة")</f>
        <v>الجيزة</v>
      </c>
      <c r="C1203" s="5" t="str">
        <f ca="1">IFERROR(__xludf.DUMMYFUNCTION("""COMPUTED_VALUE"""),"المهندسين")</f>
        <v>المهندسين</v>
      </c>
      <c r="D1203" s="5" t="str">
        <f ca="1">IFERROR(__xludf.DUMMYFUNCTION("""COMPUTED_VALUE"""),"صيدلية")</f>
        <v>صيدلية</v>
      </c>
      <c r="E1203" s="5" t="str">
        <f ca="1">IFERROR(__xludf.DUMMYFUNCTION("""COMPUTED_VALUE"""),"صيدلية")</f>
        <v>صيدلية</v>
      </c>
      <c r="F1203" s="5" t="str">
        <f ca="1">IFERROR(__xludf.DUMMYFUNCTION("""COMPUTED_VALUE"""),"صيدلية (أدوية ومستلزمات طبية)")</f>
        <v>صيدلية (أدوية ومستلزمات طبية)</v>
      </c>
      <c r="G1203" s="5" t="str">
        <f ca="1">IFERROR(__xludf.DUMMYFUNCTION("""COMPUTED_VALUE"""),"صيدليات سيف")</f>
        <v>صيدليات سيف</v>
      </c>
      <c r="H1203" s="5" t="str">
        <f ca="1">IFERROR(__xludf.DUMMYFUNCTION("""COMPUTED_VALUE"""),"197 أ شارع 26 يوليو  - ميدان سفنكس - المهندسين")</f>
        <v>197 أ شارع 26 يوليو  - ميدان سفنكس - المهندسين</v>
      </c>
      <c r="I1203" s="6" t="str">
        <f ca="1">IFERROR(__xludf.DUMMYFUNCTION("""COMPUTED_VALUE"""),"20120001218")</f>
        <v>20120001218</v>
      </c>
      <c r="J1203" s="6" t="str">
        <f ca="1">IFERROR(__xludf.DUMMYFUNCTION("""COMPUTED_VALUE"""),"19199")</f>
        <v>19199</v>
      </c>
      <c r="K1203"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1204" spans="1:11" x14ac:dyDescent="0.25">
      <c r="A1204" s="4" t="str">
        <f ca="1">IFERROR(__xludf.DUMMYFUNCTION("""COMPUTED_VALUE"""),"2822-B")</f>
        <v>2822-B</v>
      </c>
      <c r="B1204" s="5" t="str">
        <f ca="1">IFERROR(__xludf.DUMMYFUNCTION("""COMPUTED_VALUE"""),"الاسكندرية")</f>
        <v>الاسكندرية</v>
      </c>
      <c r="C1204" s="5" t="str">
        <f ca="1">IFERROR(__xludf.DUMMYFUNCTION("""COMPUTED_VALUE"""),"الابراهيمية")</f>
        <v>الابراهيمية</v>
      </c>
      <c r="D1204" s="5" t="str">
        <f ca="1">IFERROR(__xludf.DUMMYFUNCTION("""COMPUTED_VALUE"""),"صيدلية")</f>
        <v>صيدلية</v>
      </c>
      <c r="E1204" s="5" t="str">
        <f ca="1">IFERROR(__xludf.DUMMYFUNCTION("""COMPUTED_VALUE"""),"صيدلية")</f>
        <v>صيدلية</v>
      </c>
      <c r="F1204" s="5" t="str">
        <f ca="1">IFERROR(__xludf.DUMMYFUNCTION("""COMPUTED_VALUE"""),"صيدلية (أدوية ومستلزمات طبية)")</f>
        <v>صيدلية (أدوية ومستلزمات طبية)</v>
      </c>
      <c r="G1204" s="5" t="str">
        <f ca="1">IFERROR(__xludf.DUMMYFUNCTION("""COMPUTED_VALUE"""),"صيدليات سيف")</f>
        <v>صيدليات سيف</v>
      </c>
      <c r="H1204" s="5" t="str">
        <f ca="1">IFERROR(__xludf.DUMMYFUNCTION("""COMPUTED_VALUE"""),"9 شارع لاجيته - الابراهيمية")</f>
        <v>9 شارع لاجيته - الابراهيمية</v>
      </c>
      <c r="I1204" s="6" t="str">
        <f ca="1">IFERROR(__xludf.DUMMYFUNCTION("""COMPUTED_VALUE"""),"20359231818")</f>
        <v>20359231818</v>
      </c>
      <c r="J1204" s="6" t="str">
        <f ca="1">IFERROR(__xludf.DUMMYFUNCTION("""COMPUTED_VALUE"""),"19199")</f>
        <v>19199</v>
      </c>
      <c r="K1204"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1205" spans="1:11" x14ac:dyDescent="0.25">
      <c r="A1205" s="4" t="str">
        <f ca="1">IFERROR(__xludf.DUMMYFUNCTION("""COMPUTED_VALUE"""),"105178")</f>
        <v>105178</v>
      </c>
      <c r="B1205" s="5" t="str">
        <f ca="1">IFERROR(__xludf.DUMMYFUNCTION("""COMPUTED_VALUE"""),"القاهرة")</f>
        <v>القاهرة</v>
      </c>
      <c r="C1205" s="5" t="str">
        <f ca="1">IFERROR(__xludf.DUMMYFUNCTION("""COMPUTED_VALUE"""),"المعادى")</f>
        <v>المعادى</v>
      </c>
      <c r="D1205" s="5" t="str">
        <f ca="1">IFERROR(__xludf.DUMMYFUNCTION("""COMPUTED_VALUE"""),"مركز علاج طبيعي")</f>
        <v>مركز علاج طبيعي</v>
      </c>
      <c r="E1205" s="5" t="str">
        <f ca="1">IFERROR(__xludf.DUMMYFUNCTION("""COMPUTED_VALUE"""),"علاج طبيعي")</f>
        <v>علاج طبيعي</v>
      </c>
      <c r="F1205" s="5" t="str">
        <f ca="1">IFERROR(__xludf.DUMMYFUNCTION("""COMPUTED_VALUE"""),"جلسات العلاج الطبيعي")</f>
        <v>جلسات العلاج الطبيعي</v>
      </c>
      <c r="G1205" s="5" t="str">
        <f ca="1">IFERROR(__xludf.DUMMYFUNCTION("""COMPUTED_VALUE"""),"الشركة المصرية لخدمات العلاج الطبيعي")</f>
        <v>الشركة المصرية لخدمات العلاج الطبيعي</v>
      </c>
      <c r="H1205" s="5" t="str">
        <f ca="1">IFERROR(__xludf.DUMMYFUNCTION("""COMPUTED_VALUE"""),"35 شارع  مكة متفرع  من شارع الخمسين بجوار أل إبراهيم -  زهراء المعادي")</f>
        <v>35 شارع  مكة متفرع  من شارع الخمسين بجوار أل إبراهيم -  زهراء المعادي</v>
      </c>
      <c r="I1205" s="6" t="str">
        <f ca="1">IFERROR(__xludf.DUMMYFUNCTION("""COMPUTED_VALUE"""),"201060040056")</f>
        <v>201060040056</v>
      </c>
      <c r="J1205" s="6"/>
      <c r="K1205" s="6" t="str">
        <f ca="1">IFERROR(__xludf.DUMMYFUNCTION("""COMPUTED_VALUE"""),"خصم 25% علي الأسعار النقدي المعلنه")</f>
        <v>خصم 25% علي الأسعار النقدي المعلنه</v>
      </c>
    </row>
    <row r="1206" spans="1:11" x14ac:dyDescent="0.25">
      <c r="A1206" s="4" t="str">
        <f ca="1">IFERROR(__xludf.DUMMYFUNCTION("""COMPUTED_VALUE"""),"105178-B")</f>
        <v>105178-B</v>
      </c>
      <c r="B1206" s="5" t="str">
        <f ca="1">IFERROR(__xludf.DUMMYFUNCTION("""COMPUTED_VALUE"""),"القاهرة")</f>
        <v>القاهرة</v>
      </c>
      <c r="C1206" s="5" t="str">
        <f ca="1">IFERROR(__xludf.DUMMYFUNCTION("""COMPUTED_VALUE"""),"المقطم")</f>
        <v>المقطم</v>
      </c>
      <c r="D1206" s="5" t="str">
        <f ca="1">IFERROR(__xludf.DUMMYFUNCTION("""COMPUTED_VALUE"""),"مركز علاج طبيعي")</f>
        <v>مركز علاج طبيعي</v>
      </c>
      <c r="E1206" s="5" t="str">
        <f ca="1">IFERROR(__xludf.DUMMYFUNCTION("""COMPUTED_VALUE"""),"علاج طبيعي")</f>
        <v>علاج طبيعي</v>
      </c>
      <c r="F1206" s="5" t="str">
        <f ca="1">IFERROR(__xludf.DUMMYFUNCTION("""COMPUTED_VALUE"""),"جلسات العلاج الطبيعي")</f>
        <v>جلسات العلاج الطبيعي</v>
      </c>
      <c r="G1206" s="5" t="str">
        <f ca="1">IFERROR(__xludf.DUMMYFUNCTION("""COMPUTED_VALUE"""),"الشركة المصرية لخدمات العلاج الطبيعي")</f>
        <v>الشركة المصرية لخدمات العلاج الطبيعي</v>
      </c>
      <c r="H1206" s="5" t="str">
        <f ca="1">IFERROR(__xludf.DUMMYFUNCTION("""COMPUTED_VALUE"""),"شارع 9 - امام أولاد رجب - اعلى صالون محمد جاد - المقطم")</f>
        <v>شارع 9 - امام أولاد رجب - اعلى صالون محمد جاد - المقطم</v>
      </c>
      <c r="I1206" s="6" t="str">
        <f ca="1">IFERROR(__xludf.DUMMYFUNCTION("""COMPUTED_VALUE"""),"201060040056")</f>
        <v>201060040056</v>
      </c>
      <c r="J1206" s="6"/>
      <c r="K1206" s="6" t="str">
        <f ca="1">IFERROR(__xludf.DUMMYFUNCTION("""COMPUTED_VALUE"""),"خصم 25% علي الأسعار النقدي المعلنه")</f>
        <v>خصم 25% علي الأسعار النقدي المعلنه</v>
      </c>
    </row>
    <row r="1207" spans="1:11" x14ac:dyDescent="0.25">
      <c r="A1207" s="4" t="str">
        <f ca="1">IFERROR(__xludf.DUMMYFUNCTION("""COMPUTED_VALUE"""),"105178-B")</f>
        <v>105178-B</v>
      </c>
      <c r="B1207" s="5" t="str">
        <f ca="1">IFERROR(__xludf.DUMMYFUNCTION("""COMPUTED_VALUE"""),"القاهرة")</f>
        <v>القاهرة</v>
      </c>
      <c r="C1207" s="5" t="str">
        <f ca="1">IFERROR(__xludf.DUMMYFUNCTION("""COMPUTED_VALUE"""),"حلمية الزيتون")</f>
        <v>حلمية الزيتون</v>
      </c>
      <c r="D1207" s="5" t="str">
        <f ca="1">IFERROR(__xludf.DUMMYFUNCTION("""COMPUTED_VALUE"""),"مركز علاج طبيعي")</f>
        <v>مركز علاج طبيعي</v>
      </c>
      <c r="E1207" s="5" t="str">
        <f ca="1">IFERROR(__xludf.DUMMYFUNCTION("""COMPUTED_VALUE"""),"علاج طبيعي")</f>
        <v>علاج طبيعي</v>
      </c>
      <c r="F1207" s="5" t="str">
        <f ca="1">IFERROR(__xludf.DUMMYFUNCTION("""COMPUTED_VALUE"""),"جلسات العلاج الطبيعي")</f>
        <v>جلسات العلاج الطبيعي</v>
      </c>
      <c r="G1207" s="5" t="str">
        <f ca="1">IFERROR(__xludf.DUMMYFUNCTION("""COMPUTED_VALUE"""),"الشركة المصرية لخدمات العلاج الطبيعي")</f>
        <v>الشركة المصرية لخدمات العلاج الطبيعي</v>
      </c>
      <c r="H1207" s="5" t="str">
        <f ca="1">IFERROR(__xludf.DUMMYFUNCTION("""COMPUTED_VALUE"""),"3 شارع الكمال - برج الزهراء - امام محطة مترو  حلمية الزيتون - حلمية الزيتون")</f>
        <v>3 شارع الكمال - برج الزهراء - امام محطة مترو  حلمية الزيتون - حلمية الزيتون</v>
      </c>
      <c r="I1207" s="6" t="str">
        <f ca="1">IFERROR(__xludf.DUMMYFUNCTION("""COMPUTED_VALUE"""),"201060040056")</f>
        <v>201060040056</v>
      </c>
      <c r="J1207" s="6"/>
      <c r="K1207" s="6" t="str">
        <f ca="1">IFERROR(__xludf.DUMMYFUNCTION("""COMPUTED_VALUE"""),"خصم 25% علي الأسعار النقدي المعلنه")</f>
        <v>خصم 25% علي الأسعار النقدي المعلنه</v>
      </c>
    </row>
    <row r="1208" spans="1:11" x14ac:dyDescent="0.25">
      <c r="A1208" s="4" t="str">
        <f ca="1">IFERROR(__xludf.DUMMYFUNCTION("""COMPUTED_VALUE"""),"105178-B")</f>
        <v>105178-B</v>
      </c>
      <c r="B1208" s="5" t="str">
        <f ca="1">IFERROR(__xludf.DUMMYFUNCTION("""COMPUTED_VALUE"""),"القاهرة")</f>
        <v>القاهرة</v>
      </c>
      <c r="C1208" s="5" t="str">
        <f ca="1">IFERROR(__xludf.DUMMYFUNCTION("""COMPUTED_VALUE"""),"المعادى")</f>
        <v>المعادى</v>
      </c>
      <c r="D1208" s="5" t="str">
        <f ca="1">IFERROR(__xludf.DUMMYFUNCTION("""COMPUTED_VALUE"""),"مركز علاج طبيعي")</f>
        <v>مركز علاج طبيعي</v>
      </c>
      <c r="E1208" s="5" t="str">
        <f ca="1">IFERROR(__xludf.DUMMYFUNCTION("""COMPUTED_VALUE"""),"علاج طبيعي")</f>
        <v>علاج طبيعي</v>
      </c>
      <c r="F1208" s="5" t="str">
        <f ca="1">IFERROR(__xludf.DUMMYFUNCTION("""COMPUTED_VALUE"""),"جلسات العلاج الطبيعي")</f>
        <v>جلسات العلاج الطبيعي</v>
      </c>
      <c r="G1208" s="5" t="str">
        <f ca="1">IFERROR(__xludf.DUMMYFUNCTION("""COMPUTED_VALUE"""),"الشركة المصرية لخدمات العلاج الطبيعي")</f>
        <v>الشركة المصرية لخدمات العلاج الطبيعي</v>
      </c>
      <c r="H1208" s="5" t="str">
        <f ca="1">IFERROR(__xludf.DUMMYFUNCTION("""COMPUTED_VALUE"""),"5 شارع حسنين الدسوقي - متفرع من شارع 9 - حدائق المعادي")</f>
        <v>5 شارع حسنين الدسوقي - متفرع من شارع 9 - حدائق المعادي</v>
      </c>
      <c r="I1208" s="6" t="str">
        <f ca="1">IFERROR(__xludf.DUMMYFUNCTION("""COMPUTED_VALUE"""),"201060040056")</f>
        <v>201060040056</v>
      </c>
      <c r="J1208" s="6"/>
      <c r="K1208" s="6" t="str">
        <f ca="1">IFERROR(__xludf.DUMMYFUNCTION("""COMPUTED_VALUE"""),"خصم 25% علي الأسعار النقدي المعلنه")</f>
        <v>خصم 25% علي الأسعار النقدي المعلنه</v>
      </c>
    </row>
    <row r="1209" spans="1:11" x14ac:dyDescent="0.25">
      <c r="A1209" s="4" t="str">
        <f ca="1">IFERROR(__xludf.DUMMYFUNCTION("""COMPUTED_VALUE"""),"105178-B")</f>
        <v>105178-B</v>
      </c>
      <c r="B1209" s="5" t="str">
        <f ca="1">IFERROR(__xludf.DUMMYFUNCTION("""COMPUTED_VALUE"""),"القليوبية")</f>
        <v>القليوبية</v>
      </c>
      <c r="C1209" s="5" t="str">
        <f ca="1">IFERROR(__xludf.DUMMYFUNCTION("""COMPUTED_VALUE"""),"مدينة العبور")</f>
        <v>مدينة العبور</v>
      </c>
      <c r="D1209" s="5" t="str">
        <f ca="1">IFERROR(__xludf.DUMMYFUNCTION("""COMPUTED_VALUE"""),"مركز علاج طبيعي")</f>
        <v>مركز علاج طبيعي</v>
      </c>
      <c r="E1209" s="5" t="str">
        <f ca="1">IFERROR(__xludf.DUMMYFUNCTION("""COMPUTED_VALUE"""),"علاج طبيعي")</f>
        <v>علاج طبيعي</v>
      </c>
      <c r="F1209" s="5" t="str">
        <f ca="1">IFERROR(__xludf.DUMMYFUNCTION("""COMPUTED_VALUE"""),"جلسات العلاج الطبيعي")</f>
        <v>جلسات العلاج الطبيعي</v>
      </c>
      <c r="G1209" s="5" t="str">
        <f ca="1">IFERROR(__xludf.DUMMYFUNCTION("""COMPUTED_VALUE"""),"الشركة المصرية لخدمات العلاج الطبيعي")</f>
        <v>الشركة المصرية لخدمات العلاج الطبيعي</v>
      </c>
      <c r="H1209" s="5" t="str">
        <f ca="1">IFERROR(__xludf.DUMMYFUNCTION("""COMPUTED_VALUE"""),"عمارة جومانة روز- بجوار السبع عمارات - مدينة العبور")</f>
        <v>عمارة جومانة روز- بجوار السبع عمارات - مدينة العبور</v>
      </c>
      <c r="I1209" s="6" t="str">
        <f ca="1">IFERROR(__xludf.DUMMYFUNCTION("""COMPUTED_VALUE"""),"201060040056")</f>
        <v>201060040056</v>
      </c>
      <c r="J1209" s="6"/>
      <c r="K1209" s="6" t="str">
        <f ca="1">IFERROR(__xludf.DUMMYFUNCTION("""COMPUTED_VALUE"""),"خصم 25% علي الأسعار النقدي المعلنه")</f>
        <v>خصم 25% علي الأسعار النقدي المعلنه</v>
      </c>
    </row>
    <row r="1210" spans="1:11" x14ac:dyDescent="0.25">
      <c r="A1210" s="4" t="str">
        <f ca="1">IFERROR(__xludf.DUMMYFUNCTION("""COMPUTED_VALUE"""),"105179")</f>
        <v>105179</v>
      </c>
      <c r="B1210" s="5" t="str">
        <f ca="1">IFERROR(__xludf.DUMMYFUNCTION("""COMPUTED_VALUE"""),"المنوفية")</f>
        <v>المنوفية</v>
      </c>
      <c r="C1210" s="5" t="str">
        <f ca="1">IFERROR(__xludf.DUMMYFUNCTION("""COMPUTED_VALUE"""),"تلا")</f>
        <v>تلا</v>
      </c>
      <c r="D1210" s="5" t="str">
        <f ca="1">IFERROR(__xludf.DUMMYFUNCTION("""COMPUTED_VALUE"""),"صيدلية")</f>
        <v>صيدلية</v>
      </c>
      <c r="E1210" s="5" t="str">
        <f ca="1">IFERROR(__xludf.DUMMYFUNCTION("""COMPUTED_VALUE"""),"صيدلية")</f>
        <v>صيدلية</v>
      </c>
      <c r="F1210" s="5" t="str">
        <f ca="1">IFERROR(__xludf.DUMMYFUNCTION("""COMPUTED_VALUE"""),"صيدلية (أدوية ومستلزمات طبية)")</f>
        <v>صيدلية (أدوية ومستلزمات طبية)</v>
      </c>
      <c r="G1210" s="5" t="str">
        <f ca="1">IFERROR(__xludf.DUMMYFUNCTION("""COMPUTED_VALUE"""),"صيدلية د. تامر علي سيف الدين")</f>
        <v>صيدلية د. تامر علي سيف الدين</v>
      </c>
      <c r="H1210" s="5" t="str">
        <f ca="1">IFERROR(__xludf.DUMMYFUNCTION("""COMPUTED_VALUE"""),"7 شارع كوم الشيخ عبيد - البر الشرقي - مركز تلا - المنوفية")</f>
        <v>7 شارع كوم الشيخ عبيد - البر الشرقي - مركز تلا - المنوفية</v>
      </c>
      <c r="I1210" s="6" t="str">
        <f ca="1">IFERROR(__xludf.DUMMYFUNCTION("""COMPUTED_VALUE"""),"20483785888")</f>
        <v>20483785888</v>
      </c>
      <c r="J1210" s="6"/>
      <c r="K1210" s="6" t="str">
        <f ca="1">IFERROR(__xludf.DUMMYFUNCTION("""COMPUTED_VALUE"""),"خصم 12% علي المحلي و 6% علي المستورد")</f>
        <v>خصم 12% علي المحلي و 6% علي المستورد</v>
      </c>
    </row>
    <row r="1211" spans="1:11" x14ac:dyDescent="0.25">
      <c r="A1211" s="4" t="str">
        <f ca="1">IFERROR(__xludf.DUMMYFUNCTION("""COMPUTED_VALUE"""),"105180")</f>
        <v>105180</v>
      </c>
      <c r="B1211" s="5" t="str">
        <f ca="1">IFERROR(__xludf.DUMMYFUNCTION("""COMPUTED_VALUE"""),"المنوفية")</f>
        <v>المنوفية</v>
      </c>
      <c r="C1211" s="5" t="str">
        <f ca="1">IFERROR(__xludf.DUMMYFUNCTION("""COMPUTED_VALUE"""),"الباجور")</f>
        <v>الباجور</v>
      </c>
      <c r="D1211" s="5" t="str">
        <f ca="1">IFERROR(__xludf.DUMMYFUNCTION("""COMPUTED_VALUE"""),"صيدلية")</f>
        <v>صيدلية</v>
      </c>
      <c r="E1211" s="5" t="str">
        <f ca="1">IFERROR(__xludf.DUMMYFUNCTION("""COMPUTED_VALUE"""),"صيدلية")</f>
        <v>صيدلية</v>
      </c>
      <c r="F1211" s="5" t="str">
        <f ca="1">IFERROR(__xludf.DUMMYFUNCTION("""COMPUTED_VALUE"""),"صيدلية (أدوية ومستلزمات طبية)")</f>
        <v>صيدلية (أدوية ومستلزمات طبية)</v>
      </c>
      <c r="G1211" s="5" t="str">
        <f ca="1">IFERROR(__xludf.DUMMYFUNCTION("""COMPUTED_VALUE"""),"صيدلية د. طاهر عبد الموجود عجور")</f>
        <v>صيدلية د. طاهر عبد الموجود عجور</v>
      </c>
      <c r="H1211" s="5" t="str">
        <f ca="1">IFERROR(__xludf.DUMMYFUNCTION("""COMPUTED_VALUE"""),"52 شارع السوق الكبير - بجوار مدرسة السلام - الباجور - المنوفية")</f>
        <v>52 شارع السوق الكبير - بجوار مدرسة السلام - الباجور - المنوفية</v>
      </c>
      <c r="I1211" s="6" t="str">
        <f ca="1">IFERROR(__xludf.DUMMYFUNCTION("""COMPUTED_VALUE"""),"201116603838")</f>
        <v>201116603838</v>
      </c>
      <c r="J1211" s="6"/>
      <c r="K1211" s="6" t="str">
        <f ca="1">IFERROR(__xludf.DUMMYFUNCTION("""COMPUTED_VALUE"""),"خصم 10% علي المحلي و 5% علي المستورد")</f>
        <v>خصم 10% علي المحلي و 5% علي المستورد</v>
      </c>
    </row>
    <row r="1212" spans="1:11" x14ac:dyDescent="0.25">
      <c r="A1212" s="4" t="str">
        <f ca="1">IFERROR(__xludf.DUMMYFUNCTION("""COMPUTED_VALUE"""),"105182")</f>
        <v>105182</v>
      </c>
      <c r="B1212" s="5" t="str">
        <f ca="1">IFERROR(__xludf.DUMMYFUNCTION("""COMPUTED_VALUE"""),"سوهاج")</f>
        <v>سوهاج</v>
      </c>
      <c r="C1212" s="5" t="str">
        <f ca="1">IFERROR(__xludf.DUMMYFUNCTION("""COMPUTED_VALUE"""),"سوهاج")</f>
        <v>سوهاج</v>
      </c>
      <c r="D1212" s="5" t="str">
        <f ca="1">IFERROR(__xludf.DUMMYFUNCTION("""COMPUTED_VALUE"""),"مستشفى")</f>
        <v>مستشفى</v>
      </c>
      <c r="E1212" s="5" t="str">
        <f ca="1">IFERROR(__xludf.DUMMYFUNCTION("""COMPUTED_VALUE"""),"مستشفي طبي متكامل")</f>
        <v>مستشفي طبي متكامل</v>
      </c>
      <c r="F1212" s="5" t="str">
        <f ca="1">IFERROR(__xludf.DUMMYFUNCTION("""COMPUTED_VALUE"""),"جميع التخصصات الطبية")</f>
        <v>جميع التخصصات الطبية</v>
      </c>
      <c r="G1212" s="5" t="str">
        <f ca="1">IFERROR(__xludf.DUMMYFUNCTION("""COMPUTED_VALUE"""),"شركة طيبة للاستثمار العقاري والتنمية ( مستشفى طيبة رويال بسوهاج)")</f>
        <v>شركة طيبة للاستثمار العقاري والتنمية ( مستشفى طيبة رويال بسوهاج)</v>
      </c>
      <c r="H1212" s="5" t="str">
        <f ca="1">IFERROR(__xludf.DUMMYFUNCTION("""COMPUTED_VALUE"""),"طريق سوهاج اخميم - بجوار البنك الأهلي - سوهاج")</f>
        <v>طريق سوهاج اخميم - بجوار البنك الأهلي - سوهاج</v>
      </c>
      <c r="I1212" s="6" t="str">
        <f ca="1">IFERROR(__xludf.DUMMYFUNCTION("""COMPUTED_VALUE"""),"20934611002")</f>
        <v>20934611002</v>
      </c>
      <c r="J1212" s="6"/>
      <c r="K1212" s="6" t="str">
        <f ca="1">IFERROR(__xludf.DUMMYFUNCTION("""COMPUTED_VALUE"""),"الكشف 75, المؤسسه العلاجيه 2017")</f>
        <v>الكشف 75, المؤسسه العلاجيه 2017</v>
      </c>
    </row>
    <row r="1213" spans="1:11" x14ac:dyDescent="0.25">
      <c r="A1213" s="4" t="str">
        <f ca="1">IFERROR(__xludf.DUMMYFUNCTION("""COMPUTED_VALUE"""),"3101-B")</f>
        <v>3101-B</v>
      </c>
      <c r="B1213" s="5" t="str">
        <f ca="1">IFERROR(__xludf.DUMMYFUNCTION("""COMPUTED_VALUE"""),"أسيوط")</f>
        <v>أسيوط</v>
      </c>
      <c r="C1213" s="5" t="str">
        <f ca="1">IFERROR(__xludf.DUMMYFUNCTION("""COMPUTED_VALUE"""),"أسيوط")</f>
        <v>أسيوط</v>
      </c>
      <c r="D1213" s="5" t="str">
        <f ca="1">IFERROR(__xludf.DUMMYFUNCTION("""COMPUTED_VALUE"""),"صيدلية")</f>
        <v>صيدلية</v>
      </c>
      <c r="E1213" s="5" t="str">
        <f ca="1">IFERROR(__xludf.DUMMYFUNCTION("""COMPUTED_VALUE"""),"صيدلية")</f>
        <v>صيدلية</v>
      </c>
      <c r="F1213" s="5" t="str">
        <f ca="1">IFERROR(__xludf.DUMMYFUNCTION("""COMPUTED_VALUE"""),"صيدلية (أدوية ومستلزمات طبية)")</f>
        <v>صيدلية (أدوية ومستلزمات طبية)</v>
      </c>
      <c r="G1213" s="5" t="str">
        <f ca="1">IFERROR(__xludf.DUMMYFUNCTION("""COMPUTED_VALUE"""),"صيدلية محمد حلمى سيد ضاهر ( قوت القلوب )")</f>
        <v>صيدلية محمد حلمى سيد ضاهر ( قوت القلوب )</v>
      </c>
      <c r="H1213" s="5" t="str">
        <f ca="1">IFERROR(__xludf.DUMMYFUNCTION("""COMPUTED_VALUE"""),"شارع جسر السلطان - أسيوط")</f>
        <v>شارع جسر السلطان - أسيوط</v>
      </c>
      <c r="I1213" s="6" t="str">
        <f ca="1">IFERROR(__xludf.DUMMYFUNCTION("""COMPUTED_VALUE"""),"201002107364")</f>
        <v>201002107364</v>
      </c>
      <c r="J1213" s="6"/>
      <c r="K1213" s="6" t="str">
        <f ca="1">IFERROR(__xludf.DUMMYFUNCTION("""COMPUTED_VALUE"""),"خصم 8% علي كل الادويه")</f>
        <v>خصم 8% علي كل الادويه</v>
      </c>
    </row>
    <row r="1214" spans="1:11" x14ac:dyDescent="0.25">
      <c r="A1214" s="4" t="str">
        <f ca="1">IFERROR(__xludf.DUMMYFUNCTION("""COMPUTED_VALUE"""),"3101-B")</f>
        <v>3101-B</v>
      </c>
      <c r="B1214" s="5" t="str">
        <f ca="1">IFERROR(__xludf.DUMMYFUNCTION("""COMPUTED_VALUE"""),"أسيوط")</f>
        <v>أسيوط</v>
      </c>
      <c r="C1214" s="5" t="str">
        <f ca="1">IFERROR(__xludf.DUMMYFUNCTION("""COMPUTED_VALUE"""),"أسيوط")</f>
        <v>أسيوط</v>
      </c>
      <c r="D1214" s="5" t="str">
        <f ca="1">IFERROR(__xludf.DUMMYFUNCTION("""COMPUTED_VALUE"""),"صيدلية")</f>
        <v>صيدلية</v>
      </c>
      <c r="E1214" s="5" t="str">
        <f ca="1">IFERROR(__xludf.DUMMYFUNCTION("""COMPUTED_VALUE"""),"صيدلية")</f>
        <v>صيدلية</v>
      </c>
      <c r="F1214" s="5" t="str">
        <f ca="1">IFERROR(__xludf.DUMMYFUNCTION("""COMPUTED_VALUE"""),"صيدلية (أدوية ومستلزمات طبية)")</f>
        <v>صيدلية (أدوية ومستلزمات طبية)</v>
      </c>
      <c r="G1214" s="5" t="str">
        <f ca="1">IFERROR(__xludf.DUMMYFUNCTION("""COMPUTED_VALUE"""),"صيدلية محمد حلمى سيد ضاهر ( يوسف عباس )")</f>
        <v>صيدلية محمد حلمى سيد ضاهر ( يوسف عباس )</v>
      </c>
      <c r="H1214" s="5" t="str">
        <f ca="1">IFERROR(__xludf.DUMMYFUNCTION("""COMPUTED_VALUE"""),"شارع الترعة - أسيوط")</f>
        <v>شارع الترعة - أسيوط</v>
      </c>
      <c r="I1214" s="6" t="str">
        <f ca="1">IFERROR(__xludf.DUMMYFUNCTION("""COMPUTED_VALUE"""),"201002107364")</f>
        <v>201002107364</v>
      </c>
      <c r="J1214" s="6"/>
      <c r="K1214" s="6" t="str">
        <f ca="1">IFERROR(__xludf.DUMMYFUNCTION("""COMPUTED_VALUE"""),"خصم 8% علي كل الادويه")</f>
        <v>خصم 8% علي كل الادويه</v>
      </c>
    </row>
    <row r="1215" spans="1:11" x14ac:dyDescent="0.25">
      <c r="A1215" s="4" t="str">
        <f ca="1">IFERROR(__xludf.DUMMYFUNCTION("""COMPUTED_VALUE"""),"105194")</f>
        <v>105194</v>
      </c>
      <c r="B1215" s="5" t="str">
        <f ca="1">IFERROR(__xludf.DUMMYFUNCTION("""COMPUTED_VALUE"""),"الفيوم")</f>
        <v>الفيوم</v>
      </c>
      <c r="C1215" s="5" t="str">
        <f ca="1">IFERROR(__xludf.DUMMYFUNCTION("""COMPUTED_VALUE"""),"الفيوم")</f>
        <v>الفيوم</v>
      </c>
      <c r="D1215" s="5" t="str">
        <f ca="1">IFERROR(__xludf.DUMMYFUNCTION("""COMPUTED_VALUE"""),"هيئة الأطباء")</f>
        <v>هيئة الأطباء</v>
      </c>
      <c r="E1215" s="5" t="str">
        <f ca="1">IFERROR(__xludf.DUMMYFUNCTION("""COMPUTED_VALUE"""),"جراحة")</f>
        <v>جراحة</v>
      </c>
      <c r="F1215" s="5" t="str">
        <f ca="1">IFERROR(__xludf.DUMMYFUNCTION("""COMPUTED_VALUE"""),"جراحة عظام")</f>
        <v>جراحة عظام</v>
      </c>
      <c r="G1215" s="5" t="str">
        <f ca="1">IFERROR(__xludf.DUMMYFUNCTION("""COMPUTED_VALUE"""),"د- محمد فؤاد كامل بيومي (د . محمد فؤاد البيومي )")</f>
        <v>د- محمد فؤاد كامل بيومي (د . محمد فؤاد البيومي )</v>
      </c>
      <c r="H1215" s="5" t="str">
        <f ca="1">IFERROR(__xludf.DUMMYFUNCTION("""COMPUTED_VALUE"""),"دحدورة هدى - عمارة الخديوي - ميدان السهراية - الفيوم")</f>
        <v>دحدورة هدى - عمارة الخديوي - ميدان السهراية - الفيوم</v>
      </c>
      <c r="I1215" s="6" t="str">
        <f ca="1">IFERROR(__xludf.DUMMYFUNCTION("""COMPUTED_VALUE"""),"201008094907")</f>
        <v>201008094907</v>
      </c>
      <c r="J1215" s="6"/>
      <c r="K1215" s="6" t="str">
        <f ca="1">IFERROR(__xludf.DUMMYFUNCTION("""COMPUTED_VALUE"""),"المؤسسه العلاجيه 2017 ,الكشف : 60")</f>
        <v>المؤسسه العلاجيه 2017 ,الكشف : 60</v>
      </c>
    </row>
    <row r="1216" spans="1:11" x14ac:dyDescent="0.25">
      <c r="A1216" s="4" t="str">
        <f ca="1">IFERROR(__xludf.DUMMYFUNCTION("""COMPUTED_VALUE"""),"105197")</f>
        <v>105197</v>
      </c>
      <c r="B1216" s="5" t="str">
        <f ca="1">IFERROR(__xludf.DUMMYFUNCTION("""COMPUTED_VALUE"""),"الشرقية")</f>
        <v>الشرقية</v>
      </c>
      <c r="C1216" s="5" t="str">
        <f ca="1">IFERROR(__xludf.DUMMYFUNCTION("""COMPUTED_VALUE"""),"الزقازيق")</f>
        <v>الزقازيق</v>
      </c>
      <c r="D1216" s="5" t="str">
        <f ca="1">IFERROR(__xludf.DUMMYFUNCTION("""COMPUTED_VALUE"""),"هيئة الأطباء")</f>
        <v>هيئة الأطباء</v>
      </c>
      <c r="E1216" s="5" t="str">
        <f ca="1">IFERROR(__xludf.DUMMYFUNCTION("""COMPUTED_VALUE"""),"جراحة")</f>
        <v>جراحة</v>
      </c>
      <c r="F1216" s="5" t="str">
        <f ca="1">IFERROR(__xludf.DUMMYFUNCTION("""COMPUTED_VALUE"""),"جراحة أورام")</f>
        <v>جراحة أورام</v>
      </c>
      <c r="G1216" s="5" t="str">
        <f ca="1">IFERROR(__xludf.DUMMYFUNCTION("""COMPUTED_VALUE"""),"د- محمد محمود محمد الكيلاني الشرقاوي ( د. محمد الكيلاني )")</f>
        <v>د- محمد محمود محمد الكيلاني الشرقاوي ( د. محمد الكيلاني )</v>
      </c>
      <c r="H1216" s="5" t="str">
        <f ca="1">IFERROR(__xludf.DUMMYFUNCTION("""COMPUTED_VALUE"""),"منطقة مفارق المنصورة - بجوار ستوديو  أبو هاشم - الزقازيق")</f>
        <v>منطقة مفارق المنصورة - بجوار ستوديو  أبو هاشم - الزقازيق</v>
      </c>
      <c r="I1216" s="6" t="str">
        <f ca="1">IFERROR(__xludf.DUMMYFUNCTION("""COMPUTED_VALUE"""),"201222393739")</f>
        <v>201222393739</v>
      </c>
      <c r="J1216" s="6"/>
      <c r="K1216" s="6" t="str">
        <f ca="1">IFERROR(__xludf.DUMMYFUNCTION("""COMPUTED_VALUE"""),"المؤسسه العلاجيه 2017 ,الكشف : 60 جنية")</f>
        <v>المؤسسه العلاجيه 2017 ,الكشف : 60 جنية</v>
      </c>
    </row>
    <row r="1217" spans="1:11" x14ac:dyDescent="0.25">
      <c r="A1217" s="4" t="str">
        <f ca="1">IFERROR(__xludf.DUMMYFUNCTION("""COMPUTED_VALUE"""),"105201")</f>
        <v>105201</v>
      </c>
      <c r="B1217" s="5" t="str">
        <f ca="1">IFERROR(__xludf.DUMMYFUNCTION("""COMPUTED_VALUE"""),"الإسماعيلية")</f>
        <v>الإسماعيلية</v>
      </c>
      <c r="C1217" s="5" t="str">
        <f ca="1">IFERROR(__xludf.DUMMYFUNCTION("""COMPUTED_VALUE"""),"الإسماعيلية")</f>
        <v>الإسماعيلية</v>
      </c>
      <c r="D1217" s="5" t="str">
        <f ca="1">IFERROR(__xludf.DUMMYFUNCTION("""COMPUTED_VALUE"""),"مستشفى")</f>
        <v>مستشفى</v>
      </c>
      <c r="E1217" s="5" t="str">
        <f ca="1">IFERROR(__xludf.DUMMYFUNCTION("""COMPUTED_VALUE"""),"مستشفي طبي متخصص")</f>
        <v>مستشفي طبي متخصص</v>
      </c>
      <c r="F1217" s="5" t="str">
        <f ca="1">IFERROR(__xludf.DUMMYFUNCTION("""COMPUTED_VALUE"""),"نساء وتوليد")</f>
        <v>نساء وتوليد</v>
      </c>
      <c r="G1217" s="5" t="str">
        <f ca="1">IFERROR(__xludf.DUMMYFUNCTION("""COMPUTED_VALUE"""),"د- خالد أحمد محمد عطوة ( مركز نور الايمان للنساء والتوليد )")</f>
        <v>د- خالد أحمد محمد عطوة ( مركز نور الايمان للنساء والتوليد )</v>
      </c>
      <c r="H1217" s="5" t="str">
        <f ca="1">IFERROR(__xludf.DUMMYFUNCTION("""COMPUTED_VALUE"""),"1 شارع دمنهور والسكة الحديد امام مكتبة القرعلي - حي ثاني - الإسماعيلية")</f>
        <v>1 شارع دمنهور والسكة الحديد امام مكتبة القرعلي - حي ثاني - الإسماعيلية</v>
      </c>
      <c r="I1217" s="6" t="str">
        <f ca="1">IFERROR(__xludf.DUMMYFUNCTION("""COMPUTED_VALUE"""),"201111403033")</f>
        <v>201111403033</v>
      </c>
      <c r="J1217" s="6"/>
      <c r="K1217" s="6" t="str">
        <f ca="1">IFERROR(__xludf.DUMMYFUNCTION("""COMPUTED_VALUE"""),"المؤسسه العلاجيه 2016 , الكشف : 70")</f>
        <v>المؤسسه العلاجيه 2016 , الكشف : 70</v>
      </c>
    </row>
    <row r="1218" spans="1:11" x14ac:dyDescent="0.25">
      <c r="A1218" s="4" t="str">
        <f ca="1">IFERROR(__xludf.DUMMYFUNCTION("""COMPUTED_VALUE"""),"105202")</f>
        <v>105202</v>
      </c>
      <c r="B1218" s="5" t="str">
        <f ca="1">IFERROR(__xludf.DUMMYFUNCTION("""COMPUTED_VALUE"""),"المنوفية")</f>
        <v>المنوفية</v>
      </c>
      <c r="C1218" s="5" t="str">
        <f ca="1">IFERROR(__xludf.DUMMYFUNCTION("""COMPUTED_VALUE"""),"شبين الكوم")</f>
        <v>شبين الكوم</v>
      </c>
      <c r="D1218" s="5" t="str">
        <f ca="1">IFERROR(__xludf.DUMMYFUNCTION("""COMPUTED_VALUE"""),"مستشفى")</f>
        <v>مستشفى</v>
      </c>
      <c r="E1218" s="5" t="str">
        <f ca="1">IFERROR(__xludf.DUMMYFUNCTION("""COMPUTED_VALUE"""),"مستشفي طبي متكامل")</f>
        <v>مستشفي طبي متكامل</v>
      </c>
      <c r="F1218" s="5" t="str">
        <f ca="1">IFERROR(__xludf.DUMMYFUNCTION("""COMPUTED_VALUE"""),"جميع التخصصات الطبية")</f>
        <v>جميع التخصصات الطبية</v>
      </c>
      <c r="G1218" s="5" t="str">
        <f ca="1">IFERROR(__xludf.DUMMYFUNCTION("""COMPUTED_VALUE"""),"مركز العاصمة للجراحات والطوارئ والحالات الحرجة")</f>
        <v>مركز العاصمة للجراحات والطوارئ والحالات الحرجة</v>
      </c>
      <c r="H1218" s="5" t="str">
        <f ca="1">IFERROR(__xludf.DUMMYFUNCTION("""COMPUTED_VALUE"""),"شارع جمال عبد الناصر - امام نادي الجمهورية - شبين الكوم - المنوفية")</f>
        <v>شارع جمال عبد الناصر - امام نادي الجمهورية - شبين الكوم - المنوفية</v>
      </c>
      <c r="I1218" s="6" t="str">
        <f ca="1">IFERROR(__xludf.DUMMYFUNCTION("""COMPUTED_VALUE"""),"201011299141")</f>
        <v>201011299141</v>
      </c>
      <c r="J1218" s="6"/>
      <c r="K1218" s="6" t="str">
        <f ca="1">IFERROR(__xludf.DUMMYFUNCTION("""COMPUTED_VALUE"""),"50% على الكشوفات ,30% على الخارجي ,25% على الداخلى")</f>
        <v>50% على الكشوفات ,30% على الخارجي ,25% على الداخلى</v>
      </c>
    </row>
    <row r="1219" spans="1:11" x14ac:dyDescent="0.25">
      <c r="A1219" s="4" t="str">
        <f ca="1">IFERROR(__xludf.DUMMYFUNCTION("""COMPUTED_VALUE"""),"105203")</f>
        <v>105203</v>
      </c>
      <c r="B1219" s="5" t="str">
        <f ca="1">IFERROR(__xludf.DUMMYFUNCTION("""COMPUTED_VALUE"""),"دمياط")</f>
        <v>دمياط</v>
      </c>
      <c r="C1219" s="5" t="str">
        <f ca="1">IFERROR(__xludf.DUMMYFUNCTION("""COMPUTED_VALUE"""),"دمياط")</f>
        <v>دمياط</v>
      </c>
      <c r="D1219" s="5" t="str">
        <f ca="1">IFERROR(__xludf.DUMMYFUNCTION("""COMPUTED_VALUE"""),"شركة")</f>
        <v>شركة</v>
      </c>
      <c r="E1219" s="5" t="str">
        <f ca="1">IFERROR(__xludf.DUMMYFUNCTION("""COMPUTED_VALUE"""),"شركة اجهزة طبية")</f>
        <v>شركة اجهزة طبية</v>
      </c>
      <c r="F1219" s="5" t="str">
        <f ca="1">IFERROR(__xludf.DUMMYFUNCTION("""COMPUTED_VALUE"""),"مركز بصريات")</f>
        <v>مركز بصريات</v>
      </c>
      <c r="G1219" s="5" t="str">
        <f ca="1">IFERROR(__xludf.DUMMYFUNCTION("""COMPUTED_VALUE"""),"بصريات علاء الدين")</f>
        <v>بصريات علاء الدين</v>
      </c>
      <c r="H1219" s="5" t="str">
        <f ca="1">IFERROR(__xludf.DUMMYFUNCTION("""COMPUTED_VALUE"""),"نهاية شارع الشرباصي - بجوار الأسواق الحرة - دمياط")</f>
        <v>نهاية شارع الشرباصي - بجوار الأسواق الحرة - دمياط</v>
      </c>
      <c r="I1219" s="6" t="str">
        <f ca="1">IFERROR(__xludf.DUMMYFUNCTION("""COMPUTED_VALUE"""),"20572278696")</f>
        <v>20572278696</v>
      </c>
      <c r="J1219" s="6"/>
      <c r="K1219" s="6" t="str">
        <f ca="1">IFERROR(__xludf.DUMMYFUNCTION("""COMPUTED_VALUE"""),"خصم يصل الي 25%")</f>
        <v>خصم يصل الي 25%</v>
      </c>
    </row>
    <row r="1220" spans="1:11" x14ac:dyDescent="0.25">
      <c r="A1220" s="4" t="str">
        <f ca="1">IFERROR(__xludf.DUMMYFUNCTION("""COMPUTED_VALUE"""),"105205")</f>
        <v>105205</v>
      </c>
      <c r="B1220" s="5" t="str">
        <f ca="1">IFERROR(__xludf.DUMMYFUNCTION("""COMPUTED_VALUE"""),"المنوفية")</f>
        <v>المنوفية</v>
      </c>
      <c r="C1220" s="5" t="str">
        <f ca="1">IFERROR(__xludf.DUMMYFUNCTION("""COMPUTED_VALUE"""),"شبين الكوم")</f>
        <v>شبين الكوم</v>
      </c>
      <c r="D1220" s="5" t="str">
        <f ca="1">IFERROR(__xludf.DUMMYFUNCTION("""COMPUTED_VALUE"""),"مركز علاج طبيعي")</f>
        <v>مركز علاج طبيعي</v>
      </c>
      <c r="E1220" s="5" t="str">
        <f ca="1">IFERROR(__xludf.DUMMYFUNCTION("""COMPUTED_VALUE"""),"علاج طبيعي")</f>
        <v>علاج طبيعي</v>
      </c>
      <c r="F1220" s="5" t="str">
        <f ca="1">IFERROR(__xludf.DUMMYFUNCTION("""COMPUTED_VALUE"""),"جلسات العلاج الطبيعي")</f>
        <v>جلسات العلاج الطبيعي</v>
      </c>
      <c r="G1220" s="5" t="str">
        <f ca="1">IFERROR(__xludf.DUMMYFUNCTION("""COMPUTED_VALUE"""),"د. عبدالله قطب رجب عبد الجواد حماد ( مركز الحياة للعلاج الطبيعي )")</f>
        <v>د. عبدالله قطب رجب عبد الجواد حماد ( مركز الحياة للعلاج الطبيعي )</v>
      </c>
      <c r="H1220" s="5" t="str">
        <f ca="1">IFERROR(__xludf.DUMMYFUNCTION("""COMPUTED_VALUE"""),"شارع حتحوت - برج بانوراما شرق - أمام السنترال - شبين الكوم - المنوفية")</f>
        <v>شارع حتحوت - برج بانوراما شرق - أمام السنترال - شبين الكوم - المنوفية</v>
      </c>
      <c r="I1220" s="6" t="str">
        <f ca="1">IFERROR(__xludf.DUMMYFUNCTION("""COMPUTED_VALUE"""),"201027540574")</f>
        <v>201027540574</v>
      </c>
      <c r="J1220" s="6"/>
      <c r="K1220" s="6" t="str">
        <f ca="1">IFERROR(__xludf.DUMMYFUNCTION("""COMPUTED_VALUE"""),"35% خصم علي الأسعار النقدي المعلنة")</f>
        <v>35% خصم علي الأسعار النقدي المعلنة</v>
      </c>
    </row>
    <row r="1221" spans="1:11" x14ac:dyDescent="0.25">
      <c r="A1221" s="4" t="str">
        <f ca="1">IFERROR(__xludf.DUMMYFUNCTION("""COMPUTED_VALUE"""),"105206")</f>
        <v>105206</v>
      </c>
      <c r="B1221" s="5" t="str">
        <f ca="1">IFERROR(__xludf.DUMMYFUNCTION("""COMPUTED_VALUE"""),"سوهاج")</f>
        <v>سوهاج</v>
      </c>
      <c r="C1221" s="5" t="str">
        <f ca="1">IFERROR(__xludf.DUMMYFUNCTION("""COMPUTED_VALUE"""),"طما")</f>
        <v>طما</v>
      </c>
      <c r="D1221" s="5" t="str">
        <f ca="1">IFERROR(__xludf.DUMMYFUNCTION("""COMPUTED_VALUE"""),"صيدلية")</f>
        <v>صيدلية</v>
      </c>
      <c r="E1221" s="5" t="str">
        <f ca="1">IFERROR(__xludf.DUMMYFUNCTION("""COMPUTED_VALUE"""),"صيدلية")</f>
        <v>صيدلية</v>
      </c>
      <c r="F1221" s="5" t="str">
        <f ca="1">IFERROR(__xludf.DUMMYFUNCTION("""COMPUTED_VALUE"""),"صيدلية (أدوية ومستلزمات طبية)")</f>
        <v>صيدلية (أدوية ومستلزمات طبية)</v>
      </c>
      <c r="G1221" s="5" t="str">
        <f ca="1">IFERROR(__xludf.DUMMYFUNCTION("""COMPUTED_VALUE"""),"صيدلية د. مؤمن عبد الرؤف علي حسانين")</f>
        <v>صيدلية د. مؤمن عبد الرؤف علي حسانين</v>
      </c>
      <c r="H1221" s="5" t="str">
        <f ca="1">IFERROR(__xludf.DUMMYFUNCTION("""COMPUTED_VALUE"""),"شارع الزارع - متفرع من ميدان القاضي - طما - سوهاج")</f>
        <v>شارع الزارع - متفرع من ميدان القاضي - طما - سوهاج</v>
      </c>
      <c r="I1221" s="6" t="str">
        <f ca="1">IFERROR(__xludf.DUMMYFUNCTION("""COMPUTED_VALUE"""),"20932785060")</f>
        <v>20932785060</v>
      </c>
      <c r="J1221" s="6"/>
      <c r="K1221" s="6" t="str">
        <f ca="1">IFERROR(__xludf.DUMMYFUNCTION("""COMPUTED_VALUE"""),"خصم 12% علي المحلي&amp; 6% علي المستورد")</f>
        <v>خصم 12% علي المحلي&amp; 6% علي المستورد</v>
      </c>
    </row>
    <row r="1222" spans="1:11" x14ac:dyDescent="0.25">
      <c r="A1222" s="4" t="str">
        <f ca="1">IFERROR(__xludf.DUMMYFUNCTION("""COMPUTED_VALUE"""),"105213")</f>
        <v>105213</v>
      </c>
      <c r="B1222" s="5" t="str">
        <f ca="1">IFERROR(__xludf.DUMMYFUNCTION("""COMPUTED_VALUE"""),"سوهاج")</f>
        <v>سوهاج</v>
      </c>
      <c r="C1222" s="5" t="str">
        <f ca="1">IFERROR(__xludf.DUMMYFUNCTION("""COMPUTED_VALUE"""),"طهطا")</f>
        <v>طهطا</v>
      </c>
      <c r="D1222" s="5" t="str">
        <f ca="1">IFERROR(__xludf.DUMMYFUNCTION("""COMPUTED_VALUE"""),"هيئة الأطباء")</f>
        <v>هيئة الأطباء</v>
      </c>
      <c r="E1222" s="5" t="str">
        <f ca="1">IFERROR(__xludf.DUMMYFUNCTION("""COMPUTED_VALUE"""),"جراحة")</f>
        <v>جراحة</v>
      </c>
      <c r="F1222" s="5" t="str">
        <f ca="1">IFERROR(__xludf.DUMMYFUNCTION("""COMPUTED_VALUE"""),"جراحة مسالك بولية وتناسلية")</f>
        <v>جراحة مسالك بولية وتناسلية</v>
      </c>
      <c r="G1222" s="5" t="str">
        <f ca="1">IFERROR(__xludf.DUMMYFUNCTION("""COMPUTED_VALUE"""),"د.امير فايق يوسف فهمى")</f>
        <v>د.امير فايق يوسف فهمى</v>
      </c>
      <c r="H1222" s="5" t="str">
        <f ca="1">IFERROR(__xludf.DUMMYFUNCTION("""COMPUTED_VALUE"""),"شارع بورسعيد امام محلات اللوز-طهطا-سوهاج")</f>
        <v>شارع بورسعيد امام محلات اللوز-طهطا-سوهاج</v>
      </c>
      <c r="I1222" s="6" t="str">
        <f ca="1">IFERROR(__xludf.DUMMYFUNCTION("""COMPUTED_VALUE"""),"201222883521")</f>
        <v>201222883521</v>
      </c>
      <c r="J1222" s="6"/>
      <c r="K1222" s="6" t="str">
        <f ca="1">IFERROR(__xludf.DUMMYFUNCTION("""COMPUTED_VALUE"""),"الكشف: 50 المؤسسه العلاجيه 2017")</f>
        <v>الكشف: 50 المؤسسه العلاجيه 2017</v>
      </c>
    </row>
    <row r="1223" spans="1:11" x14ac:dyDescent="0.25">
      <c r="A1223" s="4" t="str">
        <f ca="1">IFERROR(__xludf.DUMMYFUNCTION("""COMPUTED_VALUE"""),"105214")</f>
        <v>105214</v>
      </c>
      <c r="B1223" s="5" t="str">
        <f ca="1">IFERROR(__xludf.DUMMYFUNCTION("""COMPUTED_VALUE"""),"دمياط")</f>
        <v>دمياط</v>
      </c>
      <c r="C1223" s="5" t="str">
        <f ca="1">IFERROR(__xludf.DUMMYFUNCTION("""COMPUTED_VALUE"""),"دمياط")</f>
        <v>دمياط</v>
      </c>
      <c r="D1223" s="5" t="str">
        <f ca="1">IFERROR(__xludf.DUMMYFUNCTION("""COMPUTED_VALUE"""),"هيئة الأطباء")</f>
        <v>هيئة الأطباء</v>
      </c>
      <c r="E1223" s="5" t="str">
        <f ca="1">IFERROR(__xludf.DUMMYFUNCTION("""COMPUTED_VALUE"""),"جراحة")</f>
        <v>جراحة</v>
      </c>
      <c r="F1223" s="5" t="str">
        <f ca="1">IFERROR(__xludf.DUMMYFUNCTION("""COMPUTED_VALUE"""),"جراحة عامة")</f>
        <v>جراحة عامة</v>
      </c>
      <c r="G1223" s="5" t="str">
        <f ca="1">IFERROR(__xludf.DUMMYFUNCTION("""COMPUTED_VALUE"""),"د.حسام الدين مصطفى محمد سيد(د.حسام مصطفى)")</f>
        <v>د.حسام الدين مصطفى محمد سيد(د.حسام مصطفى)</v>
      </c>
      <c r="H1223" s="5" t="str">
        <f ca="1">IFERROR(__xludf.DUMMYFUNCTION("""COMPUTED_VALUE"""),"سوق الحسبة اعلى صيدليه فتوح-دمياط")</f>
        <v>سوق الحسبة اعلى صيدليه فتوح-دمياط</v>
      </c>
      <c r="I1223" s="6" t="str">
        <f ca="1">IFERROR(__xludf.DUMMYFUNCTION("""COMPUTED_VALUE"""),"20572360272")</f>
        <v>20572360272</v>
      </c>
      <c r="J1223" s="6"/>
      <c r="K1223" s="6" t="str">
        <f ca="1">IFERROR(__xludf.DUMMYFUNCTION("""COMPUTED_VALUE"""),"الكشف: 50 المؤسسه العلاجيه 2017")</f>
        <v>الكشف: 50 المؤسسه العلاجيه 2017</v>
      </c>
    </row>
    <row r="1224" spans="1:11" x14ac:dyDescent="0.25">
      <c r="A1224" s="4" t="str">
        <f ca="1">IFERROR(__xludf.DUMMYFUNCTION("""COMPUTED_VALUE"""),"105217")</f>
        <v>105217</v>
      </c>
      <c r="B1224" s="5" t="str">
        <f ca="1">IFERROR(__xludf.DUMMYFUNCTION("""COMPUTED_VALUE"""),"القاهرة")</f>
        <v>القاهرة</v>
      </c>
      <c r="C1224" s="5" t="str">
        <f ca="1">IFERROR(__xludf.DUMMYFUNCTION("""COMPUTED_VALUE"""),"المنيل")</f>
        <v>المنيل</v>
      </c>
      <c r="D1224" s="5" t="str">
        <f ca="1">IFERROR(__xludf.DUMMYFUNCTION("""COMPUTED_VALUE"""),"هيئة الأطباء")</f>
        <v>هيئة الأطباء</v>
      </c>
      <c r="E1224" s="5" t="str">
        <f ca="1">IFERROR(__xludf.DUMMYFUNCTION("""COMPUTED_VALUE"""),"باطنة")</f>
        <v>باطنة</v>
      </c>
      <c r="F1224" s="5" t="str">
        <f ca="1">IFERROR(__xludf.DUMMYFUNCTION("""COMPUTED_VALUE"""),"قلب واوعية دموية")</f>
        <v>قلب واوعية دموية</v>
      </c>
      <c r="G1224" s="5" t="str">
        <f ca="1">IFERROR(__xludf.DUMMYFUNCTION("""COMPUTED_VALUE"""),"د. حسام الدين غانم عبد الغفار الحصري")</f>
        <v>د. حسام الدين غانم عبد الغفار الحصري</v>
      </c>
      <c r="H1224" s="5" t="str">
        <f ca="1">IFERROR(__xludf.DUMMYFUNCTION("""COMPUTED_VALUE"""),"47 شارع المنيل - المنيل - القاهرة")</f>
        <v>47 شارع المنيل - المنيل - القاهرة</v>
      </c>
      <c r="I1224" s="6" t="str">
        <f ca="1">IFERROR(__xludf.DUMMYFUNCTION("""COMPUTED_VALUE"""),"20236233738")</f>
        <v>20236233738</v>
      </c>
      <c r="J1224" s="6"/>
      <c r="K1224" s="6" t="str">
        <f ca="1">IFERROR(__xludf.DUMMYFUNCTION("""COMPUTED_VALUE"""),", الكشف : 120 نقابه 2017")</f>
        <v>, الكشف : 120 نقابه 2017</v>
      </c>
    </row>
    <row r="1225" spans="1:11" x14ac:dyDescent="0.25">
      <c r="A1225" s="4" t="str">
        <f ca="1">IFERROR(__xludf.DUMMYFUNCTION("""COMPUTED_VALUE"""),"105219")</f>
        <v>105219</v>
      </c>
      <c r="B1225" s="5" t="str">
        <f ca="1">IFERROR(__xludf.DUMMYFUNCTION("""COMPUTED_VALUE"""),"الاسكندرية")</f>
        <v>الاسكندرية</v>
      </c>
      <c r="C1225" s="5" t="str">
        <f ca="1">IFERROR(__xludf.DUMMYFUNCTION("""COMPUTED_VALUE"""),"سيدي بشر")</f>
        <v>سيدي بشر</v>
      </c>
      <c r="D1225" s="5" t="str">
        <f ca="1">IFERROR(__xludf.DUMMYFUNCTION("""COMPUTED_VALUE"""),"هيئة الأطباء")</f>
        <v>هيئة الأطباء</v>
      </c>
      <c r="E1225" s="5" t="str">
        <f ca="1">IFERROR(__xludf.DUMMYFUNCTION("""COMPUTED_VALUE"""),"اسنان")</f>
        <v>اسنان</v>
      </c>
      <c r="F1225" s="5" t="str">
        <f ca="1">IFERROR(__xludf.DUMMYFUNCTION("""COMPUTED_VALUE"""),"جراحة الفم والأسنان")</f>
        <v>جراحة الفم والأسنان</v>
      </c>
      <c r="G1225" s="5" t="str">
        <f ca="1">IFERROR(__xludf.DUMMYFUNCTION("""COMPUTED_VALUE"""),"د.محمد سامى محمد عبدالعال أبو الدهب (سامى دنتال كلينك)")</f>
        <v>د.محمد سامى محمد عبدالعال أبو الدهب (سامى دنتال كلينك)</v>
      </c>
      <c r="H1225" s="5" t="str">
        <f ca="1">IFERROR(__xludf.DUMMYFUNCTION("""COMPUTED_VALUE"""),"16 شارع البكباشى - امام حلوانى برنيس - سيدى بشر البحرى - الإسكندرية")</f>
        <v>16 شارع البكباشى - امام حلوانى برنيس - سيدى بشر البحرى - الإسكندرية</v>
      </c>
      <c r="I1225" s="6" t="str">
        <f ca="1">IFERROR(__xludf.DUMMYFUNCTION("""COMPUTED_VALUE"""),"201101222244")</f>
        <v>201101222244</v>
      </c>
      <c r="J1225" s="6"/>
      <c r="K1225" s="6" t="str">
        <f ca="1">IFERROR(__xludf.DUMMYFUNCTION("""COMPUTED_VALUE"""),"خصم 25 % علي الأسعار النقدي المعلنة")</f>
        <v>خصم 25 % علي الأسعار النقدي المعلنة</v>
      </c>
    </row>
    <row r="1226" spans="1:11" x14ac:dyDescent="0.25">
      <c r="A1226" s="4" t="str">
        <f ca="1">IFERROR(__xludf.DUMMYFUNCTION("""COMPUTED_VALUE"""),"105221")</f>
        <v>105221</v>
      </c>
      <c r="B1226" s="5" t="str">
        <f ca="1">IFERROR(__xludf.DUMMYFUNCTION("""COMPUTED_VALUE"""),"الإسماعيلية")</f>
        <v>الإسماعيلية</v>
      </c>
      <c r="C1226" s="5" t="str">
        <f ca="1">IFERROR(__xludf.DUMMYFUNCTION("""COMPUTED_VALUE"""),"الإسماعيلية")</f>
        <v>الإسماعيلية</v>
      </c>
      <c r="D1226" s="5" t="str">
        <f ca="1">IFERROR(__xludf.DUMMYFUNCTION("""COMPUTED_VALUE"""),"شركة")</f>
        <v>شركة</v>
      </c>
      <c r="E1226" s="5" t="str">
        <f ca="1">IFERROR(__xludf.DUMMYFUNCTION("""COMPUTED_VALUE"""),"شركة اجهزة طبية")</f>
        <v>شركة اجهزة طبية</v>
      </c>
      <c r="F1226" s="5" t="str">
        <f ca="1">IFERROR(__xludf.DUMMYFUNCTION("""COMPUTED_VALUE"""),"مركز بصريات")</f>
        <v>مركز بصريات</v>
      </c>
      <c r="G1226" s="5" t="str">
        <f ca="1">IFERROR(__xludf.DUMMYFUNCTION("""COMPUTED_VALUE"""),"محمود عزت إبراهيم المتولى(عزت إبراهيم للبصريات)")</f>
        <v>محمود عزت إبراهيم المتولى(عزت إبراهيم للبصريات)</v>
      </c>
      <c r="H1226" s="5" t="str">
        <f ca="1">IFERROR(__xludf.DUMMYFUNCTION("""COMPUTED_VALUE"""),"شارع السكة الحديد - الممر - امام نادى الشجرة - الإسماعيلية")</f>
        <v>شارع السكة الحديد - الممر - امام نادى الشجرة - الإسماعيلية</v>
      </c>
      <c r="I1226" s="6" t="str">
        <f ca="1">IFERROR(__xludf.DUMMYFUNCTION("""COMPUTED_VALUE"""),"201003364776")</f>
        <v>201003364776</v>
      </c>
      <c r="J1226" s="6"/>
      <c r="K1226" s="6" t="str">
        <f ca="1">IFERROR(__xludf.DUMMYFUNCTION("""COMPUTED_VALUE"""),"30% علي النظارات الطبية والشمسية")</f>
        <v>30% علي النظارات الطبية والشمسية</v>
      </c>
    </row>
    <row r="1227" spans="1:11" x14ac:dyDescent="0.25">
      <c r="A1227" s="4" t="str">
        <f ca="1">IFERROR(__xludf.DUMMYFUNCTION("""COMPUTED_VALUE"""),"105222")</f>
        <v>105222</v>
      </c>
      <c r="B1227" s="5" t="str">
        <f ca="1">IFERROR(__xludf.DUMMYFUNCTION("""COMPUTED_VALUE"""),"الفيوم")</f>
        <v>الفيوم</v>
      </c>
      <c r="C1227" s="5" t="str">
        <f ca="1">IFERROR(__xludf.DUMMYFUNCTION("""COMPUTED_VALUE"""),"الفيوم")</f>
        <v>الفيوم</v>
      </c>
      <c r="D1227" s="5" t="str">
        <f ca="1">IFERROR(__xludf.DUMMYFUNCTION("""COMPUTED_VALUE"""),"شركة")</f>
        <v>شركة</v>
      </c>
      <c r="E1227" s="5" t="str">
        <f ca="1">IFERROR(__xludf.DUMMYFUNCTION("""COMPUTED_VALUE"""),"شركة اجهزة طبية")</f>
        <v>شركة اجهزة طبية</v>
      </c>
      <c r="F1227" s="5" t="str">
        <f ca="1">IFERROR(__xludf.DUMMYFUNCTION("""COMPUTED_VALUE"""),"مركز بصريات")</f>
        <v>مركز بصريات</v>
      </c>
      <c r="G1227" s="5" t="str">
        <f ca="1">IFERROR(__xludf.DUMMYFUNCTION("""COMPUTED_VALUE"""),"خالد على فرج محمد (فريم للنظارات)")</f>
        <v>خالد على فرج محمد (فريم للنظارات)</v>
      </c>
      <c r="H1227" s="5" t="str">
        <f ca="1">IFERROR(__xludf.DUMMYFUNCTION("""COMPUTED_VALUE"""),"شارع الفتح - بجوار الغرفة التجارية - الفيوم")</f>
        <v>شارع الفتح - بجوار الغرفة التجارية - الفيوم</v>
      </c>
      <c r="I1227" s="6" t="str">
        <f ca="1">IFERROR(__xludf.DUMMYFUNCTION("""COMPUTED_VALUE"""),"201068053842")</f>
        <v>201068053842</v>
      </c>
      <c r="J1227" s="6"/>
      <c r="K1227" s="6" t="str">
        <f ca="1">IFERROR(__xludf.DUMMYFUNCTION("""COMPUTED_VALUE"""),"خصم يصل الي 20%")</f>
        <v>خصم يصل الي 20%</v>
      </c>
    </row>
    <row r="1228" spans="1:11" x14ac:dyDescent="0.25">
      <c r="A1228" s="4" t="str">
        <f ca="1">IFERROR(__xludf.DUMMYFUNCTION("""COMPUTED_VALUE"""),"105223")</f>
        <v>105223</v>
      </c>
      <c r="B1228" s="5" t="str">
        <f ca="1">IFERROR(__xludf.DUMMYFUNCTION("""COMPUTED_VALUE"""),"كفر الشيخ")</f>
        <v>كفر الشيخ</v>
      </c>
      <c r="C1228" s="5" t="str">
        <f ca="1">IFERROR(__xludf.DUMMYFUNCTION("""COMPUTED_VALUE"""),"كفر الشيخ")</f>
        <v>كفر الشيخ</v>
      </c>
      <c r="D1228" s="5" t="str">
        <f ca="1">IFERROR(__xludf.DUMMYFUNCTION("""COMPUTED_VALUE"""),"شركة")</f>
        <v>شركة</v>
      </c>
      <c r="E1228" s="5" t="str">
        <f ca="1">IFERROR(__xludf.DUMMYFUNCTION("""COMPUTED_VALUE"""),"شركة اجهزة طبية")</f>
        <v>شركة اجهزة طبية</v>
      </c>
      <c r="F1228" s="5" t="str">
        <f ca="1">IFERROR(__xludf.DUMMYFUNCTION("""COMPUTED_VALUE"""),"مركز بصريات")</f>
        <v>مركز بصريات</v>
      </c>
      <c r="G1228" s="5" t="str">
        <f ca="1">IFERROR(__xludf.DUMMYFUNCTION("""COMPUTED_VALUE"""),"اسلام منير زكى صالح سيد احمد(نظارات الغنام)")</f>
        <v>اسلام منير زكى صالح سيد احمد(نظارات الغنام)</v>
      </c>
      <c r="H1228" s="5" t="str">
        <f ca="1">IFERROR(__xludf.DUMMYFUNCTION("""COMPUTED_VALUE"""),"برج عمر بن العاص - امام مستشفى الرمد - كفر الشيخ")</f>
        <v>برج عمر بن العاص - امام مستشفى الرمد - كفر الشيخ</v>
      </c>
      <c r="I1228" s="6" t="str">
        <f ca="1">IFERROR(__xludf.DUMMYFUNCTION("""COMPUTED_VALUE"""),"201062236224")</f>
        <v>201062236224</v>
      </c>
      <c r="J1228" s="6"/>
      <c r="K1228" s="6" t="str">
        <f ca="1">IFERROR(__xludf.DUMMYFUNCTION("""COMPUTED_VALUE"""),"خصم يصل الي 20%")</f>
        <v>خصم يصل الي 20%</v>
      </c>
    </row>
    <row r="1229" spans="1:11" x14ac:dyDescent="0.25">
      <c r="A1229" s="4" t="str">
        <f ca="1">IFERROR(__xludf.DUMMYFUNCTION("""COMPUTED_VALUE"""),"105232")</f>
        <v>105232</v>
      </c>
      <c r="B1229" s="5" t="str">
        <f ca="1">IFERROR(__xludf.DUMMYFUNCTION("""COMPUTED_VALUE"""),"قنا")</f>
        <v>قنا</v>
      </c>
      <c r="C1229" s="5" t="str">
        <f ca="1">IFERROR(__xludf.DUMMYFUNCTION("""COMPUTED_VALUE"""),"قنا")</f>
        <v>قنا</v>
      </c>
      <c r="D1229" s="5" t="str">
        <f ca="1">IFERROR(__xludf.DUMMYFUNCTION("""COMPUTED_VALUE"""),"شركة")</f>
        <v>شركة</v>
      </c>
      <c r="E1229" s="5" t="str">
        <f ca="1">IFERROR(__xludf.DUMMYFUNCTION("""COMPUTED_VALUE"""),"شركة اجهزة طبية")</f>
        <v>شركة اجهزة طبية</v>
      </c>
      <c r="F1229" s="5" t="str">
        <f ca="1">IFERROR(__xludf.DUMMYFUNCTION("""COMPUTED_VALUE"""),"مركز بصريات")</f>
        <v>مركز بصريات</v>
      </c>
      <c r="G1229" s="5" t="str">
        <f ca="1">IFERROR(__xludf.DUMMYFUNCTION("""COMPUTED_VALUE"""),"ياسر عرفات محمود صديق(بصريات نور الحياة)")</f>
        <v>ياسر عرفات محمود صديق(بصريات نور الحياة)</v>
      </c>
      <c r="H1229" s="5" t="str">
        <f ca="1">IFERROR(__xludf.DUMMYFUNCTION("""COMPUTED_VALUE"""),"شارع المستشفى العام - بجوار مستشفى دار العيون - قنا")</f>
        <v>شارع المستشفى العام - بجوار مستشفى دار العيون - قنا</v>
      </c>
      <c r="I1229" s="6" t="str">
        <f ca="1">IFERROR(__xludf.DUMMYFUNCTION("""COMPUTED_VALUE"""),"201001342733")</f>
        <v>201001342733</v>
      </c>
      <c r="J1229" s="6"/>
      <c r="K1229" s="6" t="str">
        <f ca="1">IFERROR(__xludf.DUMMYFUNCTION("""COMPUTED_VALUE"""),"خصم يصل الي 25%")</f>
        <v>خصم يصل الي 25%</v>
      </c>
    </row>
    <row r="1230" spans="1:11" x14ac:dyDescent="0.25">
      <c r="A1230" s="4" t="str">
        <f ca="1">IFERROR(__xludf.DUMMYFUNCTION("""COMPUTED_VALUE"""),"105236")</f>
        <v>105236</v>
      </c>
      <c r="B1230" s="5" t="str">
        <f ca="1">IFERROR(__xludf.DUMMYFUNCTION("""COMPUTED_VALUE"""),"الشرقية")</f>
        <v>الشرقية</v>
      </c>
      <c r="C1230" s="5" t="str">
        <f ca="1">IFERROR(__xludf.DUMMYFUNCTION("""COMPUTED_VALUE"""),"الزقازيق")</f>
        <v>الزقازيق</v>
      </c>
      <c r="D1230" s="5" t="str">
        <f ca="1">IFERROR(__xludf.DUMMYFUNCTION("""COMPUTED_VALUE"""),"مجمع عيادات")</f>
        <v>مجمع عيادات</v>
      </c>
      <c r="E1230" s="5" t="str">
        <f ca="1">IFERROR(__xludf.DUMMYFUNCTION("""COMPUTED_VALUE"""),"جميع التخصصات")</f>
        <v>جميع التخصصات</v>
      </c>
      <c r="F1230" s="5" t="str">
        <f ca="1">IFERROR(__xludf.DUMMYFUNCTION("""COMPUTED_VALUE"""),"جميع التخصصات الطبية")</f>
        <v>جميع التخصصات الطبية</v>
      </c>
      <c r="G1230" s="5" t="str">
        <f ca="1">IFERROR(__xludf.DUMMYFUNCTION("""COMPUTED_VALUE"""),"د/احمد وحيد عزالعرب حافظ توفيق(نيو لايف بولى كلينك)")</f>
        <v>د/احمد وحيد عزالعرب حافظ توفيق(نيو لايف بولى كلينك)</v>
      </c>
      <c r="H1230" s="5" t="str">
        <f ca="1">IFERROR(__xludf.DUMMYFUNCTION("""COMPUTED_VALUE"""),"شارع السلام - امام مركز أسامة خليل للاشعة- ميدان القومية - الزقازيق")</f>
        <v>شارع السلام - امام مركز أسامة خليل للاشعة- ميدان القومية - الزقازيق</v>
      </c>
      <c r="I1230" s="6" t="str">
        <f ca="1">IFERROR(__xludf.DUMMYFUNCTION("""COMPUTED_VALUE"""),"201066344440")</f>
        <v>201066344440</v>
      </c>
      <c r="J1230" s="6"/>
      <c r="K1230" s="6" t="str">
        <f ca="1">IFERROR(__xludf.DUMMYFUNCTION("""COMPUTED_VALUE"""),"25% على جميع الخدمات فيما عدا المستلزمات و الادوية و خدمات بنك الدم")</f>
        <v>25% على جميع الخدمات فيما عدا المستلزمات و الادوية و خدمات بنك الدم</v>
      </c>
    </row>
    <row r="1231" spans="1:11" x14ac:dyDescent="0.25">
      <c r="A1231" s="4" t="str">
        <f ca="1">IFERROR(__xludf.DUMMYFUNCTION("""COMPUTED_VALUE"""),"105221-B")</f>
        <v>105221-B</v>
      </c>
      <c r="B1231" s="5" t="str">
        <f ca="1">IFERROR(__xludf.DUMMYFUNCTION("""COMPUTED_VALUE"""),"الإسماعيلية")</f>
        <v>الإسماعيلية</v>
      </c>
      <c r="C1231" s="5" t="str">
        <f ca="1">IFERROR(__xludf.DUMMYFUNCTION("""COMPUTED_VALUE"""),"الإسماعيلية")</f>
        <v>الإسماعيلية</v>
      </c>
      <c r="D1231" s="5" t="str">
        <f ca="1">IFERROR(__xludf.DUMMYFUNCTION("""COMPUTED_VALUE"""),"شركة")</f>
        <v>شركة</v>
      </c>
      <c r="E1231" s="5" t="str">
        <f ca="1">IFERROR(__xludf.DUMMYFUNCTION("""COMPUTED_VALUE"""),"شركة اجهزة طبية")</f>
        <v>شركة اجهزة طبية</v>
      </c>
      <c r="F1231" s="5" t="str">
        <f ca="1">IFERROR(__xludf.DUMMYFUNCTION("""COMPUTED_VALUE"""),"مركز بصريات")</f>
        <v>مركز بصريات</v>
      </c>
      <c r="G1231" s="5" t="str">
        <f ca="1">IFERROR(__xludf.DUMMYFUNCTION("""COMPUTED_VALUE"""),"محمود عزت إبراهيم المتولى(عزت إبراهيم للبصريات)")</f>
        <v>محمود عزت إبراهيم المتولى(عزت إبراهيم للبصريات)</v>
      </c>
      <c r="H1231" s="5" t="str">
        <f ca="1">IFERROR(__xludf.DUMMYFUNCTION("""COMPUTED_VALUE"""),"شارع شبين الكوم - امام مستشفى المعلمين - الإسماعيلية")</f>
        <v>شارع شبين الكوم - امام مستشفى المعلمين - الإسماعيلية</v>
      </c>
      <c r="I1231" s="6" t="str">
        <f ca="1">IFERROR(__xludf.DUMMYFUNCTION("""COMPUTED_VALUE"""),"201013038444")</f>
        <v>201013038444</v>
      </c>
      <c r="J1231" s="6"/>
      <c r="K1231" s="6" t="str">
        <f ca="1">IFERROR(__xludf.DUMMYFUNCTION("""COMPUTED_VALUE"""),"30% علي النظارات الطبية والشمسية")</f>
        <v>30% علي النظارات الطبية والشمسية</v>
      </c>
    </row>
    <row r="1232" spans="1:11" x14ac:dyDescent="0.25">
      <c r="A1232" s="4" t="str">
        <f ca="1">IFERROR(__xludf.DUMMYFUNCTION("""COMPUTED_VALUE"""),"105241")</f>
        <v>105241</v>
      </c>
      <c r="B1232" s="5" t="str">
        <f ca="1">IFERROR(__xludf.DUMMYFUNCTION("""COMPUTED_VALUE"""),"الجيزة")</f>
        <v>الجيزة</v>
      </c>
      <c r="C1232" s="5" t="str">
        <f ca="1">IFERROR(__xludf.DUMMYFUNCTION("""COMPUTED_VALUE"""),"الحوامدية")</f>
        <v>الحوامدية</v>
      </c>
      <c r="D1232" s="5" t="str">
        <f ca="1">IFERROR(__xludf.DUMMYFUNCTION("""COMPUTED_VALUE"""),"مركز أشعة")</f>
        <v>مركز أشعة</v>
      </c>
      <c r="E1232" s="5" t="str">
        <f ca="1">IFERROR(__xludf.DUMMYFUNCTION("""COMPUTED_VALUE"""),"مركز أشعة")</f>
        <v>مركز أشعة</v>
      </c>
      <c r="F1232" s="5" t="str">
        <f ca="1">IFERROR(__xludf.DUMMYFUNCTION("""COMPUTED_VALUE"""),"مركز الأشعة التشخيصية")</f>
        <v>مركز الأشعة التشخيصية</v>
      </c>
      <c r="G1232" s="5" t="str">
        <f ca="1">IFERROR(__xludf.DUMMYFUNCTION("""COMPUTED_VALUE"""),"شركة البوشى لادارة وتشغيل المراكز الطبية(مركز البوشى سكان للاشعة)")</f>
        <v>شركة البوشى لادارة وتشغيل المراكز الطبية(مركز البوشى سكان للاشعة)</v>
      </c>
      <c r="H1232" s="5" t="str">
        <f ca="1">IFERROR(__xludf.DUMMYFUNCTION("""COMPUTED_VALUE"""),"شارع طراد النيل - بجوار القسم القديم - الحوامدية")</f>
        <v>شارع طراد النيل - بجوار القسم القديم - الحوامدية</v>
      </c>
      <c r="I1232" s="6" t="str">
        <f ca="1">IFERROR(__xludf.DUMMYFUNCTION("""COMPUTED_VALUE"""),"01151500004")</f>
        <v>01151500004</v>
      </c>
      <c r="J1232" s="6"/>
      <c r="K1232" s="6" t="str">
        <f ca="1">IFERROR(__xludf.DUMMYFUNCTION("""COMPUTED_VALUE"""),"30% على كل الخدمات")</f>
        <v>30% على كل الخدمات</v>
      </c>
    </row>
    <row r="1233" spans="1:11" x14ac:dyDescent="0.25">
      <c r="A1233" s="4" t="str">
        <f ca="1">IFERROR(__xludf.DUMMYFUNCTION("""COMPUTED_VALUE"""),"105243")</f>
        <v>105243</v>
      </c>
      <c r="B1233" s="5" t="str">
        <f ca="1">IFERROR(__xludf.DUMMYFUNCTION("""COMPUTED_VALUE"""),"قنا")</f>
        <v>قنا</v>
      </c>
      <c r="C1233" s="5" t="str">
        <f ca="1">IFERROR(__xludf.DUMMYFUNCTION("""COMPUTED_VALUE"""),"قنا")</f>
        <v>قنا</v>
      </c>
      <c r="D1233" s="5" t="str">
        <f ca="1">IFERROR(__xludf.DUMMYFUNCTION("""COMPUTED_VALUE"""),"مركز علاج طبيعي")</f>
        <v>مركز علاج طبيعي</v>
      </c>
      <c r="E1233" s="5" t="str">
        <f ca="1">IFERROR(__xludf.DUMMYFUNCTION("""COMPUTED_VALUE"""),"علاج طبيعي")</f>
        <v>علاج طبيعي</v>
      </c>
      <c r="F1233" s="5" t="str">
        <f ca="1">IFERROR(__xludf.DUMMYFUNCTION("""COMPUTED_VALUE"""),"جلسات العلاج الطبيعي")</f>
        <v>جلسات العلاج الطبيعي</v>
      </c>
      <c r="G1233" s="5" t="str">
        <f ca="1">IFERROR(__xludf.DUMMYFUNCTION("""COMPUTED_VALUE"""),"د/ سناء عبدالهادى محمد احمد (مركز الهادى للعلاج الطبيعى)")</f>
        <v>د/ سناء عبدالهادى محمد احمد (مركز الهادى للعلاج الطبيعى)</v>
      </c>
      <c r="H1233" s="5" t="str">
        <f ca="1">IFERROR(__xludf.DUMMYFUNCTION("""COMPUTED_VALUE"""),"حوض 10 - شارع عمر بن الخطاب - متفرع من ميدان أبو بكر الصديق - قنا")</f>
        <v>حوض 10 - شارع عمر بن الخطاب - متفرع من ميدان أبو بكر الصديق - قنا</v>
      </c>
      <c r="I1233" s="6" t="str">
        <f ca="1">IFERROR(__xludf.DUMMYFUNCTION("""COMPUTED_VALUE"""),"01127410752")</f>
        <v>01127410752</v>
      </c>
      <c r="J1233" s="6"/>
      <c r="K1233" s="6" t="str">
        <f ca="1">IFERROR(__xludf.DUMMYFUNCTION("""COMPUTED_VALUE"""),"30% على الأسعار النقدي المعلنه")</f>
        <v>30% على الأسعار النقدي المعلنه</v>
      </c>
    </row>
    <row r="1234" spans="1:11" x14ac:dyDescent="0.25">
      <c r="A1234" s="4" t="str">
        <f ca="1">IFERROR(__xludf.DUMMYFUNCTION("""COMPUTED_VALUE"""),"105251")</f>
        <v>105251</v>
      </c>
      <c r="B1234" s="5" t="str">
        <f ca="1">IFERROR(__xludf.DUMMYFUNCTION("""COMPUTED_VALUE"""),"بني سويف")</f>
        <v>بني سويف</v>
      </c>
      <c r="C1234" s="5" t="str">
        <f ca="1">IFERROR(__xludf.DUMMYFUNCTION("""COMPUTED_VALUE"""),"الفشن")</f>
        <v>الفشن</v>
      </c>
      <c r="D1234" s="5" t="str">
        <f ca="1">IFERROR(__xludf.DUMMYFUNCTION("""COMPUTED_VALUE"""),"صيدلية")</f>
        <v>صيدلية</v>
      </c>
      <c r="E1234" s="5" t="str">
        <f ca="1">IFERROR(__xludf.DUMMYFUNCTION("""COMPUTED_VALUE"""),"صيدلية")</f>
        <v>صيدلية</v>
      </c>
      <c r="F1234" s="5" t="str">
        <f ca="1">IFERROR(__xludf.DUMMYFUNCTION("""COMPUTED_VALUE"""),"صيدلية (أدوية ومستلزمات طبية)")</f>
        <v>صيدلية (أدوية ومستلزمات طبية)</v>
      </c>
      <c r="G1234" s="5" t="str">
        <f ca="1">IFERROR(__xludf.DUMMYFUNCTION("""COMPUTED_VALUE"""),"د/ عماد فوزى توفيق حنين (صيدلية د/عماد فوزى)")</f>
        <v>د/ عماد فوزى توفيق حنين (صيدلية د/عماد فوزى)</v>
      </c>
      <c r="H1234" s="5" t="str">
        <f ca="1">IFERROR(__xludf.DUMMYFUNCTION("""COMPUTED_VALUE"""),"شارع سماح الوجوه - الفشن")</f>
        <v>شارع سماح الوجوه - الفشن</v>
      </c>
      <c r="I1234" s="6" t="str">
        <f ca="1">IFERROR(__xludf.DUMMYFUNCTION("""COMPUTED_VALUE"""),"201275492457")</f>
        <v>201275492457</v>
      </c>
      <c r="J1234" s="6"/>
      <c r="K1234" s="6" t="str">
        <f ca="1">IFERROR(__xludf.DUMMYFUNCTION("""COMPUTED_VALUE"""),"خصم 12% علي المحلي&amp; 6% علي المستورد")</f>
        <v>خصم 12% علي المحلي&amp; 6% علي المستورد</v>
      </c>
    </row>
    <row r="1235" spans="1:11" x14ac:dyDescent="0.25">
      <c r="A1235" s="4" t="str">
        <f ca="1">IFERROR(__xludf.DUMMYFUNCTION("""COMPUTED_VALUE"""),"105253")</f>
        <v>105253</v>
      </c>
      <c r="B1235" s="5" t="str">
        <f ca="1">IFERROR(__xludf.DUMMYFUNCTION("""COMPUTED_VALUE"""),"كفر الشيخ")</f>
        <v>كفر الشيخ</v>
      </c>
      <c r="C1235" s="5" t="str">
        <f ca="1">IFERROR(__xludf.DUMMYFUNCTION("""COMPUTED_VALUE"""),"بلطيم")</f>
        <v>بلطيم</v>
      </c>
      <c r="D1235" s="5" t="str">
        <f ca="1">IFERROR(__xludf.DUMMYFUNCTION("""COMPUTED_VALUE"""),"صيدلية")</f>
        <v>صيدلية</v>
      </c>
      <c r="E1235" s="5" t="str">
        <f ca="1">IFERROR(__xludf.DUMMYFUNCTION("""COMPUTED_VALUE"""),"صيدلية")</f>
        <v>صيدلية</v>
      </c>
      <c r="F1235" s="5" t="str">
        <f ca="1">IFERROR(__xludf.DUMMYFUNCTION("""COMPUTED_VALUE"""),"صيدلية (أدوية ومستلزمات طبية)")</f>
        <v>صيدلية (أدوية ومستلزمات طبية)</v>
      </c>
      <c r="G1235" s="5" t="str">
        <f ca="1">IFERROR(__xludf.DUMMYFUNCTION("""COMPUTED_VALUE"""),"صيدلية محب عطية")</f>
        <v>صيدلية محب عطية</v>
      </c>
      <c r="H1235" s="5" t="str">
        <f ca="1">IFERROR(__xludf.DUMMYFUNCTION("""COMPUTED_VALUE"""),"شارع التحرير خلف البنك الاهلى - بلطيم")</f>
        <v>شارع التحرير خلف البنك الاهلى - بلطيم</v>
      </c>
      <c r="I1235" s="6" t="str">
        <f ca="1">IFERROR(__xludf.DUMMYFUNCTION("""COMPUTED_VALUE"""),"20472512970")</f>
        <v>20472512970</v>
      </c>
      <c r="J1235" s="6"/>
      <c r="K1235" s="6" t="str">
        <f ca="1">IFERROR(__xludf.DUMMYFUNCTION("""COMPUTED_VALUE"""),"خصم 7% علي كل الادويه")</f>
        <v>خصم 7% علي كل الادويه</v>
      </c>
    </row>
    <row r="1236" spans="1:11" x14ac:dyDescent="0.25">
      <c r="A1236" s="4" t="str">
        <f ca="1">IFERROR(__xludf.DUMMYFUNCTION("""COMPUTED_VALUE"""),"105255-B")</f>
        <v>105255-B</v>
      </c>
      <c r="B1236" s="5" t="str">
        <f ca="1">IFERROR(__xludf.DUMMYFUNCTION("""COMPUTED_VALUE"""),"الجيزة")</f>
        <v>الجيزة</v>
      </c>
      <c r="C1236" s="5" t="str">
        <f ca="1">IFERROR(__xludf.DUMMYFUNCTION("""COMPUTED_VALUE"""),"الجيزة")</f>
        <v>الجيزة</v>
      </c>
      <c r="D1236" s="5" t="str">
        <f ca="1">IFERROR(__xludf.DUMMYFUNCTION("""COMPUTED_VALUE"""),"معمل")</f>
        <v>معمل</v>
      </c>
      <c r="E1236" s="5" t="str">
        <f ca="1">IFERROR(__xludf.DUMMYFUNCTION("""COMPUTED_VALUE"""),"معمل")</f>
        <v>معمل</v>
      </c>
      <c r="F1236" s="5" t="str">
        <f ca="1">IFERROR(__xludf.DUMMYFUNCTION("""COMPUTED_VALUE"""),"معمل التحاليل الطبية")</f>
        <v>معمل التحاليل الطبية</v>
      </c>
      <c r="G1236" s="5" t="str">
        <f ca="1">IFERROR(__xludf.DUMMYFUNCTION("""COMPUTED_VALUE"""),"لايف لاب")</f>
        <v>لايف لاب</v>
      </c>
      <c r="H1236" s="5" t="str">
        <f ca="1">IFERROR(__xludf.DUMMYFUNCTION("""COMPUTED_VALUE"""),"12أ ش مراد بجوار عمر افندي- الجيزة")</f>
        <v>12أ ش مراد بجوار عمر افندي- الجيزة</v>
      </c>
      <c r="I1236" s="6" t="str">
        <f ca="1">IFERROR(__xludf.DUMMYFUNCTION("""COMPUTED_VALUE"""),"20235709597")</f>
        <v>20235709597</v>
      </c>
      <c r="J1236" s="6"/>
      <c r="K1236" s="6" t="str">
        <f ca="1">IFERROR(__xludf.DUMMYFUNCTION("""COMPUTED_VALUE"""),"30% على الخدمات ")</f>
        <v xml:space="preserve">30% على الخدمات </v>
      </c>
    </row>
    <row r="1237" spans="1:11" x14ac:dyDescent="0.25">
      <c r="A1237" s="4" t="str">
        <f ca="1">IFERROR(__xludf.DUMMYFUNCTION("""COMPUTED_VALUE"""),"105255-B")</f>
        <v>105255-B</v>
      </c>
      <c r="B1237" s="5" t="str">
        <f ca="1">IFERROR(__xludf.DUMMYFUNCTION("""COMPUTED_VALUE"""),"الجيزة")</f>
        <v>الجيزة</v>
      </c>
      <c r="C1237" s="5" t="str">
        <f ca="1">IFERROR(__xludf.DUMMYFUNCTION("""COMPUTED_VALUE"""),"الجيزة")</f>
        <v>الجيزة</v>
      </c>
      <c r="D1237" s="5" t="str">
        <f ca="1">IFERROR(__xludf.DUMMYFUNCTION("""COMPUTED_VALUE"""),"معمل")</f>
        <v>معمل</v>
      </c>
      <c r="E1237" s="5" t="str">
        <f ca="1">IFERROR(__xludf.DUMMYFUNCTION("""COMPUTED_VALUE"""),"معمل")</f>
        <v>معمل</v>
      </c>
      <c r="F1237" s="5" t="str">
        <f ca="1">IFERROR(__xludf.DUMMYFUNCTION("""COMPUTED_VALUE"""),"معمل التحاليل الطبية")</f>
        <v>معمل التحاليل الطبية</v>
      </c>
      <c r="G1237" s="5" t="str">
        <f ca="1">IFERROR(__xludf.DUMMYFUNCTION("""COMPUTED_VALUE"""),"لايف لاب")</f>
        <v>لايف لاب</v>
      </c>
      <c r="H1237" s="5" t="str">
        <f ca="1">IFERROR(__xludf.DUMMYFUNCTION("""COMPUTED_VALUE"""),"4 شارع ترعة الزمر - المنيب- الجيزة")</f>
        <v>4 شارع ترعة الزمر - المنيب- الجيزة</v>
      </c>
      <c r="I1237" s="6" t="str">
        <f ca="1">IFERROR(__xludf.DUMMYFUNCTION("""COMPUTED_VALUE"""),"20229812409")</f>
        <v>20229812409</v>
      </c>
      <c r="J1237" s="6"/>
      <c r="K1237" s="6" t="str">
        <f ca="1">IFERROR(__xludf.DUMMYFUNCTION("""COMPUTED_VALUE"""),"30% على الخدمات ")</f>
        <v xml:space="preserve">30% على الخدمات </v>
      </c>
    </row>
    <row r="1238" spans="1:11" x14ac:dyDescent="0.25">
      <c r="A1238" s="4" t="str">
        <f ca="1">IFERROR(__xludf.DUMMYFUNCTION("""COMPUTED_VALUE"""),"105255-B")</f>
        <v>105255-B</v>
      </c>
      <c r="B1238" s="5" t="str">
        <f ca="1">IFERROR(__xludf.DUMMYFUNCTION("""COMPUTED_VALUE"""),"الجيزة")</f>
        <v>الجيزة</v>
      </c>
      <c r="C1238" s="5" t="str">
        <f ca="1">IFERROR(__xludf.DUMMYFUNCTION("""COMPUTED_VALUE"""),"العمرانية")</f>
        <v>العمرانية</v>
      </c>
      <c r="D1238" s="5" t="str">
        <f ca="1">IFERROR(__xludf.DUMMYFUNCTION("""COMPUTED_VALUE"""),"معمل")</f>
        <v>معمل</v>
      </c>
      <c r="E1238" s="5" t="str">
        <f ca="1">IFERROR(__xludf.DUMMYFUNCTION("""COMPUTED_VALUE"""),"معمل")</f>
        <v>معمل</v>
      </c>
      <c r="F1238" s="5" t="str">
        <f ca="1">IFERROR(__xludf.DUMMYFUNCTION("""COMPUTED_VALUE"""),"معمل التحاليل الطبية")</f>
        <v>معمل التحاليل الطبية</v>
      </c>
      <c r="G1238" s="5" t="str">
        <f ca="1">IFERROR(__xludf.DUMMYFUNCTION("""COMPUTED_VALUE"""),"لايف لاب")</f>
        <v>لايف لاب</v>
      </c>
      <c r="H1238" s="5" t="str">
        <f ca="1">IFERROR(__xludf.DUMMYFUNCTION("""COMPUTED_VALUE"""),"65ش الثلاثيني - برج سما - بجوار مستشفى تبارك محطة التعمير-العمرانية- الجيزة")</f>
        <v>65ش الثلاثيني - برج سما - بجوار مستشفى تبارك محطة التعمير-العمرانية- الجيزة</v>
      </c>
      <c r="I1238" s="6" t="str">
        <f ca="1">IFERROR(__xludf.DUMMYFUNCTION("""COMPUTED_VALUE"""),"20235652992")</f>
        <v>20235652992</v>
      </c>
      <c r="J1238" s="6"/>
      <c r="K1238" s="6" t="str">
        <f ca="1">IFERROR(__xludf.DUMMYFUNCTION("""COMPUTED_VALUE"""),"30% على الخدمات ")</f>
        <v xml:space="preserve">30% على الخدمات </v>
      </c>
    </row>
    <row r="1239" spans="1:11" x14ac:dyDescent="0.25">
      <c r="A1239" s="4" t="str">
        <f ca="1">IFERROR(__xludf.DUMMYFUNCTION("""COMPUTED_VALUE"""),"105255-B")</f>
        <v>105255-B</v>
      </c>
      <c r="B1239" s="5" t="str">
        <f ca="1">IFERROR(__xludf.DUMMYFUNCTION("""COMPUTED_VALUE"""),"الجيزة")</f>
        <v>الجيزة</v>
      </c>
      <c r="C1239" s="5" t="str">
        <f ca="1">IFERROR(__xludf.DUMMYFUNCTION("""COMPUTED_VALUE"""),"امبابة")</f>
        <v>امبابة</v>
      </c>
      <c r="D1239" s="5" t="str">
        <f ca="1">IFERROR(__xludf.DUMMYFUNCTION("""COMPUTED_VALUE"""),"معمل")</f>
        <v>معمل</v>
      </c>
      <c r="E1239" s="5" t="str">
        <f ca="1">IFERROR(__xludf.DUMMYFUNCTION("""COMPUTED_VALUE"""),"معمل")</f>
        <v>معمل</v>
      </c>
      <c r="F1239" s="5" t="str">
        <f ca="1">IFERROR(__xludf.DUMMYFUNCTION("""COMPUTED_VALUE"""),"معمل التحاليل الطبية")</f>
        <v>معمل التحاليل الطبية</v>
      </c>
      <c r="G1239" s="5" t="str">
        <f ca="1">IFERROR(__xludf.DUMMYFUNCTION("""COMPUTED_VALUE"""),"لايف لاب")</f>
        <v>لايف لاب</v>
      </c>
      <c r="H1239" s="5" t="str">
        <f ca="1">IFERROR(__xludf.DUMMYFUNCTION("""COMPUTED_VALUE"""),"87ش الوحدة - بجوار عصائر العسكري - امبابة - الجيزة")</f>
        <v>87ش الوحدة - بجوار عصائر العسكري - امبابة - الجيزة</v>
      </c>
      <c r="I1239" s="6" t="str">
        <f ca="1">IFERROR(__xludf.DUMMYFUNCTION("""COMPUTED_VALUE"""),"20237100305")</f>
        <v>20237100305</v>
      </c>
      <c r="J1239" s="6"/>
      <c r="K1239" s="6" t="str">
        <f ca="1">IFERROR(__xludf.DUMMYFUNCTION("""COMPUTED_VALUE"""),"30% على الخدمات ")</f>
        <v xml:space="preserve">30% على الخدمات </v>
      </c>
    </row>
    <row r="1240" spans="1:11" x14ac:dyDescent="0.25">
      <c r="A1240" s="4" t="str">
        <f ca="1">IFERROR(__xludf.DUMMYFUNCTION("""COMPUTED_VALUE"""),"105255-B")</f>
        <v>105255-B</v>
      </c>
      <c r="B1240" s="5" t="str">
        <f ca="1">IFERROR(__xludf.DUMMYFUNCTION("""COMPUTED_VALUE"""),"القاهرة")</f>
        <v>القاهرة</v>
      </c>
      <c r="C1240" s="5" t="str">
        <f ca="1">IFERROR(__xludf.DUMMYFUNCTION("""COMPUTED_VALUE"""),"دار السلام")</f>
        <v>دار السلام</v>
      </c>
      <c r="D1240" s="5" t="str">
        <f ca="1">IFERROR(__xludf.DUMMYFUNCTION("""COMPUTED_VALUE"""),"معمل")</f>
        <v>معمل</v>
      </c>
      <c r="E1240" s="5" t="str">
        <f ca="1">IFERROR(__xludf.DUMMYFUNCTION("""COMPUTED_VALUE"""),"معمل")</f>
        <v>معمل</v>
      </c>
      <c r="F1240" s="5" t="str">
        <f ca="1">IFERROR(__xludf.DUMMYFUNCTION("""COMPUTED_VALUE"""),"معمل التحاليل الطبية")</f>
        <v>معمل التحاليل الطبية</v>
      </c>
      <c r="G1240" s="5" t="str">
        <f ca="1">IFERROR(__xludf.DUMMYFUNCTION("""COMPUTED_VALUE"""),"لايف لاب")</f>
        <v>لايف لاب</v>
      </c>
      <c r="H1240" s="5" t="str">
        <f ca="1">IFERROR(__xludf.DUMMYFUNCTION("""COMPUTED_VALUE"""),"103 ش مصر حلوان الزراعي - اسفل كيو سكان للاشعة-دار السلام-القاهرة")</f>
        <v>103 ش مصر حلوان الزراعي - اسفل كيو سكان للاشعة-دار السلام-القاهرة</v>
      </c>
      <c r="I1240" s="6" t="str">
        <f ca="1">IFERROR(__xludf.DUMMYFUNCTION("""COMPUTED_VALUE"""),"20225252516")</f>
        <v>20225252516</v>
      </c>
      <c r="J1240" s="6"/>
      <c r="K1240" s="6" t="str">
        <f ca="1">IFERROR(__xludf.DUMMYFUNCTION("""COMPUTED_VALUE"""),"30% على الخدمات ")</f>
        <v xml:space="preserve">30% على الخدمات </v>
      </c>
    </row>
    <row r="1241" spans="1:11" x14ac:dyDescent="0.25">
      <c r="A1241" s="4" t="str">
        <f ca="1">IFERROR(__xludf.DUMMYFUNCTION("""COMPUTED_VALUE"""),"105255-B")</f>
        <v>105255-B</v>
      </c>
      <c r="B1241" s="5" t="str">
        <f ca="1">IFERROR(__xludf.DUMMYFUNCTION("""COMPUTED_VALUE"""),"القاهرة")</f>
        <v>القاهرة</v>
      </c>
      <c r="C1241" s="5" t="str">
        <f ca="1">IFERROR(__xludf.DUMMYFUNCTION("""COMPUTED_VALUE"""),"مصر الجديدة")</f>
        <v>مصر الجديدة</v>
      </c>
      <c r="D1241" s="5" t="str">
        <f ca="1">IFERROR(__xludf.DUMMYFUNCTION("""COMPUTED_VALUE"""),"معمل")</f>
        <v>معمل</v>
      </c>
      <c r="E1241" s="5" t="str">
        <f ca="1">IFERROR(__xludf.DUMMYFUNCTION("""COMPUTED_VALUE"""),"معمل")</f>
        <v>معمل</v>
      </c>
      <c r="F1241" s="5" t="str">
        <f ca="1">IFERROR(__xludf.DUMMYFUNCTION("""COMPUTED_VALUE"""),"معمل التحاليل الطبية")</f>
        <v>معمل التحاليل الطبية</v>
      </c>
      <c r="G1241" s="5" t="str">
        <f ca="1">IFERROR(__xludf.DUMMYFUNCTION("""COMPUTED_VALUE"""),"لايف لاب")</f>
        <v>لايف لاب</v>
      </c>
      <c r="H1241" s="5" t="str">
        <f ca="1">IFERROR(__xludf.DUMMYFUNCTION("""COMPUTED_VALUE"""),"فوق العبودي - روكسي-مصر الجديدة-القاهرة")</f>
        <v>فوق العبودي - روكسي-مصر الجديدة-القاهرة</v>
      </c>
      <c r="I1241" s="6" t="str">
        <f ca="1">IFERROR(__xludf.DUMMYFUNCTION("""COMPUTED_VALUE"""),"201066636801")</f>
        <v>201066636801</v>
      </c>
      <c r="J1241" s="6"/>
      <c r="K1241" s="6" t="str">
        <f ca="1">IFERROR(__xludf.DUMMYFUNCTION("""COMPUTED_VALUE"""),"30% على الخدمات ")</f>
        <v xml:space="preserve">30% على الخدمات </v>
      </c>
    </row>
    <row r="1242" spans="1:11" x14ac:dyDescent="0.25">
      <c r="A1242" s="4" t="str">
        <f ca="1">IFERROR(__xludf.DUMMYFUNCTION("""COMPUTED_VALUE"""),"105255-B")</f>
        <v>105255-B</v>
      </c>
      <c r="B1242" s="5" t="str">
        <f ca="1">IFERROR(__xludf.DUMMYFUNCTION("""COMPUTED_VALUE"""),"القاهرة")</f>
        <v>القاهرة</v>
      </c>
      <c r="C1242" s="5" t="str">
        <f ca="1">IFERROR(__xludf.DUMMYFUNCTION("""COMPUTED_VALUE"""),"وسط البلد")</f>
        <v>وسط البلد</v>
      </c>
      <c r="D1242" s="5" t="str">
        <f ca="1">IFERROR(__xludf.DUMMYFUNCTION("""COMPUTED_VALUE"""),"معمل")</f>
        <v>معمل</v>
      </c>
      <c r="E1242" s="5" t="str">
        <f ca="1">IFERROR(__xludf.DUMMYFUNCTION("""COMPUTED_VALUE"""),"معمل")</f>
        <v>معمل</v>
      </c>
      <c r="F1242" s="5" t="str">
        <f ca="1">IFERROR(__xludf.DUMMYFUNCTION("""COMPUTED_VALUE"""),"معمل التحاليل الطبية")</f>
        <v>معمل التحاليل الطبية</v>
      </c>
      <c r="G1242" s="5" t="str">
        <f ca="1">IFERROR(__xludf.DUMMYFUNCTION("""COMPUTED_VALUE"""),"لايف لاب")</f>
        <v>لايف لاب</v>
      </c>
      <c r="H1242" s="5" t="str">
        <f ca="1">IFERROR(__xludf.DUMMYFUNCTION("""COMPUTED_VALUE"""),"11 ميدان الفلكى-باب اللوق-وسط البلد-القاهرة")</f>
        <v>11 ميدان الفلكى-باب اللوق-وسط البلد-القاهرة</v>
      </c>
      <c r="I1242" s="6" t="str">
        <f ca="1">IFERROR(__xludf.DUMMYFUNCTION("""COMPUTED_VALUE"""),"20223920407")</f>
        <v>20223920407</v>
      </c>
      <c r="J1242" s="6"/>
      <c r="K1242" s="6" t="str">
        <f ca="1">IFERROR(__xludf.DUMMYFUNCTION("""COMPUTED_VALUE"""),"30% على الخدمات ")</f>
        <v xml:space="preserve">30% على الخدمات </v>
      </c>
    </row>
    <row r="1243" spans="1:11" x14ac:dyDescent="0.25">
      <c r="A1243" s="4" t="str">
        <f ca="1">IFERROR(__xludf.DUMMYFUNCTION("""COMPUTED_VALUE"""),"105255")</f>
        <v>105255</v>
      </c>
      <c r="B1243" s="5" t="str">
        <f ca="1">IFERROR(__xludf.DUMMYFUNCTION("""COMPUTED_VALUE"""),"القاهرة")</f>
        <v>القاهرة</v>
      </c>
      <c r="C1243" s="5" t="str">
        <f ca="1">IFERROR(__xludf.DUMMYFUNCTION("""COMPUTED_VALUE"""),"وسط البلد")</f>
        <v>وسط البلد</v>
      </c>
      <c r="D1243" s="5" t="str">
        <f ca="1">IFERROR(__xludf.DUMMYFUNCTION("""COMPUTED_VALUE"""),"معمل")</f>
        <v>معمل</v>
      </c>
      <c r="E1243" s="5" t="str">
        <f ca="1">IFERROR(__xludf.DUMMYFUNCTION("""COMPUTED_VALUE"""),"معمل")</f>
        <v>معمل</v>
      </c>
      <c r="F1243" s="5" t="str">
        <f ca="1">IFERROR(__xludf.DUMMYFUNCTION("""COMPUTED_VALUE"""),"معمل التحاليل الطبية")</f>
        <v>معمل التحاليل الطبية</v>
      </c>
      <c r="G1243" s="5" t="str">
        <f ca="1">IFERROR(__xludf.DUMMYFUNCTION("""COMPUTED_VALUE"""),"لايف لاب")</f>
        <v>لايف لاب</v>
      </c>
      <c r="H1243" s="5" t="str">
        <f ca="1">IFERROR(__xludf.DUMMYFUNCTION("""COMPUTED_VALUE"""),"1محمد فهمي السيد بجوار سفارة السودان - مستشفى جاردن سيتي-وسط البلد-القاهرة")</f>
        <v>1محمد فهمي السيد بجوار سفارة السودان - مستشفى جاردن سيتي-وسط البلد-القاهرة</v>
      </c>
      <c r="I1243" s="6" t="str">
        <f ca="1">IFERROR(__xludf.DUMMYFUNCTION("""COMPUTED_VALUE"""),"20227955847")</f>
        <v>20227955847</v>
      </c>
      <c r="J1243" s="6"/>
      <c r="K1243" s="6" t="str">
        <f ca="1">IFERROR(__xludf.DUMMYFUNCTION("""COMPUTED_VALUE"""),"30% على الخدمات ")</f>
        <v xml:space="preserve">30% على الخدمات </v>
      </c>
    </row>
    <row r="1244" spans="1:11" x14ac:dyDescent="0.25">
      <c r="A1244" s="4" t="str">
        <f ca="1">IFERROR(__xludf.DUMMYFUNCTION("""COMPUTED_VALUE"""),"105255-B")</f>
        <v>105255-B</v>
      </c>
      <c r="B1244" s="5" t="str">
        <f ca="1">IFERROR(__xludf.DUMMYFUNCTION("""COMPUTED_VALUE"""),"القليوبية")</f>
        <v>القليوبية</v>
      </c>
      <c r="C1244" s="5" t="str">
        <f ca="1">IFERROR(__xludf.DUMMYFUNCTION("""COMPUTED_VALUE"""),"القناطر الخيرية")</f>
        <v>القناطر الخيرية</v>
      </c>
      <c r="D1244" s="5" t="str">
        <f ca="1">IFERROR(__xludf.DUMMYFUNCTION("""COMPUTED_VALUE"""),"معمل")</f>
        <v>معمل</v>
      </c>
      <c r="E1244" s="5" t="str">
        <f ca="1">IFERROR(__xludf.DUMMYFUNCTION("""COMPUTED_VALUE"""),"معمل")</f>
        <v>معمل</v>
      </c>
      <c r="F1244" s="5" t="str">
        <f ca="1">IFERROR(__xludf.DUMMYFUNCTION("""COMPUTED_VALUE"""),"معمل التحاليل الطبية")</f>
        <v>معمل التحاليل الطبية</v>
      </c>
      <c r="G1244" s="5" t="str">
        <f ca="1">IFERROR(__xludf.DUMMYFUNCTION("""COMPUTED_VALUE"""),"لايف لاب")</f>
        <v>لايف لاب</v>
      </c>
      <c r="H1244" s="5" t="str">
        <f ca="1">IFERROR(__xludf.DUMMYFUNCTION("""COMPUTED_VALUE"""),"مركز السلام الطبي شارع مدرسة نور السلام-القناطر الخيرية-القليوبية")</f>
        <v>مركز السلام الطبي شارع مدرسة نور السلام-القناطر الخيرية-القليوبية</v>
      </c>
      <c r="I1244" s="6" t="str">
        <f ca="1">IFERROR(__xludf.DUMMYFUNCTION("""COMPUTED_VALUE"""),"20242170796")</f>
        <v>20242170796</v>
      </c>
      <c r="J1244" s="6"/>
      <c r="K1244" s="6" t="str">
        <f ca="1">IFERROR(__xludf.DUMMYFUNCTION("""COMPUTED_VALUE"""),"30% على الخدمات ")</f>
        <v xml:space="preserve">30% على الخدمات </v>
      </c>
    </row>
    <row r="1245" spans="1:11" x14ac:dyDescent="0.25">
      <c r="A1245" s="4" t="str">
        <f ca="1">IFERROR(__xludf.DUMMYFUNCTION("""COMPUTED_VALUE"""),"105255-B")</f>
        <v>105255-B</v>
      </c>
      <c r="B1245" s="5" t="str">
        <f ca="1">IFERROR(__xludf.DUMMYFUNCTION("""COMPUTED_VALUE"""),"المنيا")</f>
        <v>المنيا</v>
      </c>
      <c r="C1245" s="5" t="str">
        <f ca="1">IFERROR(__xludf.DUMMYFUNCTION("""COMPUTED_VALUE"""),"المنيا")</f>
        <v>المنيا</v>
      </c>
      <c r="D1245" s="5" t="str">
        <f ca="1">IFERROR(__xludf.DUMMYFUNCTION("""COMPUTED_VALUE"""),"معمل")</f>
        <v>معمل</v>
      </c>
      <c r="E1245" s="5" t="str">
        <f ca="1">IFERROR(__xludf.DUMMYFUNCTION("""COMPUTED_VALUE"""),"معمل")</f>
        <v>معمل</v>
      </c>
      <c r="F1245" s="5" t="str">
        <f ca="1">IFERROR(__xludf.DUMMYFUNCTION("""COMPUTED_VALUE"""),"معمل التحاليل الطبية")</f>
        <v>معمل التحاليل الطبية</v>
      </c>
      <c r="G1245" s="5" t="str">
        <f ca="1">IFERROR(__xludf.DUMMYFUNCTION("""COMPUTED_VALUE"""),"لايف لاب")</f>
        <v>لايف لاب</v>
      </c>
      <c r="H1245" s="5" t="str">
        <f ca="1">IFERROR(__xludf.DUMMYFUNCTION("""COMPUTED_VALUE"""),"مركز مطاي شارع الابراهيمية بجوار المركز الطبي - المنيا")</f>
        <v>مركز مطاي شارع الابراهيمية بجوار المركز الطبي - المنيا</v>
      </c>
      <c r="I1245" s="6" t="str">
        <f ca="1">IFERROR(__xludf.DUMMYFUNCTION("""COMPUTED_VALUE"""),"201099920164")</f>
        <v>201099920164</v>
      </c>
      <c r="J1245" s="6"/>
      <c r="K1245" s="6" t="str">
        <f ca="1">IFERROR(__xludf.DUMMYFUNCTION("""COMPUTED_VALUE"""),"30% على الخدمات ")</f>
        <v xml:space="preserve">30% على الخدمات </v>
      </c>
    </row>
    <row r="1246" spans="1:11" x14ac:dyDescent="0.25">
      <c r="A1246" s="4" t="str">
        <f ca="1">IFERROR(__xludf.DUMMYFUNCTION("""COMPUTED_VALUE"""),"105260")</f>
        <v>105260</v>
      </c>
      <c r="B1246" s="5" t="str">
        <f ca="1">IFERROR(__xludf.DUMMYFUNCTION("""COMPUTED_VALUE"""),"القاهرة")</f>
        <v>القاهرة</v>
      </c>
      <c r="C1246" s="5" t="str">
        <f ca="1">IFERROR(__xludf.DUMMYFUNCTION("""COMPUTED_VALUE"""),"شبرا")</f>
        <v>شبرا</v>
      </c>
      <c r="D1246" s="5" t="str">
        <f ca="1">IFERROR(__xludf.DUMMYFUNCTION("""COMPUTED_VALUE"""),"مستشفى")</f>
        <v>مستشفى</v>
      </c>
      <c r="E1246" s="5" t="str">
        <f ca="1">IFERROR(__xludf.DUMMYFUNCTION("""COMPUTED_VALUE"""),"مستشفي طبي متخصص")</f>
        <v>مستشفي طبي متخصص</v>
      </c>
      <c r="F1246" s="5" t="str">
        <f ca="1">IFERROR(__xludf.DUMMYFUNCTION("""COMPUTED_VALUE"""),"رمد (جراحة عيون)")</f>
        <v>رمد (جراحة عيون)</v>
      </c>
      <c r="G1246" s="5" t="str">
        <f ca="1">IFERROR(__xludf.DUMMYFUNCTION("""COMPUTED_VALUE"""),"مركز عيون لجراحات العيون وعلاج ضعف الابصار")</f>
        <v>مركز عيون لجراحات العيون وعلاج ضعف الابصار</v>
      </c>
      <c r="H1246" s="5" t="str">
        <f ca="1">IFERROR(__xludf.DUMMYFUNCTION("""COMPUTED_VALUE"""),"16 شارع دولتيان  - ميدان الخلفاوى   - شبرا")</f>
        <v>16 شارع دولتيان  - ميدان الخلفاوى   - شبرا</v>
      </c>
      <c r="I1246" s="6"/>
      <c r="J1246" s="6" t="str">
        <f ca="1">IFERROR(__xludf.DUMMYFUNCTION("""COMPUTED_VALUE"""),"16554")</f>
        <v>16554</v>
      </c>
      <c r="K1246" s="6" t="str">
        <f ca="1">IFERROR(__xludf.DUMMYFUNCTION("""COMPUTED_VALUE"""),"خصم 20% علي العيادات الخارجيه، 10% علي العمليات.")</f>
        <v>خصم 20% علي العيادات الخارجيه، 10% علي العمليات.</v>
      </c>
    </row>
    <row r="1247" spans="1:11" x14ac:dyDescent="0.25">
      <c r="A1247" s="4" t="str">
        <f ca="1">IFERROR(__xludf.DUMMYFUNCTION("""COMPUTED_VALUE"""),"105237")</f>
        <v>105237</v>
      </c>
      <c r="B1247" s="5" t="str">
        <f ca="1">IFERROR(__xludf.DUMMYFUNCTION("""COMPUTED_VALUE"""),"القاهرة")</f>
        <v>القاهرة</v>
      </c>
      <c r="C1247" s="5" t="str">
        <f ca="1">IFERROR(__xludf.DUMMYFUNCTION("""COMPUTED_VALUE"""),"القاهرة الجديدة")</f>
        <v>القاهرة الجديدة</v>
      </c>
      <c r="D1247" s="5" t="str">
        <f ca="1">IFERROR(__xludf.DUMMYFUNCTION("""COMPUTED_VALUE"""),"مجمع عيادات")</f>
        <v>مجمع عيادات</v>
      </c>
      <c r="E1247" s="5" t="str">
        <f ca="1">IFERROR(__xludf.DUMMYFUNCTION("""COMPUTED_VALUE"""),"جميع التخصصات")</f>
        <v>جميع التخصصات</v>
      </c>
      <c r="F1247" s="5" t="str">
        <f ca="1">IFERROR(__xludf.DUMMYFUNCTION("""COMPUTED_VALUE"""),"جميع التخصصات الطبية")</f>
        <v>جميع التخصصات الطبية</v>
      </c>
      <c r="G1247" s="5" t="str">
        <f ca="1">IFERROR(__xludf.DUMMYFUNCTION("""COMPUTED_VALUE"""),"شركة سي اتش جي للخدمات الطبية ( عيادات كليوباترا جروب )")</f>
        <v>شركة سي اتش جي للخدمات الطبية ( عيادات كليوباترا جروب )</v>
      </c>
      <c r="H1247" s="5" t="str">
        <f ca="1">IFERROR(__xludf.DUMMYFUNCTION("""COMPUTED_VALUE"""),"قطعة 418 - مركز المدينة - قطاع ثالث - التجمع الخامس - القاهرة الجديدة")</f>
        <v>قطعة 418 - مركز المدينة - قطاع ثالث - التجمع الخامس - القاهرة الجديدة</v>
      </c>
      <c r="I1247" s="6"/>
      <c r="J1247" s="6" t="str">
        <f ca="1">IFERROR(__xludf.DUMMYFUNCTION("""COMPUTED_VALUE"""),"19668")</f>
        <v>19668</v>
      </c>
      <c r="K1247" s="6" t="str">
        <f ca="1">IFERROR(__xludf.DUMMYFUNCTION("""COMPUTED_VALUE"""),"10% على العيادات ,20% على خدمات الأشعة والتحاليل و الاسنان و تطبيق نسبه خصم 15% علي العلاج الطبيعي، لا يتم تطبيق نسبة الخصم علي الادوية و لبمستلزمات ، الاجهزة الطبيه و الغازات ، وحده الكلي الصناعي، وحده العلاج الاشعاعي - الاتفقيات الشاملة ، المناظير، الدم"&amp;"غه و القسطرة المخية و القلبية ، خدمات بنك الدم ، معمل الانسجه، الاسعاف، و الخدمات التي تؤدي خارج المستشفي ، 15% خدمه)")</f>
        <v>10% على العيادات ,20% على خدمات الأشعة والتحاليل و الاسنان و تطبيق نسبه خصم 15% علي العلاج الطبيعي، لا يتم تطبيق نسبة الخصم علي الادوية و لبمستلزمات ، الاجهزة الطبيه و الغازات ، وحده الكلي الصناعي، وحده العلاج الاشعاعي - الاتفقيات الشاملة ، المناظير، الدمغه و القسطرة المخية و القلبية ، خدمات بنك الدم ، معمل الانسجه، الاسعاف، و الخدمات التي تؤدي خارج المستشفي ، 15% خدمه)</v>
      </c>
    </row>
    <row r="1248" spans="1:11" x14ac:dyDescent="0.25">
      <c r="A1248" s="4" t="str">
        <f ca="1">IFERROR(__xludf.DUMMYFUNCTION("""COMPUTED_VALUE"""),"105264")</f>
        <v>105264</v>
      </c>
      <c r="B1248" s="5" t="str">
        <f ca="1">IFERROR(__xludf.DUMMYFUNCTION("""COMPUTED_VALUE"""),"الشرقية")</f>
        <v>الشرقية</v>
      </c>
      <c r="C1248" s="5" t="str">
        <f ca="1">IFERROR(__xludf.DUMMYFUNCTION("""COMPUTED_VALUE"""),"الزقازيق")</f>
        <v>الزقازيق</v>
      </c>
      <c r="D1248" s="5" t="str">
        <f ca="1">IFERROR(__xludf.DUMMYFUNCTION("""COMPUTED_VALUE"""),"مستشفى")</f>
        <v>مستشفى</v>
      </c>
      <c r="E1248" s="5" t="str">
        <f ca="1">IFERROR(__xludf.DUMMYFUNCTION("""COMPUTED_VALUE"""),"مستشفي طبي متكامل")</f>
        <v>مستشفي طبي متكامل</v>
      </c>
      <c r="F1248" s="5" t="str">
        <f ca="1">IFERROR(__xludf.DUMMYFUNCTION("""COMPUTED_VALUE"""),"جميع التخصصات الطبية")</f>
        <v>جميع التخصصات الطبية</v>
      </c>
      <c r="G1248" s="5" t="str">
        <f ca="1">IFERROR(__xludf.DUMMYFUNCTION("""COMPUTED_VALUE"""),"مستشفى قصر الحياة الطبي")</f>
        <v>مستشفى قصر الحياة الطبي</v>
      </c>
      <c r="H1248" s="5" t="str">
        <f ca="1">IFERROR(__xludf.DUMMYFUNCTION("""COMPUTED_VALUE"""),"الكيلو 8 طريق الزقازيق ميت غمر - بجوار منفذ دانون - الزقازيق")</f>
        <v>الكيلو 8 طريق الزقازيق ميت غمر - بجوار منفذ دانون - الزقازيق</v>
      </c>
      <c r="I1248" s="6" t="str">
        <f ca="1">IFERROR(__xludf.DUMMYFUNCTION("""COMPUTED_VALUE"""),"20552143740")</f>
        <v>20552143740</v>
      </c>
      <c r="J1248" s="6"/>
      <c r="K1248" s="6" t="str">
        <f ca="1">IFERROR(__xludf.DUMMYFUNCTION("""COMPUTED_VALUE"""),"الكشف:75 المؤسسه العلاجيه 2017")</f>
        <v>الكشف:75 المؤسسه العلاجيه 2017</v>
      </c>
    </row>
    <row r="1249" spans="1:11" x14ac:dyDescent="0.25">
      <c r="A1249" s="4" t="str">
        <f ca="1">IFERROR(__xludf.DUMMYFUNCTION("""COMPUTED_VALUE"""),"105284")</f>
        <v>105284</v>
      </c>
      <c r="B1249" s="5" t="str">
        <f ca="1">IFERROR(__xludf.DUMMYFUNCTION("""COMPUTED_VALUE"""),"القاهرة")</f>
        <v>القاهرة</v>
      </c>
      <c r="C1249" s="5" t="str">
        <f ca="1">IFERROR(__xludf.DUMMYFUNCTION("""COMPUTED_VALUE"""),"القاهرة الجديدة")</f>
        <v>القاهرة الجديدة</v>
      </c>
      <c r="D1249" s="5" t="str">
        <f ca="1">IFERROR(__xludf.DUMMYFUNCTION("""COMPUTED_VALUE"""),"صيدلية")</f>
        <v>صيدلية</v>
      </c>
      <c r="E1249" s="5" t="str">
        <f ca="1">IFERROR(__xludf.DUMMYFUNCTION("""COMPUTED_VALUE"""),"صيدلية")</f>
        <v>صيدلية</v>
      </c>
      <c r="F1249" s="5" t="str">
        <f ca="1">IFERROR(__xludf.DUMMYFUNCTION("""COMPUTED_VALUE"""),"صيدلية (أدوية ومستلزمات طبية)")</f>
        <v>صيدلية (أدوية ومستلزمات طبية)</v>
      </c>
      <c r="G1249" s="5" t="str">
        <f ca="1">IFERROR(__xludf.DUMMYFUNCTION("""COMPUTED_VALUE"""),"سي إتش جي -صيدلية د. كريم عواض علي- شركة مستشفى كليوباترا")</f>
        <v>سي إتش جي -صيدلية د. كريم عواض علي- شركة مستشفى كليوباترا</v>
      </c>
      <c r="H1249" s="5" t="str">
        <f ca="1">IFERROR(__xludf.DUMMYFUNCTION("""COMPUTED_VALUE"""),"قطعة 418 - مركز المدينة - قطاع ثالث - التجمع الخامس - القاهرة الجديدة")</f>
        <v>قطعة 418 - مركز المدينة - قطاع ثالث - التجمع الخامس - القاهرة الجديدة</v>
      </c>
      <c r="I1249" s="6"/>
      <c r="J1249" s="6" t="str">
        <f ca="1">IFERROR(__xludf.DUMMYFUNCTION("""COMPUTED_VALUE"""),"19668")</f>
        <v>19668</v>
      </c>
      <c r="K1249" s="6" t="str">
        <f ca="1">IFERROR(__xludf.DUMMYFUNCTION("""COMPUTED_VALUE"""),"خصم 10% علي المحلي&amp; 4% علي المستورد")</f>
        <v>خصم 10% علي المحلي&amp; 4% علي المستورد</v>
      </c>
    </row>
    <row r="1250" spans="1:11" x14ac:dyDescent="0.25">
      <c r="A1250" s="4" t="str">
        <f ca="1">IFERROR(__xludf.DUMMYFUNCTION("""COMPUTED_VALUE"""),"105298")</f>
        <v>105298</v>
      </c>
      <c r="B1250" s="5" t="str">
        <f ca="1">IFERROR(__xludf.DUMMYFUNCTION("""COMPUTED_VALUE"""),"القاهرة")</f>
        <v>القاهرة</v>
      </c>
      <c r="C1250" s="5" t="str">
        <f ca="1">IFERROR(__xludf.DUMMYFUNCTION("""COMPUTED_VALUE"""),"المنيل")</f>
        <v>المنيل</v>
      </c>
      <c r="D1250" s="5" t="str">
        <f ca="1">IFERROR(__xludf.DUMMYFUNCTION("""COMPUTED_VALUE"""),"مستشفى")</f>
        <v>مستشفى</v>
      </c>
      <c r="E1250" s="5" t="str">
        <f ca="1">IFERROR(__xludf.DUMMYFUNCTION("""COMPUTED_VALUE"""),"مستشفي طبي متكامل")</f>
        <v>مستشفي طبي متكامل</v>
      </c>
      <c r="F1250" s="5" t="str">
        <f ca="1">IFERROR(__xludf.DUMMYFUNCTION("""COMPUTED_VALUE"""),"جميع التخصصات الطبية")</f>
        <v>جميع التخصصات الطبية</v>
      </c>
      <c r="G1250" s="5" t="str">
        <f ca="1">IFERROR(__xludf.DUMMYFUNCTION("""COMPUTED_VALUE"""),"شركة مستشفى الزهيرى (مستشفى الزهيرى)")</f>
        <v>شركة مستشفى الزهيرى (مستشفى الزهيرى)</v>
      </c>
      <c r="H1250" s="5" t="str">
        <f ca="1">IFERROR(__xludf.DUMMYFUNCTION("""COMPUTED_VALUE"""),"33 شارع الاخشيد - منيل الروضة - المنيل")</f>
        <v>33 شارع الاخشيد - منيل الروضة - المنيل</v>
      </c>
      <c r="I1250" s="6" t="str">
        <f ca="1">IFERROR(__xludf.DUMMYFUNCTION("""COMPUTED_VALUE"""),"20223648364")</f>
        <v>20223648364</v>
      </c>
      <c r="J1250" s="6"/>
      <c r="K1250" s="6" t="str">
        <f ca="1">IFERROR(__xludf.DUMMYFUNCTION("""COMPUTED_VALUE"""),"خصم 20% علي جميع الخدمات ما عدا الأدويه و المستلزمات و اتعاب الاطباء علي الاسعار النقدي المعلنه.")</f>
        <v>خصم 20% علي جميع الخدمات ما عدا الأدويه و المستلزمات و اتعاب الاطباء علي الاسعار النقدي المعلنه.</v>
      </c>
    </row>
    <row r="1251" spans="1:11" x14ac:dyDescent="0.25">
      <c r="A1251" s="4" t="str">
        <f ca="1">IFERROR(__xludf.DUMMYFUNCTION("""COMPUTED_VALUE"""),"105310")</f>
        <v>105310</v>
      </c>
      <c r="B1251" s="5" t="str">
        <f ca="1">IFERROR(__xludf.DUMMYFUNCTION("""COMPUTED_VALUE"""),"القليوبية")</f>
        <v>القليوبية</v>
      </c>
      <c r="C1251" s="5" t="str">
        <f ca="1">IFERROR(__xludf.DUMMYFUNCTION("""COMPUTED_VALUE"""),"قليوب")</f>
        <v>قليوب</v>
      </c>
      <c r="D1251" s="5" t="str">
        <f ca="1">IFERROR(__xludf.DUMMYFUNCTION("""COMPUTED_VALUE"""),"صيدلية")</f>
        <v>صيدلية</v>
      </c>
      <c r="E1251" s="5" t="str">
        <f ca="1">IFERROR(__xludf.DUMMYFUNCTION("""COMPUTED_VALUE"""),"صيدلية")</f>
        <v>صيدلية</v>
      </c>
      <c r="F1251" s="5" t="str">
        <f ca="1">IFERROR(__xludf.DUMMYFUNCTION("""COMPUTED_VALUE"""),"صيدلية (أدوية ومستلزمات طبية)")</f>
        <v>صيدلية (أدوية ومستلزمات طبية)</v>
      </c>
      <c r="G1251" s="5" t="str">
        <f ca="1">IFERROR(__xludf.DUMMYFUNCTION("""COMPUTED_VALUE"""),"صيدلية د- محمد محمود حامد الشقنقيرى")</f>
        <v>صيدلية د- محمد محمود حامد الشقنقيرى</v>
      </c>
      <c r="H1251" s="5" t="str">
        <f ca="1">IFERROR(__xludf.DUMMYFUNCTION("""COMPUTED_VALUE"""),"شارع ارض الجمعية - خلف مستشفى قليوب المركزى- قليوب المحطة - قليوب")</f>
        <v>شارع ارض الجمعية - خلف مستشفى قليوب المركزى- قليوب المحطة - قليوب</v>
      </c>
      <c r="I1251" s="6" t="str">
        <f ca="1">IFERROR(__xludf.DUMMYFUNCTION("""COMPUTED_VALUE"""),"20242103974")</f>
        <v>20242103974</v>
      </c>
      <c r="J1251" s="6"/>
      <c r="K1251" s="6" t="str">
        <f ca="1">IFERROR(__xludf.DUMMYFUNCTION("""COMPUTED_VALUE"""),"خصم 12% علي المحلي&amp;6% علي المستورد")</f>
        <v>خصم 12% علي المحلي&amp;6% علي المستورد</v>
      </c>
    </row>
    <row r="1252" spans="1:11" x14ac:dyDescent="0.25">
      <c r="A1252" s="4" t="str">
        <f ca="1">IFERROR(__xludf.DUMMYFUNCTION("""COMPUTED_VALUE"""),"104294-B")</f>
        <v>104294-B</v>
      </c>
      <c r="B1252" s="5" t="str">
        <f ca="1">IFERROR(__xludf.DUMMYFUNCTION("""COMPUTED_VALUE"""),"الجيزة")</f>
        <v>الجيزة</v>
      </c>
      <c r="C1252" s="5" t="str">
        <f ca="1">IFERROR(__xludf.DUMMYFUNCTION("""COMPUTED_VALUE"""),"صفط اللبن")</f>
        <v>صفط اللبن</v>
      </c>
      <c r="D1252" s="5" t="str">
        <f ca="1">IFERROR(__xludf.DUMMYFUNCTION("""COMPUTED_VALUE"""),"مركز علاج طبيعي")</f>
        <v>مركز علاج طبيعي</v>
      </c>
      <c r="E1252" s="5" t="str">
        <f ca="1">IFERROR(__xludf.DUMMYFUNCTION("""COMPUTED_VALUE"""),"علاج طبيعي")</f>
        <v>علاج طبيعي</v>
      </c>
      <c r="F1252" s="5" t="str">
        <f ca="1">IFERROR(__xludf.DUMMYFUNCTION("""COMPUTED_VALUE"""),"جلسات العلاج الطبيعي")</f>
        <v>جلسات العلاج الطبيعي</v>
      </c>
      <c r="G1252" s="5" t="str">
        <f ca="1">IFERROR(__xludf.DUMMYFUNCTION("""COMPUTED_VALUE"""),"مركز الهلال للعلاج الطبيعي")</f>
        <v>مركز الهلال للعلاج الطبيعي</v>
      </c>
      <c r="H1252" s="5" t="str">
        <f ca="1">IFERROR(__xludf.DUMMYFUNCTION("""COMPUTED_VALUE"""),"شارع محمود الفيومي - خلف سنترال صفت اللبن - الجيزة")</f>
        <v>شارع محمود الفيومي - خلف سنترال صفت اللبن - الجيزة</v>
      </c>
      <c r="I1252" s="6" t="str">
        <f ca="1">IFERROR(__xludf.DUMMYFUNCTION("""COMPUTED_VALUE"""),"201010084894")</f>
        <v>201010084894</v>
      </c>
      <c r="J1252" s="6"/>
      <c r="K1252" s="6" t="str">
        <f ca="1">IFERROR(__xludf.DUMMYFUNCTION("""COMPUTED_VALUE"""),"35% على الاسعار النقدي المعلنة")</f>
        <v>35% على الاسعار النقدي المعلنة</v>
      </c>
    </row>
    <row r="1253" spans="1:11" x14ac:dyDescent="0.25">
      <c r="A1253" s="4" t="str">
        <f ca="1">IFERROR(__xludf.DUMMYFUNCTION("""COMPUTED_VALUE"""),"4641-B")</f>
        <v>4641-B</v>
      </c>
      <c r="B1253" s="5" t="str">
        <f ca="1">IFERROR(__xludf.DUMMYFUNCTION("""COMPUTED_VALUE"""),"الجيزة")</f>
        <v>الجيزة</v>
      </c>
      <c r="C1253" s="5" t="str">
        <f ca="1">IFERROR(__xludf.DUMMYFUNCTION("""COMPUTED_VALUE"""),"السادس من اكتوبر")</f>
        <v>السادس من اكتوبر</v>
      </c>
      <c r="D1253" s="5" t="str">
        <f ca="1">IFERROR(__xludf.DUMMYFUNCTION("""COMPUTED_VALUE"""),"مركز علاج طبيعي")</f>
        <v>مركز علاج طبيعي</v>
      </c>
      <c r="E1253" s="5" t="str">
        <f ca="1">IFERROR(__xludf.DUMMYFUNCTION("""COMPUTED_VALUE"""),"علاج طبيعي")</f>
        <v>علاج طبيعي</v>
      </c>
      <c r="F1253" s="5" t="str">
        <f ca="1">IFERROR(__xludf.DUMMYFUNCTION("""COMPUTED_VALUE"""),"جلسات العلاج الطبيعي")</f>
        <v>جلسات العلاج الطبيعي</v>
      </c>
      <c r="G1253" s="5" t="str">
        <f ca="1">IFERROR(__xludf.DUMMYFUNCTION("""COMPUTED_VALUE"""),"مركز لايف سبورت للعلاج الطبيعى واصابات الملاعب والتأهيل")</f>
        <v>مركز لايف سبورت للعلاج الطبيعى واصابات الملاعب والتأهيل</v>
      </c>
      <c r="H1253" s="5" t="str">
        <f ca="1">IFERROR(__xludf.DUMMYFUNCTION("""COMPUTED_VALUE"""),"مول الياسمين  - الحي الثامن - بجوار أولاد رجب - خلف مسجد الحصري - 6 أكتوبر")</f>
        <v>مول الياسمين  - الحي الثامن - بجوار أولاد رجب - خلف مسجد الحصري - 6 أكتوبر</v>
      </c>
      <c r="I1253" s="6" t="str">
        <f ca="1">IFERROR(__xludf.DUMMYFUNCTION("""COMPUTED_VALUE"""),"01022330307")</f>
        <v>01022330307</v>
      </c>
      <c r="J1253" s="6"/>
      <c r="K1253" s="6" t="str">
        <f ca="1">IFERROR(__xludf.DUMMYFUNCTION("""COMPUTED_VALUE"""),"25% نسبة خصم")</f>
        <v>25% نسبة خصم</v>
      </c>
    </row>
    <row r="1254" spans="1:11" x14ac:dyDescent="0.25">
      <c r="A1254" s="4" t="str">
        <f ca="1">IFERROR(__xludf.DUMMYFUNCTION("""COMPUTED_VALUE"""),"105315")</f>
        <v>105315</v>
      </c>
      <c r="B1254" s="5" t="str">
        <f ca="1">IFERROR(__xludf.DUMMYFUNCTION("""COMPUTED_VALUE"""),"القليوبية")</f>
        <v>القليوبية</v>
      </c>
      <c r="C1254" s="5" t="str">
        <f ca="1">IFERROR(__xludf.DUMMYFUNCTION("""COMPUTED_VALUE"""),"القناطر الخيرية")</f>
        <v>القناطر الخيرية</v>
      </c>
      <c r="D1254" s="5" t="str">
        <f ca="1">IFERROR(__xludf.DUMMYFUNCTION("""COMPUTED_VALUE"""),"مركز أشعة")</f>
        <v>مركز أشعة</v>
      </c>
      <c r="E1254" s="5" t="str">
        <f ca="1">IFERROR(__xludf.DUMMYFUNCTION("""COMPUTED_VALUE"""),"مركز أشعة")</f>
        <v>مركز أشعة</v>
      </c>
      <c r="F1254" s="5" t="str">
        <f ca="1">IFERROR(__xludf.DUMMYFUNCTION("""COMPUTED_VALUE"""),"مركز الأشعة التشخيصية")</f>
        <v>مركز الأشعة التشخيصية</v>
      </c>
      <c r="G1254" s="5" t="str">
        <f ca="1">IFERROR(__xludf.DUMMYFUNCTION("""COMPUTED_VALUE"""),"مركز المستقبل للاشعة")</f>
        <v>مركز المستقبل للاشعة</v>
      </c>
      <c r="H1254" s="5" t="str">
        <f ca="1">IFERROR(__xludf.DUMMYFUNCTION("""COMPUTED_VALUE"""),"شارع كورنيش النيل - امام الكوبرى الجديد - اعلى فودافون - القناطر الخيرية - القليوبية")</f>
        <v>شارع كورنيش النيل - امام الكوبرى الجديد - اعلى فودافون - القناطر الخيرية - القليوبية</v>
      </c>
      <c r="I1254" s="6" t="str">
        <f ca="1">IFERROR(__xludf.DUMMYFUNCTION("""COMPUTED_VALUE"""),"242177624")</f>
        <v>242177624</v>
      </c>
      <c r="J1254" s="6"/>
      <c r="K1254" s="6" t="str">
        <f ca="1">IFERROR(__xludf.DUMMYFUNCTION("""COMPUTED_VALUE"""),"نسبة الخصم 20%")</f>
        <v>نسبة الخصم 20%</v>
      </c>
    </row>
    <row r="1255" spans="1:11" x14ac:dyDescent="0.25">
      <c r="A1255" s="4" t="str">
        <f ca="1">IFERROR(__xludf.DUMMYFUNCTION("""COMPUTED_VALUE"""),"105321")</f>
        <v>105321</v>
      </c>
      <c r="B1255" s="5" t="str">
        <f ca="1">IFERROR(__xludf.DUMMYFUNCTION("""COMPUTED_VALUE"""),"القاهرة")</f>
        <v>القاهرة</v>
      </c>
      <c r="C1255" s="5" t="str">
        <f ca="1">IFERROR(__xludf.DUMMYFUNCTION("""COMPUTED_VALUE"""),"مدينة نصر")</f>
        <v>مدينة نصر</v>
      </c>
      <c r="D1255" s="5" t="str">
        <f ca="1">IFERROR(__xludf.DUMMYFUNCTION("""COMPUTED_VALUE"""),"مستشفى")</f>
        <v>مستشفى</v>
      </c>
      <c r="E1255" s="5" t="str">
        <f ca="1">IFERROR(__xludf.DUMMYFUNCTION("""COMPUTED_VALUE"""),"مستشفي طبي متكامل")</f>
        <v>مستشفي طبي متكامل</v>
      </c>
      <c r="F1255" s="5" t="str">
        <f ca="1">IFERROR(__xludf.DUMMYFUNCTION("""COMPUTED_VALUE"""),"جميع التخصصات الطبية")</f>
        <v>جميع التخصصات الطبية</v>
      </c>
      <c r="G1255" s="5" t="str">
        <f ca="1">IFERROR(__xludf.DUMMYFUNCTION("""COMPUTED_VALUE"""),"شركة التوفيقية للانشاء والتعمير ( مستشفى التوفيقية التخصصي )")</f>
        <v>شركة التوفيقية للانشاء والتعمير ( مستشفى التوفيقية التخصصي )</v>
      </c>
      <c r="H1255" s="5" t="str">
        <f ca="1">IFERROR(__xludf.DUMMYFUNCTION("""COMPUTED_VALUE"""),"1 شارع أحمد قاسم جودة - المنطقة الأولى - مدينة نصر - القاهرة")</f>
        <v>1 شارع أحمد قاسم جودة - المنطقة الأولى - مدينة نصر - القاهرة</v>
      </c>
      <c r="I1255" s="6" t="str">
        <f ca="1">IFERROR(__xludf.DUMMYFUNCTION("""COMPUTED_VALUE"""),"2024039536")</f>
        <v>2024039536</v>
      </c>
      <c r="J1255" s="6"/>
      <c r="K1255" s="6" t="str">
        <f ca="1">IFERROR(__xludf.DUMMYFUNCTION("""COMPUTED_VALUE"""),"خصم30% علي الكشف و 25% علي باقي الخدمات علي الأسعار النقدي المعلنه")</f>
        <v>خصم30% علي الكشف و 25% علي باقي الخدمات علي الأسعار النقدي المعلنه</v>
      </c>
    </row>
    <row r="1256" spans="1:11" x14ac:dyDescent="0.25">
      <c r="A1256" s="4" t="str">
        <f ca="1">IFERROR(__xludf.DUMMYFUNCTION("""COMPUTED_VALUE"""),"105324")</f>
        <v>105324</v>
      </c>
      <c r="B1256" s="5" t="str">
        <f ca="1">IFERROR(__xludf.DUMMYFUNCTION("""COMPUTED_VALUE"""),"الجيزة")</f>
        <v>الجيزة</v>
      </c>
      <c r="C1256" s="5" t="str">
        <f ca="1">IFERROR(__xludf.DUMMYFUNCTION("""COMPUTED_VALUE"""),"الدقي")</f>
        <v>الدقي</v>
      </c>
      <c r="D1256" s="5" t="str">
        <f ca="1">IFERROR(__xludf.DUMMYFUNCTION("""COMPUTED_VALUE"""),"مستشفى")</f>
        <v>مستشفى</v>
      </c>
      <c r="E1256" s="5" t="str">
        <f ca="1">IFERROR(__xludf.DUMMYFUNCTION("""COMPUTED_VALUE"""),"مستشفي طبي متكامل")</f>
        <v>مستشفي طبي متكامل</v>
      </c>
      <c r="F1256" s="5" t="str">
        <f ca="1">IFERROR(__xludf.DUMMYFUNCTION("""COMPUTED_VALUE"""),"جميع التخصصات الطبية")</f>
        <v>جميع التخصصات الطبية</v>
      </c>
      <c r="G1256" s="5" t="str">
        <f ca="1">IFERROR(__xludf.DUMMYFUNCTION("""COMPUTED_VALUE"""),"شركة العاصمة للخدمات الطبية(مستشفى العاصمة)")</f>
        <v>شركة العاصمة للخدمات الطبية(مستشفى العاصمة)</v>
      </c>
      <c r="H1256" s="5" t="str">
        <f ca="1">IFERROR(__xludf.DUMMYFUNCTION("""COMPUTED_VALUE"""),"4 شارع الجمهورية - متفرع من شارع الاحرار -  الدقى - الجيزة")</f>
        <v>4 شارع الجمهورية - متفرع من شارع الاحرار -  الدقى - الجيزة</v>
      </c>
      <c r="I1256" s="6" t="str">
        <f ca="1">IFERROR(__xludf.DUMMYFUNCTION("""COMPUTED_VALUE"""),"20233658040")</f>
        <v>20233658040</v>
      </c>
      <c r="J1256" s="6"/>
      <c r="K1256" s="6" t="str">
        <f ca="1">IFERROR(__xludf.DUMMYFUNCTION("""COMPUTED_VALUE"""),"40% على جميع الخدمات")</f>
        <v>40% على جميع الخدمات</v>
      </c>
    </row>
    <row r="1257" spans="1:11" x14ac:dyDescent="0.25">
      <c r="A1257" s="4" t="str">
        <f ca="1">IFERROR(__xludf.DUMMYFUNCTION("""COMPUTED_VALUE"""),"105326")</f>
        <v>105326</v>
      </c>
      <c r="B1257" s="5" t="str">
        <f ca="1">IFERROR(__xludf.DUMMYFUNCTION("""COMPUTED_VALUE"""),"المنيا")</f>
        <v>المنيا</v>
      </c>
      <c r="C1257" s="5" t="str">
        <f ca="1">IFERROR(__xludf.DUMMYFUNCTION("""COMPUTED_VALUE"""),"مغاغة")</f>
        <v>مغاغة</v>
      </c>
      <c r="D1257" s="5" t="str">
        <f ca="1">IFERROR(__xludf.DUMMYFUNCTION("""COMPUTED_VALUE"""),"مستشفى")</f>
        <v>مستشفى</v>
      </c>
      <c r="E1257" s="5" t="str">
        <f ca="1">IFERROR(__xludf.DUMMYFUNCTION("""COMPUTED_VALUE"""),"مستشفي طبي متخصص")</f>
        <v>مستشفي طبي متخصص</v>
      </c>
      <c r="F1257" s="5" t="str">
        <f ca="1">IFERROR(__xludf.DUMMYFUNCTION("""COMPUTED_VALUE"""),"رمد (جراحة عيون)")</f>
        <v>رمد (جراحة عيون)</v>
      </c>
      <c r="G1257" s="5" t="str">
        <f ca="1">IFERROR(__xludf.DUMMYFUNCTION("""COMPUTED_VALUE"""),"د/ عمرو فتحى احمد محمد الجارحى (مركز النيل الدولى للعيون)")</f>
        <v>د/ عمرو فتحى احمد محمد الجارحى (مركز النيل الدولى للعيون)</v>
      </c>
      <c r="H1257" s="5" t="str">
        <f ca="1">IFERROR(__xludf.DUMMYFUNCTION("""COMPUTED_VALUE"""),"شارع  السلام - امام مدرسة الراهبات -  مغاغة - المنيا.")</f>
        <v>شارع  السلام - امام مدرسة الراهبات -  مغاغة - المنيا.</v>
      </c>
      <c r="I1257" s="6" t="str">
        <f ca="1">IFERROR(__xludf.DUMMYFUNCTION("""COMPUTED_VALUE"""),"20863391234")</f>
        <v>20863391234</v>
      </c>
      <c r="J1257" s="6"/>
      <c r="K1257" s="6" t="str">
        <f ca="1">IFERROR(__xludf.DUMMYFUNCTION("""COMPUTED_VALUE"""),"30% على جميع الخدمات")</f>
        <v>30% على جميع الخدمات</v>
      </c>
    </row>
    <row r="1258" spans="1:11" x14ac:dyDescent="0.25">
      <c r="A1258" s="4" t="str">
        <f ca="1">IFERROR(__xludf.DUMMYFUNCTION("""COMPUTED_VALUE"""),"105335")</f>
        <v>105335</v>
      </c>
      <c r="B1258" s="5" t="str">
        <f ca="1">IFERROR(__xludf.DUMMYFUNCTION("""COMPUTED_VALUE"""),"سوهاج")</f>
        <v>سوهاج</v>
      </c>
      <c r="C1258" s="5" t="str">
        <f ca="1">IFERROR(__xludf.DUMMYFUNCTION("""COMPUTED_VALUE"""),"طهطا")</f>
        <v>طهطا</v>
      </c>
      <c r="D1258" s="5" t="str">
        <f ca="1">IFERROR(__xludf.DUMMYFUNCTION("""COMPUTED_VALUE"""),"هيئة الأطباء")</f>
        <v>هيئة الأطباء</v>
      </c>
      <c r="E1258" s="5" t="str">
        <f ca="1">IFERROR(__xludf.DUMMYFUNCTION("""COMPUTED_VALUE"""),"باطنة")</f>
        <v>باطنة</v>
      </c>
      <c r="F1258" s="5" t="str">
        <f ca="1">IFERROR(__xludf.DUMMYFUNCTION("""COMPUTED_VALUE"""),"باطنة عامة")</f>
        <v>باطنة عامة</v>
      </c>
      <c r="G1258" s="5" t="str">
        <f ca="1">IFERROR(__xludf.DUMMYFUNCTION("""COMPUTED_VALUE"""),"د/ ايمن  محمد عبدالمجيد عويس")</f>
        <v>د/ ايمن  محمد عبدالمجيد عويس</v>
      </c>
      <c r="H1258" s="5" t="str">
        <f ca="1">IFERROR(__xludf.DUMMYFUNCTION("""COMPUTED_VALUE"""),"شارع صلاح سالم - بجوار مجلس المدينة - طهطا - سوهاج")</f>
        <v>شارع صلاح سالم - بجوار مجلس المدينة - طهطا - سوهاج</v>
      </c>
      <c r="I1258" s="6" t="str">
        <f ca="1">IFERROR(__xludf.DUMMYFUNCTION("""COMPUTED_VALUE"""),"201146694987")</f>
        <v>201146694987</v>
      </c>
      <c r="J1258" s="6"/>
      <c r="K1258" s="6" t="str">
        <f ca="1">IFERROR(__xludf.DUMMYFUNCTION("""COMPUTED_VALUE"""),"الكشف:50 , رسم قلب 15 جنية")</f>
        <v>الكشف:50 , رسم قلب 15 جنية</v>
      </c>
    </row>
    <row r="1259" spans="1:11" x14ac:dyDescent="0.25">
      <c r="A1259" s="4" t="str">
        <f ca="1">IFERROR(__xludf.DUMMYFUNCTION("""COMPUTED_VALUE"""),"105343")</f>
        <v>105343</v>
      </c>
      <c r="B1259" s="5" t="str">
        <f ca="1">IFERROR(__xludf.DUMMYFUNCTION("""COMPUTED_VALUE"""),"الشرقية")</f>
        <v>الشرقية</v>
      </c>
      <c r="C1259" s="5" t="str">
        <f ca="1">IFERROR(__xludf.DUMMYFUNCTION("""COMPUTED_VALUE"""),"منيا القمح")</f>
        <v>منيا القمح</v>
      </c>
      <c r="D1259" s="5" t="str">
        <f ca="1">IFERROR(__xludf.DUMMYFUNCTION("""COMPUTED_VALUE"""),"مركز علاج طبيعي")</f>
        <v>مركز علاج طبيعي</v>
      </c>
      <c r="E1259" s="5" t="str">
        <f ca="1">IFERROR(__xludf.DUMMYFUNCTION("""COMPUTED_VALUE"""),"علاج طبيعي")</f>
        <v>علاج طبيعي</v>
      </c>
      <c r="F1259" s="5" t="str">
        <f ca="1">IFERROR(__xludf.DUMMYFUNCTION("""COMPUTED_VALUE"""),"جلسات العلاج الطبيعي")</f>
        <v>جلسات العلاج الطبيعي</v>
      </c>
      <c r="G1259" s="5" t="str">
        <f ca="1">IFERROR(__xludf.DUMMYFUNCTION("""COMPUTED_VALUE"""),"د/ راضى محمد عبدالمجيد السعدنى (مركز د/ راضى السعدنى للعلاج الطبيعى)")</f>
        <v>د/ راضى محمد عبدالمجيد السعدنى (مركز د/ راضى السعدنى للعلاج الطبيعى)</v>
      </c>
      <c r="H1259" s="5" t="str">
        <f ca="1">IFERROR(__xludf.DUMMYFUNCTION("""COMPUTED_VALUE"""),"برج المدينة المنورة - بجوار  مصنع ابوعمار - منيا القمح - الشرقية")</f>
        <v>برج المدينة المنورة - بجوار  مصنع ابوعمار - منيا القمح - الشرقية</v>
      </c>
      <c r="I1259" s="6" t="str">
        <f ca="1">IFERROR(__xludf.DUMMYFUNCTION("""COMPUTED_VALUE"""),"201008993140")</f>
        <v>201008993140</v>
      </c>
      <c r="J1259" s="6"/>
      <c r="K1259" s="6" t="str">
        <f ca="1">IFERROR(__xludf.DUMMYFUNCTION("""COMPUTED_VALUE"""),"عضو واحد: 35 , عضوين أو أكثر : 50")</f>
        <v>عضو واحد: 35 , عضوين أو أكثر : 50</v>
      </c>
    </row>
    <row r="1260" spans="1:11" x14ac:dyDescent="0.25">
      <c r="A1260" s="4" t="str">
        <f ca="1">IFERROR(__xludf.DUMMYFUNCTION("""COMPUTED_VALUE"""),"105345")</f>
        <v>105345</v>
      </c>
      <c r="B1260" s="5" t="str">
        <f ca="1">IFERROR(__xludf.DUMMYFUNCTION("""COMPUTED_VALUE"""),"الفيوم")</f>
        <v>الفيوم</v>
      </c>
      <c r="C1260" s="5" t="str">
        <f ca="1">IFERROR(__xludf.DUMMYFUNCTION("""COMPUTED_VALUE"""),"الفيوم")</f>
        <v>الفيوم</v>
      </c>
      <c r="D1260" s="5" t="str">
        <f ca="1">IFERROR(__xludf.DUMMYFUNCTION("""COMPUTED_VALUE"""),"هيئة الأطباء")</f>
        <v>هيئة الأطباء</v>
      </c>
      <c r="E1260" s="5" t="str">
        <f ca="1">IFERROR(__xludf.DUMMYFUNCTION("""COMPUTED_VALUE"""),"أطفال")</f>
        <v>أطفال</v>
      </c>
      <c r="F1260" s="5" t="str">
        <f ca="1">IFERROR(__xludf.DUMMYFUNCTION("""COMPUTED_VALUE"""),"طب أطفال")</f>
        <v>طب أطفال</v>
      </c>
      <c r="G1260" s="5" t="str">
        <f ca="1">IFERROR(__xludf.DUMMYFUNCTION("""COMPUTED_VALUE"""),"د/ محمد محمد عبد الفتاح مجاهد")</f>
        <v>د/ محمد محمد عبد الفتاح مجاهد</v>
      </c>
      <c r="H1260" s="5" t="str">
        <f ca="1">IFERROR(__xludf.DUMMYFUNCTION("""COMPUTED_VALUE"""),"ميدان السواقى - ممر الشيخة مريم - امام حسونة - الفيوم")</f>
        <v>ميدان السواقى - ممر الشيخة مريم - امام حسونة - الفيوم</v>
      </c>
      <c r="I1260" s="6" t="str">
        <f ca="1">IFERROR(__xludf.DUMMYFUNCTION("""COMPUTED_VALUE"""),"01012012431")</f>
        <v>01012012431</v>
      </c>
      <c r="J1260" s="6"/>
      <c r="K1260" s="6" t="str">
        <f ca="1">IFERROR(__xludf.DUMMYFUNCTION("""COMPUTED_VALUE"""),"كشف مع استنشاق: 50 جنية ,")</f>
        <v>كشف مع استنشاق: 50 جنية ,</v>
      </c>
    </row>
    <row r="1261" spans="1:11" x14ac:dyDescent="0.25">
      <c r="A1261" s="4" t="str">
        <f ca="1">IFERROR(__xludf.DUMMYFUNCTION("""COMPUTED_VALUE"""),"105297")</f>
        <v>105297</v>
      </c>
      <c r="B1261" s="5" t="str">
        <f ca="1">IFERROR(__xludf.DUMMYFUNCTION("""COMPUTED_VALUE"""),"القاهرة")</f>
        <v>القاهرة</v>
      </c>
      <c r="C1261" s="5" t="str">
        <f ca="1">IFERROR(__xludf.DUMMYFUNCTION("""COMPUTED_VALUE"""),"مصر الجديدة")</f>
        <v>مصر الجديدة</v>
      </c>
      <c r="D1261" s="5" t="str">
        <f ca="1">IFERROR(__xludf.DUMMYFUNCTION("""COMPUTED_VALUE"""),"مستشفى")</f>
        <v>مستشفى</v>
      </c>
      <c r="E1261" s="5" t="str">
        <f ca="1">IFERROR(__xludf.DUMMYFUNCTION("""COMPUTED_VALUE"""),"مستشفي طبي متخصص")</f>
        <v>مستشفي طبي متخصص</v>
      </c>
      <c r="F1261" s="5" t="str">
        <f ca="1">IFERROR(__xludf.DUMMYFUNCTION("""COMPUTED_VALUE"""),"رمد (جراحة عيون)")</f>
        <v>رمد (جراحة عيون)</v>
      </c>
      <c r="G1261" s="5" t="str">
        <f ca="1">IFERROR(__xludf.DUMMYFUNCTION("""COMPUTED_VALUE"""),"شركة المركز الاستشاري  للشبكية والجسم الزجاجى (مركز المشرق للعيون)")</f>
        <v>شركة المركز الاستشاري  للشبكية والجسم الزجاجى (مركز المشرق للعيون)</v>
      </c>
      <c r="H1261" s="5" t="str">
        <f ca="1">IFERROR(__xludf.DUMMYFUNCTION("""COMPUTED_VALUE"""),"102 شارع الميرغنى  - مصر الجديدة")</f>
        <v>102 شارع الميرغنى  - مصر الجديدة</v>
      </c>
      <c r="I1261" s="6"/>
      <c r="J1261" s="6" t="str">
        <f ca="1">IFERROR(__xludf.DUMMYFUNCTION("""COMPUTED_VALUE"""),"16178")</f>
        <v>16178</v>
      </c>
      <c r="K1261" s="6" t="str">
        <f ca="1">IFERROR(__xludf.DUMMYFUNCTION("""COMPUTED_VALUE"""),"خصم 50% علي الكشف و خصم 25% علي الفحوصات و العمليات، 10% علي عمليات تصحيح الابصار.")</f>
        <v>خصم 50% علي الكشف و خصم 25% علي الفحوصات و العمليات، 10% علي عمليات تصحيح الابصار.</v>
      </c>
    </row>
    <row r="1262" spans="1:11" x14ac:dyDescent="0.25">
      <c r="A1262" s="4" t="str">
        <f ca="1">IFERROR(__xludf.DUMMYFUNCTION("""COMPUTED_VALUE"""),"105237-B")</f>
        <v>105237-B</v>
      </c>
      <c r="B1262" s="5" t="str">
        <f ca="1">IFERROR(__xludf.DUMMYFUNCTION("""COMPUTED_VALUE"""),"الجيزة")</f>
        <v>الجيزة</v>
      </c>
      <c r="C1262" s="5" t="str">
        <f ca="1">IFERROR(__xludf.DUMMYFUNCTION("""COMPUTED_VALUE"""),"الشيخ زايد")</f>
        <v>الشيخ زايد</v>
      </c>
      <c r="D1262" s="5" t="str">
        <f ca="1">IFERROR(__xludf.DUMMYFUNCTION("""COMPUTED_VALUE"""),"مجمع عيادات")</f>
        <v>مجمع عيادات</v>
      </c>
      <c r="E1262" s="5" t="str">
        <f ca="1">IFERROR(__xludf.DUMMYFUNCTION("""COMPUTED_VALUE"""),"جميع التخصصات")</f>
        <v>جميع التخصصات</v>
      </c>
      <c r="F1262" s="5" t="str">
        <f ca="1">IFERROR(__xludf.DUMMYFUNCTION("""COMPUTED_VALUE"""),"جميع التخصصات الطبية")</f>
        <v>جميع التخصصات الطبية</v>
      </c>
      <c r="G1262" s="5" t="str">
        <f ca="1">IFERROR(__xludf.DUMMYFUNCTION("""COMPUTED_VALUE"""),"شركة سي اتش جي للخدمات الطبية ( عيادات كليوباترا جروب )")</f>
        <v>شركة سي اتش جي للخدمات الطبية ( عيادات كليوباترا جروب )</v>
      </c>
      <c r="H1262" s="5" t="str">
        <f ca="1">IFERROR(__xludf.DUMMYFUNCTION("""COMPUTED_VALUE"""),"بلوك 12محور 26يوليو داخل تويلف مول- السادس من أكتوبر -الجيزه  ")</f>
        <v xml:space="preserve">بلوك 12محور 26يوليو داخل تويلف مول- السادس من أكتوبر -الجيزه  </v>
      </c>
      <c r="I1262" s="6"/>
      <c r="J1262" s="6" t="str">
        <f ca="1">IFERROR(__xludf.DUMMYFUNCTION("""COMPUTED_VALUE"""),"19668")</f>
        <v>19668</v>
      </c>
      <c r="K1262" s="6" t="str">
        <f ca="1">IFERROR(__xludf.DUMMYFUNCTION("""COMPUTED_VALUE"""),"10% على العيادات ,20% على خدمات الأشعة والتحاليل و الاسنان و تطبيق نسبه خصم 15% علي العلاج الطبيعي، لا يتم تطبيق نسبة الخصم علي الادوية و لبمستلزمات ، الاجهزة الطبيه و الغازات ، وحده الكلي الصناعي، وحده العلاج الاشعاعي - الاتفقيات الشاملة ، المناظير، الدم"&amp;"غه و القسطرة المخية و القلبية ، خدمات بنك الدم ، معمل الانسجه، الاسعاف، و الخدمات التي تؤدي خارج المستشفي ، 15% خدمه)")</f>
        <v>10% على العيادات ,20% على خدمات الأشعة والتحاليل و الاسنان و تطبيق نسبه خصم 15% علي العلاج الطبيعي، لا يتم تطبيق نسبة الخصم علي الادوية و لبمستلزمات ، الاجهزة الطبيه و الغازات ، وحده الكلي الصناعي، وحده العلاج الاشعاعي - الاتفقيات الشاملة ، المناظير، الدمغه و القسطرة المخية و القلبية ، خدمات بنك الدم ، معمل الانسجه، الاسعاف، و الخدمات التي تؤدي خارج المستشفي ، 15% خدمه)</v>
      </c>
    </row>
    <row r="1263" spans="1:11" x14ac:dyDescent="0.25">
      <c r="A1263" s="4" t="str">
        <f ca="1">IFERROR(__xludf.DUMMYFUNCTION("""COMPUTED_VALUE"""),"105284-B")</f>
        <v>105284-B</v>
      </c>
      <c r="B1263" s="5" t="str">
        <f ca="1">IFERROR(__xludf.DUMMYFUNCTION("""COMPUTED_VALUE"""),"الجيزة")</f>
        <v>الجيزة</v>
      </c>
      <c r="C1263" s="5" t="str">
        <f ca="1">IFERROR(__xludf.DUMMYFUNCTION("""COMPUTED_VALUE"""),"الشيخ زايد")</f>
        <v>الشيخ زايد</v>
      </c>
      <c r="D1263" s="5" t="str">
        <f ca="1">IFERROR(__xludf.DUMMYFUNCTION("""COMPUTED_VALUE"""),"صيدلية")</f>
        <v>صيدلية</v>
      </c>
      <c r="E1263" s="5" t="str">
        <f ca="1">IFERROR(__xludf.DUMMYFUNCTION("""COMPUTED_VALUE"""),"صيدلية")</f>
        <v>صيدلية</v>
      </c>
      <c r="F1263" s="5" t="str">
        <f ca="1">IFERROR(__xludf.DUMMYFUNCTION("""COMPUTED_VALUE"""),"صيدلية (أدوية ومستلزمات طبية)")</f>
        <v>صيدلية (أدوية ومستلزمات طبية)</v>
      </c>
      <c r="G1263" s="5" t="str">
        <f ca="1">IFERROR(__xludf.DUMMYFUNCTION("""COMPUTED_VALUE"""),"سي إتش جي -صيدلية د. كريم عواض علي- شركة مستشفى كليوباترا")</f>
        <v>سي إتش جي -صيدلية د. كريم عواض علي- شركة مستشفى كليوباترا</v>
      </c>
      <c r="H1263" s="5" t="str">
        <f ca="1">IFERROR(__xludf.DUMMYFUNCTION("""COMPUTED_VALUE"""),"مول المجرة - الشيخ زايد - الجيزة")</f>
        <v>مول المجرة - الشيخ زايد - الجيزة</v>
      </c>
      <c r="I1263" s="6"/>
      <c r="J1263" s="6" t="str">
        <f ca="1">IFERROR(__xludf.DUMMYFUNCTION("""COMPUTED_VALUE"""),"19668")</f>
        <v>19668</v>
      </c>
      <c r="K1263" s="6" t="str">
        <f ca="1">IFERROR(__xludf.DUMMYFUNCTION("""COMPUTED_VALUE"""),"خصم 10% علي المحلي&amp; 4% علي المستورد")</f>
        <v>خصم 10% علي المحلي&amp; 4% علي المستورد</v>
      </c>
    </row>
    <row r="1264" spans="1:11" x14ac:dyDescent="0.25">
      <c r="A1264" s="4" t="str">
        <f ca="1">IFERROR(__xludf.DUMMYFUNCTION("""COMPUTED_VALUE"""),"105325")</f>
        <v>105325</v>
      </c>
      <c r="B1264" s="5" t="str">
        <f ca="1">IFERROR(__xludf.DUMMYFUNCTION("""COMPUTED_VALUE"""),"سوهاج")</f>
        <v>سوهاج</v>
      </c>
      <c r="C1264" s="5" t="str">
        <f ca="1">IFERROR(__xludf.DUMMYFUNCTION("""COMPUTED_VALUE"""),"طهطا")</f>
        <v>طهطا</v>
      </c>
      <c r="D1264" s="5" t="str">
        <f ca="1">IFERROR(__xludf.DUMMYFUNCTION("""COMPUTED_VALUE"""),"مستشفى")</f>
        <v>مستشفى</v>
      </c>
      <c r="E1264" s="5" t="str">
        <f ca="1">IFERROR(__xludf.DUMMYFUNCTION("""COMPUTED_VALUE"""),"مستشفي طبي متكامل")</f>
        <v>مستشفي طبي متكامل</v>
      </c>
      <c r="F1264" s="5" t="str">
        <f ca="1">IFERROR(__xludf.DUMMYFUNCTION("""COMPUTED_VALUE"""),"جميع التخصصات الطبية")</f>
        <v>جميع التخصصات الطبية</v>
      </c>
      <c r="G1264" s="5" t="str">
        <f ca="1">IFERROR(__xludf.DUMMYFUNCTION("""COMPUTED_VALUE"""),"شركة الحياة للخدمات الطبية والاستثمار العقارى(مستشفى نور الحياة التخصصى)")</f>
        <v>شركة الحياة للخدمات الطبية والاستثمار العقارى(مستشفى نور الحياة التخصصى)</v>
      </c>
      <c r="H1264" s="5" t="str">
        <f ca="1">IFERROR(__xludf.DUMMYFUNCTION("""COMPUTED_VALUE"""),"شارع 29 امام مدرسة الشهيد علاء البنا - طهطا - سوهاج")</f>
        <v>شارع 29 امام مدرسة الشهيد علاء البنا - طهطا - سوهاج</v>
      </c>
      <c r="I1264" s="6" t="str">
        <f ca="1">IFERROR(__xludf.DUMMYFUNCTION("""COMPUTED_VALUE"""),"20934293941")</f>
        <v>20934293941</v>
      </c>
      <c r="J1264" s="6"/>
      <c r="K1264" s="6" t="str">
        <f ca="1">IFERROR(__xludf.DUMMYFUNCTION("""COMPUTED_VALUE"""),"20% علي كل خدمات المستشفي ، 15% علي الاشعة ، 10% علي العمليات ، 5 % على القسطرة التشخيصية والعلاجية ،ما عدا بنك الدم و المستلزمات و الادوية الطبية ودلائل الاورام واتعاب الاطباء وتحاليل الهرمونات")</f>
        <v>20% علي كل خدمات المستشفي ، 15% علي الاشعة ، 10% علي العمليات ، 5 % على القسطرة التشخيصية والعلاجية ،ما عدا بنك الدم و المستلزمات و الادوية الطبية ودلائل الاورام واتعاب الاطباء وتحاليل الهرمونات</v>
      </c>
    </row>
    <row r="1265" spans="1:11" x14ac:dyDescent="0.25">
      <c r="A1265" s="4" t="str">
        <f ca="1">IFERROR(__xludf.DUMMYFUNCTION("""COMPUTED_VALUE"""),"105352")</f>
        <v>105352</v>
      </c>
      <c r="B1265" s="5" t="str">
        <f ca="1">IFERROR(__xludf.DUMMYFUNCTION("""COMPUTED_VALUE"""),"سوهاج")</f>
        <v>سوهاج</v>
      </c>
      <c r="C1265" s="5" t="str">
        <f ca="1">IFERROR(__xludf.DUMMYFUNCTION("""COMPUTED_VALUE"""),"طما")</f>
        <v>طما</v>
      </c>
      <c r="D1265" s="5" t="str">
        <f ca="1">IFERROR(__xludf.DUMMYFUNCTION("""COMPUTED_VALUE"""),"هيئة الأطباء")</f>
        <v>هيئة الأطباء</v>
      </c>
      <c r="E1265" s="5" t="str">
        <f ca="1">IFERROR(__xludf.DUMMYFUNCTION("""COMPUTED_VALUE"""),"باطنة")</f>
        <v>باطنة</v>
      </c>
      <c r="F1265" s="5" t="str">
        <f ca="1">IFERROR(__xludf.DUMMYFUNCTION("""COMPUTED_VALUE"""),"باطنة عامة")</f>
        <v>باطنة عامة</v>
      </c>
      <c r="G1265" s="5" t="str">
        <f ca="1">IFERROR(__xludf.DUMMYFUNCTION("""COMPUTED_VALUE"""),"د/ عماد مجدى بطرس بشاى")</f>
        <v>د/ عماد مجدى بطرس بشاى</v>
      </c>
      <c r="H1265" s="5" t="str">
        <f ca="1">IFERROR(__xludf.DUMMYFUNCTION("""COMPUTED_VALUE"""),"شارع الجيش - امام الإدارة التعليمية - اعلى عطار المعبدى - طما")</f>
        <v>شارع الجيش - امام الإدارة التعليمية - اعلى عطار المعبدى - طما</v>
      </c>
      <c r="I1265" s="6" t="str">
        <f ca="1">IFERROR(__xludf.DUMMYFUNCTION("""COMPUTED_VALUE"""),"201003582300")</f>
        <v>201003582300</v>
      </c>
      <c r="J1265" s="6"/>
      <c r="K1265" s="6" t="str">
        <f ca="1">IFERROR(__xludf.DUMMYFUNCTION("""COMPUTED_VALUE"""),"الكشف : 55 جنية")</f>
        <v>الكشف : 55 جنية</v>
      </c>
    </row>
    <row r="1266" spans="1:11" x14ac:dyDescent="0.25">
      <c r="A1266" s="4" t="str">
        <f ca="1">IFERROR(__xludf.DUMMYFUNCTION("""COMPUTED_VALUE"""),"105363")</f>
        <v>105363</v>
      </c>
      <c r="B1266" s="5" t="str">
        <f ca="1">IFERROR(__xludf.DUMMYFUNCTION("""COMPUTED_VALUE"""),"الجيزة")</f>
        <v>الجيزة</v>
      </c>
      <c r="C1266" s="5" t="str">
        <f ca="1">IFERROR(__xludf.DUMMYFUNCTION("""COMPUTED_VALUE"""),"السادس من اكتوبر")</f>
        <v>السادس من اكتوبر</v>
      </c>
      <c r="D1266" s="5" t="str">
        <f ca="1">IFERROR(__xludf.DUMMYFUNCTION("""COMPUTED_VALUE"""),"مركز أشعة")</f>
        <v>مركز أشعة</v>
      </c>
      <c r="E1266" s="5" t="str">
        <f ca="1">IFERROR(__xludf.DUMMYFUNCTION("""COMPUTED_VALUE"""),"مركز أشعة")</f>
        <v>مركز أشعة</v>
      </c>
      <c r="F1266" s="5" t="str">
        <f ca="1">IFERROR(__xludf.DUMMYFUNCTION("""COMPUTED_VALUE"""),"مركز الأشعة التشخيصية")</f>
        <v>مركز الأشعة التشخيصية</v>
      </c>
      <c r="G1266" s="5" t="str">
        <f ca="1">IFERROR(__xludf.DUMMYFUNCTION("""COMPUTED_VALUE"""),"برايت سكان")</f>
        <v>برايت سكان</v>
      </c>
      <c r="H1266" s="5" t="str">
        <f ca="1">IFERROR(__xludf.DUMMYFUNCTION("""COMPUTED_VALUE"""),"الحى الثامن - امام خير زمان الجديد - المحور الخدمى - السادس من أكتوبر")</f>
        <v>الحى الثامن - امام خير زمان الجديد - المحور الخدمى - السادس من أكتوبر</v>
      </c>
      <c r="I1266" s="6" t="str">
        <f ca="1">IFERROR(__xludf.DUMMYFUNCTION("""COMPUTED_VALUE"""),"201024599699")</f>
        <v>201024599699</v>
      </c>
      <c r="J1266" s="6"/>
      <c r="K1266" s="6" t="str">
        <f ca="1">IFERROR(__xludf.DUMMYFUNCTION("""COMPUTED_VALUE"""),"مؤسسه 2017 مع 10% خصم")</f>
        <v>مؤسسه 2017 مع 10% خصم</v>
      </c>
    </row>
    <row r="1267" spans="1:11" x14ac:dyDescent="0.25">
      <c r="A1267" s="4" t="str">
        <f ca="1">IFERROR(__xludf.DUMMYFUNCTION("""COMPUTED_VALUE"""),"105365")</f>
        <v>105365</v>
      </c>
      <c r="B1267" s="5" t="str">
        <f ca="1">IFERROR(__xludf.DUMMYFUNCTION("""COMPUTED_VALUE"""),"مرسى مطروح")</f>
        <v>مرسى مطروح</v>
      </c>
      <c r="C1267" s="5" t="str">
        <f ca="1">IFERROR(__xludf.DUMMYFUNCTION("""COMPUTED_VALUE"""),"الساحل الشمالي")</f>
        <v>الساحل الشمالي</v>
      </c>
      <c r="D1267" s="5" t="str">
        <f ca="1">IFERROR(__xludf.DUMMYFUNCTION("""COMPUTED_VALUE"""),"صيدلية")</f>
        <v>صيدلية</v>
      </c>
      <c r="E1267" s="5" t="str">
        <f ca="1">IFERROR(__xludf.DUMMYFUNCTION("""COMPUTED_VALUE"""),"صيدلية")</f>
        <v>صيدلية</v>
      </c>
      <c r="F1267" s="5" t="str">
        <f ca="1">IFERROR(__xludf.DUMMYFUNCTION("""COMPUTED_VALUE"""),"صيدلية (أدوية ومستلزمات طبية)")</f>
        <v>صيدلية (أدوية ومستلزمات طبية)</v>
      </c>
      <c r="G1267" s="5" t="str">
        <f ca="1">IFERROR(__xludf.DUMMYFUNCTION("""COMPUTED_VALUE"""),"د/ محمد احمد ماهر عيسى براده (صيدلية براده)")</f>
        <v>د/ محمد احمد ماهر عيسى براده (صيدلية براده)</v>
      </c>
      <c r="H1267" s="5" t="str">
        <f ca="1">IFERROR(__xludf.DUMMYFUNCTION("""COMPUTED_VALUE"""),"الكيلو 90 امام قرية دايموند بيتش - طريق اسكندرية مطروح - الساحل الشمالى")</f>
        <v>الكيلو 90 امام قرية دايموند بيتش - طريق اسكندرية مطروح - الساحل الشمالى</v>
      </c>
      <c r="I1267" s="6" t="str">
        <f ca="1">IFERROR(__xludf.DUMMYFUNCTION("""COMPUTED_VALUE"""),"201033346113")</f>
        <v>201033346113</v>
      </c>
      <c r="J1267" s="6"/>
      <c r="K1267" s="6" t="str">
        <f ca="1">IFERROR(__xludf.DUMMYFUNCTION("""COMPUTED_VALUE"""),"11%على المحلى , 5% على المستورد")</f>
        <v>11%على المحلى , 5% على المستورد</v>
      </c>
    </row>
    <row r="1268" spans="1:11" x14ac:dyDescent="0.25">
      <c r="A1268" s="4" t="str">
        <f ca="1">IFERROR(__xludf.DUMMYFUNCTION("""COMPUTED_VALUE"""),"105366")</f>
        <v>105366</v>
      </c>
      <c r="B1268" s="5" t="str">
        <f ca="1">IFERROR(__xludf.DUMMYFUNCTION("""COMPUTED_VALUE"""),"القاهرة")</f>
        <v>القاهرة</v>
      </c>
      <c r="C1268" s="5" t="str">
        <f ca="1">IFERROR(__xludf.DUMMYFUNCTION("""COMPUTED_VALUE"""),"المنيل")</f>
        <v>المنيل</v>
      </c>
      <c r="D1268" s="5" t="str">
        <f ca="1">IFERROR(__xludf.DUMMYFUNCTION("""COMPUTED_VALUE"""),"هيئة الأطباء")</f>
        <v>هيئة الأطباء</v>
      </c>
      <c r="E1268" s="5" t="str">
        <f ca="1">IFERROR(__xludf.DUMMYFUNCTION("""COMPUTED_VALUE"""),"جراحة")</f>
        <v>جراحة</v>
      </c>
      <c r="F1268" s="5" t="str">
        <f ca="1">IFERROR(__xludf.DUMMYFUNCTION("""COMPUTED_VALUE"""),"جراحة اورام")</f>
        <v>جراحة اورام</v>
      </c>
      <c r="G1268" s="5" t="str">
        <f ca="1">IFERROR(__xludf.DUMMYFUNCTION("""COMPUTED_VALUE"""),"د/شريف البرنس سيد شلبى")</f>
        <v>د/شريف البرنس سيد شلبى</v>
      </c>
      <c r="H1268" s="5" t="str">
        <f ca="1">IFERROR(__xludf.DUMMYFUNCTION("""COMPUTED_VALUE"""),"5 شارع القصر العينى امام معهد الأورام -المنيل -القاهرة")</f>
        <v>5 شارع القصر العينى امام معهد الأورام -المنيل -القاهرة</v>
      </c>
      <c r="I1268" s="6" t="str">
        <f ca="1">IFERROR(__xludf.DUMMYFUNCTION("""COMPUTED_VALUE"""),"201098425644")</f>
        <v>201098425644</v>
      </c>
      <c r="J1268" s="6"/>
      <c r="K1268" s="6" t="str">
        <f ca="1">IFERROR(__xludf.DUMMYFUNCTION("""COMPUTED_VALUE"""),"الكشف: 70 , نقابه 2017")</f>
        <v>الكشف: 70 , نقابه 2017</v>
      </c>
    </row>
    <row r="1269" spans="1:11" x14ac:dyDescent="0.25">
      <c r="A1269" s="4" t="str">
        <f ca="1">IFERROR(__xludf.DUMMYFUNCTION("""COMPUTED_VALUE"""),"105374")</f>
        <v>105374</v>
      </c>
      <c r="B1269" s="5" t="str">
        <f ca="1">IFERROR(__xludf.DUMMYFUNCTION("""COMPUTED_VALUE"""),"الجيزة")</f>
        <v>الجيزة</v>
      </c>
      <c r="C1269" s="5" t="str">
        <f ca="1">IFERROR(__xludf.DUMMYFUNCTION("""COMPUTED_VALUE"""),"الدقي")</f>
        <v>الدقي</v>
      </c>
      <c r="D1269" s="5" t="str">
        <f ca="1">IFERROR(__xludf.DUMMYFUNCTION("""COMPUTED_VALUE"""),"مستشفى")</f>
        <v>مستشفى</v>
      </c>
      <c r="E1269" s="5" t="str">
        <f ca="1">IFERROR(__xludf.DUMMYFUNCTION("""COMPUTED_VALUE"""),"مستشفي طبي متخصص")</f>
        <v>مستشفي طبي متخصص</v>
      </c>
      <c r="F1269" s="5" t="str">
        <f ca="1">IFERROR(__xludf.DUMMYFUNCTION("""COMPUTED_VALUE"""),"قلب واوعية دموية")</f>
        <v>قلب واوعية دموية</v>
      </c>
      <c r="G1269" s="5" t="str">
        <f ca="1">IFERROR(__xludf.DUMMYFUNCTION("""COMPUTED_VALUE"""),"مركز هارت كير  كلينكس لفحوصات القلب المتقدمة")</f>
        <v>مركز هارت كير  كلينكس لفحوصات القلب المتقدمة</v>
      </c>
      <c r="H1269" s="5" t="str">
        <f ca="1">IFERROR(__xludf.DUMMYFUNCTION("""COMPUTED_VALUE"""),"97 شارع التحرير - الدقى -الجيزة")</f>
        <v>97 شارع التحرير - الدقى -الجيزة</v>
      </c>
      <c r="I1269" s="6" t="str">
        <f ca="1">IFERROR(__xludf.DUMMYFUNCTION("""COMPUTED_VALUE"""),"201023937397")</f>
        <v>201023937397</v>
      </c>
      <c r="J1269" s="6"/>
      <c r="K1269" s="6" t="str">
        <f ca="1">IFERROR(__xludf.DUMMYFUNCTION("""COMPUTED_VALUE"""),"30% علي الاسعار النقدي المعلنه")</f>
        <v>30% علي الاسعار النقدي المعلنه</v>
      </c>
    </row>
    <row r="1270" spans="1:11" x14ac:dyDescent="0.25">
      <c r="A1270" s="4" t="str">
        <f ca="1">IFERROR(__xludf.DUMMYFUNCTION("""COMPUTED_VALUE"""),"3354-B")</f>
        <v>3354-B</v>
      </c>
      <c r="B1270" s="5" t="str">
        <f ca="1">IFERROR(__xludf.DUMMYFUNCTION("""COMPUTED_VALUE"""),"شمال سيناء")</f>
        <v>شمال سيناء</v>
      </c>
      <c r="C1270" s="5" t="str">
        <f ca="1">IFERROR(__xludf.DUMMYFUNCTION("""COMPUTED_VALUE"""),"العريش")</f>
        <v>العريش</v>
      </c>
      <c r="D1270" s="5" t="str">
        <f ca="1">IFERROR(__xludf.DUMMYFUNCTION("""COMPUTED_VALUE"""),"معمل")</f>
        <v>معمل</v>
      </c>
      <c r="E1270" s="5" t="str">
        <f ca="1">IFERROR(__xludf.DUMMYFUNCTION("""COMPUTED_VALUE"""),"معمل")</f>
        <v>معمل</v>
      </c>
      <c r="F1270" s="5" t="str">
        <f ca="1">IFERROR(__xludf.DUMMYFUNCTION("""COMPUTED_VALUE"""),"معمل التحاليل الطبية")</f>
        <v>معمل التحاليل الطبية</v>
      </c>
      <c r="G1270" s="5" t="str">
        <f ca="1">IFERROR(__xludf.DUMMYFUNCTION("""COMPUTED_VALUE"""),"معمل د/ سمير شاكر بدوي")</f>
        <v>معمل د/ سمير شاكر بدوي</v>
      </c>
      <c r="H1270" s="5" t="str">
        <f ca="1">IFERROR(__xludf.DUMMYFUNCTION("""COMPUTED_VALUE"""),"شارع 23 يوليو- مامام جامع النصر -العريش-سيناء")</f>
        <v>شارع 23 يوليو- مامام جامع النصر -العريش-سيناء</v>
      </c>
      <c r="I1270" s="6" t="str">
        <f ca="1">IFERROR(__xludf.DUMMYFUNCTION("""COMPUTED_VALUE"""),"2063366339")</f>
        <v>2063366339</v>
      </c>
      <c r="J1270" s="6"/>
      <c r="K1270" s="6" t="str">
        <f ca="1">IFERROR(__xludf.DUMMYFUNCTION("""COMPUTED_VALUE"""),"-خصم 30% علي الأسعار النقدي المعلنة")</f>
        <v>-خصم 30% علي الأسعار النقدي المعلنة</v>
      </c>
    </row>
    <row r="1271" spans="1:11" x14ac:dyDescent="0.25">
      <c r="A1271" s="4" t="str">
        <f ca="1">IFERROR(__xludf.DUMMYFUNCTION("""COMPUTED_VALUE"""),"3354-B")</f>
        <v>3354-B</v>
      </c>
      <c r="B1271" s="5" t="str">
        <f ca="1">IFERROR(__xludf.DUMMYFUNCTION("""COMPUTED_VALUE"""),"القاهرة")</f>
        <v>القاهرة</v>
      </c>
      <c r="C1271" s="5" t="str">
        <f ca="1">IFERROR(__xludf.DUMMYFUNCTION("""COMPUTED_VALUE"""),"عين شمس")</f>
        <v>عين شمس</v>
      </c>
      <c r="D1271" s="5" t="str">
        <f ca="1">IFERROR(__xludf.DUMMYFUNCTION("""COMPUTED_VALUE"""),"معمل")</f>
        <v>معمل</v>
      </c>
      <c r="E1271" s="5" t="str">
        <f ca="1">IFERROR(__xludf.DUMMYFUNCTION("""COMPUTED_VALUE"""),"معمل")</f>
        <v>معمل</v>
      </c>
      <c r="F1271" s="5" t="str">
        <f ca="1">IFERROR(__xludf.DUMMYFUNCTION("""COMPUTED_VALUE"""),"معمل التحاليل الطبية")</f>
        <v>معمل التحاليل الطبية</v>
      </c>
      <c r="G1271" s="5" t="str">
        <f ca="1">IFERROR(__xludf.DUMMYFUNCTION("""COMPUTED_VALUE"""),"معمل د/ سمير شاكر بدوي")</f>
        <v>معمل د/ سمير شاكر بدوي</v>
      </c>
      <c r="H1271" s="5" t="str">
        <f ca="1">IFERROR(__xludf.DUMMYFUNCTION("""COMPUTED_VALUE"""),"50شارع العشرين -عين شمس-القاهرة")</f>
        <v>50شارع العشرين -عين شمس-القاهرة</v>
      </c>
      <c r="I1271" s="6" t="str">
        <f ca="1">IFERROR(__xludf.DUMMYFUNCTION("""COMPUTED_VALUE"""),"2024923999")</f>
        <v>2024923999</v>
      </c>
      <c r="J1271" s="6"/>
      <c r="K1271" s="6" t="str">
        <f ca="1">IFERROR(__xludf.DUMMYFUNCTION("""COMPUTED_VALUE"""),"-خصم 30% علي الأسعار النقدي المعلنة")</f>
        <v>-خصم 30% علي الأسعار النقدي المعلنة</v>
      </c>
    </row>
    <row r="1272" spans="1:11" x14ac:dyDescent="0.25">
      <c r="A1272" s="4" t="str">
        <f ca="1">IFERROR(__xludf.DUMMYFUNCTION("""COMPUTED_VALUE"""),"3354-B")</f>
        <v>3354-B</v>
      </c>
      <c r="B1272" s="5" t="str">
        <f ca="1">IFERROR(__xludf.DUMMYFUNCTION("""COMPUTED_VALUE"""),"القاهرة")</f>
        <v>القاهرة</v>
      </c>
      <c r="C1272" s="5" t="str">
        <f ca="1">IFERROR(__xludf.DUMMYFUNCTION("""COMPUTED_VALUE"""),"عين شمس")</f>
        <v>عين شمس</v>
      </c>
      <c r="D1272" s="5" t="str">
        <f ca="1">IFERROR(__xludf.DUMMYFUNCTION("""COMPUTED_VALUE"""),"معمل")</f>
        <v>معمل</v>
      </c>
      <c r="E1272" s="5" t="str">
        <f ca="1">IFERROR(__xludf.DUMMYFUNCTION("""COMPUTED_VALUE"""),"معمل")</f>
        <v>معمل</v>
      </c>
      <c r="F1272" s="5" t="str">
        <f ca="1">IFERROR(__xludf.DUMMYFUNCTION("""COMPUTED_VALUE"""),"معمل التحاليل الطبية")</f>
        <v>معمل التحاليل الطبية</v>
      </c>
      <c r="G1272" s="5" t="str">
        <f ca="1">IFERROR(__xludf.DUMMYFUNCTION("""COMPUTED_VALUE"""),"معمل د/ سمير شاكر بدوي")</f>
        <v>معمل د/ سمير شاكر بدوي</v>
      </c>
      <c r="H1272" s="5" t="str">
        <f ca="1">IFERROR(__xludf.DUMMYFUNCTION("""COMPUTED_VALUE"""),"14 شارع مصطفى حافظ  إبراهيم - عين شمس - القاهرة")</f>
        <v>14 شارع مصطفى حافظ  إبراهيم - عين شمس - القاهرة</v>
      </c>
      <c r="I1272" s="6" t="str">
        <f ca="1">IFERROR(__xludf.DUMMYFUNCTION("""COMPUTED_VALUE"""),"201114090897")</f>
        <v>201114090897</v>
      </c>
      <c r="J1272" s="6"/>
      <c r="K1272" s="6" t="str">
        <f ca="1">IFERROR(__xludf.DUMMYFUNCTION("""COMPUTED_VALUE"""),"-خصم 30% علي الأسعار النقدي المعلنة")</f>
        <v>-خصم 30% علي الأسعار النقدي المعلنة</v>
      </c>
    </row>
    <row r="1273" spans="1:11" x14ac:dyDescent="0.25">
      <c r="A1273" s="4" t="str">
        <f ca="1">IFERROR(__xludf.DUMMYFUNCTION("""COMPUTED_VALUE"""),"3354-B")</f>
        <v>3354-B</v>
      </c>
      <c r="B1273" s="5" t="str">
        <f ca="1">IFERROR(__xludf.DUMMYFUNCTION("""COMPUTED_VALUE"""),"القاهرة")</f>
        <v>القاهرة</v>
      </c>
      <c r="C1273" s="5" t="str">
        <f ca="1">IFERROR(__xludf.DUMMYFUNCTION("""COMPUTED_VALUE"""),"مصر الجديدة")</f>
        <v>مصر الجديدة</v>
      </c>
      <c r="D1273" s="5" t="str">
        <f ca="1">IFERROR(__xludf.DUMMYFUNCTION("""COMPUTED_VALUE"""),"معمل")</f>
        <v>معمل</v>
      </c>
      <c r="E1273" s="5" t="str">
        <f ca="1">IFERROR(__xludf.DUMMYFUNCTION("""COMPUTED_VALUE"""),"معمل")</f>
        <v>معمل</v>
      </c>
      <c r="F1273" s="5" t="str">
        <f ca="1">IFERROR(__xludf.DUMMYFUNCTION("""COMPUTED_VALUE"""),"معمل التحاليل الطبية")</f>
        <v>معمل التحاليل الطبية</v>
      </c>
      <c r="G1273" s="5" t="str">
        <f ca="1">IFERROR(__xludf.DUMMYFUNCTION("""COMPUTED_VALUE"""),"معمل د/ سمير شاكر بدوي")</f>
        <v>معمل د/ سمير شاكر بدوي</v>
      </c>
      <c r="H1273" s="5" t="str">
        <f ca="1">IFERROR(__xludf.DUMMYFUNCTION("""COMPUTED_VALUE"""),"62   شارع الحجاز  -مصر الجديدة-القاهرة")</f>
        <v>62   شارع الحجاز  -مصر الجديدة-القاهرة</v>
      </c>
      <c r="I1273" s="6" t="str">
        <f ca="1">IFERROR(__xludf.DUMMYFUNCTION("""COMPUTED_VALUE"""),"2026362559")</f>
        <v>2026362559</v>
      </c>
      <c r="J1273" s="6"/>
      <c r="K1273" s="6" t="str">
        <f ca="1">IFERROR(__xludf.DUMMYFUNCTION("""COMPUTED_VALUE"""),"-خصم 30% علي الأسعار النقدي المعلنة")</f>
        <v>-خصم 30% علي الأسعار النقدي المعلنة</v>
      </c>
    </row>
    <row r="1274" spans="1:11" x14ac:dyDescent="0.25">
      <c r="A1274" s="4" t="str">
        <f ca="1">IFERROR(__xludf.DUMMYFUNCTION("""COMPUTED_VALUE"""),"103355-B")</f>
        <v>103355-B</v>
      </c>
      <c r="B1274" s="5" t="str">
        <f ca="1">IFERROR(__xludf.DUMMYFUNCTION("""COMPUTED_VALUE"""),"القليوبية")</f>
        <v>القليوبية</v>
      </c>
      <c r="C1274" s="5" t="str">
        <f ca="1">IFERROR(__xludf.DUMMYFUNCTION("""COMPUTED_VALUE"""),"أبو زعبل")</f>
        <v>أبو زعبل</v>
      </c>
      <c r="D1274" s="5" t="str">
        <f ca="1">IFERROR(__xludf.DUMMYFUNCTION("""COMPUTED_VALUE"""),"مركز علاج طبيعي")</f>
        <v>مركز علاج طبيعي</v>
      </c>
      <c r="E1274" s="5" t="str">
        <f ca="1">IFERROR(__xludf.DUMMYFUNCTION("""COMPUTED_VALUE"""),"علاج طبيعي")</f>
        <v>علاج طبيعي</v>
      </c>
      <c r="F1274" s="5" t="str">
        <f ca="1">IFERROR(__xludf.DUMMYFUNCTION("""COMPUTED_VALUE"""),"جلسات العلاج الطبيعي")</f>
        <v>جلسات العلاج الطبيعي</v>
      </c>
      <c r="G1274" s="5" t="str">
        <f ca="1">IFERROR(__xludf.DUMMYFUNCTION("""COMPUTED_VALUE"""),"مركز د/ محمود محمد محمود مصطفى للعلاج الطبيعي")</f>
        <v>مركز د/ محمود محمد محمود مصطفى للعلاج الطبيعي</v>
      </c>
      <c r="H1274" s="5" t="str">
        <f ca="1">IFERROR(__xludf.DUMMYFUNCTION("""COMPUTED_VALUE"""),"أبو زعبل - شرق السكة الحديد - القليوبية")</f>
        <v>أبو زعبل - شرق السكة الحديد - القليوبية</v>
      </c>
      <c r="I1274" s="6" t="str">
        <f ca="1">IFERROR(__xludf.DUMMYFUNCTION("""COMPUTED_VALUE"""),"201001502402")</f>
        <v>201001502402</v>
      </c>
      <c r="J1274" s="6"/>
      <c r="K1274" s="6" t="str">
        <f ca="1">IFERROR(__xludf.DUMMYFUNCTION("""COMPUTED_VALUE"""),"20% علي الأسعار النقدي المعلنة")</f>
        <v>20% علي الأسعار النقدي المعلنة</v>
      </c>
    </row>
    <row r="1275" spans="1:11" x14ac:dyDescent="0.25">
      <c r="A1275" s="4" t="str">
        <f ca="1">IFERROR(__xludf.DUMMYFUNCTION("""COMPUTED_VALUE"""),"103355-B")</f>
        <v>103355-B</v>
      </c>
      <c r="B1275" s="5" t="str">
        <f ca="1">IFERROR(__xludf.DUMMYFUNCTION("""COMPUTED_VALUE"""),"القاهرة")</f>
        <v>القاهرة</v>
      </c>
      <c r="C1275" s="5" t="str">
        <f ca="1">IFERROR(__xludf.DUMMYFUNCTION("""COMPUTED_VALUE"""),"مصر الجديدة")</f>
        <v>مصر الجديدة</v>
      </c>
      <c r="D1275" s="5" t="str">
        <f ca="1">IFERROR(__xludf.DUMMYFUNCTION("""COMPUTED_VALUE"""),"مركز علاج طبيعي")</f>
        <v>مركز علاج طبيعي</v>
      </c>
      <c r="E1275" s="5" t="str">
        <f ca="1">IFERROR(__xludf.DUMMYFUNCTION("""COMPUTED_VALUE"""),"علاج طبيعي")</f>
        <v>علاج طبيعي</v>
      </c>
      <c r="F1275" s="5" t="str">
        <f ca="1">IFERROR(__xludf.DUMMYFUNCTION("""COMPUTED_VALUE"""),"جلسات العلاج الطبيعي")</f>
        <v>جلسات العلاج الطبيعي</v>
      </c>
      <c r="G1275" s="5" t="str">
        <f ca="1">IFERROR(__xludf.DUMMYFUNCTION("""COMPUTED_VALUE"""),"مركز د/ محمود محمد محمود مصطفى للعلاج الطبيعي")</f>
        <v>مركز د/ محمود محمد محمود مصطفى للعلاج الطبيعي</v>
      </c>
      <c r="H1275" s="5" t="str">
        <f ca="1">IFERROR(__xludf.DUMMYFUNCTION("""COMPUTED_VALUE"""),"9 شارع أفلاطون - امام مستشفى عبد القادر فهمي - مصر الجديدة")</f>
        <v>9 شارع أفلاطون - امام مستشفى عبد القادر فهمي - مصر الجديدة</v>
      </c>
      <c r="I1275" s="6" t="str">
        <f ca="1">IFERROR(__xludf.DUMMYFUNCTION("""COMPUTED_VALUE"""),"201221589242")</f>
        <v>201221589242</v>
      </c>
      <c r="J1275" s="6"/>
      <c r="K1275" s="6" t="str">
        <f ca="1">IFERROR(__xludf.DUMMYFUNCTION("""COMPUTED_VALUE"""),"20% علي الأسعار النقدي المعلنة")</f>
        <v>20% علي الأسعار النقدي المعلنة</v>
      </c>
    </row>
    <row r="1276" spans="1:11" x14ac:dyDescent="0.25">
      <c r="A1276" s="4" t="str">
        <f ca="1">IFERROR(__xludf.DUMMYFUNCTION("""COMPUTED_VALUE"""),"1683-B")</f>
        <v>1683-B</v>
      </c>
      <c r="B1276" s="5" t="str">
        <f ca="1">IFERROR(__xludf.DUMMYFUNCTION("""COMPUTED_VALUE"""),"القاهرة")</f>
        <v>القاهرة</v>
      </c>
      <c r="C1276" s="5" t="str">
        <f ca="1">IFERROR(__xludf.DUMMYFUNCTION("""COMPUTED_VALUE"""),"حلمية الزيتون")</f>
        <v>حلمية الزيتون</v>
      </c>
      <c r="D1276" s="5" t="str">
        <f ca="1">IFERROR(__xludf.DUMMYFUNCTION("""COMPUTED_VALUE"""),"صيدلية")</f>
        <v>صيدلية</v>
      </c>
      <c r="E1276" s="5" t="str">
        <f ca="1">IFERROR(__xludf.DUMMYFUNCTION("""COMPUTED_VALUE"""),"صيدلية")</f>
        <v>صيدلية</v>
      </c>
      <c r="F1276" s="5" t="str">
        <f ca="1">IFERROR(__xludf.DUMMYFUNCTION("""COMPUTED_VALUE"""),"صيدلية (أدوية ومستلزمات طبية)")</f>
        <v>صيدلية (أدوية ومستلزمات طبية)</v>
      </c>
      <c r="G127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76" s="5" t="str">
        <f ca="1">IFERROR(__xludf.DUMMYFUNCTION("""COMPUTED_VALUE"""),"2ش طومان باى-ميدان إبن سندر-الزيتون")</f>
        <v>2ش طومان باى-ميدان إبن سندر-الزيتون</v>
      </c>
      <c r="I1276" s="6" t="str">
        <f ca="1">IFERROR(__xludf.DUMMYFUNCTION("""COMPUTED_VALUE"""),"1119015073
")</f>
        <v xml:space="preserve">1119015073
</v>
      </c>
      <c r="J1276" s="6" t="str">
        <f ca="1">IFERROR(__xludf.DUMMYFUNCTION("""COMPUTED_VALUE"""),"19600")</f>
        <v>19600</v>
      </c>
      <c r="K1276" s="6" t="str">
        <f ca="1">IFERROR(__xludf.DUMMYFUNCTION("""COMPUTED_VALUE"""),"7.5 % على المحلى ,5% على المستلزمات الطبية و التجميل")</f>
        <v>7.5 % على المحلى ,5% على المستلزمات الطبية و التجميل</v>
      </c>
    </row>
    <row r="1277" spans="1:11" x14ac:dyDescent="0.25">
      <c r="A1277" s="4" t="str">
        <f ca="1">IFERROR(__xludf.DUMMYFUNCTION("""COMPUTED_VALUE"""),"1683-B")</f>
        <v>1683-B</v>
      </c>
      <c r="B1277" s="5" t="str">
        <f ca="1">IFERROR(__xludf.DUMMYFUNCTION("""COMPUTED_VALUE"""),"القاهرة")</f>
        <v>القاهرة</v>
      </c>
      <c r="C1277" s="5" t="str">
        <f ca="1">IFERROR(__xludf.DUMMYFUNCTION("""COMPUTED_VALUE"""),"القاهرة الجديدة")</f>
        <v>القاهرة الجديدة</v>
      </c>
      <c r="D1277" s="5" t="str">
        <f ca="1">IFERROR(__xludf.DUMMYFUNCTION("""COMPUTED_VALUE"""),"صيدلية")</f>
        <v>صيدلية</v>
      </c>
      <c r="E1277" s="5" t="str">
        <f ca="1">IFERROR(__xludf.DUMMYFUNCTION("""COMPUTED_VALUE"""),"صيدلية")</f>
        <v>صيدلية</v>
      </c>
      <c r="F1277" s="5" t="str">
        <f ca="1">IFERROR(__xludf.DUMMYFUNCTION("""COMPUTED_VALUE"""),"صيدلية (أدوية ومستلزمات طبية)")</f>
        <v>صيدلية (أدوية ومستلزمات طبية)</v>
      </c>
      <c r="G127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77" s="5" t="str">
        <f ca="1">IFERROR(__xludf.DUMMYFUNCTION("""COMPUTED_VALUE"""),"الوحدة التجارية رقم CGS3 بالدور الأرضى - المبنى C - ووتر واى - التجمع الخامس")</f>
        <v>الوحدة التجارية رقم CGS3 بالدور الأرضى - المبنى C - ووتر واى - التجمع الخامس</v>
      </c>
      <c r="I1277" s="6" t="str">
        <f ca="1">IFERROR(__xludf.DUMMYFUNCTION("""COMPUTED_VALUE"""),"1128468880
")</f>
        <v xml:space="preserve">1128468880
</v>
      </c>
      <c r="J1277" s="6" t="str">
        <f ca="1">IFERROR(__xludf.DUMMYFUNCTION("""COMPUTED_VALUE"""),"19600")</f>
        <v>19600</v>
      </c>
      <c r="K1277" s="6" t="str">
        <f ca="1">IFERROR(__xludf.DUMMYFUNCTION("""COMPUTED_VALUE"""),"7.5 % على المحلى ,5% على المستلزمات الطبية و التجميل")</f>
        <v>7.5 % على المحلى ,5% على المستلزمات الطبية و التجميل</v>
      </c>
    </row>
    <row r="1278" spans="1:11" x14ac:dyDescent="0.25">
      <c r="A1278" s="4" t="str">
        <f ca="1">IFERROR(__xludf.DUMMYFUNCTION("""COMPUTED_VALUE"""),"1683-B")</f>
        <v>1683-B</v>
      </c>
      <c r="B1278" s="5" t="str">
        <f ca="1">IFERROR(__xludf.DUMMYFUNCTION("""COMPUTED_VALUE"""),"القاهرة")</f>
        <v>القاهرة</v>
      </c>
      <c r="C1278" s="5" t="str">
        <f ca="1">IFERROR(__xludf.DUMMYFUNCTION("""COMPUTED_VALUE"""),"مدينة نصر")</f>
        <v>مدينة نصر</v>
      </c>
      <c r="D1278" s="5" t="str">
        <f ca="1">IFERROR(__xludf.DUMMYFUNCTION("""COMPUTED_VALUE"""),"صيدلية")</f>
        <v>صيدلية</v>
      </c>
      <c r="E1278" s="5" t="str">
        <f ca="1">IFERROR(__xludf.DUMMYFUNCTION("""COMPUTED_VALUE"""),"صيدلية")</f>
        <v>صيدلية</v>
      </c>
      <c r="F1278" s="5" t="str">
        <f ca="1">IFERROR(__xludf.DUMMYFUNCTION("""COMPUTED_VALUE"""),"صيدلية (أدوية ومستلزمات طبية)")</f>
        <v>صيدلية (أدوية ومستلزمات طبية)</v>
      </c>
      <c r="G127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78" s="5" t="str">
        <f ca="1">IFERROR(__xludf.DUMMYFUNCTION("""COMPUTED_VALUE"""),"4تقاطع مكرم عبيد من طريق النصرمحل 10و11مدينة نصر اول -بجوار بى تك")</f>
        <v>4تقاطع مكرم عبيد من طريق النصرمحل 10و11مدينة نصر اول -بجوار بى تك</v>
      </c>
      <c r="I1278" s="6" t="str">
        <f ca="1">IFERROR(__xludf.DUMMYFUNCTION("""COMPUTED_VALUE"""),"1159255527
")</f>
        <v xml:space="preserve">1159255527
</v>
      </c>
      <c r="J1278" s="6" t="str">
        <f ca="1">IFERROR(__xludf.DUMMYFUNCTION("""COMPUTED_VALUE"""),"19600")</f>
        <v>19600</v>
      </c>
      <c r="K1278" s="6" t="str">
        <f ca="1">IFERROR(__xludf.DUMMYFUNCTION("""COMPUTED_VALUE"""),"7.5 % على المحلى ,5% على المستلزمات الطبية و التجميل")</f>
        <v>7.5 % على المحلى ,5% على المستلزمات الطبية و التجميل</v>
      </c>
    </row>
    <row r="1279" spans="1:11" x14ac:dyDescent="0.25">
      <c r="A1279" s="4" t="str">
        <f ca="1">IFERROR(__xludf.DUMMYFUNCTION("""COMPUTED_VALUE"""),"1683-B")</f>
        <v>1683-B</v>
      </c>
      <c r="B1279" s="5" t="str">
        <f ca="1">IFERROR(__xludf.DUMMYFUNCTION("""COMPUTED_VALUE"""),"القاهرة")</f>
        <v>القاهرة</v>
      </c>
      <c r="C1279" s="5" t="str">
        <f ca="1">IFERROR(__xludf.DUMMYFUNCTION("""COMPUTED_VALUE"""),"المعادى")</f>
        <v>المعادى</v>
      </c>
      <c r="D1279" s="5" t="str">
        <f ca="1">IFERROR(__xludf.DUMMYFUNCTION("""COMPUTED_VALUE"""),"صيدلية")</f>
        <v>صيدلية</v>
      </c>
      <c r="E1279" s="5" t="str">
        <f ca="1">IFERROR(__xludf.DUMMYFUNCTION("""COMPUTED_VALUE"""),"صيدلية")</f>
        <v>صيدلية</v>
      </c>
      <c r="F1279" s="5" t="str">
        <f ca="1">IFERROR(__xludf.DUMMYFUNCTION("""COMPUTED_VALUE"""),"صيدلية (أدوية ومستلزمات طبية)")</f>
        <v>صيدلية (أدوية ومستلزمات طبية)</v>
      </c>
      <c r="G127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79" s="5" t="str">
        <f ca="1">IFERROR(__xludf.DUMMYFUNCTION("""COMPUTED_VALUE"""),"26قطعة رقم2بلوك ى تقسيم 3221الجمعية التعاونية للبناءوالإسكان للضباط العاملين للإدارة العامة لتنفيذ الأحكام بمنطقة زهراء المعادى")</f>
        <v>26قطعة رقم2بلوك ى تقسيم 3221الجمعية التعاونية للبناءوالإسكان للضباط العاملين للإدارة العامة لتنفيذ الأحكام بمنطقة زهراء المعادى</v>
      </c>
      <c r="I1279" s="6" t="str">
        <f ca="1">IFERROR(__xludf.DUMMYFUNCTION("""COMPUTED_VALUE"""),"1111055404
")</f>
        <v xml:space="preserve">1111055404
</v>
      </c>
      <c r="J1279" s="6" t="str">
        <f ca="1">IFERROR(__xludf.DUMMYFUNCTION("""COMPUTED_VALUE"""),"19600")</f>
        <v>19600</v>
      </c>
      <c r="K1279" s="6" t="str">
        <f ca="1">IFERROR(__xludf.DUMMYFUNCTION("""COMPUTED_VALUE"""),"7.5 % على المحلى ,5% على المستلزمات الطبية و التجميل")</f>
        <v>7.5 % على المحلى ,5% على المستلزمات الطبية و التجميل</v>
      </c>
    </row>
    <row r="1280" spans="1:11" x14ac:dyDescent="0.25">
      <c r="A1280" s="4" t="str">
        <f ca="1">IFERROR(__xludf.DUMMYFUNCTION("""COMPUTED_VALUE"""),"1683-B")</f>
        <v>1683-B</v>
      </c>
      <c r="B1280" s="5" t="str">
        <f ca="1">IFERROR(__xludf.DUMMYFUNCTION("""COMPUTED_VALUE"""),"القاهرة")</f>
        <v>القاهرة</v>
      </c>
      <c r="C1280" s="5" t="str">
        <f ca="1">IFERROR(__xludf.DUMMYFUNCTION("""COMPUTED_VALUE"""),"مدينة السلام")</f>
        <v>مدينة السلام</v>
      </c>
      <c r="D1280" s="5" t="str">
        <f ca="1">IFERROR(__xludf.DUMMYFUNCTION("""COMPUTED_VALUE"""),"صيدلية")</f>
        <v>صيدلية</v>
      </c>
      <c r="E1280" s="5" t="str">
        <f ca="1">IFERROR(__xludf.DUMMYFUNCTION("""COMPUTED_VALUE"""),"صيدلية")</f>
        <v>صيدلية</v>
      </c>
      <c r="F1280" s="5" t="str">
        <f ca="1">IFERROR(__xludf.DUMMYFUNCTION("""COMPUTED_VALUE"""),"صيدلية (أدوية ومستلزمات طبية)")</f>
        <v>صيدلية (أدوية ومستلزمات طبية)</v>
      </c>
      <c r="G128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80" s="5" t="str">
        <f ca="1">IFERROR(__xludf.DUMMYFUNCTION("""COMPUTED_VALUE"""),"20مساكن ضباط الصف -شارع السادات محل رقم2أمام سوبر ماركت ماكرو - مدينة السلام")</f>
        <v>20مساكن ضباط الصف -شارع السادات محل رقم2أمام سوبر ماركت ماكرو - مدينة السلام</v>
      </c>
      <c r="I1280" s="6" t="str">
        <f ca="1">IFERROR(__xludf.DUMMYFUNCTION("""COMPUTED_VALUE"""),"1063559556
")</f>
        <v xml:space="preserve">1063559556
</v>
      </c>
      <c r="J1280" s="6" t="str">
        <f ca="1">IFERROR(__xludf.DUMMYFUNCTION("""COMPUTED_VALUE"""),"19600")</f>
        <v>19600</v>
      </c>
      <c r="K1280" s="6" t="str">
        <f ca="1">IFERROR(__xludf.DUMMYFUNCTION("""COMPUTED_VALUE"""),"7.5 % على المحلى ,5% على المستلزمات الطبية و التجميل")</f>
        <v>7.5 % على المحلى ,5% على المستلزمات الطبية و التجميل</v>
      </c>
    </row>
    <row r="1281" spans="1:11" x14ac:dyDescent="0.25">
      <c r="A1281" s="4" t="str">
        <f ca="1">IFERROR(__xludf.DUMMYFUNCTION("""COMPUTED_VALUE"""),"1683-B")</f>
        <v>1683-B</v>
      </c>
      <c r="B1281" s="5" t="str">
        <f ca="1">IFERROR(__xludf.DUMMYFUNCTION("""COMPUTED_VALUE"""),"الجيزة")</f>
        <v>الجيزة</v>
      </c>
      <c r="C1281" s="5" t="str">
        <f ca="1">IFERROR(__xludf.DUMMYFUNCTION("""COMPUTED_VALUE"""),"المهندسين")</f>
        <v>المهندسين</v>
      </c>
      <c r="D1281" s="5" t="str">
        <f ca="1">IFERROR(__xludf.DUMMYFUNCTION("""COMPUTED_VALUE"""),"صيدلية")</f>
        <v>صيدلية</v>
      </c>
      <c r="E1281" s="5" t="str">
        <f ca="1">IFERROR(__xludf.DUMMYFUNCTION("""COMPUTED_VALUE"""),"صيدلية")</f>
        <v>صيدلية</v>
      </c>
      <c r="F1281" s="5" t="str">
        <f ca="1">IFERROR(__xludf.DUMMYFUNCTION("""COMPUTED_VALUE"""),"صيدلية (أدوية ومستلزمات طبية)")</f>
        <v>صيدلية (أدوية ومستلزمات طبية)</v>
      </c>
      <c r="G128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81" s="5" t="str">
        <f ca="1">IFERROR(__xludf.DUMMYFUNCTION("""COMPUTED_VALUE"""),"30شارع جامعه الدول العربية-المهندسين")</f>
        <v>30شارع جامعه الدول العربية-المهندسين</v>
      </c>
      <c r="I1281" s="6" t="str">
        <f ca="1">IFERROR(__xludf.DUMMYFUNCTION("""COMPUTED_VALUE"""),"1150588055
")</f>
        <v xml:space="preserve">1150588055
</v>
      </c>
      <c r="J1281" s="6" t="str">
        <f ca="1">IFERROR(__xludf.DUMMYFUNCTION("""COMPUTED_VALUE"""),"19600")</f>
        <v>19600</v>
      </c>
      <c r="K1281" s="6" t="str">
        <f ca="1">IFERROR(__xludf.DUMMYFUNCTION("""COMPUTED_VALUE"""),"7.5 % على المحلى ,5% على المستلزمات الطبية و التجميل")</f>
        <v>7.5 % على المحلى ,5% على المستلزمات الطبية و التجميل</v>
      </c>
    </row>
    <row r="1282" spans="1:11" x14ac:dyDescent="0.25">
      <c r="A1282" s="4" t="str">
        <f ca="1">IFERROR(__xludf.DUMMYFUNCTION("""COMPUTED_VALUE"""),"1683-B")</f>
        <v>1683-B</v>
      </c>
      <c r="B1282" s="5" t="str">
        <f ca="1">IFERROR(__xludf.DUMMYFUNCTION("""COMPUTED_VALUE"""),"الجيزة")</f>
        <v>الجيزة</v>
      </c>
      <c r="C1282" s="5" t="str">
        <f ca="1">IFERROR(__xludf.DUMMYFUNCTION("""COMPUTED_VALUE"""),"الجيزة")</f>
        <v>الجيزة</v>
      </c>
      <c r="D1282" s="5" t="str">
        <f ca="1">IFERROR(__xludf.DUMMYFUNCTION("""COMPUTED_VALUE"""),"صيدلية")</f>
        <v>صيدلية</v>
      </c>
      <c r="E1282" s="5" t="str">
        <f ca="1">IFERROR(__xludf.DUMMYFUNCTION("""COMPUTED_VALUE"""),"صيدلية")</f>
        <v>صيدلية</v>
      </c>
      <c r="F1282" s="5" t="str">
        <f ca="1">IFERROR(__xludf.DUMMYFUNCTION("""COMPUTED_VALUE"""),"صيدلية (أدوية ومستلزمات طبية)")</f>
        <v>صيدلية (أدوية ومستلزمات طبية)</v>
      </c>
      <c r="G128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82" s="5" t="str">
        <f ca="1">IFERROR(__xludf.DUMMYFUNCTION("""COMPUTED_VALUE"""),"برج الجيزة ريزيدانس-قطعة44-46 D-شارع مراد")</f>
        <v>برج الجيزة ريزيدانس-قطعة44-46 D-شارع مراد</v>
      </c>
      <c r="I1282" s="6" t="str">
        <f ca="1">IFERROR(__xludf.DUMMYFUNCTION("""COMPUTED_VALUE"""),"1111866136
")</f>
        <v xml:space="preserve">1111866136
</v>
      </c>
      <c r="J1282" s="6" t="str">
        <f ca="1">IFERROR(__xludf.DUMMYFUNCTION("""COMPUTED_VALUE"""),"19600")</f>
        <v>19600</v>
      </c>
      <c r="K1282" s="6" t="str">
        <f ca="1">IFERROR(__xludf.DUMMYFUNCTION("""COMPUTED_VALUE"""),"7.5 % على المحلى ,5% على المستلزمات الطبية و التجميل")</f>
        <v>7.5 % على المحلى ,5% على المستلزمات الطبية و التجميل</v>
      </c>
    </row>
    <row r="1283" spans="1:11" x14ac:dyDescent="0.25">
      <c r="A1283" s="4" t="str">
        <f ca="1">IFERROR(__xludf.DUMMYFUNCTION("""COMPUTED_VALUE"""),"1683-B")</f>
        <v>1683-B</v>
      </c>
      <c r="B1283" s="5" t="str">
        <f ca="1">IFERROR(__xludf.DUMMYFUNCTION("""COMPUTED_VALUE"""),"السويس")</f>
        <v>السويس</v>
      </c>
      <c r="C1283" s="5" t="str">
        <f ca="1">IFERROR(__xludf.DUMMYFUNCTION("""COMPUTED_VALUE"""),"السويس")</f>
        <v>السويس</v>
      </c>
      <c r="D1283" s="5" t="str">
        <f ca="1">IFERROR(__xludf.DUMMYFUNCTION("""COMPUTED_VALUE"""),"صيدلية")</f>
        <v>صيدلية</v>
      </c>
      <c r="E1283" s="5" t="str">
        <f ca="1">IFERROR(__xludf.DUMMYFUNCTION("""COMPUTED_VALUE"""),"صيدلية")</f>
        <v>صيدلية</v>
      </c>
      <c r="F1283" s="5" t="str">
        <f ca="1">IFERROR(__xludf.DUMMYFUNCTION("""COMPUTED_VALUE"""),"صيدلية (أدوية ومستلزمات طبية)")</f>
        <v>صيدلية (أدوية ومستلزمات طبية)</v>
      </c>
      <c r="G128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83" s="5" t="str">
        <f ca="1">IFERROR(__xludf.DUMMYFUNCTION("""COMPUTED_VALUE"""),"صيدلية الاسعاف -ميدان الاسعاف –خلف مبنى الاسعاف-السويس")</f>
        <v>صيدلية الاسعاف -ميدان الاسعاف –خلف مبنى الاسعاف-السويس</v>
      </c>
      <c r="I1283" s="6" t="str">
        <f ca="1">IFERROR(__xludf.DUMMYFUNCTION("""COMPUTED_VALUE"""),"1154004484
")</f>
        <v xml:space="preserve">1154004484
</v>
      </c>
      <c r="J1283" s="6" t="str">
        <f ca="1">IFERROR(__xludf.DUMMYFUNCTION("""COMPUTED_VALUE"""),"19600")</f>
        <v>19600</v>
      </c>
      <c r="K1283" s="6" t="str">
        <f ca="1">IFERROR(__xludf.DUMMYFUNCTION("""COMPUTED_VALUE"""),"7.5 % على المحلى ,5% على المستلزمات الطبية و التجميل")</f>
        <v>7.5 % على المحلى ,5% على المستلزمات الطبية و التجميل</v>
      </c>
    </row>
    <row r="1284" spans="1:11" x14ac:dyDescent="0.25">
      <c r="A1284" s="4" t="str">
        <f ca="1">IFERROR(__xludf.DUMMYFUNCTION("""COMPUTED_VALUE"""),"1683-B")</f>
        <v>1683-B</v>
      </c>
      <c r="B1284" s="5" t="str">
        <f ca="1">IFERROR(__xludf.DUMMYFUNCTION("""COMPUTED_VALUE"""),"الشرقية")</f>
        <v>الشرقية</v>
      </c>
      <c r="C1284" s="5" t="str">
        <f ca="1">IFERROR(__xludf.DUMMYFUNCTION("""COMPUTED_VALUE"""),"فاقوس")</f>
        <v>فاقوس</v>
      </c>
      <c r="D1284" s="5" t="str">
        <f ca="1">IFERROR(__xludf.DUMMYFUNCTION("""COMPUTED_VALUE"""),"صيدلية")</f>
        <v>صيدلية</v>
      </c>
      <c r="E1284" s="5" t="str">
        <f ca="1">IFERROR(__xludf.DUMMYFUNCTION("""COMPUTED_VALUE"""),"صيدلية")</f>
        <v>صيدلية</v>
      </c>
      <c r="F1284" s="5" t="str">
        <f ca="1">IFERROR(__xludf.DUMMYFUNCTION("""COMPUTED_VALUE"""),"صيدلية (أدوية ومستلزمات طبية)")</f>
        <v>صيدلية (أدوية ومستلزمات طبية)</v>
      </c>
      <c r="G128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84" s="5" t="str">
        <f ca="1">IFERROR(__xludf.DUMMYFUNCTION("""COMPUTED_VALUE"""),"شارع مصطفى خليل -بجوار البنك الأهلى القديم-فاقوس -الشرقية")</f>
        <v>شارع مصطفى خليل -بجوار البنك الأهلى القديم-فاقوس -الشرقية</v>
      </c>
      <c r="I1284" s="6" t="str">
        <f ca="1">IFERROR(__xludf.DUMMYFUNCTION("""COMPUTED_VALUE"""),"01154006002
")</f>
        <v xml:space="preserve">01154006002
</v>
      </c>
      <c r="J1284" s="6" t="str">
        <f ca="1">IFERROR(__xludf.DUMMYFUNCTION("""COMPUTED_VALUE"""),"19600")</f>
        <v>19600</v>
      </c>
      <c r="K1284" s="6" t="str">
        <f ca="1">IFERROR(__xludf.DUMMYFUNCTION("""COMPUTED_VALUE"""),"7.5 % على المحلى ,5% على المستلزمات الطبية و التجميل")</f>
        <v>7.5 % على المحلى ,5% على المستلزمات الطبية و التجميل</v>
      </c>
    </row>
    <row r="1285" spans="1:11" x14ac:dyDescent="0.25">
      <c r="A1285" s="4" t="str">
        <f ca="1">IFERROR(__xludf.DUMMYFUNCTION("""COMPUTED_VALUE"""),"1683-B")</f>
        <v>1683-B</v>
      </c>
      <c r="B1285" s="5" t="str">
        <f ca="1">IFERROR(__xludf.DUMMYFUNCTION("""COMPUTED_VALUE"""),"الشرقية")</f>
        <v>الشرقية</v>
      </c>
      <c r="C1285" s="5" t="str">
        <f ca="1">IFERROR(__xludf.DUMMYFUNCTION("""COMPUTED_VALUE"""),"الزقازيق")</f>
        <v>الزقازيق</v>
      </c>
      <c r="D1285" s="5" t="str">
        <f ca="1">IFERROR(__xludf.DUMMYFUNCTION("""COMPUTED_VALUE"""),"صيدلية")</f>
        <v>صيدلية</v>
      </c>
      <c r="E1285" s="5" t="str">
        <f ca="1">IFERROR(__xludf.DUMMYFUNCTION("""COMPUTED_VALUE"""),"صيدلية")</f>
        <v>صيدلية</v>
      </c>
      <c r="F1285" s="5" t="str">
        <f ca="1">IFERROR(__xludf.DUMMYFUNCTION("""COMPUTED_VALUE"""),"صيدلية (أدوية ومستلزمات طبية)")</f>
        <v>صيدلية (أدوية ومستلزمات طبية)</v>
      </c>
      <c r="G128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85" s="5" t="str">
        <f ca="1">IFERROR(__xludf.DUMMYFUNCTION("""COMPUTED_VALUE"""),"برج الإصلاح الزراعىمن جمال عبد الناصربجوار مبنى المحافظة على كورنيش الزقازيق")</f>
        <v>برج الإصلاح الزراعىمن جمال عبد الناصربجوار مبنى المحافظة على كورنيش الزقازيق</v>
      </c>
      <c r="I1285" s="6" t="str">
        <f ca="1">IFERROR(__xludf.DUMMYFUNCTION("""COMPUTED_VALUE"""),"1159355534
")</f>
        <v xml:space="preserve">1159355534
</v>
      </c>
      <c r="J1285" s="6" t="str">
        <f ca="1">IFERROR(__xludf.DUMMYFUNCTION("""COMPUTED_VALUE"""),"19600")</f>
        <v>19600</v>
      </c>
      <c r="K1285" s="6" t="str">
        <f ca="1">IFERROR(__xludf.DUMMYFUNCTION("""COMPUTED_VALUE"""),"7.5 % على المحلى ,5% على المستلزمات الطبية و التجميل")</f>
        <v>7.5 % على المحلى ,5% على المستلزمات الطبية و التجميل</v>
      </c>
    </row>
    <row r="1286" spans="1:11" x14ac:dyDescent="0.25">
      <c r="A1286" s="4" t="str">
        <f ca="1">IFERROR(__xludf.DUMMYFUNCTION("""COMPUTED_VALUE"""),"1683-B")</f>
        <v>1683-B</v>
      </c>
      <c r="B1286" s="5" t="str">
        <f ca="1">IFERROR(__xludf.DUMMYFUNCTION("""COMPUTED_VALUE"""),"الدقهلية")</f>
        <v>الدقهلية</v>
      </c>
      <c r="C1286" s="5" t="str">
        <f ca="1">IFERROR(__xludf.DUMMYFUNCTION("""COMPUTED_VALUE"""),"المنصورة")</f>
        <v>المنصورة</v>
      </c>
      <c r="D1286" s="5" t="str">
        <f ca="1">IFERROR(__xludf.DUMMYFUNCTION("""COMPUTED_VALUE"""),"صيدلية")</f>
        <v>صيدلية</v>
      </c>
      <c r="E1286" s="5" t="str">
        <f ca="1">IFERROR(__xludf.DUMMYFUNCTION("""COMPUTED_VALUE"""),"صيدلية")</f>
        <v>صيدلية</v>
      </c>
      <c r="F1286" s="5" t="str">
        <f ca="1">IFERROR(__xludf.DUMMYFUNCTION("""COMPUTED_VALUE"""),"صيدلية (أدوية ومستلزمات طبية)")</f>
        <v>صيدلية (أدوية ومستلزمات طبية)</v>
      </c>
      <c r="G128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86" s="5" t="str">
        <f ca="1">IFERROR(__xludf.DUMMYFUNCTION("""COMPUTED_VALUE"""),"شارع المعاهدة وشارع 23يوليو-ميت غمر-دقهلية")</f>
        <v>شارع المعاهدة وشارع 23يوليو-ميت غمر-دقهلية</v>
      </c>
      <c r="I1286" s="6" t="str">
        <f ca="1">IFERROR(__xludf.DUMMYFUNCTION("""COMPUTED_VALUE"""),"1119913897
")</f>
        <v xml:space="preserve">1119913897
</v>
      </c>
      <c r="J1286" s="6" t="str">
        <f ca="1">IFERROR(__xludf.DUMMYFUNCTION("""COMPUTED_VALUE"""),"19600")</f>
        <v>19600</v>
      </c>
      <c r="K1286" s="6" t="str">
        <f ca="1">IFERROR(__xludf.DUMMYFUNCTION("""COMPUTED_VALUE"""),"7.5 % على المحلى ,5% على المستلزمات الطبية و التجميل")</f>
        <v>7.5 % على المحلى ,5% على المستلزمات الطبية و التجميل</v>
      </c>
    </row>
    <row r="1287" spans="1:11" x14ac:dyDescent="0.25">
      <c r="A1287" s="4" t="str">
        <f ca="1">IFERROR(__xludf.DUMMYFUNCTION("""COMPUTED_VALUE"""),"1683-B")</f>
        <v>1683-B</v>
      </c>
      <c r="B1287" s="5" t="str">
        <f ca="1">IFERROR(__xludf.DUMMYFUNCTION("""COMPUTED_VALUE"""),"البحر الاحمر")</f>
        <v>البحر الاحمر</v>
      </c>
      <c r="C1287" s="5" t="str">
        <f ca="1">IFERROR(__xludf.DUMMYFUNCTION("""COMPUTED_VALUE"""),"الغردقة")</f>
        <v>الغردقة</v>
      </c>
      <c r="D1287" s="5" t="str">
        <f ca="1">IFERROR(__xludf.DUMMYFUNCTION("""COMPUTED_VALUE"""),"صيدلية")</f>
        <v>صيدلية</v>
      </c>
      <c r="E1287" s="5" t="str">
        <f ca="1">IFERROR(__xludf.DUMMYFUNCTION("""COMPUTED_VALUE"""),"صيدلية")</f>
        <v>صيدلية</v>
      </c>
      <c r="F1287" s="5" t="str">
        <f ca="1">IFERROR(__xludf.DUMMYFUNCTION("""COMPUTED_VALUE"""),"صيدلية (أدوية ومستلزمات طبية)")</f>
        <v>صيدلية (أدوية ومستلزمات طبية)</v>
      </c>
      <c r="G128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87" s="5" t="str">
        <f ca="1">IFERROR(__xludf.DUMMYFUNCTION("""COMPUTED_VALUE"""),"محل رقم A28 , A29 - الدور الأرضى - سنزو مول-الغردقة-البحر الأحمر")</f>
        <v>محل رقم A28 , A29 - الدور الأرضى - سنزو مول-الغردقة-البحر الأحمر</v>
      </c>
      <c r="I1287" s="6" t="str">
        <f ca="1">IFERROR(__xludf.DUMMYFUNCTION("""COMPUTED_VALUE"""),"20653464867")</f>
        <v>20653464867</v>
      </c>
      <c r="J1287" s="6" t="str">
        <f ca="1">IFERROR(__xludf.DUMMYFUNCTION("""COMPUTED_VALUE"""),"19600")</f>
        <v>19600</v>
      </c>
      <c r="K1287" s="6" t="str">
        <f ca="1">IFERROR(__xludf.DUMMYFUNCTION("""COMPUTED_VALUE"""),"7.5 % على المحلى ,5% على المستلزمات الطبية و التجميل")</f>
        <v>7.5 % على المحلى ,5% على المستلزمات الطبية و التجميل</v>
      </c>
    </row>
    <row r="1288" spans="1:11" x14ac:dyDescent="0.25">
      <c r="A1288" s="4" t="str">
        <f ca="1">IFERROR(__xludf.DUMMYFUNCTION("""COMPUTED_VALUE"""),"1683-B")</f>
        <v>1683-B</v>
      </c>
      <c r="B1288" s="5" t="str">
        <f ca="1">IFERROR(__xludf.DUMMYFUNCTION("""COMPUTED_VALUE"""),"المنيا")</f>
        <v>المنيا</v>
      </c>
      <c r="C1288" s="5" t="str">
        <f ca="1">IFERROR(__xludf.DUMMYFUNCTION("""COMPUTED_VALUE"""),"المنيا")</f>
        <v>المنيا</v>
      </c>
      <c r="D1288" s="5" t="str">
        <f ca="1">IFERROR(__xludf.DUMMYFUNCTION("""COMPUTED_VALUE"""),"صيدلية")</f>
        <v>صيدلية</v>
      </c>
      <c r="E1288" s="5" t="str">
        <f ca="1">IFERROR(__xludf.DUMMYFUNCTION("""COMPUTED_VALUE"""),"صيدلية")</f>
        <v>صيدلية</v>
      </c>
      <c r="F1288" s="5" t="str">
        <f ca="1">IFERROR(__xludf.DUMMYFUNCTION("""COMPUTED_VALUE"""),"صيدلية (أدوية ومستلزمات طبية)")</f>
        <v>صيدلية (أدوية ومستلزمات طبية)</v>
      </c>
      <c r="G128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88" s="5" t="str">
        <f ca="1">IFERROR(__xludf.DUMMYFUNCTION("""COMPUTED_VALUE"""),"32ش الجمهورية بجوار البنك الأهلى - المنيا")</f>
        <v>32ش الجمهورية بجوار البنك الأهلى - المنيا</v>
      </c>
      <c r="I1288" s="6" t="str">
        <f ca="1">IFERROR(__xludf.DUMMYFUNCTION("""COMPUTED_VALUE"""),"1154470099
")</f>
        <v xml:space="preserve">1154470099
</v>
      </c>
      <c r="J1288" s="6" t="str">
        <f ca="1">IFERROR(__xludf.DUMMYFUNCTION("""COMPUTED_VALUE"""),"19600")</f>
        <v>19600</v>
      </c>
      <c r="K1288" s="6" t="str">
        <f ca="1">IFERROR(__xludf.DUMMYFUNCTION("""COMPUTED_VALUE"""),"7.5 % على المحلى ,5% على المستلزمات الطبية و التجميل")</f>
        <v>7.5 % على المحلى ,5% على المستلزمات الطبية و التجميل</v>
      </c>
    </row>
    <row r="1289" spans="1:11" x14ac:dyDescent="0.25">
      <c r="A1289" s="4" t="str">
        <f ca="1">IFERROR(__xludf.DUMMYFUNCTION("""COMPUTED_VALUE"""),"1683-B")</f>
        <v>1683-B</v>
      </c>
      <c r="B1289" s="5" t="str">
        <f ca="1">IFERROR(__xludf.DUMMYFUNCTION("""COMPUTED_VALUE"""),"السويس")</f>
        <v>السويس</v>
      </c>
      <c r="C1289" s="5" t="str">
        <f ca="1">IFERROR(__xludf.DUMMYFUNCTION("""COMPUTED_VALUE"""),"العين السخنة")</f>
        <v>العين السخنة</v>
      </c>
      <c r="D1289" s="5" t="str">
        <f ca="1">IFERROR(__xludf.DUMMYFUNCTION("""COMPUTED_VALUE"""),"صيدلية")</f>
        <v>صيدلية</v>
      </c>
      <c r="E1289" s="5" t="str">
        <f ca="1">IFERROR(__xludf.DUMMYFUNCTION("""COMPUTED_VALUE"""),"صيدلية")</f>
        <v>صيدلية</v>
      </c>
      <c r="F1289" s="5" t="str">
        <f ca="1">IFERROR(__xludf.DUMMYFUNCTION("""COMPUTED_VALUE"""),"صيدلية (أدوية ومستلزمات طبية)")</f>
        <v>صيدلية (أدوية ومستلزمات طبية)</v>
      </c>
      <c r="G128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89" s="5" t="str">
        <f ca="1">IFERROR(__xludf.DUMMYFUNCTION("""COMPUTED_VALUE"""),"بجوار سوبرماركت سعودى -على طريق القاهرة الغردقة - العين السخنه")</f>
        <v>بجوار سوبرماركت سعودى -على طريق القاهرة الغردقة - العين السخنه</v>
      </c>
      <c r="I1289" s="6" t="str">
        <f ca="1">IFERROR(__xludf.DUMMYFUNCTION("""COMPUTED_VALUE"""),"1159251555
")</f>
        <v xml:space="preserve">1159251555
</v>
      </c>
      <c r="J1289" s="6" t="str">
        <f ca="1">IFERROR(__xludf.DUMMYFUNCTION("""COMPUTED_VALUE"""),"19600")</f>
        <v>19600</v>
      </c>
      <c r="K1289" s="6" t="str">
        <f ca="1">IFERROR(__xludf.DUMMYFUNCTION("""COMPUTED_VALUE"""),"7.5 % على المحلى ,5% على المستلزمات الطبية و التجميل")</f>
        <v>7.5 % على المحلى ,5% على المستلزمات الطبية و التجميل</v>
      </c>
    </row>
    <row r="1290" spans="1:11" x14ac:dyDescent="0.25">
      <c r="A1290" s="4" t="str">
        <f ca="1">IFERROR(__xludf.DUMMYFUNCTION("""COMPUTED_VALUE"""),"1683-B")</f>
        <v>1683-B</v>
      </c>
      <c r="B1290" s="5" t="str">
        <f ca="1">IFERROR(__xludf.DUMMYFUNCTION("""COMPUTED_VALUE"""),"السويس")</f>
        <v>السويس</v>
      </c>
      <c r="C1290" s="5" t="str">
        <f ca="1">IFERROR(__xludf.DUMMYFUNCTION("""COMPUTED_VALUE"""),"العين السخنة")</f>
        <v>العين السخنة</v>
      </c>
      <c r="D1290" s="5" t="str">
        <f ca="1">IFERROR(__xludf.DUMMYFUNCTION("""COMPUTED_VALUE"""),"صيدلية")</f>
        <v>صيدلية</v>
      </c>
      <c r="E1290" s="5" t="str">
        <f ca="1">IFERROR(__xludf.DUMMYFUNCTION("""COMPUTED_VALUE"""),"صيدلية")</f>
        <v>صيدلية</v>
      </c>
      <c r="F1290" s="5" t="str">
        <f ca="1">IFERROR(__xludf.DUMMYFUNCTION("""COMPUTED_VALUE"""),"صيدلية (أدوية ومستلزمات طبية)")</f>
        <v>صيدلية (أدوية ومستلزمات طبية)</v>
      </c>
      <c r="G129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90" s="5" t="str">
        <f ca="1">IFERROR(__xludf.DUMMYFUNCTION("""COMPUTED_VALUE"""),"مجمع خدمات ماستر السخنة-بحرم طريق السخنة-قبل بوابة السخنة  - العين السخنه")</f>
        <v>مجمع خدمات ماستر السخنة-بحرم طريق السخنة-قبل بوابة السخنة  - العين السخنه</v>
      </c>
      <c r="I1290" s="6" t="str">
        <f ca="1">IFERROR(__xludf.DUMMYFUNCTION("""COMPUTED_VALUE"""),"1140027444
")</f>
        <v xml:space="preserve">1140027444
</v>
      </c>
      <c r="J1290" s="6" t="str">
        <f ca="1">IFERROR(__xludf.DUMMYFUNCTION("""COMPUTED_VALUE"""),"19600")</f>
        <v>19600</v>
      </c>
      <c r="K1290" s="6" t="str">
        <f ca="1">IFERROR(__xludf.DUMMYFUNCTION("""COMPUTED_VALUE"""),"7.5 % على المحلى ,5% على المستلزمات الطبية و التجميل")</f>
        <v>7.5 % على المحلى ,5% على المستلزمات الطبية و التجميل</v>
      </c>
    </row>
    <row r="1291" spans="1:11" x14ac:dyDescent="0.25">
      <c r="A1291" s="4" t="str">
        <f ca="1">IFERROR(__xludf.DUMMYFUNCTION("""COMPUTED_VALUE"""),"1683-B")</f>
        <v>1683-B</v>
      </c>
      <c r="B1291" s="5" t="str">
        <f ca="1">IFERROR(__xludf.DUMMYFUNCTION("""COMPUTED_VALUE"""),"المنوفية")</f>
        <v>المنوفية</v>
      </c>
      <c r="C1291" s="5" t="str">
        <f ca="1">IFERROR(__xludf.DUMMYFUNCTION("""COMPUTED_VALUE"""),"شبين الكوم")</f>
        <v>شبين الكوم</v>
      </c>
      <c r="D1291" s="5" t="str">
        <f ca="1">IFERROR(__xludf.DUMMYFUNCTION("""COMPUTED_VALUE"""),"صيدلية")</f>
        <v>صيدلية</v>
      </c>
      <c r="E1291" s="5" t="str">
        <f ca="1">IFERROR(__xludf.DUMMYFUNCTION("""COMPUTED_VALUE"""),"صيدلية")</f>
        <v>صيدلية</v>
      </c>
      <c r="F1291" s="5" t="str">
        <f ca="1">IFERROR(__xludf.DUMMYFUNCTION("""COMPUTED_VALUE"""),"صيدلية (أدوية ومستلزمات طبية)")</f>
        <v>صيدلية (أدوية ومستلزمات طبية)</v>
      </c>
      <c r="G129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91" s="5" t="str">
        <f ca="1">IFERROR(__xludf.DUMMYFUNCTION("""COMPUTED_VALUE"""),"طريق مليج-أمام المستشفى التعليمى-شبين الكوم-المنوفية")</f>
        <v>طريق مليج-أمام المستشفى التعليمى-شبين الكوم-المنوفية</v>
      </c>
      <c r="I1291" s="6" t="str">
        <f ca="1">IFERROR(__xludf.DUMMYFUNCTION("""COMPUTED_VALUE"""),"1144928555
")</f>
        <v xml:space="preserve">1144928555
</v>
      </c>
      <c r="J1291" s="6" t="str">
        <f ca="1">IFERROR(__xludf.DUMMYFUNCTION("""COMPUTED_VALUE"""),"19600")</f>
        <v>19600</v>
      </c>
      <c r="K1291" s="6" t="str">
        <f ca="1">IFERROR(__xludf.DUMMYFUNCTION("""COMPUTED_VALUE"""),"7.5 % على المحلى ,5% على المستلزمات الطبية و التجميل")</f>
        <v>7.5 % على المحلى ,5% على المستلزمات الطبية و التجميل</v>
      </c>
    </row>
    <row r="1292" spans="1:11" x14ac:dyDescent="0.25">
      <c r="A1292" s="4" t="str">
        <f ca="1">IFERROR(__xludf.DUMMYFUNCTION("""COMPUTED_VALUE"""),"1683-B")</f>
        <v>1683-B</v>
      </c>
      <c r="B1292" s="5" t="str">
        <f ca="1">IFERROR(__xludf.DUMMYFUNCTION("""COMPUTED_VALUE"""),"القليوبية")</f>
        <v>القليوبية</v>
      </c>
      <c r="C1292" s="5" t="str">
        <f ca="1">IFERROR(__xludf.DUMMYFUNCTION("""COMPUTED_VALUE"""),"بنها")</f>
        <v>بنها</v>
      </c>
      <c r="D1292" s="5" t="str">
        <f ca="1">IFERROR(__xludf.DUMMYFUNCTION("""COMPUTED_VALUE"""),"صيدلية")</f>
        <v>صيدلية</v>
      </c>
      <c r="E1292" s="5" t="str">
        <f ca="1">IFERROR(__xludf.DUMMYFUNCTION("""COMPUTED_VALUE"""),"صيدلية")</f>
        <v>صيدلية</v>
      </c>
      <c r="F1292" s="5" t="str">
        <f ca="1">IFERROR(__xludf.DUMMYFUNCTION("""COMPUTED_VALUE"""),"صيدلية (أدوية ومستلزمات طبية)")</f>
        <v>صيدلية (أدوية ومستلزمات طبية)</v>
      </c>
      <c r="G129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292" s="5" t="str">
        <f ca="1">IFERROR(__xludf.DUMMYFUNCTION("""COMPUTED_VALUE"""),"محل رقم20و48بنها المنشية شارع الجيش-محطة الرشيدى (ش الأهرام أو الشهيد فريد ندا حاليا) - بنها")</f>
        <v>محل رقم20و48بنها المنشية شارع الجيش-محطة الرشيدى (ش الأهرام أو الشهيد فريد ندا حاليا) - بنها</v>
      </c>
      <c r="I1292" s="6" t="str">
        <f ca="1">IFERROR(__xludf.DUMMYFUNCTION("""COMPUTED_VALUE"""),"1110079614
")</f>
        <v xml:space="preserve">1110079614
</v>
      </c>
      <c r="J1292" s="6" t="str">
        <f ca="1">IFERROR(__xludf.DUMMYFUNCTION("""COMPUTED_VALUE"""),"19600")</f>
        <v>19600</v>
      </c>
      <c r="K1292" s="6" t="str">
        <f ca="1">IFERROR(__xludf.DUMMYFUNCTION("""COMPUTED_VALUE"""),"7.5 % على المحلى ,5% على المستلزمات الطبية و التجميل")</f>
        <v>7.5 % على المحلى ,5% على المستلزمات الطبية و التجميل</v>
      </c>
    </row>
    <row r="1293" spans="1:11" x14ac:dyDescent="0.25">
      <c r="A1293" s="4" t="str">
        <f ca="1">IFERROR(__xludf.DUMMYFUNCTION("""COMPUTED_VALUE"""),"1897-B")</f>
        <v>1897-B</v>
      </c>
      <c r="B1293" s="5" t="str">
        <f ca="1">IFERROR(__xludf.DUMMYFUNCTION("""COMPUTED_VALUE"""),"الجيزة")</f>
        <v>الجيزة</v>
      </c>
      <c r="C1293" s="5" t="str">
        <f ca="1">IFERROR(__xludf.DUMMYFUNCTION("""COMPUTED_VALUE"""),"المهندسين")</f>
        <v>المهندسين</v>
      </c>
      <c r="D1293" s="5" t="str">
        <f ca="1">IFERROR(__xludf.DUMMYFUNCTION("""COMPUTED_VALUE"""),"معمل")</f>
        <v>معمل</v>
      </c>
      <c r="E1293" s="5" t="str">
        <f ca="1">IFERROR(__xludf.DUMMYFUNCTION("""COMPUTED_VALUE"""),"معمل")</f>
        <v>معمل</v>
      </c>
      <c r="F1293" s="5" t="str">
        <f ca="1">IFERROR(__xludf.DUMMYFUNCTION("""COMPUTED_VALUE"""),"معمل التحاليل الطبية")</f>
        <v>معمل التحاليل الطبية</v>
      </c>
      <c r="G1293" s="5" t="str">
        <f ca="1">IFERROR(__xludf.DUMMYFUNCTION("""COMPUTED_VALUE"""),"معمل المختبر (د. مؤمنة كامل)")</f>
        <v>معمل المختبر (د. مؤمنة كامل)</v>
      </c>
      <c r="H1293" s="5" t="str">
        <f ca="1">IFERROR(__xludf.DUMMYFUNCTION("""COMPUTED_VALUE"""),"1 شارع الحجاز متفرع من جامعة الدول العربية - برج الصفا الطبى د 5")</f>
        <v>1 شارع الحجاز متفرع من جامعة الدول العربية - برج الصفا الطبى د 5</v>
      </c>
      <c r="I1293" s="6" t="str">
        <f ca="1">IFERROR(__xludf.DUMMYFUNCTION("""COMPUTED_VALUE"""),"201012208022")</f>
        <v>201012208022</v>
      </c>
      <c r="J1293" s="6" t="str">
        <f ca="1">IFERROR(__xludf.DUMMYFUNCTION("""COMPUTED_VALUE"""),"19014")</f>
        <v>19014</v>
      </c>
      <c r="K1293" s="6" t="str">
        <f ca="1">IFERROR(__xludf.DUMMYFUNCTION("""COMPUTED_VALUE"""),"خصم 20% علي جميع التحاليل")</f>
        <v>خصم 20% علي جميع التحاليل</v>
      </c>
    </row>
    <row r="1294" spans="1:11" x14ac:dyDescent="0.25">
      <c r="A1294" s="4" t="str">
        <f ca="1">IFERROR(__xludf.DUMMYFUNCTION("""COMPUTED_VALUE"""),"1897-B")</f>
        <v>1897-B</v>
      </c>
      <c r="B1294" s="5" t="str">
        <f ca="1">IFERROR(__xludf.DUMMYFUNCTION("""COMPUTED_VALUE"""),"الجيزة")</f>
        <v>الجيزة</v>
      </c>
      <c r="C1294" s="5" t="str">
        <f ca="1">IFERROR(__xludf.DUMMYFUNCTION("""COMPUTED_VALUE"""),"الجيزة")</f>
        <v>الجيزة</v>
      </c>
      <c r="D1294" s="5" t="str">
        <f ca="1">IFERROR(__xludf.DUMMYFUNCTION("""COMPUTED_VALUE"""),"معمل")</f>
        <v>معمل</v>
      </c>
      <c r="E1294" s="5" t="str">
        <f ca="1">IFERROR(__xludf.DUMMYFUNCTION("""COMPUTED_VALUE"""),"معمل")</f>
        <v>معمل</v>
      </c>
      <c r="F1294" s="5" t="str">
        <f ca="1">IFERROR(__xludf.DUMMYFUNCTION("""COMPUTED_VALUE"""),"معمل التحاليل الطبية")</f>
        <v>معمل التحاليل الطبية</v>
      </c>
      <c r="G1294" s="5" t="str">
        <f ca="1">IFERROR(__xludf.DUMMYFUNCTION("""COMPUTED_VALUE"""),"معمل المختبر (د. مؤمنة كامل)")</f>
        <v>معمل المختبر (د. مؤمنة كامل)</v>
      </c>
      <c r="H1294" s="5" t="str">
        <f ca="1">IFERROR(__xludf.DUMMYFUNCTION("""COMPUTED_VALUE"""),"برج خليفة - شارع ابوزارع (الكونيسة - المنيب) - المنيب")</f>
        <v>برج خليفة - شارع ابوزارع (الكونيسة - المنيب) - المنيب</v>
      </c>
      <c r="I1294" s="6" t="str">
        <f ca="1">IFERROR(__xludf.DUMMYFUNCTION("""COMPUTED_VALUE"""),"201092457831")</f>
        <v>201092457831</v>
      </c>
      <c r="J1294" s="6" t="str">
        <f ca="1">IFERROR(__xludf.DUMMYFUNCTION("""COMPUTED_VALUE"""),"19014")</f>
        <v>19014</v>
      </c>
      <c r="K1294" s="6" t="str">
        <f ca="1">IFERROR(__xludf.DUMMYFUNCTION("""COMPUTED_VALUE"""),"خصم 20% علي جميع التحاليل")</f>
        <v>خصم 20% علي جميع التحاليل</v>
      </c>
    </row>
    <row r="1295" spans="1:11" x14ac:dyDescent="0.25">
      <c r="A1295" s="4" t="str">
        <f ca="1">IFERROR(__xludf.DUMMYFUNCTION("""COMPUTED_VALUE"""),"1897-B")</f>
        <v>1897-B</v>
      </c>
      <c r="B1295" s="5" t="str">
        <f ca="1">IFERROR(__xludf.DUMMYFUNCTION("""COMPUTED_VALUE"""),"الجيزة")</f>
        <v>الجيزة</v>
      </c>
      <c r="C1295" s="5" t="str">
        <f ca="1">IFERROR(__xludf.DUMMYFUNCTION("""COMPUTED_VALUE"""),"العمرانية")</f>
        <v>العمرانية</v>
      </c>
      <c r="D1295" s="5" t="str">
        <f ca="1">IFERROR(__xludf.DUMMYFUNCTION("""COMPUTED_VALUE"""),"معمل")</f>
        <v>معمل</v>
      </c>
      <c r="E1295" s="5" t="str">
        <f ca="1">IFERROR(__xludf.DUMMYFUNCTION("""COMPUTED_VALUE"""),"معمل")</f>
        <v>معمل</v>
      </c>
      <c r="F1295" s="5" t="str">
        <f ca="1">IFERROR(__xludf.DUMMYFUNCTION("""COMPUTED_VALUE"""),"معمل التحاليل الطبية")</f>
        <v>معمل التحاليل الطبية</v>
      </c>
      <c r="G1295" s="5" t="str">
        <f ca="1">IFERROR(__xludf.DUMMYFUNCTION("""COMPUTED_VALUE"""),"معمل المختبر (د. مؤمنة كامل)")</f>
        <v>معمل المختبر (د. مؤمنة كامل)</v>
      </c>
      <c r="H1295" s="5" t="str">
        <f ca="1">IFERROR(__xludf.DUMMYFUNCTION("""COMPUTED_VALUE"""),"الدور الاول علوى – 1 شارع ذكى هريدى متفرع من شارع ترعة الزمر  - امام مستشفى الصدر  - الجيزة")</f>
        <v>الدور الاول علوى – 1 شارع ذكى هريدى متفرع من شارع ترعة الزمر  - امام مستشفى الصدر  - الجيزة</v>
      </c>
      <c r="I1295" s="6" t="str">
        <f ca="1">IFERROR(__xludf.DUMMYFUNCTION("""COMPUTED_VALUE"""),"01022197155
")</f>
        <v xml:space="preserve">01022197155
</v>
      </c>
      <c r="J1295" s="6" t="str">
        <f ca="1">IFERROR(__xludf.DUMMYFUNCTION("""COMPUTED_VALUE"""),"19014")</f>
        <v>19014</v>
      </c>
      <c r="K1295" s="6" t="str">
        <f ca="1">IFERROR(__xludf.DUMMYFUNCTION("""COMPUTED_VALUE"""),"خصم 20% علي جميع التحاليل")</f>
        <v>خصم 20% علي جميع التحاليل</v>
      </c>
    </row>
    <row r="1296" spans="1:11" x14ac:dyDescent="0.25">
      <c r="A1296" s="4" t="str">
        <f ca="1">IFERROR(__xludf.DUMMYFUNCTION("""COMPUTED_VALUE"""),"1897-B")</f>
        <v>1897-B</v>
      </c>
      <c r="B1296" s="5" t="str">
        <f ca="1">IFERROR(__xludf.DUMMYFUNCTION("""COMPUTED_VALUE"""),"الجيزة")</f>
        <v>الجيزة</v>
      </c>
      <c r="C1296" s="5" t="str">
        <f ca="1">IFERROR(__xludf.DUMMYFUNCTION("""COMPUTED_VALUE"""),"السادس من اكتوبر")</f>
        <v>السادس من اكتوبر</v>
      </c>
      <c r="D1296" s="5" t="str">
        <f ca="1">IFERROR(__xludf.DUMMYFUNCTION("""COMPUTED_VALUE"""),"معمل")</f>
        <v>معمل</v>
      </c>
      <c r="E1296" s="5" t="str">
        <f ca="1">IFERROR(__xludf.DUMMYFUNCTION("""COMPUTED_VALUE"""),"معمل")</f>
        <v>معمل</v>
      </c>
      <c r="F1296" s="5" t="str">
        <f ca="1">IFERROR(__xludf.DUMMYFUNCTION("""COMPUTED_VALUE"""),"معمل التحاليل الطبية")</f>
        <v>معمل التحاليل الطبية</v>
      </c>
      <c r="G1296" s="5" t="str">
        <f ca="1">IFERROR(__xludf.DUMMYFUNCTION("""COMPUTED_VALUE"""),"معمل المختبر (د. مؤمنة كامل)")</f>
        <v>معمل المختبر (د. مؤمنة كامل)</v>
      </c>
      <c r="H1296" s="5" t="str">
        <f ca="1">IFERROR(__xludf.DUMMYFUNCTION("""COMPUTED_VALUE"""),"33 ش محور كريزى واتر التجاريه على محور 26 يوليو بجوار اركان - ا6 كتوبر")</f>
        <v>33 ش محور كريزى واتر التجاريه على محور 26 يوليو بجوار اركان - ا6 كتوبر</v>
      </c>
      <c r="I1296" s="6" t="str">
        <f ca="1">IFERROR(__xludf.DUMMYFUNCTION("""COMPUTED_VALUE"""),"01013008834
")</f>
        <v xml:space="preserve">01013008834
</v>
      </c>
      <c r="J1296" s="6" t="str">
        <f ca="1">IFERROR(__xludf.DUMMYFUNCTION("""COMPUTED_VALUE"""),"19014")</f>
        <v>19014</v>
      </c>
      <c r="K1296" s="6" t="str">
        <f ca="1">IFERROR(__xludf.DUMMYFUNCTION("""COMPUTED_VALUE"""),"خصم 20% علي جميع التحاليل")</f>
        <v>خصم 20% علي جميع التحاليل</v>
      </c>
    </row>
    <row r="1297" spans="1:11" x14ac:dyDescent="0.25">
      <c r="A1297" s="4" t="str">
        <f ca="1">IFERROR(__xludf.DUMMYFUNCTION("""COMPUTED_VALUE"""),"1897-B")</f>
        <v>1897-B</v>
      </c>
      <c r="B1297" s="5" t="str">
        <f ca="1">IFERROR(__xludf.DUMMYFUNCTION("""COMPUTED_VALUE"""),"الجيزة")</f>
        <v>الجيزة</v>
      </c>
      <c r="C1297" s="5" t="str">
        <f ca="1">IFERROR(__xludf.DUMMYFUNCTION("""COMPUTED_VALUE"""),"الشيخ زايد")</f>
        <v>الشيخ زايد</v>
      </c>
      <c r="D1297" s="5" t="str">
        <f ca="1">IFERROR(__xludf.DUMMYFUNCTION("""COMPUTED_VALUE"""),"معمل")</f>
        <v>معمل</v>
      </c>
      <c r="E1297" s="5" t="str">
        <f ca="1">IFERROR(__xludf.DUMMYFUNCTION("""COMPUTED_VALUE"""),"معمل")</f>
        <v>معمل</v>
      </c>
      <c r="F1297" s="5" t="str">
        <f ca="1">IFERROR(__xludf.DUMMYFUNCTION("""COMPUTED_VALUE"""),"معمل التحاليل الطبية")</f>
        <v>معمل التحاليل الطبية</v>
      </c>
      <c r="G1297" s="5" t="str">
        <f ca="1">IFERROR(__xludf.DUMMYFUNCTION("""COMPUTED_VALUE"""),"معمل المختبر (د. مؤمنة كامل)")</f>
        <v>معمل المختبر (د. مؤمنة كامل)</v>
      </c>
      <c r="H1297" s="5" t="str">
        <f ca="1">IFERROR(__xludf.DUMMYFUNCTION("""COMPUTED_VALUE"""),"الكائن بمول ( The Strip ) بكمبوند بفرلى هيلز الشيخ زايد الوحده رقم ( CD-14  ) - بالدور الاول علوى - الشيخ زايد")</f>
        <v>الكائن بمول ( The Strip ) بكمبوند بفرلى هيلز الشيخ زايد الوحده رقم ( CD-14  ) - بالدور الاول علوى - الشيخ زايد</v>
      </c>
      <c r="I1297" s="6" t="str">
        <f ca="1">IFERROR(__xludf.DUMMYFUNCTION("""COMPUTED_VALUE"""),"201032773324")</f>
        <v>201032773324</v>
      </c>
      <c r="J1297" s="6" t="str">
        <f ca="1">IFERROR(__xludf.DUMMYFUNCTION("""COMPUTED_VALUE"""),"19014")</f>
        <v>19014</v>
      </c>
      <c r="K1297" s="6" t="str">
        <f ca="1">IFERROR(__xludf.DUMMYFUNCTION("""COMPUTED_VALUE"""),"خصم 20% علي جميع التحاليل")</f>
        <v>خصم 20% علي جميع التحاليل</v>
      </c>
    </row>
    <row r="1298" spans="1:11" x14ac:dyDescent="0.25">
      <c r="A1298" s="4" t="str">
        <f ca="1">IFERROR(__xludf.DUMMYFUNCTION("""COMPUTED_VALUE"""),"1897-B")</f>
        <v>1897-B</v>
      </c>
      <c r="B1298" s="5" t="str">
        <f ca="1">IFERROR(__xludf.DUMMYFUNCTION("""COMPUTED_VALUE"""),"الجيزة")</f>
        <v>الجيزة</v>
      </c>
      <c r="C1298" s="5" t="str">
        <f ca="1">IFERROR(__xludf.DUMMYFUNCTION("""COMPUTED_VALUE"""),"السادس من اكتوبر")</f>
        <v>السادس من اكتوبر</v>
      </c>
      <c r="D1298" s="5" t="str">
        <f ca="1">IFERROR(__xludf.DUMMYFUNCTION("""COMPUTED_VALUE"""),"معمل")</f>
        <v>معمل</v>
      </c>
      <c r="E1298" s="5" t="str">
        <f ca="1">IFERROR(__xludf.DUMMYFUNCTION("""COMPUTED_VALUE"""),"معمل")</f>
        <v>معمل</v>
      </c>
      <c r="F1298" s="5" t="str">
        <f ca="1">IFERROR(__xludf.DUMMYFUNCTION("""COMPUTED_VALUE"""),"معمل التحاليل الطبية")</f>
        <v>معمل التحاليل الطبية</v>
      </c>
      <c r="G1298" s="5" t="str">
        <f ca="1">IFERROR(__xludf.DUMMYFUNCTION("""COMPUTED_VALUE"""),"معمل المختبر (د. مؤمنة كامل)")</f>
        <v>معمل المختبر (د. مؤمنة كامل)</v>
      </c>
      <c r="H1298" s="5" t="str">
        <f ca="1">IFERROR(__xludf.DUMMYFUNCTION("""COMPUTED_VALUE"""),"المجاورة السابعة - الحى الثانى- سنتر سيلفر مول - مدينة 6 اكتوبر")</f>
        <v>المجاورة السابعة - الحى الثانى- سنتر سيلفر مول - مدينة 6 اكتوبر</v>
      </c>
      <c r="I1298" s="6" t="str">
        <f ca="1">IFERROR(__xludf.DUMMYFUNCTION("""COMPUTED_VALUE"""),"201013144572")</f>
        <v>201013144572</v>
      </c>
      <c r="J1298" s="6" t="str">
        <f ca="1">IFERROR(__xludf.DUMMYFUNCTION("""COMPUTED_VALUE"""),"19014")</f>
        <v>19014</v>
      </c>
      <c r="K1298" s="6" t="str">
        <f ca="1">IFERROR(__xludf.DUMMYFUNCTION("""COMPUTED_VALUE"""),"خصم 20% علي جميع التحاليل")</f>
        <v>خصم 20% علي جميع التحاليل</v>
      </c>
    </row>
    <row r="1299" spans="1:11" x14ac:dyDescent="0.25">
      <c r="A1299" s="4" t="str">
        <f ca="1">IFERROR(__xludf.DUMMYFUNCTION("""COMPUTED_VALUE"""),"1897-B")</f>
        <v>1897-B</v>
      </c>
      <c r="B1299" s="5" t="str">
        <f ca="1">IFERROR(__xludf.DUMMYFUNCTION("""COMPUTED_VALUE"""),"الجيزة")</f>
        <v>الجيزة</v>
      </c>
      <c r="C1299" s="5" t="str">
        <f ca="1">IFERROR(__xludf.DUMMYFUNCTION("""COMPUTED_VALUE"""),"الشيخ زايد")</f>
        <v>الشيخ زايد</v>
      </c>
      <c r="D1299" s="5" t="str">
        <f ca="1">IFERROR(__xludf.DUMMYFUNCTION("""COMPUTED_VALUE"""),"معمل")</f>
        <v>معمل</v>
      </c>
      <c r="E1299" s="5" t="str">
        <f ca="1">IFERROR(__xludf.DUMMYFUNCTION("""COMPUTED_VALUE"""),"معمل")</f>
        <v>معمل</v>
      </c>
      <c r="F1299" s="5" t="str">
        <f ca="1">IFERROR(__xludf.DUMMYFUNCTION("""COMPUTED_VALUE"""),"معمل التحاليل الطبية")</f>
        <v>معمل التحاليل الطبية</v>
      </c>
      <c r="G1299" s="5" t="str">
        <f ca="1">IFERROR(__xludf.DUMMYFUNCTION("""COMPUTED_VALUE"""),"معمل المختبر (د. مؤمنة كامل)")</f>
        <v>معمل المختبر (د. مؤمنة كامل)</v>
      </c>
      <c r="H1299" s="5" t="str">
        <f ca="1">IFERROR(__xludf.DUMMYFUNCTION("""COMPUTED_VALUE"""),"المجاورة الخامسة - الحى السادس عشر - مزار مول -  الشيخ زايد")</f>
        <v>المجاورة الخامسة - الحى السادس عشر - مزار مول -  الشيخ زايد</v>
      </c>
      <c r="I1299" s="6" t="str">
        <f ca="1">IFERROR(__xludf.DUMMYFUNCTION("""COMPUTED_VALUE"""),"201065858331")</f>
        <v>201065858331</v>
      </c>
      <c r="J1299" s="6" t="str">
        <f ca="1">IFERROR(__xludf.DUMMYFUNCTION("""COMPUTED_VALUE"""),"19014")</f>
        <v>19014</v>
      </c>
      <c r="K1299" s="6" t="str">
        <f ca="1">IFERROR(__xludf.DUMMYFUNCTION("""COMPUTED_VALUE"""),"خصم 20% علي جميع التحاليل")</f>
        <v>خصم 20% علي جميع التحاليل</v>
      </c>
    </row>
    <row r="1300" spans="1:11" x14ac:dyDescent="0.25">
      <c r="A1300" s="4" t="str">
        <f ca="1">IFERROR(__xludf.DUMMYFUNCTION("""COMPUTED_VALUE"""),"1897-B")</f>
        <v>1897-B</v>
      </c>
      <c r="B1300" s="5" t="str">
        <f ca="1">IFERROR(__xludf.DUMMYFUNCTION("""COMPUTED_VALUE"""),"الجيزة")</f>
        <v>الجيزة</v>
      </c>
      <c r="C1300" s="5" t="str">
        <f ca="1">IFERROR(__xludf.DUMMYFUNCTION("""COMPUTED_VALUE"""),"السادس من اكتوبر")</f>
        <v>السادس من اكتوبر</v>
      </c>
      <c r="D1300" s="5" t="str">
        <f ca="1">IFERROR(__xludf.DUMMYFUNCTION("""COMPUTED_VALUE"""),"معمل")</f>
        <v>معمل</v>
      </c>
      <c r="E1300" s="5" t="str">
        <f ca="1">IFERROR(__xludf.DUMMYFUNCTION("""COMPUTED_VALUE"""),"معمل")</f>
        <v>معمل</v>
      </c>
      <c r="F1300" s="5" t="str">
        <f ca="1">IFERROR(__xludf.DUMMYFUNCTION("""COMPUTED_VALUE"""),"معمل التحاليل الطبية")</f>
        <v>معمل التحاليل الطبية</v>
      </c>
      <c r="G1300" s="5" t="str">
        <f ca="1">IFERROR(__xludf.DUMMYFUNCTION("""COMPUTED_VALUE"""),"معمل المختبر (د. مؤمنة كامل)")</f>
        <v>معمل المختبر (د. مؤمنة كامل)</v>
      </c>
      <c r="H1300" s="5" t="str">
        <f ca="1">IFERROR(__xludf.DUMMYFUNCTION("""COMPUTED_VALUE"""),"92 مدينة الفردوس د1 فوق فرغلى -  مدينة 6 اكتوبر")</f>
        <v>92 مدينة الفردوس د1 فوق فرغلى -  مدينة 6 اكتوبر</v>
      </c>
      <c r="I1300" s="6" t="str">
        <f ca="1">IFERROR(__xludf.DUMMYFUNCTION("""COMPUTED_VALUE"""),"201028777292")</f>
        <v>201028777292</v>
      </c>
      <c r="J1300" s="6" t="str">
        <f ca="1">IFERROR(__xludf.DUMMYFUNCTION("""COMPUTED_VALUE"""),"19014")</f>
        <v>19014</v>
      </c>
      <c r="K1300" s="6" t="str">
        <f ca="1">IFERROR(__xludf.DUMMYFUNCTION("""COMPUTED_VALUE"""),"خصم 20% علي جميع التحاليل")</f>
        <v>خصم 20% علي جميع التحاليل</v>
      </c>
    </row>
    <row r="1301" spans="1:11" x14ac:dyDescent="0.25">
      <c r="A1301" s="4" t="str">
        <f ca="1">IFERROR(__xludf.DUMMYFUNCTION("""COMPUTED_VALUE"""),"1897-B")</f>
        <v>1897-B</v>
      </c>
      <c r="B1301" s="5" t="str">
        <f ca="1">IFERROR(__xludf.DUMMYFUNCTION("""COMPUTED_VALUE"""),"الجيزة")</f>
        <v>الجيزة</v>
      </c>
      <c r="C1301" s="5" t="str">
        <f ca="1">IFERROR(__xludf.DUMMYFUNCTION("""COMPUTED_VALUE"""),"الحوامدية")</f>
        <v>الحوامدية</v>
      </c>
      <c r="D1301" s="5" t="str">
        <f ca="1">IFERROR(__xludf.DUMMYFUNCTION("""COMPUTED_VALUE"""),"معمل")</f>
        <v>معمل</v>
      </c>
      <c r="E1301" s="5" t="str">
        <f ca="1">IFERROR(__xludf.DUMMYFUNCTION("""COMPUTED_VALUE"""),"معمل")</f>
        <v>معمل</v>
      </c>
      <c r="F1301" s="5" t="str">
        <f ca="1">IFERROR(__xludf.DUMMYFUNCTION("""COMPUTED_VALUE"""),"معمل التحاليل الطبية")</f>
        <v>معمل التحاليل الطبية</v>
      </c>
      <c r="G1301" s="5" t="str">
        <f ca="1">IFERROR(__xludf.DUMMYFUNCTION("""COMPUTED_VALUE"""),"معمل المختبر (د. مؤمنة كامل)")</f>
        <v>معمل المختبر (د. مؤمنة كامل)</v>
      </c>
      <c r="H1301" s="5" t="str">
        <f ca="1">IFERROR(__xludf.DUMMYFUNCTION("""COMPUTED_VALUE"""),"3 جمال عبد الناصر د 1 - الحوامديه - الجيزه")</f>
        <v>3 جمال عبد الناصر د 1 - الحوامديه - الجيزه</v>
      </c>
      <c r="I1301" s="6" t="str">
        <f ca="1">IFERROR(__xludf.DUMMYFUNCTION("""COMPUTED_VALUE"""),"201069974112")</f>
        <v>201069974112</v>
      </c>
      <c r="J1301" s="6" t="str">
        <f ca="1">IFERROR(__xludf.DUMMYFUNCTION("""COMPUTED_VALUE"""),"19014")</f>
        <v>19014</v>
      </c>
      <c r="K1301" s="6" t="str">
        <f ca="1">IFERROR(__xludf.DUMMYFUNCTION("""COMPUTED_VALUE"""),"خصم 20% علي جميع التحاليل")</f>
        <v>خصم 20% علي جميع التحاليل</v>
      </c>
    </row>
    <row r="1302" spans="1:11" x14ac:dyDescent="0.25">
      <c r="A1302" s="4" t="str">
        <f ca="1">IFERROR(__xludf.DUMMYFUNCTION("""COMPUTED_VALUE"""),"1897-B")</f>
        <v>1897-B</v>
      </c>
      <c r="B1302" s="5" t="str">
        <f ca="1">IFERROR(__xludf.DUMMYFUNCTION("""COMPUTED_VALUE"""),"الجيزة")</f>
        <v>الجيزة</v>
      </c>
      <c r="C1302" s="5" t="str">
        <f ca="1">IFERROR(__xludf.DUMMYFUNCTION("""COMPUTED_VALUE"""),"أوسيم")</f>
        <v>أوسيم</v>
      </c>
      <c r="D1302" s="5" t="str">
        <f ca="1">IFERROR(__xludf.DUMMYFUNCTION("""COMPUTED_VALUE"""),"معمل")</f>
        <v>معمل</v>
      </c>
      <c r="E1302" s="5" t="str">
        <f ca="1">IFERROR(__xludf.DUMMYFUNCTION("""COMPUTED_VALUE"""),"معمل")</f>
        <v>معمل</v>
      </c>
      <c r="F1302" s="5" t="str">
        <f ca="1">IFERROR(__xludf.DUMMYFUNCTION("""COMPUTED_VALUE"""),"معمل التحاليل الطبية")</f>
        <v>معمل التحاليل الطبية</v>
      </c>
      <c r="G1302" s="5" t="str">
        <f ca="1">IFERROR(__xludf.DUMMYFUNCTION("""COMPUTED_VALUE"""),"معمل المختبر (د. مؤمنة كامل)")</f>
        <v>معمل المختبر (د. مؤمنة كامل)</v>
      </c>
      <c r="H1302" s="5" t="str">
        <f ca="1">IFERROR(__xludf.DUMMYFUNCTION("""COMPUTED_VALUE"""),"ش الجمهورية - اوسيم بجوار المستشفى- الجيزة")</f>
        <v>ش الجمهورية - اوسيم بجوار المستشفى- الجيزة</v>
      </c>
      <c r="I1302" s="6" t="str">
        <f ca="1">IFERROR(__xludf.DUMMYFUNCTION("""COMPUTED_VALUE"""),"201097811122")</f>
        <v>201097811122</v>
      </c>
      <c r="J1302" s="6" t="str">
        <f ca="1">IFERROR(__xludf.DUMMYFUNCTION("""COMPUTED_VALUE"""),"19014")</f>
        <v>19014</v>
      </c>
      <c r="K1302" s="6" t="str">
        <f ca="1">IFERROR(__xludf.DUMMYFUNCTION("""COMPUTED_VALUE"""),"خصم 20% علي جميع التحاليل")</f>
        <v>خصم 20% علي جميع التحاليل</v>
      </c>
    </row>
    <row r="1303" spans="1:11" x14ac:dyDescent="0.25">
      <c r="A1303" s="4" t="str">
        <f ca="1">IFERROR(__xludf.DUMMYFUNCTION("""COMPUTED_VALUE"""),"1897-B")</f>
        <v>1897-B</v>
      </c>
      <c r="B1303" s="5" t="str">
        <f ca="1">IFERROR(__xludf.DUMMYFUNCTION("""COMPUTED_VALUE"""),"القاهرة")</f>
        <v>القاهرة</v>
      </c>
      <c r="C1303" s="5" t="str">
        <f ca="1">IFERROR(__xludf.DUMMYFUNCTION("""COMPUTED_VALUE"""),"المعادى")</f>
        <v>المعادى</v>
      </c>
      <c r="D1303" s="5" t="str">
        <f ca="1">IFERROR(__xludf.DUMMYFUNCTION("""COMPUTED_VALUE"""),"معمل")</f>
        <v>معمل</v>
      </c>
      <c r="E1303" s="5" t="str">
        <f ca="1">IFERROR(__xludf.DUMMYFUNCTION("""COMPUTED_VALUE"""),"معمل")</f>
        <v>معمل</v>
      </c>
      <c r="F1303" s="5" t="str">
        <f ca="1">IFERROR(__xludf.DUMMYFUNCTION("""COMPUTED_VALUE"""),"معمل التحاليل الطبية")</f>
        <v>معمل التحاليل الطبية</v>
      </c>
      <c r="G1303" s="5" t="str">
        <f ca="1">IFERROR(__xludf.DUMMYFUNCTION("""COMPUTED_VALUE"""),"معمل المختبر (د. مؤمنة كامل)")</f>
        <v>معمل المختبر (د. مؤمنة كامل)</v>
      </c>
      <c r="H1303" s="5" t="str">
        <f ca="1">IFERROR(__xludf.DUMMYFUNCTION("""COMPUTED_VALUE"""),"شارع 10061 برج الشراوى -المعراج-المجاوره 10 الدور الاول - كارفور - المعادي")</f>
        <v>شارع 10061 برج الشراوى -المعراج-المجاوره 10 الدور الاول - كارفور - المعادي</v>
      </c>
      <c r="I1303" s="6" t="str">
        <f ca="1">IFERROR(__xludf.DUMMYFUNCTION("""COMPUTED_VALUE"""),"01012121644")</f>
        <v>01012121644</v>
      </c>
      <c r="J1303" s="6" t="str">
        <f ca="1">IFERROR(__xludf.DUMMYFUNCTION("""COMPUTED_VALUE"""),"19014")</f>
        <v>19014</v>
      </c>
      <c r="K1303" s="6" t="str">
        <f ca="1">IFERROR(__xludf.DUMMYFUNCTION("""COMPUTED_VALUE"""),"خصم 20% علي جميع التحاليل")</f>
        <v>خصم 20% علي جميع التحاليل</v>
      </c>
    </row>
    <row r="1304" spans="1:11" x14ac:dyDescent="0.25">
      <c r="A1304" s="4" t="str">
        <f ca="1">IFERROR(__xludf.DUMMYFUNCTION("""COMPUTED_VALUE"""),"1897-B")</f>
        <v>1897-B</v>
      </c>
      <c r="B1304" s="5" t="str">
        <f ca="1">IFERROR(__xludf.DUMMYFUNCTION("""COMPUTED_VALUE"""),"القاهرة")</f>
        <v>القاهرة</v>
      </c>
      <c r="C1304" s="5" t="str">
        <f ca="1">IFERROR(__xludf.DUMMYFUNCTION("""COMPUTED_VALUE"""),"المعادى")</f>
        <v>المعادى</v>
      </c>
      <c r="D1304" s="5" t="str">
        <f ca="1">IFERROR(__xludf.DUMMYFUNCTION("""COMPUTED_VALUE"""),"معمل")</f>
        <v>معمل</v>
      </c>
      <c r="E1304" s="5" t="str">
        <f ca="1">IFERROR(__xludf.DUMMYFUNCTION("""COMPUTED_VALUE"""),"معمل")</f>
        <v>معمل</v>
      </c>
      <c r="F1304" s="5" t="str">
        <f ca="1">IFERROR(__xludf.DUMMYFUNCTION("""COMPUTED_VALUE"""),"معمل التحاليل الطبية")</f>
        <v>معمل التحاليل الطبية</v>
      </c>
      <c r="G1304" s="5" t="str">
        <f ca="1">IFERROR(__xludf.DUMMYFUNCTION("""COMPUTED_VALUE"""),"معمل المختبر (د. مؤمنة كامل)")</f>
        <v>معمل المختبر (د. مؤمنة كامل)</v>
      </c>
      <c r="H1304" s="5" t="str">
        <f ca="1">IFERROR(__xludf.DUMMYFUNCTION("""COMPUTED_VALUE"""),"مرتفع القطامية ابراج سما القاهره برج (و9) بجوار برج سما الادارى ومستشفى البنك الاهلى - الشقه رقم (1-2) الدور الاول  - المعادي")</f>
        <v>مرتفع القطامية ابراج سما القاهره برج (و9) بجوار برج سما الادارى ومستشفى البنك الاهلى - الشقه رقم (1-2) الدور الاول  - المعادي</v>
      </c>
      <c r="I1304" s="6" t="str">
        <f ca="1">IFERROR(__xludf.DUMMYFUNCTION("""COMPUTED_VALUE"""),"01012206221")</f>
        <v>01012206221</v>
      </c>
      <c r="J1304" s="6" t="str">
        <f ca="1">IFERROR(__xludf.DUMMYFUNCTION("""COMPUTED_VALUE"""),"19014")</f>
        <v>19014</v>
      </c>
      <c r="K1304" s="6" t="str">
        <f ca="1">IFERROR(__xludf.DUMMYFUNCTION("""COMPUTED_VALUE"""),"خصم 20% علي جميع التحاليل")</f>
        <v>خصم 20% علي جميع التحاليل</v>
      </c>
    </row>
    <row r="1305" spans="1:11" x14ac:dyDescent="0.25">
      <c r="A1305" s="4" t="str">
        <f ca="1">IFERROR(__xludf.DUMMYFUNCTION("""COMPUTED_VALUE"""),"1897-B")</f>
        <v>1897-B</v>
      </c>
      <c r="B1305" s="5" t="str">
        <f ca="1">IFERROR(__xludf.DUMMYFUNCTION("""COMPUTED_VALUE"""),"القاهرة")</f>
        <v>القاهرة</v>
      </c>
      <c r="C1305" s="5" t="str">
        <f ca="1">IFERROR(__xludf.DUMMYFUNCTION("""COMPUTED_VALUE"""),"المعادى")</f>
        <v>المعادى</v>
      </c>
      <c r="D1305" s="5" t="str">
        <f ca="1">IFERROR(__xludf.DUMMYFUNCTION("""COMPUTED_VALUE"""),"معمل")</f>
        <v>معمل</v>
      </c>
      <c r="E1305" s="5" t="str">
        <f ca="1">IFERROR(__xludf.DUMMYFUNCTION("""COMPUTED_VALUE"""),"معمل")</f>
        <v>معمل</v>
      </c>
      <c r="F1305" s="5" t="str">
        <f ca="1">IFERROR(__xludf.DUMMYFUNCTION("""COMPUTED_VALUE"""),"معمل التحاليل الطبية")</f>
        <v>معمل التحاليل الطبية</v>
      </c>
      <c r="G1305" s="5" t="str">
        <f ca="1">IFERROR(__xludf.DUMMYFUNCTION("""COMPUTED_VALUE"""),"معمل المختبر (د. مؤمنة كامل)")</f>
        <v>معمل المختبر (د. مؤمنة كامل)</v>
      </c>
      <c r="H1305" s="5" t="str">
        <f ca="1">IFERROR(__xludf.DUMMYFUNCTION("""COMPUTED_VALUE"""),"1 عمارات طيبه – زهراء المعادى الدور الاول علوى شقة 104 - المعادي")</f>
        <v>1 عمارات طيبه – زهراء المعادى الدور الاول علوى شقة 104 - المعادي</v>
      </c>
      <c r="I1305" s="6" t="str">
        <f ca="1">IFERROR(__xludf.DUMMYFUNCTION("""COMPUTED_VALUE"""),"01097844472")</f>
        <v>01097844472</v>
      </c>
      <c r="J1305" s="6" t="str">
        <f ca="1">IFERROR(__xludf.DUMMYFUNCTION("""COMPUTED_VALUE"""),"19014")</f>
        <v>19014</v>
      </c>
      <c r="K1305" s="6" t="str">
        <f ca="1">IFERROR(__xludf.DUMMYFUNCTION("""COMPUTED_VALUE"""),"خصم 20% علي جميع التحاليل")</f>
        <v>خصم 20% علي جميع التحاليل</v>
      </c>
    </row>
    <row r="1306" spans="1:11" x14ac:dyDescent="0.25">
      <c r="A1306" s="4" t="str">
        <f ca="1">IFERROR(__xludf.DUMMYFUNCTION("""COMPUTED_VALUE"""),"1897-B")</f>
        <v>1897-B</v>
      </c>
      <c r="B1306" s="5" t="str">
        <f ca="1">IFERROR(__xludf.DUMMYFUNCTION("""COMPUTED_VALUE"""),"القاهرة")</f>
        <v>القاهرة</v>
      </c>
      <c r="C1306" s="5" t="str">
        <f ca="1">IFERROR(__xludf.DUMMYFUNCTION("""COMPUTED_VALUE"""),"المعادى")</f>
        <v>المعادى</v>
      </c>
      <c r="D1306" s="5" t="str">
        <f ca="1">IFERROR(__xludf.DUMMYFUNCTION("""COMPUTED_VALUE"""),"معمل")</f>
        <v>معمل</v>
      </c>
      <c r="E1306" s="5" t="str">
        <f ca="1">IFERROR(__xludf.DUMMYFUNCTION("""COMPUTED_VALUE"""),"معمل")</f>
        <v>معمل</v>
      </c>
      <c r="F1306" s="5" t="str">
        <f ca="1">IFERROR(__xludf.DUMMYFUNCTION("""COMPUTED_VALUE"""),"معمل التحاليل الطبية")</f>
        <v>معمل التحاليل الطبية</v>
      </c>
      <c r="G1306" s="5" t="str">
        <f ca="1">IFERROR(__xludf.DUMMYFUNCTION("""COMPUTED_VALUE"""),"معمل المختبر (د. مؤمنة كامل)")</f>
        <v>معمل المختبر (د. مؤمنة كامل)</v>
      </c>
      <c r="H1306" s="5" t="str">
        <f ca="1">IFERROR(__xludf.DUMMYFUNCTION("""COMPUTED_VALUE"""),"7 ش مواصلات كورنيش المعادى بجوار مستشفى النيل البدراوى - المعادي")</f>
        <v>7 ش مواصلات كورنيش المعادى بجوار مستشفى النيل البدراوى - المعادي</v>
      </c>
      <c r="I1306" s="6" t="str">
        <f ca="1">IFERROR(__xludf.DUMMYFUNCTION("""COMPUTED_VALUE"""),"01013321911")</f>
        <v>01013321911</v>
      </c>
      <c r="J1306" s="6" t="str">
        <f ca="1">IFERROR(__xludf.DUMMYFUNCTION("""COMPUTED_VALUE"""),"19014")</f>
        <v>19014</v>
      </c>
      <c r="K1306" s="6" t="str">
        <f ca="1">IFERROR(__xludf.DUMMYFUNCTION("""COMPUTED_VALUE"""),"خصم 20% علي جميع التحاليل")</f>
        <v>خصم 20% علي جميع التحاليل</v>
      </c>
    </row>
    <row r="1307" spans="1:11" x14ac:dyDescent="0.25">
      <c r="A1307" s="4" t="str">
        <f ca="1">IFERROR(__xludf.DUMMYFUNCTION("""COMPUTED_VALUE"""),"1897-B")</f>
        <v>1897-B</v>
      </c>
      <c r="B1307" s="5" t="str">
        <f ca="1">IFERROR(__xludf.DUMMYFUNCTION("""COMPUTED_VALUE"""),"القاهرة")</f>
        <v>القاهرة</v>
      </c>
      <c r="C1307" s="5" t="str">
        <f ca="1">IFERROR(__xludf.DUMMYFUNCTION("""COMPUTED_VALUE"""),"حلوان")</f>
        <v>حلوان</v>
      </c>
      <c r="D1307" s="5" t="str">
        <f ca="1">IFERROR(__xludf.DUMMYFUNCTION("""COMPUTED_VALUE"""),"معمل")</f>
        <v>معمل</v>
      </c>
      <c r="E1307" s="5" t="str">
        <f ca="1">IFERROR(__xludf.DUMMYFUNCTION("""COMPUTED_VALUE"""),"معمل")</f>
        <v>معمل</v>
      </c>
      <c r="F1307" s="5" t="str">
        <f ca="1">IFERROR(__xludf.DUMMYFUNCTION("""COMPUTED_VALUE"""),"معمل التحاليل الطبية")</f>
        <v>معمل التحاليل الطبية</v>
      </c>
      <c r="G1307" s="5" t="str">
        <f ca="1">IFERROR(__xludf.DUMMYFUNCTION("""COMPUTED_VALUE"""),"معمل المختبر (د. مؤمنة كامل)")</f>
        <v>معمل المختبر (د. مؤمنة كامل)</v>
      </c>
      <c r="H1307" s="5" t="str">
        <f ca="1">IFERROR(__xludf.DUMMYFUNCTION("""COMPUTED_VALUE"""),"66ش الحسيني تقسيم خالد بن الوليد بجوار قسم حدائق حلوان  - حلوان")</f>
        <v>66ش الحسيني تقسيم خالد بن الوليد بجوار قسم حدائق حلوان  - حلوان</v>
      </c>
      <c r="I1307" s="6" t="str">
        <f ca="1">IFERROR(__xludf.DUMMYFUNCTION("""COMPUTED_VALUE"""),"01012225107")</f>
        <v>01012225107</v>
      </c>
      <c r="J1307" s="6" t="str">
        <f ca="1">IFERROR(__xludf.DUMMYFUNCTION("""COMPUTED_VALUE"""),"19014")</f>
        <v>19014</v>
      </c>
      <c r="K1307" s="6" t="str">
        <f ca="1">IFERROR(__xludf.DUMMYFUNCTION("""COMPUTED_VALUE"""),"خصم 20% علي جميع التحاليل")</f>
        <v>خصم 20% علي جميع التحاليل</v>
      </c>
    </row>
    <row r="1308" spans="1:11" x14ac:dyDescent="0.25">
      <c r="A1308" s="4" t="str">
        <f ca="1">IFERROR(__xludf.DUMMYFUNCTION("""COMPUTED_VALUE"""),"1897-B")</f>
        <v>1897-B</v>
      </c>
      <c r="B1308" s="5" t="str">
        <f ca="1">IFERROR(__xludf.DUMMYFUNCTION("""COMPUTED_VALUE"""),"القاهرة")</f>
        <v>القاهرة</v>
      </c>
      <c r="C1308" s="5" t="str">
        <f ca="1">IFERROR(__xludf.DUMMYFUNCTION("""COMPUTED_VALUE"""),"المقطم")</f>
        <v>المقطم</v>
      </c>
      <c r="D1308" s="5" t="str">
        <f ca="1">IFERROR(__xludf.DUMMYFUNCTION("""COMPUTED_VALUE"""),"معمل")</f>
        <v>معمل</v>
      </c>
      <c r="E1308" s="5" t="str">
        <f ca="1">IFERROR(__xludf.DUMMYFUNCTION("""COMPUTED_VALUE"""),"معمل")</f>
        <v>معمل</v>
      </c>
      <c r="F1308" s="5" t="str">
        <f ca="1">IFERROR(__xludf.DUMMYFUNCTION("""COMPUTED_VALUE"""),"معمل التحاليل الطبية")</f>
        <v>معمل التحاليل الطبية</v>
      </c>
      <c r="G1308" s="5" t="str">
        <f ca="1">IFERROR(__xludf.DUMMYFUNCTION("""COMPUTED_VALUE"""),"معمل المختبر (د. مؤمنة كامل)")</f>
        <v>معمل المختبر (د. مؤمنة كامل)</v>
      </c>
      <c r="H1308" s="5" t="str">
        <f ca="1">IFERROR(__xludf.DUMMYFUNCTION("""COMPUTED_VALUE"""),"قطعه 8840 عمارة الروضه الدور الاول شقه 1 – شارع 9 المقطم  امام مستشفى المقطم التخصصى -المقطم")</f>
        <v>قطعه 8840 عمارة الروضه الدور الاول شقه 1 – شارع 9 المقطم  امام مستشفى المقطم التخصصى -المقطم</v>
      </c>
      <c r="I1308" s="6" t="str">
        <f ca="1">IFERROR(__xludf.DUMMYFUNCTION("""COMPUTED_VALUE"""),"01027730110")</f>
        <v>01027730110</v>
      </c>
      <c r="J1308" s="6" t="str">
        <f ca="1">IFERROR(__xludf.DUMMYFUNCTION("""COMPUTED_VALUE"""),"19014")</f>
        <v>19014</v>
      </c>
      <c r="K1308" s="6" t="str">
        <f ca="1">IFERROR(__xludf.DUMMYFUNCTION("""COMPUTED_VALUE"""),"خصم 20% علي جميع التحاليل")</f>
        <v>خصم 20% علي جميع التحاليل</v>
      </c>
    </row>
    <row r="1309" spans="1:11" x14ac:dyDescent="0.25">
      <c r="A1309" s="4" t="str">
        <f ca="1">IFERROR(__xludf.DUMMYFUNCTION("""COMPUTED_VALUE"""),"1897-B")</f>
        <v>1897-B</v>
      </c>
      <c r="B1309" s="5" t="str">
        <f ca="1">IFERROR(__xludf.DUMMYFUNCTION("""COMPUTED_VALUE"""),"القاهرة")</f>
        <v>القاهرة</v>
      </c>
      <c r="C1309" s="5" t="str">
        <f ca="1">IFERROR(__xludf.DUMMYFUNCTION("""COMPUTED_VALUE"""),"المنيل")</f>
        <v>المنيل</v>
      </c>
      <c r="D1309" s="5" t="str">
        <f ca="1">IFERROR(__xludf.DUMMYFUNCTION("""COMPUTED_VALUE"""),"معمل")</f>
        <v>معمل</v>
      </c>
      <c r="E1309" s="5" t="str">
        <f ca="1">IFERROR(__xludf.DUMMYFUNCTION("""COMPUTED_VALUE"""),"معمل")</f>
        <v>معمل</v>
      </c>
      <c r="F1309" s="5" t="str">
        <f ca="1">IFERROR(__xludf.DUMMYFUNCTION("""COMPUTED_VALUE"""),"معمل التحاليل الطبية")</f>
        <v>معمل التحاليل الطبية</v>
      </c>
      <c r="G1309" s="5" t="str">
        <f ca="1">IFERROR(__xludf.DUMMYFUNCTION("""COMPUTED_VALUE"""),"معمل المختبر (د. مؤمنة كامل)")</f>
        <v>معمل المختبر (د. مؤمنة كامل)</v>
      </c>
      <c r="H1309" s="5" t="str">
        <f ca="1">IFERROR(__xludf.DUMMYFUNCTION("""COMPUTED_VALUE"""),"47 ش المنيل د1 -ش3 بجوار بيتزا كينج-المنيل")</f>
        <v>47 ش المنيل د1 -ش3 بجوار بيتزا كينج-المنيل</v>
      </c>
      <c r="I1309" s="6" t="str">
        <f ca="1">IFERROR(__xludf.DUMMYFUNCTION("""COMPUTED_VALUE"""),"01012206620")</f>
        <v>01012206620</v>
      </c>
      <c r="J1309" s="6" t="str">
        <f ca="1">IFERROR(__xludf.DUMMYFUNCTION("""COMPUTED_VALUE"""),"19014")</f>
        <v>19014</v>
      </c>
      <c r="K1309" s="6" t="str">
        <f ca="1">IFERROR(__xludf.DUMMYFUNCTION("""COMPUTED_VALUE"""),"خصم 20% علي جميع التحاليل")</f>
        <v>خصم 20% علي جميع التحاليل</v>
      </c>
    </row>
    <row r="1310" spans="1:11" x14ac:dyDescent="0.25">
      <c r="A1310" s="4" t="str">
        <f ca="1">IFERROR(__xludf.DUMMYFUNCTION("""COMPUTED_VALUE"""),"1897-B")</f>
        <v>1897-B</v>
      </c>
      <c r="B1310" s="5" t="str">
        <f ca="1">IFERROR(__xludf.DUMMYFUNCTION("""COMPUTED_VALUE"""),"القاهرة")</f>
        <v>القاهرة</v>
      </c>
      <c r="C1310" s="5" t="str">
        <f ca="1">IFERROR(__xludf.DUMMYFUNCTION("""COMPUTED_VALUE"""),"مصر الجديدة")</f>
        <v>مصر الجديدة</v>
      </c>
      <c r="D1310" s="5" t="str">
        <f ca="1">IFERROR(__xludf.DUMMYFUNCTION("""COMPUTED_VALUE"""),"معمل")</f>
        <v>معمل</v>
      </c>
      <c r="E1310" s="5" t="str">
        <f ca="1">IFERROR(__xludf.DUMMYFUNCTION("""COMPUTED_VALUE"""),"معمل")</f>
        <v>معمل</v>
      </c>
      <c r="F1310" s="5" t="str">
        <f ca="1">IFERROR(__xludf.DUMMYFUNCTION("""COMPUTED_VALUE"""),"معمل التحاليل الطبية")</f>
        <v>معمل التحاليل الطبية</v>
      </c>
      <c r="G1310" s="5" t="str">
        <f ca="1">IFERROR(__xludf.DUMMYFUNCTION("""COMPUTED_VALUE"""),"معمل المختبر (د. مؤمنة كامل)")</f>
        <v>معمل المختبر (د. مؤمنة كامل)</v>
      </c>
      <c r="H1310" s="5" t="str">
        <f ca="1">IFERROR(__xludf.DUMMYFUNCTION("""COMPUTED_VALUE"""),"129 ش المرغنى - السبع عمارات د1 علوى -مصر الجديدة-القاهرة")</f>
        <v>129 ش المرغنى - السبع عمارات د1 علوى -مصر الجديدة-القاهرة</v>
      </c>
      <c r="I1310" s="6" t="str">
        <f ca="1">IFERROR(__xludf.DUMMYFUNCTION("""COMPUTED_VALUE"""),"01090823999")</f>
        <v>01090823999</v>
      </c>
      <c r="J1310" s="6" t="str">
        <f ca="1">IFERROR(__xludf.DUMMYFUNCTION("""COMPUTED_VALUE"""),"19014")</f>
        <v>19014</v>
      </c>
      <c r="K1310" s="6" t="str">
        <f ca="1">IFERROR(__xludf.DUMMYFUNCTION("""COMPUTED_VALUE"""),"خصم 20% علي جميع التحاليل")</f>
        <v>خصم 20% علي جميع التحاليل</v>
      </c>
    </row>
    <row r="1311" spans="1:11" x14ac:dyDescent="0.25">
      <c r="A1311" s="4" t="str">
        <f ca="1">IFERROR(__xludf.DUMMYFUNCTION("""COMPUTED_VALUE"""),"1897-B")</f>
        <v>1897-B</v>
      </c>
      <c r="B1311" s="5" t="str">
        <f ca="1">IFERROR(__xludf.DUMMYFUNCTION("""COMPUTED_VALUE"""),"القاهرة")</f>
        <v>القاهرة</v>
      </c>
      <c r="C1311" s="5" t="str">
        <f ca="1">IFERROR(__xludf.DUMMYFUNCTION("""COMPUTED_VALUE"""),"حدائق القبة")</f>
        <v>حدائق القبة</v>
      </c>
      <c r="D1311" s="5" t="str">
        <f ca="1">IFERROR(__xludf.DUMMYFUNCTION("""COMPUTED_VALUE"""),"معمل")</f>
        <v>معمل</v>
      </c>
      <c r="E1311" s="5" t="str">
        <f ca="1">IFERROR(__xludf.DUMMYFUNCTION("""COMPUTED_VALUE"""),"معمل")</f>
        <v>معمل</v>
      </c>
      <c r="F1311" s="5" t="str">
        <f ca="1">IFERROR(__xludf.DUMMYFUNCTION("""COMPUTED_VALUE"""),"معمل التحاليل الطبية")</f>
        <v>معمل التحاليل الطبية</v>
      </c>
      <c r="G1311" s="5" t="str">
        <f ca="1">IFERROR(__xludf.DUMMYFUNCTION("""COMPUTED_VALUE"""),"معمل المختبر (د. مؤمنة كامل)")</f>
        <v>معمل المختبر (د. مؤمنة كامل)</v>
      </c>
      <c r="H1311" s="5" t="str">
        <f ca="1">IFERROR(__xludf.DUMMYFUNCTION("""COMPUTED_VALUE"""),"7 شارع السواح بجوار بنك القاهرة د1 شقه 2- السواح")</f>
        <v>7 شارع السواح بجوار بنك القاهرة د1 شقه 2- السواح</v>
      </c>
      <c r="I1311" s="6" t="str">
        <f ca="1">IFERROR(__xludf.DUMMYFUNCTION("""COMPUTED_VALUE"""),"01024397733")</f>
        <v>01024397733</v>
      </c>
      <c r="J1311" s="6" t="str">
        <f ca="1">IFERROR(__xludf.DUMMYFUNCTION("""COMPUTED_VALUE"""),"19014")</f>
        <v>19014</v>
      </c>
      <c r="K1311" s="6" t="str">
        <f ca="1">IFERROR(__xludf.DUMMYFUNCTION("""COMPUTED_VALUE"""),"خصم 20% علي جميع التحاليل")</f>
        <v>خصم 20% علي جميع التحاليل</v>
      </c>
    </row>
    <row r="1312" spans="1:11" x14ac:dyDescent="0.25">
      <c r="A1312" s="4" t="str">
        <f ca="1">IFERROR(__xludf.DUMMYFUNCTION("""COMPUTED_VALUE"""),"1897-B")</f>
        <v>1897-B</v>
      </c>
      <c r="B1312" s="5" t="str">
        <f ca="1">IFERROR(__xludf.DUMMYFUNCTION("""COMPUTED_VALUE"""),"القاهرة")</f>
        <v>القاهرة</v>
      </c>
      <c r="C1312" s="5" t="str">
        <f ca="1">IFERROR(__xludf.DUMMYFUNCTION("""COMPUTED_VALUE"""),"مصر الجديدة")</f>
        <v>مصر الجديدة</v>
      </c>
      <c r="D1312" s="5" t="str">
        <f ca="1">IFERROR(__xludf.DUMMYFUNCTION("""COMPUTED_VALUE"""),"معمل")</f>
        <v>معمل</v>
      </c>
      <c r="E1312" s="5" t="str">
        <f ca="1">IFERROR(__xludf.DUMMYFUNCTION("""COMPUTED_VALUE"""),"معمل")</f>
        <v>معمل</v>
      </c>
      <c r="F1312" s="5" t="str">
        <f ca="1">IFERROR(__xludf.DUMMYFUNCTION("""COMPUTED_VALUE"""),"معمل التحاليل الطبية")</f>
        <v>معمل التحاليل الطبية</v>
      </c>
      <c r="G1312" s="5" t="str">
        <f ca="1">IFERROR(__xludf.DUMMYFUNCTION("""COMPUTED_VALUE"""),"معمل المختبر (د. مؤمنة كامل)")</f>
        <v>معمل المختبر (د. مؤمنة كامل)</v>
      </c>
      <c r="H1312" s="5" t="str">
        <f ca="1">IFERROR(__xludf.DUMMYFUNCTION("""COMPUTED_VALUE"""),"5 طه حسين تقسيم الشرطة ... النزهه الجديدة .... بجوار صيدلية المنيرى")</f>
        <v>5 طه حسين تقسيم الشرطة ... النزهه الجديدة .... بجوار صيدلية المنيرى</v>
      </c>
      <c r="I1312" s="6" t="str">
        <f ca="1">IFERROR(__xludf.DUMMYFUNCTION("""COMPUTED_VALUE"""),"01030977741")</f>
        <v>01030977741</v>
      </c>
      <c r="J1312" s="6" t="str">
        <f ca="1">IFERROR(__xludf.DUMMYFUNCTION("""COMPUTED_VALUE"""),"19014")</f>
        <v>19014</v>
      </c>
      <c r="K1312" s="6" t="str">
        <f ca="1">IFERROR(__xludf.DUMMYFUNCTION("""COMPUTED_VALUE"""),"خصم 20% علي جميع التحاليل")</f>
        <v>خصم 20% علي جميع التحاليل</v>
      </c>
    </row>
    <row r="1313" spans="1:11" x14ac:dyDescent="0.25">
      <c r="A1313" s="4" t="str">
        <f ca="1">IFERROR(__xludf.DUMMYFUNCTION("""COMPUTED_VALUE"""),"1897-B")</f>
        <v>1897-B</v>
      </c>
      <c r="B1313" s="5" t="str">
        <f ca="1">IFERROR(__xludf.DUMMYFUNCTION("""COMPUTED_VALUE"""),"القاهرة")</f>
        <v>القاهرة</v>
      </c>
      <c r="C1313" s="5" t="str">
        <f ca="1">IFERROR(__xludf.DUMMYFUNCTION("""COMPUTED_VALUE"""),"عزبه النخل")</f>
        <v>عزبه النخل</v>
      </c>
      <c r="D1313" s="5" t="str">
        <f ca="1">IFERROR(__xludf.DUMMYFUNCTION("""COMPUTED_VALUE"""),"معمل")</f>
        <v>معمل</v>
      </c>
      <c r="E1313" s="5" t="str">
        <f ca="1">IFERROR(__xludf.DUMMYFUNCTION("""COMPUTED_VALUE"""),"معمل")</f>
        <v>معمل</v>
      </c>
      <c r="F1313" s="5" t="str">
        <f ca="1">IFERROR(__xludf.DUMMYFUNCTION("""COMPUTED_VALUE"""),"معمل التحاليل الطبية")</f>
        <v>معمل التحاليل الطبية</v>
      </c>
      <c r="G1313" s="5" t="str">
        <f ca="1">IFERROR(__xludf.DUMMYFUNCTION("""COMPUTED_VALUE"""),"معمل المختبر (د. مؤمنة كامل)")</f>
        <v>معمل المختبر (د. مؤمنة كامل)</v>
      </c>
      <c r="H1313" s="5" t="str">
        <f ca="1">IFERROR(__xludf.DUMMYFUNCTION("""COMPUTED_VALUE"""),"ا شارع الصحة 107( ش شرق السكة الحديد سابقا) د2  – عزبة النخل الشرقية – مركز المرج – محافظة القاهرة")</f>
        <v>ا شارع الصحة 107( ش شرق السكة الحديد سابقا) د2  – عزبة النخل الشرقية – مركز المرج – محافظة القاهرة</v>
      </c>
      <c r="I1313" s="6" t="str">
        <f ca="1">IFERROR(__xludf.DUMMYFUNCTION("""COMPUTED_VALUE"""),"01012208226")</f>
        <v>01012208226</v>
      </c>
      <c r="J1313" s="6" t="str">
        <f ca="1">IFERROR(__xludf.DUMMYFUNCTION("""COMPUTED_VALUE"""),"19014")</f>
        <v>19014</v>
      </c>
      <c r="K1313" s="6" t="str">
        <f ca="1">IFERROR(__xludf.DUMMYFUNCTION("""COMPUTED_VALUE"""),"خصم 20% علي جميع التحاليل")</f>
        <v>خصم 20% علي جميع التحاليل</v>
      </c>
    </row>
    <row r="1314" spans="1:11" x14ac:dyDescent="0.25">
      <c r="A1314" s="4" t="str">
        <f ca="1">IFERROR(__xludf.DUMMYFUNCTION("""COMPUTED_VALUE"""),"1897-B")</f>
        <v>1897-B</v>
      </c>
      <c r="B1314" s="5" t="str">
        <f ca="1">IFERROR(__xludf.DUMMYFUNCTION("""COMPUTED_VALUE"""),"القاهرة")</f>
        <v>القاهرة</v>
      </c>
      <c r="C1314" s="5" t="str">
        <f ca="1">IFERROR(__xludf.DUMMYFUNCTION("""COMPUTED_VALUE"""),"المرج")</f>
        <v>المرج</v>
      </c>
      <c r="D1314" s="5" t="str">
        <f ca="1">IFERROR(__xludf.DUMMYFUNCTION("""COMPUTED_VALUE"""),"معمل")</f>
        <v>معمل</v>
      </c>
      <c r="E1314" s="5" t="str">
        <f ca="1">IFERROR(__xludf.DUMMYFUNCTION("""COMPUTED_VALUE"""),"معمل")</f>
        <v>معمل</v>
      </c>
      <c r="F1314" s="5" t="str">
        <f ca="1">IFERROR(__xludf.DUMMYFUNCTION("""COMPUTED_VALUE"""),"معمل التحاليل الطبية")</f>
        <v>معمل التحاليل الطبية</v>
      </c>
      <c r="G1314" s="5" t="str">
        <f ca="1">IFERROR(__xludf.DUMMYFUNCTION("""COMPUTED_VALUE"""),"معمل المختبر (د. مؤمنة كامل)")</f>
        <v>معمل المختبر (د. مؤمنة كامل)</v>
      </c>
      <c r="H1314" s="5" t="str">
        <f ca="1">IFERROR(__xludf.DUMMYFUNCTION("""COMPUTED_VALUE"""),"165 شارع محطة المرج الشرقى امام محطة مترو المرج القدیمة –الدور الاول شقة 2 - المرج")</f>
        <v>165 شارع محطة المرج الشرقى امام محطة مترو المرج القدیمة –الدور الاول شقة 2 - المرج</v>
      </c>
      <c r="I1314" s="6" t="str">
        <f ca="1">IFERROR(__xludf.DUMMYFUNCTION("""COMPUTED_VALUE"""),"01030977743")</f>
        <v>01030977743</v>
      </c>
      <c r="J1314" s="6" t="str">
        <f ca="1">IFERROR(__xludf.DUMMYFUNCTION("""COMPUTED_VALUE"""),"19014")</f>
        <v>19014</v>
      </c>
      <c r="K1314" s="6" t="str">
        <f ca="1">IFERROR(__xludf.DUMMYFUNCTION("""COMPUTED_VALUE"""),"خصم 20% علي جميع التحاليل")</f>
        <v>خصم 20% علي جميع التحاليل</v>
      </c>
    </row>
    <row r="1315" spans="1:11" x14ac:dyDescent="0.25">
      <c r="A1315" s="4" t="str">
        <f ca="1">IFERROR(__xludf.DUMMYFUNCTION("""COMPUTED_VALUE"""),"1897-B")</f>
        <v>1897-B</v>
      </c>
      <c r="B1315" s="5" t="str">
        <f ca="1">IFERROR(__xludf.DUMMYFUNCTION("""COMPUTED_VALUE"""),"القاهرة")</f>
        <v>القاهرة</v>
      </c>
      <c r="C1315" s="5" t="str">
        <f ca="1">IFERROR(__xludf.DUMMYFUNCTION("""COMPUTED_VALUE"""),"المطرية")</f>
        <v>المطرية</v>
      </c>
      <c r="D1315" s="5" t="str">
        <f ca="1">IFERROR(__xludf.DUMMYFUNCTION("""COMPUTED_VALUE"""),"معمل")</f>
        <v>معمل</v>
      </c>
      <c r="E1315" s="5" t="str">
        <f ca="1">IFERROR(__xludf.DUMMYFUNCTION("""COMPUTED_VALUE"""),"معمل")</f>
        <v>معمل</v>
      </c>
      <c r="F1315" s="5" t="str">
        <f ca="1">IFERROR(__xludf.DUMMYFUNCTION("""COMPUTED_VALUE"""),"معمل التحاليل الطبية")</f>
        <v>معمل التحاليل الطبية</v>
      </c>
      <c r="G1315" s="5" t="str">
        <f ca="1">IFERROR(__xludf.DUMMYFUNCTION("""COMPUTED_VALUE"""),"معمل المختبر (د. مؤمنة كامل)")</f>
        <v>معمل المختبر (د. مؤمنة كامل)</v>
      </c>
      <c r="H1315" s="5" t="str">
        <f ca="1">IFERROR(__xludf.DUMMYFUNCTION("""COMPUTED_VALUE"""),"20 شارع المطرية -برج أ - ابراج بيت العز - المطريه")</f>
        <v>20 شارع المطرية -برج أ - ابراج بيت العز - المطريه</v>
      </c>
      <c r="I1315" s="6" t="str">
        <f ca="1">IFERROR(__xludf.DUMMYFUNCTION("""COMPUTED_VALUE"""),"01022004432")</f>
        <v>01022004432</v>
      </c>
      <c r="J1315" s="6" t="str">
        <f ca="1">IFERROR(__xludf.DUMMYFUNCTION("""COMPUTED_VALUE"""),"19014")</f>
        <v>19014</v>
      </c>
      <c r="K1315" s="6" t="str">
        <f ca="1">IFERROR(__xludf.DUMMYFUNCTION("""COMPUTED_VALUE"""),"خصم 20% علي جميع التحاليل")</f>
        <v>خصم 20% علي جميع التحاليل</v>
      </c>
    </row>
    <row r="1316" spans="1:11" x14ac:dyDescent="0.25">
      <c r="A1316" s="4" t="str">
        <f ca="1">IFERROR(__xludf.DUMMYFUNCTION("""COMPUTED_VALUE"""),"1897-B")</f>
        <v>1897-B</v>
      </c>
      <c r="B1316" s="5" t="str">
        <f ca="1">IFERROR(__xludf.DUMMYFUNCTION("""COMPUTED_VALUE"""),"القاهرة")</f>
        <v>القاهرة</v>
      </c>
      <c r="C1316" s="5" t="str">
        <f ca="1">IFERROR(__xludf.DUMMYFUNCTION("""COMPUTED_VALUE"""),"مدينة نصر")</f>
        <v>مدينة نصر</v>
      </c>
      <c r="D1316" s="5" t="str">
        <f ca="1">IFERROR(__xludf.DUMMYFUNCTION("""COMPUTED_VALUE"""),"معمل")</f>
        <v>معمل</v>
      </c>
      <c r="E1316" s="5" t="str">
        <f ca="1">IFERROR(__xludf.DUMMYFUNCTION("""COMPUTED_VALUE"""),"معمل")</f>
        <v>معمل</v>
      </c>
      <c r="F1316" s="5" t="str">
        <f ca="1">IFERROR(__xludf.DUMMYFUNCTION("""COMPUTED_VALUE"""),"معمل التحاليل الطبية")</f>
        <v>معمل التحاليل الطبية</v>
      </c>
      <c r="G1316" s="5" t="str">
        <f ca="1">IFERROR(__xludf.DUMMYFUNCTION("""COMPUTED_VALUE"""),"معمل المختبر (د. مؤمنة كامل)")</f>
        <v>معمل المختبر (د. مؤمنة كامل)</v>
      </c>
      <c r="H1316" s="5" t="str">
        <f ca="1">IFERROR(__xludf.DUMMYFUNCTION("""COMPUTED_VALUE"""),"60 عباس العقاد امام ماكدونالد الدور الاول علوى - مدينة نصر-القاهرة")</f>
        <v>60 عباس العقاد امام ماكدونالد الدور الاول علوى - مدينة نصر-القاهرة</v>
      </c>
      <c r="I1316" s="6" t="str">
        <f ca="1">IFERROR(__xludf.DUMMYFUNCTION("""COMPUTED_VALUE"""),"01030977742")</f>
        <v>01030977742</v>
      </c>
      <c r="J1316" s="6" t="str">
        <f ca="1">IFERROR(__xludf.DUMMYFUNCTION("""COMPUTED_VALUE"""),"19014")</f>
        <v>19014</v>
      </c>
      <c r="K1316" s="6" t="str">
        <f ca="1">IFERROR(__xludf.DUMMYFUNCTION("""COMPUTED_VALUE"""),"خصم 20% علي جميع التحاليل")</f>
        <v>خصم 20% علي جميع التحاليل</v>
      </c>
    </row>
    <row r="1317" spans="1:11" x14ac:dyDescent="0.25">
      <c r="A1317" s="4" t="str">
        <f ca="1">IFERROR(__xludf.DUMMYFUNCTION("""COMPUTED_VALUE"""),"1897-B")</f>
        <v>1897-B</v>
      </c>
      <c r="B1317" s="5" t="str">
        <f ca="1">IFERROR(__xludf.DUMMYFUNCTION("""COMPUTED_VALUE"""),"القاهرة")</f>
        <v>القاهرة</v>
      </c>
      <c r="C1317" s="5" t="str">
        <f ca="1">IFERROR(__xludf.DUMMYFUNCTION("""COMPUTED_VALUE"""),"مدينة نصر")</f>
        <v>مدينة نصر</v>
      </c>
      <c r="D1317" s="5" t="str">
        <f ca="1">IFERROR(__xludf.DUMMYFUNCTION("""COMPUTED_VALUE"""),"معمل")</f>
        <v>معمل</v>
      </c>
      <c r="E1317" s="5" t="str">
        <f ca="1">IFERROR(__xludf.DUMMYFUNCTION("""COMPUTED_VALUE"""),"معمل")</f>
        <v>معمل</v>
      </c>
      <c r="F1317" s="5" t="str">
        <f ca="1">IFERROR(__xludf.DUMMYFUNCTION("""COMPUTED_VALUE"""),"معمل التحاليل الطبية")</f>
        <v>معمل التحاليل الطبية</v>
      </c>
      <c r="G1317" s="5" t="str">
        <f ca="1">IFERROR(__xludf.DUMMYFUNCTION("""COMPUTED_VALUE"""),"معمل المختبر (د. مؤمنة كامل)")</f>
        <v>معمل المختبر (د. مؤمنة كامل)</v>
      </c>
      <c r="H1317" s="5" t="str">
        <f ca="1">IFERROR(__xludf.DUMMYFUNCTION("""COMPUTED_VALUE"""),"برج الصديق اعلى صيدلية هشام حسين ( حى الواحة - مدينة نصر ) - - مدينه نصر")</f>
        <v>برج الصديق اعلى صيدلية هشام حسين ( حى الواحة - مدينة نصر ) - - مدينه نصر</v>
      </c>
      <c r="I1317" s="6" t="str">
        <f ca="1">IFERROR(__xludf.DUMMYFUNCTION("""COMPUTED_VALUE"""),"01065316622")</f>
        <v>01065316622</v>
      </c>
      <c r="J1317" s="6" t="str">
        <f ca="1">IFERROR(__xludf.DUMMYFUNCTION("""COMPUTED_VALUE"""),"19014")</f>
        <v>19014</v>
      </c>
      <c r="K1317" s="6" t="str">
        <f ca="1">IFERROR(__xludf.DUMMYFUNCTION("""COMPUTED_VALUE"""),"خصم 20% علي جميع التحاليل")</f>
        <v>خصم 20% علي جميع التحاليل</v>
      </c>
    </row>
    <row r="1318" spans="1:11" x14ac:dyDescent="0.25">
      <c r="A1318" s="4" t="str">
        <f ca="1">IFERROR(__xludf.DUMMYFUNCTION("""COMPUTED_VALUE"""),"1897-B")</f>
        <v>1897-B</v>
      </c>
      <c r="B1318" s="5" t="str">
        <f ca="1">IFERROR(__xludf.DUMMYFUNCTION("""COMPUTED_VALUE"""),"القاهرة")</f>
        <v>القاهرة</v>
      </c>
      <c r="C1318" s="5" t="str">
        <f ca="1">IFERROR(__xludf.DUMMYFUNCTION("""COMPUTED_VALUE"""),"مدينة نصر")</f>
        <v>مدينة نصر</v>
      </c>
      <c r="D1318" s="5" t="str">
        <f ca="1">IFERROR(__xludf.DUMMYFUNCTION("""COMPUTED_VALUE"""),"معمل")</f>
        <v>معمل</v>
      </c>
      <c r="E1318" s="5" t="str">
        <f ca="1">IFERROR(__xludf.DUMMYFUNCTION("""COMPUTED_VALUE"""),"معمل")</f>
        <v>معمل</v>
      </c>
      <c r="F1318" s="5" t="str">
        <f ca="1">IFERROR(__xludf.DUMMYFUNCTION("""COMPUTED_VALUE"""),"معمل التحاليل الطبية")</f>
        <v>معمل التحاليل الطبية</v>
      </c>
      <c r="G1318" s="5" t="str">
        <f ca="1">IFERROR(__xludf.DUMMYFUNCTION("""COMPUTED_VALUE"""),"معمل المختبر (د. مؤمنة كامل)")</f>
        <v>معمل المختبر (د. مؤمنة كامل)</v>
      </c>
      <c r="H1318" s="5" t="str">
        <f ca="1">IFERROR(__xludf.DUMMYFUNCTION("""COMPUTED_VALUE"""),"عمارة 9 عمارات العبور - شارع صلاح سالم -  - مدينه نصر")</f>
        <v>عمارة 9 عمارات العبور - شارع صلاح سالم -  - مدينه نصر</v>
      </c>
      <c r="I1318" s="6" t="str">
        <f ca="1">IFERROR(__xludf.DUMMYFUNCTION("""COMPUTED_VALUE"""),"01090011278")</f>
        <v>01090011278</v>
      </c>
      <c r="J1318" s="6" t="str">
        <f ca="1">IFERROR(__xludf.DUMMYFUNCTION("""COMPUTED_VALUE"""),"19014")</f>
        <v>19014</v>
      </c>
      <c r="K1318" s="6" t="str">
        <f ca="1">IFERROR(__xludf.DUMMYFUNCTION("""COMPUTED_VALUE"""),"خصم 20% علي جميع التحاليل")</f>
        <v>خصم 20% علي جميع التحاليل</v>
      </c>
    </row>
    <row r="1319" spans="1:11" x14ac:dyDescent="0.25">
      <c r="A1319" s="4" t="str">
        <f ca="1">IFERROR(__xludf.DUMMYFUNCTION("""COMPUTED_VALUE"""),"1897-B")</f>
        <v>1897-B</v>
      </c>
      <c r="B1319" s="5" t="str">
        <f ca="1">IFERROR(__xludf.DUMMYFUNCTION("""COMPUTED_VALUE"""),"القاهرة")</f>
        <v>القاهرة</v>
      </c>
      <c r="C1319" s="5" t="str">
        <f ca="1">IFERROR(__xludf.DUMMYFUNCTION("""COMPUTED_VALUE"""),"القاهرة الجديدة")</f>
        <v>القاهرة الجديدة</v>
      </c>
      <c r="D1319" s="5" t="str">
        <f ca="1">IFERROR(__xludf.DUMMYFUNCTION("""COMPUTED_VALUE"""),"معمل")</f>
        <v>معمل</v>
      </c>
      <c r="E1319" s="5" t="str">
        <f ca="1">IFERROR(__xludf.DUMMYFUNCTION("""COMPUTED_VALUE"""),"معمل")</f>
        <v>معمل</v>
      </c>
      <c r="F1319" s="5" t="str">
        <f ca="1">IFERROR(__xludf.DUMMYFUNCTION("""COMPUTED_VALUE"""),"معمل التحاليل الطبية")</f>
        <v>معمل التحاليل الطبية</v>
      </c>
      <c r="G1319" s="5" t="str">
        <f ca="1">IFERROR(__xludf.DUMMYFUNCTION("""COMPUTED_VALUE"""),"معمل المختبر (د. مؤمنة كامل)")</f>
        <v>معمل المختبر (د. مؤمنة كامل)</v>
      </c>
      <c r="H1319" s="5" t="str">
        <f ca="1">IFERROR(__xludf.DUMMYFUNCTION("""COMPUTED_VALUE"""),"شارع التسعين - ميديكال بارك خلف المستشفى الجوى التخصصى  - التجمع الخامس")</f>
        <v>شارع التسعين - ميديكال بارك خلف المستشفى الجوى التخصصى  - التجمع الخامس</v>
      </c>
      <c r="I1319" s="6" t="str">
        <f ca="1">IFERROR(__xludf.DUMMYFUNCTION("""COMPUTED_VALUE"""),"01065653301")</f>
        <v>01065653301</v>
      </c>
      <c r="J1319" s="6" t="str">
        <f ca="1">IFERROR(__xludf.DUMMYFUNCTION("""COMPUTED_VALUE"""),"19014")</f>
        <v>19014</v>
      </c>
      <c r="K1319" s="6" t="str">
        <f ca="1">IFERROR(__xludf.DUMMYFUNCTION("""COMPUTED_VALUE"""),"خصم 20% علي جميع التحاليل")</f>
        <v>خصم 20% علي جميع التحاليل</v>
      </c>
    </row>
    <row r="1320" spans="1:11" x14ac:dyDescent="0.25">
      <c r="A1320" s="4" t="str">
        <f ca="1">IFERROR(__xludf.DUMMYFUNCTION("""COMPUTED_VALUE"""),"1897-B")</f>
        <v>1897-B</v>
      </c>
      <c r="B1320" s="5" t="str">
        <f ca="1">IFERROR(__xludf.DUMMYFUNCTION("""COMPUTED_VALUE"""),"القاهرة")</f>
        <v>القاهرة</v>
      </c>
      <c r="C1320" s="5" t="str">
        <f ca="1">IFERROR(__xludf.DUMMYFUNCTION("""COMPUTED_VALUE"""),"القاهرة الجديدة")</f>
        <v>القاهرة الجديدة</v>
      </c>
      <c r="D1320" s="5" t="str">
        <f ca="1">IFERROR(__xludf.DUMMYFUNCTION("""COMPUTED_VALUE"""),"معمل")</f>
        <v>معمل</v>
      </c>
      <c r="E1320" s="5" t="str">
        <f ca="1">IFERROR(__xludf.DUMMYFUNCTION("""COMPUTED_VALUE"""),"معمل")</f>
        <v>معمل</v>
      </c>
      <c r="F1320" s="5" t="str">
        <f ca="1">IFERROR(__xludf.DUMMYFUNCTION("""COMPUTED_VALUE"""),"معمل التحاليل الطبية")</f>
        <v>معمل التحاليل الطبية</v>
      </c>
      <c r="G1320" s="5" t="str">
        <f ca="1">IFERROR(__xludf.DUMMYFUNCTION("""COMPUTED_VALUE"""),"معمل المختبر (د. مؤمنة كامل)")</f>
        <v>معمل المختبر (د. مؤمنة كامل)</v>
      </c>
      <c r="H1320" s="5" t="str">
        <f ca="1">IFERROR(__xludf.DUMMYFUNCTION("""COMPUTED_VALUE"""),"ميديكال بارك - التجمع الخامس")</f>
        <v>ميديكال بارك - التجمع الخامس</v>
      </c>
      <c r="I1320" s="6" t="str">
        <f ca="1">IFERROR(__xludf.DUMMYFUNCTION("""COMPUTED_VALUE"""),"01063799909")</f>
        <v>01063799909</v>
      </c>
      <c r="J1320" s="6" t="str">
        <f ca="1">IFERROR(__xludf.DUMMYFUNCTION("""COMPUTED_VALUE"""),"19014")</f>
        <v>19014</v>
      </c>
      <c r="K1320" s="6" t="str">
        <f ca="1">IFERROR(__xludf.DUMMYFUNCTION("""COMPUTED_VALUE"""),"خصم 20% علي جميع التحاليل")</f>
        <v>خصم 20% علي جميع التحاليل</v>
      </c>
    </row>
    <row r="1321" spans="1:11" x14ac:dyDescent="0.25">
      <c r="A1321" s="4" t="str">
        <f ca="1">IFERROR(__xludf.DUMMYFUNCTION("""COMPUTED_VALUE"""),"1897-B")</f>
        <v>1897-B</v>
      </c>
      <c r="B1321" s="5" t="str">
        <f ca="1">IFERROR(__xludf.DUMMYFUNCTION("""COMPUTED_VALUE"""),"القاهرة")</f>
        <v>القاهرة</v>
      </c>
      <c r="C1321" s="5" t="str">
        <f ca="1">IFERROR(__xludf.DUMMYFUNCTION("""COMPUTED_VALUE"""),"الرحاب")</f>
        <v>الرحاب</v>
      </c>
      <c r="D1321" s="5" t="str">
        <f ca="1">IFERROR(__xludf.DUMMYFUNCTION("""COMPUTED_VALUE"""),"معمل")</f>
        <v>معمل</v>
      </c>
      <c r="E1321" s="5" t="str">
        <f ca="1">IFERROR(__xludf.DUMMYFUNCTION("""COMPUTED_VALUE"""),"معمل")</f>
        <v>معمل</v>
      </c>
      <c r="F1321" s="5" t="str">
        <f ca="1">IFERROR(__xludf.DUMMYFUNCTION("""COMPUTED_VALUE"""),"معمل التحاليل الطبية")</f>
        <v>معمل التحاليل الطبية</v>
      </c>
      <c r="G1321" s="5" t="str">
        <f ca="1">IFERROR(__xludf.DUMMYFUNCTION("""COMPUTED_VALUE"""),"معمل المختبر (د. مؤمنة كامل)")</f>
        <v>معمل المختبر (د. مؤمنة كامل)</v>
      </c>
      <c r="H1321" s="5" t="str">
        <f ca="1">IFERROR(__xludf.DUMMYFUNCTION("""COMPUTED_VALUE"""),"المركز الطبى2 خلف مجمع البنوك")</f>
        <v>المركز الطبى2 خلف مجمع البنوك</v>
      </c>
      <c r="I1321" s="6" t="str">
        <f ca="1">IFERROR(__xludf.DUMMYFUNCTION("""COMPUTED_VALUE"""),"01032773321")</f>
        <v>01032773321</v>
      </c>
      <c r="J1321" s="6" t="str">
        <f ca="1">IFERROR(__xludf.DUMMYFUNCTION("""COMPUTED_VALUE"""),"19014")</f>
        <v>19014</v>
      </c>
      <c r="K1321" s="6" t="str">
        <f ca="1">IFERROR(__xludf.DUMMYFUNCTION("""COMPUTED_VALUE"""),"خصم 20% علي جميع التحاليل")</f>
        <v>خصم 20% علي جميع التحاليل</v>
      </c>
    </row>
    <row r="1322" spans="1:11" x14ac:dyDescent="0.25">
      <c r="A1322" s="4" t="str">
        <f ca="1">IFERROR(__xludf.DUMMYFUNCTION("""COMPUTED_VALUE"""),"1897-B")</f>
        <v>1897-B</v>
      </c>
      <c r="B1322" s="5" t="str">
        <f ca="1">IFERROR(__xludf.DUMMYFUNCTION("""COMPUTED_VALUE"""),"القاهرة")</f>
        <v>القاهرة</v>
      </c>
      <c r="C1322" s="5" t="str">
        <f ca="1">IFERROR(__xludf.DUMMYFUNCTION("""COMPUTED_VALUE"""),"القاهرة الجديدة")</f>
        <v>القاهرة الجديدة</v>
      </c>
      <c r="D1322" s="5" t="str">
        <f ca="1">IFERROR(__xludf.DUMMYFUNCTION("""COMPUTED_VALUE"""),"معمل")</f>
        <v>معمل</v>
      </c>
      <c r="E1322" s="5" t="str">
        <f ca="1">IFERROR(__xludf.DUMMYFUNCTION("""COMPUTED_VALUE"""),"معمل")</f>
        <v>معمل</v>
      </c>
      <c r="F1322" s="5" t="str">
        <f ca="1">IFERROR(__xludf.DUMMYFUNCTION("""COMPUTED_VALUE"""),"معمل التحاليل الطبية")</f>
        <v>معمل التحاليل الطبية</v>
      </c>
      <c r="G1322" s="5" t="str">
        <f ca="1">IFERROR(__xludf.DUMMYFUNCTION("""COMPUTED_VALUE"""),"معمل المختبر (د. مؤمنة كامل)")</f>
        <v>معمل المختبر (د. مؤمنة كامل)</v>
      </c>
      <c r="H1322" s="5" t="str">
        <f ca="1">IFERROR(__xludf.DUMMYFUNCTION("""COMPUTED_VALUE"""),"الوحده الطبيه رقم ( 23-24-25 ) G1  بالدور الارضى - امتداد السادات – التجمع الاول")</f>
        <v>الوحده الطبيه رقم ( 23-24-25 ) G1  بالدور الارضى - امتداد السادات – التجمع الاول</v>
      </c>
      <c r="I1322" s="6" t="str">
        <f ca="1">IFERROR(__xludf.DUMMYFUNCTION("""COMPUTED_VALUE"""),"01003377675")</f>
        <v>01003377675</v>
      </c>
      <c r="J1322" s="6" t="str">
        <f ca="1">IFERROR(__xludf.DUMMYFUNCTION("""COMPUTED_VALUE"""),"19014")</f>
        <v>19014</v>
      </c>
      <c r="K1322" s="6" t="str">
        <f ca="1">IFERROR(__xludf.DUMMYFUNCTION("""COMPUTED_VALUE"""),"خصم 20% علي جميع التحاليل")</f>
        <v>خصم 20% علي جميع التحاليل</v>
      </c>
    </row>
    <row r="1323" spans="1:11" x14ac:dyDescent="0.25">
      <c r="A1323" s="4" t="str">
        <f ca="1">IFERROR(__xludf.DUMMYFUNCTION("""COMPUTED_VALUE"""),"1897-B")</f>
        <v>1897-B</v>
      </c>
      <c r="B1323" s="5" t="str">
        <f ca="1">IFERROR(__xludf.DUMMYFUNCTION("""COMPUTED_VALUE"""),"القاهرة")</f>
        <v>القاهرة</v>
      </c>
      <c r="C1323" s="5" t="str">
        <f ca="1">IFERROR(__xludf.DUMMYFUNCTION("""COMPUTED_VALUE"""),"القاهرة الجديدة")</f>
        <v>القاهرة الجديدة</v>
      </c>
      <c r="D1323" s="5" t="str">
        <f ca="1">IFERROR(__xludf.DUMMYFUNCTION("""COMPUTED_VALUE"""),"معمل")</f>
        <v>معمل</v>
      </c>
      <c r="E1323" s="5" t="str">
        <f ca="1">IFERROR(__xludf.DUMMYFUNCTION("""COMPUTED_VALUE"""),"معمل")</f>
        <v>معمل</v>
      </c>
      <c r="F1323" s="5" t="str">
        <f ca="1">IFERROR(__xludf.DUMMYFUNCTION("""COMPUTED_VALUE"""),"معمل التحاليل الطبية")</f>
        <v>معمل التحاليل الطبية</v>
      </c>
      <c r="G1323" s="5" t="str">
        <f ca="1">IFERROR(__xludf.DUMMYFUNCTION("""COMPUTED_VALUE"""),"معمل المختبر (د. مؤمنة كامل)")</f>
        <v>معمل المختبر (د. مؤمنة كامل)</v>
      </c>
      <c r="H1323" s="5" t="str">
        <f ca="1">IFERROR(__xludf.DUMMYFUNCTION("""COMPUTED_VALUE"""),"مول كونكورد بلازا التجارى - قطعه رقم 44 بمنطقة تجمعات شرق الطريق الدائرى ( التجمع الخامس بالقرب من الجامعة الامريكية ) الدور الاول -  التجمع الخامس")</f>
        <v>مول كونكورد بلازا التجارى - قطعه رقم 44 بمنطقة تجمعات شرق الطريق الدائرى ( التجمع الخامس بالقرب من الجامعة الامريكية ) الدور الاول -  التجمع الخامس</v>
      </c>
      <c r="I1323" s="6" t="str">
        <f ca="1">IFERROR(__xludf.DUMMYFUNCTION("""COMPUTED_VALUE"""),"01011044758")</f>
        <v>01011044758</v>
      </c>
      <c r="J1323" s="6" t="str">
        <f ca="1">IFERROR(__xludf.DUMMYFUNCTION("""COMPUTED_VALUE"""),"19014")</f>
        <v>19014</v>
      </c>
      <c r="K1323" s="6" t="str">
        <f ca="1">IFERROR(__xludf.DUMMYFUNCTION("""COMPUTED_VALUE"""),"خصم 20% علي جميع التحاليل")</f>
        <v>خصم 20% علي جميع التحاليل</v>
      </c>
    </row>
    <row r="1324" spans="1:11" x14ac:dyDescent="0.25">
      <c r="A1324" s="4" t="str">
        <f ca="1">IFERROR(__xludf.DUMMYFUNCTION("""COMPUTED_VALUE"""),"1897-B")</f>
        <v>1897-B</v>
      </c>
      <c r="B1324" s="5" t="str">
        <f ca="1">IFERROR(__xludf.DUMMYFUNCTION("""COMPUTED_VALUE"""),"القاهرة")</f>
        <v>القاهرة</v>
      </c>
      <c r="C1324" s="5" t="str">
        <f ca="1">IFERROR(__xludf.DUMMYFUNCTION("""COMPUTED_VALUE"""),"القاهرة الجديدة")</f>
        <v>القاهرة الجديدة</v>
      </c>
      <c r="D1324" s="5" t="str">
        <f ca="1">IFERROR(__xludf.DUMMYFUNCTION("""COMPUTED_VALUE"""),"معمل")</f>
        <v>معمل</v>
      </c>
      <c r="E1324" s="5" t="str">
        <f ca="1">IFERROR(__xludf.DUMMYFUNCTION("""COMPUTED_VALUE"""),"معمل")</f>
        <v>معمل</v>
      </c>
      <c r="F1324" s="5" t="str">
        <f ca="1">IFERROR(__xludf.DUMMYFUNCTION("""COMPUTED_VALUE"""),"معمل التحاليل الطبية")</f>
        <v>معمل التحاليل الطبية</v>
      </c>
      <c r="G1324" s="5" t="str">
        <f ca="1">IFERROR(__xludf.DUMMYFUNCTION("""COMPUTED_VALUE"""),"معمل المختبر (د. مؤمنة كامل)")</f>
        <v>معمل المختبر (د. مؤمنة كامل)</v>
      </c>
      <c r="H1324" s="5" t="str">
        <f ca="1">IFERROR(__xludf.DUMMYFUNCTION("""COMPUTED_VALUE"""),"المركز الطبى رقم 1 عيادة رقم 315 الدور الثالث – مدينتى")</f>
        <v>المركز الطبى رقم 1 عيادة رقم 315 الدور الثالث – مدينتى</v>
      </c>
      <c r="I1324" s="6" t="str">
        <f ca="1">IFERROR(__xludf.DUMMYFUNCTION("""COMPUTED_VALUE"""),"01030977745")</f>
        <v>01030977745</v>
      </c>
      <c r="J1324" s="6" t="str">
        <f ca="1">IFERROR(__xludf.DUMMYFUNCTION("""COMPUTED_VALUE"""),"19014")</f>
        <v>19014</v>
      </c>
      <c r="K1324" s="6" t="str">
        <f ca="1">IFERROR(__xludf.DUMMYFUNCTION("""COMPUTED_VALUE"""),"خصم 20% علي جميع التحاليل")</f>
        <v>خصم 20% علي جميع التحاليل</v>
      </c>
    </row>
    <row r="1325" spans="1:11" x14ac:dyDescent="0.25">
      <c r="A1325" s="4" t="str">
        <f ca="1">IFERROR(__xludf.DUMMYFUNCTION("""COMPUTED_VALUE"""),"1897-B")</f>
        <v>1897-B</v>
      </c>
      <c r="B1325" s="5" t="str">
        <f ca="1">IFERROR(__xludf.DUMMYFUNCTION("""COMPUTED_VALUE"""),"القليوبية")</f>
        <v>القليوبية</v>
      </c>
      <c r="C1325" s="5" t="str">
        <f ca="1">IFERROR(__xludf.DUMMYFUNCTION("""COMPUTED_VALUE"""),"مدينة العبور")</f>
        <v>مدينة العبور</v>
      </c>
      <c r="D1325" s="5" t="str">
        <f ca="1">IFERROR(__xludf.DUMMYFUNCTION("""COMPUTED_VALUE"""),"معمل")</f>
        <v>معمل</v>
      </c>
      <c r="E1325" s="5" t="str">
        <f ca="1">IFERROR(__xludf.DUMMYFUNCTION("""COMPUTED_VALUE"""),"معمل")</f>
        <v>معمل</v>
      </c>
      <c r="F1325" s="5" t="str">
        <f ca="1">IFERROR(__xludf.DUMMYFUNCTION("""COMPUTED_VALUE"""),"معمل التحاليل الطبية")</f>
        <v>معمل التحاليل الطبية</v>
      </c>
      <c r="G1325" s="5" t="str">
        <f ca="1">IFERROR(__xludf.DUMMYFUNCTION("""COMPUTED_VALUE"""),"معمل المختبر (د. مؤمنة كامل)")</f>
        <v>معمل المختبر (د. مؤمنة كامل)</v>
      </c>
      <c r="H1325" s="5" t="str">
        <f ca="1">IFERROR(__xludf.DUMMYFUNCTION("""COMPUTED_VALUE"""),"مول تاون ستارز - الحى السابع - امام نافورة امون - العبور")</f>
        <v>مول تاون ستارز - الحى السابع - امام نافورة امون - العبور</v>
      </c>
      <c r="I1325" s="6" t="str">
        <f ca="1">IFERROR(__xludf.DUMMYFUNCTION("""COMPUTED_VALUE"""),"01099413377")</f>
        <v>01099413377</v>
      </c>
      <c r="J1325" s="6" t="str">
        <f ca="1">IFERROR(__xludf.DUMMYFUNCTION("""COMPUTED_VALUE"""),"19014")</f>
        <v>19014</v>
      </c>
      <c r="K1325" s="6" t="str">
        <f ca="1">IFERROR(__xludf.DUMMYFUNCTION("""COMPUTED_VALUE"""),"خصم 20% علي جميع التحاليل")</f>
        <v>خصم 20% علي جميع التحاليل</v>
      </c>
    </row>
    <row r="1326" spans="1:11" x14ac:dyDescent="0.25">
      <c r="A1326" s="4" t="str">
        <f ca="1">IFERROR(__xludf.DUMMYFUNCTION("""COMPUTED_VALUE"""),"1897-B")</f>
        <v>1897-B</v>
      </c>
      <c r="B1326" s="5" t="str">
        <f ca="1">IFERROR(__xludf.DUMMYFUNCTION("""COMPUTED_VALUE"""),"القاهرة")</f>
        <v>القاهرة</v>
      </c>
      <c r="C1326" s="5" t="str">
        <f ca="1">IFERROR(__xludf.DUMMYFUNCTION("""COMPUTED_VALUE"""),"مدينة الشروق")</f>
        <v>مدينة الشروق</v>
      </c>
      <c r="D1326" s="5" t="str">
        <f ca="1">IFERROR(__xludf.DUMMYFUNCTION("""COMPUTED_VALUE"""),"معمل")</f>
        <v>معمل</v>
      </c>
      <c r="E1326" s="5" t="str">
        <f ca="1">IFERROR(__xludf.DUMMYFUNCTION("""COMPUTED_VALUE"""),"معمل")</f>
        <v>معمل</v>
      </c>
      <c r="F1326" s="5" t="str">
        <f ca="1">IFERROR(__xludf.DUMMYFUNCTION("""COMPUTED_VALUE"""),"معمل التحاليل الطبية")</f>
        <v>معمل التحاليل الطبية</v>
      </c>
      <c r="G1326" s="5" t="str">
        <f ca="1">IFERROR(__xludf.DUMMYFUNCTION("""COMPUTED_VALUE"""),"معمل المختبر (د. مؤمنة كامل)")</f>
        <v>معمل المختبر (د. مؤمنة كامل)</v>
      </c>
      <c r="H1326" s="5" t="str">
        <f ca="1">IFERROR(__xludf.DUMMYFUNCTION("""COMPUTED_VALUE"""),"الدور الثانى - مول سيتى بلازا طريق مصر السويس – بجوار الجامعه البريطانيه – مدينه الشروق")</f>
        <v>الدور الثانى - مول سيتى بلازا طريق مصر السويس – بجوار الجامعه البريطانيه – مدينه الشروق</v>
      </c>
      <c r="I1326" s="6" t="str">
        <f ca="1">IFERROR(__xludf.DUMMYFUNCTION("""COMPUTED_VALUE"""),"01066973376")</f>
        <v>01066973376</v>
      </c>
      <c r="J1326" s="6" t="str">
        <f ca="1">IFERROR(__xludf.DUMMYFUNCTION("""COMPUTED_VALUE"""),"19014")</f>
        <v>19014</v>
      </c>
      <c r="K1326" s="6" t="str">
        <f ca="1">IFERROR(__xludf.DUMMYFUNCTION("""COMPUTED_VALUE"""),"خصم 20% علي جميع التحاليل")</f>
        <v>خصم 20% علي جميع التحاليل</v>
      </c>
    </row>
    <row r="1327" spans="1:11" x14ac:dyDescent="0.25">
      <c r="A1327" s="4" t="str">
        <f ca="1">IFERROR(__xludf.DUMMYFUNCTION("""COMPUTED_VALUE"""),"1897-B")</f>
        <v>1897-B</v>
      </c>
      <c r="B1327" s="5" t="str">
        <f ca="1">IFERROR(__xludf.DUMMYFUNCTION("""COMPUTED_VALUE"""),"القاهرة")</f>
        <v>القاهرة</v>
      </c>
      <c r="C1327" s="5" t="str">
        <f ca="1">IFERROR(__xludf.DUMMYFUNCTION("""COMPUTED_VALUE"""),"مدينة بدر")</f>
        <v>مدينة بدر</v>
      </c>
      <c r="D1327" s="5" t="str">
        <f ca="1">IFERROR(__xludf.DUMMYFUNCTION("""COMPUTED_VALUE"""),"معمل")</f>
        <v>معمل</v>
      </c>
      <c r="E1327" s="5" t="str">
        <f ca="1">IFERROR(__xludf.DUMMYFUNCTION("""COMPUTED_VALUE"""),"معمل")</f>
        <v>معمل</v>
      </c>
      <c r="F1327" s="5" t="str">
        <f ca="1">IFERROR(__xludf.DUMMYFUNCTION("""COMPUTED_VALUE"""),"معمل التحاليل الطبية")</f>
        <v>معمل التحاليل الطبية</v>
      </c>
      <c r="G1327" s="5" t="str">
        <f ca="1">IFERROR(__xludf.DUMMYFUNCTION("""COMPUTED_VALUE"""),"معمل المختبر (د. مؤمنة كامل)")</f>
        <v>معمل المختبر (د. مؤمنة كامل)</v>
      </c>
      <c r="H1327" s="5" t="str">
        <f ca="1">IFERROR(__xludf.DUMMYFUNCTION("""COMPUTED_VALUE"""),"مول 60 - الحى الاول - المجاورة الثانية - فوق فوافون - مدينه بدر")</f>
        <v>مول 60 - الحى الاول - المجاورة الثانية - فوق فوافون - مدينه بدر</v>
      </c>
      <c r="I1327" s="6" t="str">
        <f ca="1">IFERROR(__xludf.DUMMYFUNCTION("""COMPUTED_VALUE"""),"01028759666")</f>
        <v>01028759666</v>
      </c>
      <c r="J1327" s="6" t="str">
        <f ca="1">IFERROR(__xludf.DUMMYFUNCTION("""COMPUTED_VALUE"""),"19014")</f>
        <v>19014</v>
      </c>
      <c r="K1327" s="6" t="str">
        <f ca="1">IFERROR(__xludf.DUMMYFUNCTION("""COMPUTED_VALUE"""),"خصم 20% علي جميع التحاليل")</f>
        <v>خصم 20% علي جميع التحاليل</v>
      </c>
    </row>
    <row r="1328" spans="1:11" x14ac:dyDescent="0.25">
      <c r="A1328" s="4" t="str">
        <f ca="1">IFERROR(__xludf.DUMMYFUNCTION("""COMPUTED_VALUE"""),"1897-B")</f>
        <v>1897-B</v>
      </c>
      <c r="B1328" s="5" t="str">
        <f ca="1">IFERROR(__xludf.DUMMYFUNCTION("""COMPUTED_VALUE"""),"البحيرة")</f>
        <v>البحيرة</v>
      </c>
      <c r="C1328" s="5" t="str">
        <f ca="1">IFERROR(__xludf.DUMMYFUNCTION("""COMPUTED_VALUE"""),"رشيد")</f>
        <v>رشيد</v>
      </c>
      <c r="D1328" s="5" t="str">
        <f ca="1">IFERROR(__xludf.DUMMYFUNCTION("""COMPUTED_VALUE"""),"معمل")</f>
        <v>معمل</v>
      </c>
      <c r="E1328" s="5" t="str">
        <f ca="1">IFERROR(__xludf.DUMMYFUNCTION("""COMPUTED_VALUE"""),"معمل")</f>
        <v>معمل</v>
      </c>
      <c r="F1328" s="5" t="str">
        <f ca="1">IFERROR(__xludf.DUMMYFUNCTION("""COMPUTED_VALUE"""),"معمل التحاليل الطبية")</f>
        <v>معمل التحاليل الطبية</v>
      </c>
      <c r="G1328" s="5" t="str">
        <f ca="1">IFERROR(__xludf.DUMMYFUNCTION("""COMPUTED_VALUE"""),"معمل المختبر (د. مؤمنة كامل)")</f>
        <v>معمل المختبر (د. مؤمنة كامل)</v>
      </c>
      <c r="H1328" s="5" t="str">
        <f ca="1">IFERROR(__xludf.DUMMYFUNCTION("""COMPUTED_VALUE"""),"ش عبد السلام عارف امام بنك -الاسكندرية")</f>
        <v>ش عبد السلام عارف امام بنك -الاسكندرية</v>
      </c>
      <c r="I1328" s="6" t="str">
        <f ca="1">IFERROR(__xludf.DUMMYFUNCTION("""COMPUTED_VALUE"""),"2.0109E+11")</f>
        <v>2.0109E+11</v>
      </c>
      <c r="J1328" s="6" t="str">
        <f ca="1">IFERROR(__xludf.DUMMYFUNCTION("""COMPUTED_VALUE"""),"19014")</f>
        <v>19014</v>
      </c>
      <c r="K1328" s="6" t="str">
        <f ca="1">IFERROR(__xludf.DUMMYFUNCTION("""COMPUTED_VALUE"""),"خصم 20% علي جميع التحاليل")</f>
        <v>خصم 20% علي جميع التحاليل</v>
      </c>
    </row>
    <row r="1329" spans="1:11" x14ac:dyDescent="0.25">
      <c r="A1329" s="4" t="str">
        <f ca="1">IFERROR(__xludf.DUMMYFUNCTION("""COMPUTED_VALUE"""),"1897-B")</f>
        <v>1897-B</v>
      </c>
      <c r="B1329" s="5" t="str">
        <f ca="1">IFERROR(__xludf.DUMMYFUNCTION("""COMPUTED_VALUE"""),"مرسى مطروح")</f>
        <v>مرسى مطروح</v>
      </c>
      <c r="C1329" s="5" t="str">
        <f ca="1">IFERROR(__xludf.DUMMYFUNCTION("""COMPUTED_VALUE"""),"الساحل الشمالي")</f>
        <v>الساحل الشمالي</v>
      </c>
      <c r="D1329" s="5" t="str">
        <f ca="1">IFERROR(__xludf.DUMMYFUNCTION("""COMPUTED_VALUE"""),"معمل")</f>
        <v>معمل</v>
      </c>
      <c r="E1329" s="5" t="str">
        <f ca="1">IFERROR(__xludf.DUMMYFUNCTION("""COMPUTED_VALUE"""),"معمل")</f>
        <v>معمل</v>
      </c>
      <c r="F1329" s="5" t="str">
        <f ca="1">IFERROR(__xludf.DUMMYFUNCTION("""COMPUTED_VALUE"""),"معمل التحاليل الطبية")</f>
        <v>معمل التحاليل الطبية</v>
      </c>
      <c r="G1329" s="5" t="str">
        <f ca="1">IFERROR(__xludf.DUMMYFUNCTION("""COMPUTED_VALUE"""),"معمل المختبر (د. مؤمنة كامل)")</f>
        <v>معمل المختبر (د. مؤمنة كامل)</v>
      </c>
      <c r="H1329" s="5" t="str">
        <f ca="1">IFERROR(__xludf.DUMMYFUNCTION("""COMPUTED_VALUE"""),"مول داون تاون مارينا - وحدة 1- امام بوابة مارينا4 -الساحل الشمالي")</f>
        <v>مول داون تاون مارينا - وحدة 1- امام بوابة مارينا4 -الساحل الشمالي</v>
      </c>
      <c r="I1329" s="6" t="str">
        <f ca="1">IFERROR(__xludf.DUMMYFUNCTION("""COMPUTED_VALUE"""),"201007732443")</f>
        <v>201007732443</v>
      </c>
      <c r="J1329" s="6" t="str">
        <f ca="1">IFERROR(__xludf.DUMMYFUNCTION("""COMPUTED_VALUE"""),"19014")</f>
        <v>19014</v>
      </c>
      <c r="K1329" s="6" t="str">
        <f ca="1">IFERROR(__xludf.DUMMYFUNCTION("""COMPUTED_VALUE"""),"خصم 20% علي جميع التحاليل")</f>
        <v>خصم 20% علي جميع التحاليل</v>
      </c>
    </row>
    <row r="1330" spans="1:11" x14ac:dyDescent="0.25">
      <c r="A1330" s="4" t="str">
        <f ca="1">IFERROR(__xludf.DUMMYFUNCTION("""COMPUTED_VALUE"""),"1897-B")</f>
        <v>1897-B</v>
      </c>
      <c r="B1330" s="5" t="str">
        <f ca="1">IFERROR(__xludf.DUMMYFUNCTION("""COMPUTED_VALUE"""),"الاسكندرية")</f>
        <v>الاسكندرية</v>
      </c>
      <c r="C1330" s="5" t="str">
        <f ca="1">IFERROR(__xludf.DUMMYFUNCTION("""COMPUTED_VALUE"""),"سيدي جابر")</f>
        <v>سيدي جابر</v>
      </c>
      <c r="D1330" s="5" t="str">
        <f ca="1">IFERROR(__xludf.DUMMYFUNCTION("""COMPUTED_VALUE"""),"معمل")</f>
        <v>معمل</v>
      </c>
      <c r="E1330" s="5" t="str">
        <f ca="1">IFERROR(__xludf.DUMMYFUNCTION("""COMPUTED_VALUE"""),"معمل")</f>
        <v>معمل</v>
      </c>
      <c r="F1330" s="5" t="str">
        <f ca="1">IFERROR(__xludf.DUMMYFUNCTION("""COMPUTED_VALUE"""),"معمل التحاليل الطبية")</f>
        <v>معمل التحاليل الطبية</v>
      </c>
      <c r="G1330" s="5" t="str">
        <f ca="1">IFERROR(__xludf.DUMMYFUNCTION("""COMPUTED_VALUE"""),"معمل المختبر (د. مؤمنة كامل)")</f>
        <v>معمل المختبر (د. مؤمنة كامل)</v>
      </c>
      <c r="H1330" s="5" t="str">
        <f ca="1">IFERROR(__xludf.DUMMYFUNCTION("""COMPUTED_VALUE"""),"228 شارع بور سعيد برج زمزم اسبورتنج سيدى جابر  - الاسكندريه")</f>
        <v>228 شارع بور سعيد برج زمزم اسبورتنج سيدى جابر  - الاسكندريه</v>
      </c>
      <c r="I1330" s="6" t="str">
        <f ca="1">IFERROR(__xludf.DUMMYFUNCTION("""COMPUTED_VALUE"""),"2035223175")</f>
        <v>2035223175</v>
      </c>
      <c r="J1330" s="6" t="str">
        <f ca="1">IFERROR(__xludf.DUMMYFUNCTION("""COMPUTED_VALUE"""),"19014")</f>
        <v>19014</v>
      </c>
      <c r="K1330" s="6" t="str">
        <f ca="1">IFERROR(__xludf.DUMMYFUNCTION("""COMPUTED_VALUE"""),"خصم 20% علي جميع التحاليل")</f>
        <v>خصم 20% علي جميع التحاليل</v>
      </c>
    </row>
    <row r="1331" spans="1:11" x14ac:dyDescent="0.25">
      <c r="A1331" s="4" t="str">
        <f ca="1">IFERROR(__xludf.DUMMYFUNCTION("""COMPUTED_VALUE"""),"1897-B")</f>
        <v>1897-B</v>
      </c>
      <c r="B1331" s="5" t="str">
        <f ca="1">IFERROR(__xludf.DUMMYFUNCTION("""COMPUTED_VALUE"""),"الدقهلية")</f>
        <v>الدقهلية</v>
      </c>
      <c r="C1331" s="5" t="str">
        <f ca="1">IFERROR(__xludf.DUMMYFUNCTION("""COMPUTED_VALUE"""),"طلخا")</f>
        <v>طلخا</v>
      </c>
      <c r="D1331" s="5" t="str">
        <f ca="1">IFERROR(__xludf.DUMMYFUNCTION("""COMPUTED_VALUE"""),"معمل")</f>
        <v>معمل</v>
      </c>
      <c r="E1331" s="5" t="str">
        <f ca="1">IFERROR(__xludf.DUMMYFUNCTION("""COMPUTED_VALUE"""),"معمل")</f>
        <v>معمل</v>
      </c>
      <c r="F1331" s="5" t="str">
        <f ca="1">IFERROR(__xludf.DUMMYFUNCTION("""COMPUTED_VALUE"""),"معمل التحاليل الطبية")</f>
        <v>معمل التحاليل الطبية</v>
      </c>
      <c r="G1331" s="5" t="str">
        <f ca="1">IFERROR(__xludf.DUMMYFUNCTION("""COMPUTED_VALUE"""),"معمل المختبر (د. مؤمنة كامل)")</f>
        <v>معمل المختبر (د. مؤمنة كامل)</v>
      </c>
      <c r="H1331" s="5" t="str">
        <f ca="1">IFERROR(__xludf.DUMMYFUNCTION("""COMPUTED_VALUE"""),"ش صلاح سالم - برج خفاجة - بجوار  وكالة المنصورة وصيدلية الطرشوبى د1 علوى - طلخا")</f>
        <v>ش صلاح سالم - برج خفاجة - بجوار  وكالة المنصورة وصيدلية الطرشوبى د1 علوى - طلخا</v>
      </c>
      <c r="I1331" s="6" t="str">
        <f ca="1">IFERROR(__xludf.DUMMYFUNCTION("""COMPUTED_VALUE"""),"01007745660")</f>
        <v>01007745660</v>
      </c>
      <c r="J1331" s="6" t="str">
        <f ca="1">IFERROR(__xludf.DUMMYFUNCTION("""COMPUTED_VALUE"""),"19014")</f>
        <v>19014</v>
      </c>
      <c r="K1331" s="6" t="str">
        <f ca="1">IFERROR(__xludf.DUMMYFUNCTION("""COMPUTED_VALUE"""),"خصم 20% علي جميع التحاليل")</f>
        <v>خصم 20% علي جميع التحاليل</v>
      </c>
    </row>
    <row r="1332" spans="1:11" x14ac:dyDescent="0.25">
      <c r="A1332" s="4" t="str">
        <f ca="1">IFERROR(__xludf.DUMMYFUNCTION("""COMPUTED_VALUE"""),"1897-B")</f>
        <v>1897-B</v>
      </c>
      <c r="B1332" s="5" t="str">
        <f ca="1">IFERROR(__xludf.DUMMYFUNCTION("""COMPUTED_VALUE"""),"الشرقية")</f>
        <v>الشرقية</v>
      </c>
      <c r="C1332" s="5" t="str">
        <f ca="1">IFERROR(__xludf.DUMMYFUNCTION("""COMPUTED_VALUE"""),"العاشر من رمضان")</f>
        <v>العاشر من رمضان</v>
      </c>
      <c r="D1332" s="5" t="str">
        <f ca="1">IFERROR(__xludf.DUMMYFUNCTION("""COMPUTED_VALUE"""),"معمل")</f>
        <v>معمل</v>
      </c>
      <c r="E1332" s="5" t="str">
        <f ca="1">IFERROR(__xludf.DUMMYFUNCTION("""COMPUTED_VALUE"""),"معمل")</f>
        <v>معمل</v>
      </c>
      <c r="F1332" s="5" t="str">
        <f ca="1">IFERROR(__xludf.DUMMYFUNCTION("""COMPUTED_VALUE"""),"معمل التحاليل الطبية")</f>
        <v>معمل التحاليل الطبية</v>
      </c>
      <c r="G1332" s="5" t="str">
        <f ca="1">IFERROR(__xludf.DUMMYFUNCTION("""COMPUTED_VALUE"""),"معمل المختبر (د. مؤمنة كامل)")</f>
        <v>معمل المختبر (د. مؤمنة كامل)</v>
      </c>
      <c r="H1332" s="5" t="str">
        <f ca="1">IFERROR(__xludf.DUMMYFUNCTION("""COMPUTED_VALUE"""),"برج 2 لاردنية سيتي سنترال امام البنك الاهلي  - مركز براعم - الشرقيه")</f>
        <v>برج 2 لاردنية سيتي سنترال امام البنك الاهلي  - مركز براعم - الشرقيه</v>
      </c>
      <c r="I1332" s="6" t="str">
        <f ca="1">IFERROR(__xludf.DUMMYFUNCTION("""COMPUTED_VALUE"""),"01092211341")</f>
        <v>01092211341</v>
      </c>
      <c r="J1332" s="6" t="str">
        <f ca="1">IFERROR(__xludf.DUMMYFUNCTION("""COMPUTED_VALUE"""),"19014")</f>
        <v>19014</v>
      </c>
      <c r="K1332" s="6" t="str">
        <f ca="1">IFERROR(__xludf.DUMMYFUNCTION("""COMPUTED_VALUE"""),"خصم 20% علي جميع التحاليل")</f>
        <v>خصم 20% علي جميع التحاليل</v>
      </c>
    </row>
    <row r="1333" spans="1:11" x14ac:dyDescent="0.25">
      <c r="A1333" s="4" t="str">
        <f ca="1">IFERROR(__xludf.DUMMYFUNCTION("""COMPUTED_VALUE"""),"1897-B")</f>
        <v>1897-B</v>
      </c>
      <c r="B1333" s="5" t="str">
        <f ca="1">IFERROR(__xludf.DUMMYFUNCTION("""COMPUTED_VALUE"""),"البحيرة")</f>
        <v>البحيرة</v>
      </c>
      <c r="C1333" s="5" t="str">
        <f ca="1">IFERROR(__xludf.DUMMYFUNCTION("""COMPUTED_VALUE"""),"كوم حمادة")</f>
        <v>كوم حمادة</v>
      </c>
      <c r="D1333" s="5" t="str">
        <f ca="1">IFERROR(__xludf.DUMMYFUNCTION("""COMPUTED_VALUE"""),"معمل")</f>
        <v>معمل</v>
      </c>
      <c r="E1333" s="5" t="str">
        <f ca="1">IFERROR(__xludf.DUMMYFUNCTION("""COMPUTED_VALUE"""),"معمل")</f>
        <v>معمل</v>
      </c>
      <c r="F1333" s="5" t="str">
        <f ca="1">IFERROR(__xludf.DUMMYFUNCTION("""COMPUTED_VALUE"""),"معمل التحاليل الطبية")</f>
        <v>معمل التحاليل الطبية</v>
      </c>
      <c r="G1333" s="5" t="str">
        <f ca="1">IFERROR(__xludf.DUMMYFUNCTION("""COMPUTED_VALUE"""),"معمل المختبر (د. مؤمنة كامل)")</f>
        <v>معمل المختبر (د. مؤمنة كامل)</v>
      </c>
      <c r="H1333" s="5" t="str">
        <f ca="1">IFERROR(__xludf.DUMMYFUNCTION("""COMPUTED_VALUE"""),"1 شارع التحرير امام المزلقان بجوار البنك الاهلى د1 علوى - كوم حماده")</f>
        <v>1 شارع التحرير امام المزلقان بجوار البنك الاهلى د1 علوى - كوم حماده</v>
      </c>
      <c r="I1333" s="6" t="str">
        <f ca="1">IFERROR(__xludf.DUMMYFUNCTION("""COMPUTED_VALUE"""),"01007740911")</f>
        <v>01007740911</v>
      </c>
      <c r="J1333" s="6" t="str">
        <f ca="1">IFERROR(__xludf.DUMMYFUNCTION("""COMPUTED_VALUE"""),"19014")</f>
        <v>19014</v>
      </c>
      <c r="K1333" s="6" t="str">
        <f ca="1">IFERROR(__xludf.DUMMYFUNCTION("""COMPUTED_VALUE"""),"خصم 20% علي جميع التحاليل")</f>
        <v>خصم 20% علي جميع التحاليل</v>
      </c>
    </row>
    <row r="1334" spans="1:11" x14ac:dyDescent="0.25">
      <c r="A1334" s="4" t="str">
        <f ca="1">IFERROR(__xludf.DUMMYFUNCTION("""COMPUTED_VALUE"""),"1897-B")</f>
        <v>1897-B</v>
      </c>
      <c r="B1334" s="5" t="str">
        <f ca="1">IFERROR(__xludf.DUMMYFUNCTION("""COMPUTED_VALUE"""),"كفر الشيخ")</f>
        <v>كفر الشيخ</v>
      </c>
      <c r="C1334" s="5" t="str">
        <f ca="1">IFERROR(__xludf.DUMMYFUNCTION("""COMPUTED_VALUE"""),"كفر الشيخ")</f>
        <v>كفر الشيخ</v>
      </c>
      <c r="D1334" s="5" t="str">
        <f ca="1">IFERROR(__xludf.DUMMYFUNCTION("""COMPUTED_VALUE"""),"معمل")</f>
        <v>معمل</v>
      </c>
      <c r="E1334" s="5" t="str">
        <f ca="1">IFERROR(__xludf.DUMMYFUNCTION("""COMPUTED_VALUE"""),"معمل")</f>
        <v>معمل</v>
      </c>
      <c r="F1334" s="5" t="str">
        <f ca="1">IFERROR(__xludf.DUMMYFUNCTION("""COMPUTED_VALUE"""),"معمل التحاليل الطبية")</f>
        <v>معمل التحاليل الطبية</v>
      </c>
      <c r="G1334" s="5" t="str">
        <f ca="1">IFERROR(__xludf.DUMMYFUNCTION("""COMPUTED_VALUE"""),"معمل المختبر (د. مؤمنة كامل)")</f>
        <v>معمل المختبر (د. مؤمنة كامل)</v>
      </c>
      <c r="H1334" s="5" t="str">
        <f ca="1">IFERROR(__xludf.DUMMYFUNCTION("""COMPUTED_VALUE"""),"10برج الباشا شارع الخلفاء الراشدين – امام مصرف ابوظبى الاسلامى - امام المحكمة الادارية - كفر الشيخ")</f>
        <v>10برج الباشا شارع الخلفاء الراشدين – امام مصرف ابوظبى الاسلامى - امام المحكمة الادارية - كفر الشيخ</v>
      </c>
      <c r="I1334" s="6" t="str">
        <f ca="1">IFERROR(__xludf.DUMMYFUNCTION("""COMPUTED_VALUE"""),"01090011244")</f>
        <v>01090011244</v>
      </c>
      <c r="J1334" s="6" t="str">
        <f ca="1">IFERROR(__xludf.DUMMYFUNCTION("""COMPUTED_VALUE"""),"19014")</f>
        <v>19014</v>
      </c>
      <c r="K1334" s="6" t="str">
        <f ca="1">IFERROR(__xludf.DUMMYFUNCTION("""COMPUTED_VALUE"""),"خصم 20% علي جميع التحاليل")</f>
        <v>خصم 20% علي جميع التحاليل</v>
      </c>
    </row>
    <row r="1335" spans="1:11" x14ac:dyDescent="0.25">
      <c r="A1335" s="4" t="str">
        <f ca="1">IFERROR(__xludf.DUMMYFUNCTION("""COMPUTED_VALUE"""),"1897-B")</f>
        <v>1897-B</v>
      </c>
      <c r="B1335" s="5" t="str">
        <f ca="1">IFERROR(__xludf.DUMMYFUNCTION("""COMPUTED_VALUE"""),"المنوفية")</f>
        <v>المنوفية</v>
      </c>
      <c r="C1335" s="5" t="str">
        <f ca="1">IFERROR(__xludf.DUMMYFUNCTION("""COMPUTED_VALUE"""),"بركه السبع")</f>
        <v>بركه السبع</v>
      </c>
      <c r="D1335" s="5" t="str">
        <f ca="1">IFERROR(__xludf.DUMMYFUNCTION("""COMPUTED_VALUE"""),"معمل")</f>
        <v>معمل</v>
      </c>
      <c r="E1335" s="5" t="str">
        <f ca="1">IFERROR(__xludf.DUMMYFUNCTION("""COMPUTED_VALUE"""),"معمل")</f>
        <v>معمل</v>
      </c>
      <c r="F1335" s="5" t="str">
        <f ca="1">IFERROR(__xludf.DUMMYFUNCTION("""COMPUTED_VALUE"""),"معمل التحاليل الطبية")</f>
        <v>معمل التحاليل الطبية</v>
      </c>
      <c r="G1335" s="5" t="str">
        <f ca="1">IFERROR(__xludf.DUMMYFUNCTION("""COMPUTED_VALUE"""),"معمل المختبر (د. مؤمنة كامل)")</f>
        <v>معمل المختبر (د. مؤمنة كامل)</v>
      </c>
      <c r="H1335" s="5" t="str">
        <f ca="1">IFERROR(__xludf.DUMMYFUNCTION("""COMPUTED_VALUE"""),"شارع عبد المنعم رياض تقاطع شارع المدرسة الاعدادية - بنات- بركه السبع -المنوفية")</f>
        <v>شارع عبد المنعم رياض تقاطع شارع المدرسة الاعدادية - بنات- بركه السبع -المنوفية</v>
      </c>
      <c r="I1335" s="6" t="str">
        <f ca="1">IFERROR(__xludf.DUMMYFUNCTION("""COMPUTED_VALUE"""),"01028777276")</f>
        <v>01028777276</v>
      </c>
      <c r="J1335" s="6" t="str">
        <f ca="1">IFERROR(__xludf.DUMMYFUNCTION("""COMPUTED_VALUE"""),"19014")</f>
        <v>19014</v>
      </c>
      <c r="K1335" s="6" t="str">
        <f ca="1">IFERROR(__xludf.DUMMYFUNCTION("""COMPUTED_VALUE"""),"خصم 20% علي جميع التحاليل")</f>
        <v>خصم 20% علي جميع التحاليل</v>
      </c>
    </row>
    <row r="1336" spans="1:11" x14ac:dyDescent="0.25">
      <c r="A1336" s="4" t="str">
        <f ca="1">IFERROR(__xludf.DUMMYFUNCTION("""COMPUTED_VALUE"""),"1897-B")</f>
        <v>1897-B</v>
      </c>
      <c r="B1336" s="5" t="str">
        <f ca="1">IFERROR(__xludf.DUMMYFUNCTION("""COMPUTED_VALUE"""),"الشرقية")</f>
        <v>الشرقية</v>
      </c>
      <c r="C1336" s="5" t="str">
        <f ca="1">IFERROR(__xludf.DUMMYFUNCTION("""COMPUTED_VALUE"""),"مشتول السوق")</f>
        <v>مشتول السوق</v>
      </c>
      <c r="D1336" s="5" t="str">
        <f ca="1">IFERROR(__xludf.DUMMYFUNCTION("""COMPUTED_VALUE"""),"معمل")</f>
        <v>معمل</v>
      </c>
      <c r="E1336" s="5" t="str">
        <f ca="1">IFERROR(__xludf.DUMMYFUNCTION("""COMPUTED_VALUE"""),"معمل")</f>
        <v>معمل</v>
      </c>
      <c r="F1336" s="5" t="str">
        <f ca="1">IFERROR(__xludf.DUMMYFUNCTION("""COMPUTED_VALUE"""),"معمل التحاليل الطبية")</f>
        <v>معمل التحاليل الطبية</v>
      </c>
      <c r="G1336" s="5" t="str">
        <f ca="1">IFERROR(__xludf.DUMMYFUNCTION("""COMPUTED_VALUE"""),"معمل المختبر (د. مؤمنة كامل)")</f>
        <v>معمل المختبر (د. مؤمنة كامل)</v>
      </c>
      <c r="H1336" s="5" t="str">
        <f ca="1">IFERROR(__xludf.DUMMYFUNCTION("""COMPUTED_VALUE"""),"4 شارع عمر بن الخطاب مع تقاطع شارع مستشفىى مشتول العام - الشرقيه")</f>
        <v>4 شارع عمر بن الخطاب مع تقاطع شارع مستشفىى مشتول العام - الشرقيه</v>
      </c>
      <c r="I1336" s="6" t="str">
        <f ca="1">IFERROR(__xludf.DUMMYFUNCTION("""COMPUTED_VALUE"""),"01028736555")</f>
        <v>01028736555</v>
      </c>
      <c r="J1336" s="6" t="str">
        <f ca="1">IFERROR(__xludf.DUMMYFUNCTION("""COMPUTED_VALUE"""),"19014")</f>
        <v>19014</v>
      </c>
      <c r="K1336" s="6" t="str">
        <f ca="1">IFERROR(__xludf.DUMMYFUNCTION("""COMPUTED_VALUE"""),"خصم 20% علي جميع التحاليل")</f>
        <v>خصم 20% علي جميع التحاليل</v>
      </c>
    </row>
    <row r="1337" spans="1:11" x14ac:dyDescent="0.25">
      <c r="A1337" s="4" t="str">
        <f ca="1">IFERROR(__xludf.DUMMYFUNCTION("""COMPUTED_VALUE"""),"1897-B")</f>
        <v>1897-B</v>
      </c>
      <c r="B1337" s="5" t="str">
        <f ca="1">IFERROR(__xludf.DUMMYFUNCTION("""COMPUTED_VALUE"""),"بني سويف")</f>
        <v>بني سويف</v>
      </c>
      <c r="C1337" s="5" t="str">
        <f ca="1">IFERROR(__xludf.DUMMYFUNCTION("""COMPUTED_VALUE"""),"الفشن")</f>
        <v>الفشن</v>
      </c>
      <c r="D1337" s="5" t="str">
        <f ca="1">IFERROR(__xludf.DUMMYFUNCTION("""COMPUTED_VALUE"""),"معمل")</f>
        <v>معمل</v>
      </c>
      <c r="E1337" s="5" t="str">
        <f ca="1">IFERROR(__xludf.DUMMYFUNCTION("""COMPUTED_VALUE"""),"معمل")</f>
        <v>معمل</v>
      </c>
      <c r="F1337" s="5" t="str">
        <f ca="1">IFERROR(__xludf.DUMMYFUNCTION("""COMPUTED_VALUE"""),"معمل التحاليل الطبية")</f>
        <v>معمل التحاليل الطبية</v>
      </c>
      <c r="G1337" s="5" t="str">
        <f ca="1">IFERROR(__xludf.DUMMYFUNCTION("""COMPUTED_VALUE"""),"معمل المختبر (د. مؤمنة كامل)")</f>
        <v>معمل المختبر (د. مؤمنة كامل)</v>
      </c>
      <c r="H1337" s="5" t="str">
        <f ca="1">IFERROR(__xludf.DUMMYFUNCTION("""COMPUTED_VALUE"""),"شارع البنك الاهلى القديم اعلى اورانج د1 -بني سويف")</f>
        <v>شارع البنك الاهلى القديم اعلى اورانج د1 -بني سويف</v>
      </c>
      <c r="I1337" s="6" t="str">
        <f ca="1">IFERROR(__xludf.DUMMYFUNCTION("""COMPUTED_VALUE"""),"01097005113")</f>
        <v>01097005113</v>
      </c>
      <c r="J1337" s="6" t="str">
        <f ca="1">IFERROR(__xludf.DUMMYFUNCTION("""COMPUTED_VALUE"""),"19014")</f>
        <v>19014</v>
      </c>
      <c r="K1337" s="6" t="str">
        <f ca="1">IFERROR(__xludf.DUMMYFUNCTION("""COMPUTED_VALUE"""),"خصم 20% علي جميع التحاليل")</f>
        <v>خصم 20% علي جميع التحاليل</v>
      </c>
    </row>
    <row r="1338" spans="1:11" x14ac:dyDescent="0.25">
      <c r="A1338" s="4" t="str">
        <f ca="1">IFERROR(__xludf.DUMMYFUNCTION("""COMPUTED_VALUE"""),"1897-B")</f>
        <v>1897-B</v>
      </c>
      <c r="B1338" s="5" t="str">
        <f ca="1">IFERROR(__xludf.DUMMYFUNCTION("""COMPUTED_VALUE"""),"أسيوط")</f>
        <v>أسيوط</v>
      </c>
      <c r="C1338" s="5" t="str">
        <f ca="1">IFERROR(__xludf.DUMMYFUNCTION("""COMPUTED_VALUE"""),"أسيوط")</f>
        <v>أسيوط</v>
      </c>
      <c r="D1338" s="5" t="str">
        <f ca="1">IFERROR(__xludf.DUMMYFUNCTION("""COMPUTED_VALUE"""),"معمل")</f>
        <v>معمل</v>
      </c>
      <c r="E1338" s="5" t="str">
        <f ca="1">IFERROR(__xludf.DUMMYFUNCTION("""COMPUTED_VALUE"""),"معمل")</f>
        <v>معمل</v>
      </c>
      <c r="F1338" s="5" t="str">
        <f ca="1">IFERROR(__xludf.DUMMYFUNCTION("""COMPUTED_VALUE"""),"معمل التحاليل الطبية")</f>
        <v>معمل التحاليل الطبية</v>
      </c>
      <c r="G1338" s="5" t="str">
        <f ca="1">IFERROR(__xludf.DUMMYFUNCTION("""COMPUTED_VALUE"""),"معمل المختبر (د. مؤمنة كامل)")</f>
        <v>معمل المختبر (د. مؤمنة كامل)</v>
      </c>
      <c r="H1338" s="5" t="str">
        <f ca="1">IFERROR(__xludf.DUMMYFUNCTION("""COMPUTED_VALUE"""),"قطعه رقم (5) شارع الجمهوريه تقطع تقسين موريس دوس بجوار بنك القاهره امام ابراج عثمان بن عفان – بندر ثان اسيوط – اسيوط")</f>
        <v>قطعه رقم (5) شارع الجمهوريه تقطع تقسين موريس دوس بجوار بنك القاهره امام ابراج عثمان بن عفان – بندر ثان اسيوط – اسيوط</v>
      </c>
      <c r="I1338" s="6" t="str">
        <f ca="1">IFERROR(__xludf.DUMMYFUNCTION("""COMPUTED_VALUE"""),"01090011249")</f>
        <v>01090011249</v>
      </c>
      <c r="J1338" s="6" t="str">
        <f ca="1">IFERROR(__xludf.DUMMYFUNCTION("""COMPUTED_VALUE"""),"19014")</f>
        <v>19014</v>
      </c>
      <c r="K1338" s="6" t="str">
        <f ca="1">IFERROR(__xludf.DUMMYFUNCTION("""COMPUTED_VALUE"""),"خصم 20% علي جميع التحاليل")</f>
        <v>خصم 20% علي جميع التحاليل</v>
      </c>
    </row>
    <row r="1339" spans="1:11" x14ac:dyDescent="0.25">
      <c r="A1339" s="4" t="str">
        <f ca="1">IFERROR(__xludf.DUMMYFUNCTION("""COMPUTED_VALUE"""),"1683-B")</f>
        <v>1683-B</v>
      </c>
      <c r="B1339" s="5" t="str">
        <f ca="1">IFERROR(__xludf.DUMMYFUNCTION("""COMPUTED_VALUE"""),"القليوبية")</f>
        <v>القليوبية</v>
      </c>
      <c r="C1339" s="5" t="str">
        <f ca="1">IFERROR(__xludf.DUMMYFUNCTION("""COMPUTED_VALUE"""),"شبرا الخيمة")</f>
        <v>شبرا الخيمة</v>
      </c>
      <c r="D1339" s="5" t="str">
        <f ca="1">IFERROR(__xludf.DUMMYFUNCTION("""COMPUTED_VALUE"""),"صيدلية")</f>
        <v>صيدلية</v>
      </c>
      <c r="E1339" s="5" t="str">
        <f ca="1">IFERROR(__xludf.DUMMYFUNCTION("""COMPUTED_VALUE"""),"صيدلية")</f>
        <v>صيدلية</v>
      </c>
      <c r="F1339" s="5" t="str">
        <f ca="1">IFERROR(__xludf.DUMMYFUNCTION("""COMPUTED_VALUE"""),"صيدلية (أدوية ومستلزمات طبية)")</f>
        <v>صيدلية (أدوية ومستلزمات طبية)</v>
      </c>
      <c r="G133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339" s="5" t="str">
        <f ca="1">IFERROR(__xludf.DUMMYFUNCTION("""COMPUTED_VALUE"""),"شارع مصراسكندرية- امام قسم اول شبرا الخيمة - صيدلية الشلقانى-(بجوار رنين)")</f>
        <v>شارع مصراسكندرية- امام قسم اول شبرا الخيمة - صيدلية الشلقانى-(بجوار رنين)</v>
      </c>
      <c r="I1339" s="6" t="str">
        <f ca="1">IFERROR(__xludf.DUMMYFUNCTION("""COMPUTED_VALUE"""),"1158711132
")</f>
        <v xml:space="preserve">1158711132
</v>
      </c>
      <c r="J1339" s="6" t="str">
        <f ca="1">IFERROR(__xludf.DUMMYFUNCTION("""COMPUTED_VALUE"""),"19600")</f>
        <v>19600</v>
      </c>
      <c r="K1339" s="6" t="str">
        <f ca="1">IFERROR(__xludf.DUMMYFUNCTION("""COMPUTED_VALUE"""),"7.5 % على المحلى ,5% على المستلزمات الطبية و التجميل")</f>
        <v>7.5 % على المحلى ,5% على المستلزمات الطبية و التجميل</v>
      </c>
    </row>
    <row r="1340" spans="1:11" x14ac:dyDescent="0.25">
      <c r="A1340" s="4" t="str">
        <f ca="1">IFERROR(__xludf.DUMMYFUNCTION("""COMPUTED_VALUE"""),"105380")</f>
        <v>105380</v>
      </c>
      <c r="B1340" s="5" t="str">
        <f ca="1">IFERROR(__xludf.DUMMYFUNCTION("""COMPUTED_VALUE"""),"القاهرة")</f>
        <v>القاهرة</v>
      </c>
      <c r="C1340" s="5" t="str">
        <f ca="1">IFERROR(__xludf.DUMMYFUNCTION("""COMPUTED_VALUE"""),"القاهرة الجديدة")</f>
        <v>القاهرة الجديدة</v>
      </c>
      <c r="D1340" s="5" t="str">
        <f ca="1">IFERROR(__xludf.DUMMYFUNCTION("""COMPUTED_VALUE"""),"مستشفى")</f>
        <v>مستشفى</v>
      </c>
      <c r="E1340" s="5" t="str">
        <f ca="1">IFERROR(__xludf.DUMMYFUNCTION("""COMPUTED_VALUE"""),"مستشفي طبي متكامل")</f>
        <v>مستشفي طبي متكامل</v>
      </c>
      <c r="F1340" s="5" t="str">
        <f ca="1">IFERROR(__xludf.DUMMYFUNCTION("""COMPUTED_VALUE"""),"جميع التخصصات الطبية")</f>
        <v>جميع التخصصات الطبية</v>
      </c>
      <c r="G1340" s="5" t="str">
        <f ca="1">IFERROR(__xludf.DUMMYFUNCTION("""COMPUTED_VALUE"""),"مستشفي شفا التخصصي")</f>
        <v>مستشفي شفا التخصصي</v>
      </c>
      <c r="H1340" s="5" t="str">
        <f ca="1">IFERROR(__xludf.DUMMYFUNCTION("""COMPUTED_VALUE"""),"166 شارع التسعين الشاملي منطقة المستشفيات")</f>
        <v>166 شارع التسعين الشاملي منطقة المستشفيات</v>
      </c>
      <c r="I1340" s="6"/>
      <c r="J1340" s="6" t="str">
        <f ca="1">IFERROR(__xludf.DUMMYFUNCTION("""COMPUTED_VALUE"""),"15051")</f>
        <v>15051</v>
      </c>
      <c r="K1340" s="6" t="str">
        <f ca="1">IFERROR(__xludf.DUMMYFUNCTION("""COMPUTED_VALUE"""),"45% علي خدمات القسم الخارجي و الطوارئ و خصم 30% علي القسم الداخلي و الرعاية المركزة وأتعاب الأطباء")</f>
        <v>45% علي خدمات القسم الخارجي و الطوارئ و خصم 30% علي القسم الداخلي و الرعاية المركزة وأتعاب الأطباء</v>
      </c>
    </row>
    <row r="1341" spans="1:11" x14ac:dyDescent="0.25">
      <c r="A1341" s="4" t="str">
        <f ca="1">IFERROR(__xludf.DUMMYFUNCTION("""COMPUTED_VALUE"""),"105387")</f>
        <v>105387</v>
      </c>
      <c r="B1341" s="5" t="str">
        <f ca="1">IFERROR(__xludf.DUMMYFUNCTION("""COMPUTED_VALUE"""),"القاهرة")</f>
        <v>القاهرة</v>
      </c>
      <c r="C1341" s="5" t="str">
        <f ca="1">IFERROR(__xludf.DUMMYFUNCTION("""COMPUTED_VALUE"""),"المعادى")</f>
        <v>المعادى</v>
      </c>
      <c r="D1341" s="5" t="str">
        <f ca="1">IFERROR(__xludf.DUMMYFUNCTION("""COMPUTED_VALUE"""),"صيدلية")</f>
        <v>صيدلية</v>
      </c>
      <c r="E1341" s="5" t="str">
        <f ca="1">IFERROR(__xludf.DUMMYFUNCTION("""COMPUTED_VALUE"""),"صيدلية")</f>
        <v>صيدلية</v>
      </c>
      <c r="F1341" s="5" t="str">
        <f ca="1">IFERROR(__xludf.DUMMYFUNCTION("""COMPUTED_VALUE"""),"صيدلية (أدوية ومستلزمات طبية)")</f>
        <v>صيدلية (أدوية ومستلزمات طبية)</v>
      </c>
      <c r="G1341" s="5" t="str">
        <f ca="1">IFERROR(__xludf.DUMMYFUNCTION("""COMPUTED_VALUE"""),"صيدليه مستشفي اندلسيه النخيل")</f>
        <v>صيدليه مستشفي اندلسيه النخيل</v>
      </c>
      <c r="H1341" s="5" t="str">
        <f ca="1">IFERROR(__xludf.DUMMYFUNCTION("""COMPUTED_VALUE"""),"شارع اللاسلكي - تقسيم 4 ج- 6 - خلف بنزينه توتال - المعادي الجديده - المعادى")</f>
        <v>شارع اللاسلكي - تقسيم 4 ج- 6 - خلف بنزينه توتال - المعادي الجديده - المعادى</v>
      </c>
      <c r="I1341" s="6" t="str">
        <f ca="1">IFERROR(__xludf.DUMMYFUNCTION("""COMPUTED_VALUE"""),"0225036100")</f>
        <v>0225036100</v>
      </c>
      <c r="J1341" s="6"/>
      <c r="K1341" s="6" t="str">
        <f ca="1">IFERROR(__xludf.DUMMYFUNCTION("""COMPUTED_VALUE"""),"10%على الادوية المحلية ,5% على الادوية المستوردة        ")</f>
        <v xml:space="preserve">10%على الادوية المحلية ,5% على الادوية المستوردة        </v>
      </c>
    </row>
    <row r="1342" spans="1:11" x14ac:dyDescent="0.25">
      <c r="A1342" s="4" t="str">
        <f ca="1">IFERROR(__xludf.DUMMYFUNCTION("""COMPUTED_VALUE"""),"105320")</f>
        <v>105320</v>
      </c>
      <c r="B1342" s="5" t="str">
        <f ca="1">IFERROR(__xludf.DUMMYFUNCTION("""COMPUTED_VALUE"""),"الجيزة")</f>
        <v>الجيزة</v>
      </c>
      <c r="C1342" s="5" t="str">
        <f ca="1">IFERROR(__xludf.DUMMYFUNCTION("""COMPUTED_VALUE"""),"حدائق الاهرام")</f>
        <v>حدائق الاهرام</v>
      </c>
      <c r="D1342" s="5" t="str">
        <f ca="1">IFERROR(__xludf.DUMMYFUNCTION("""COMPUTED_VALUE"""),"مركز علاج طبيعي")</f>
        <v>مركز علاج طبيعي</v>
      </c>
      <c r="E1342" s="5" t="str">
        <f ca="1">IFERROR(__xludf.DUMMYFUNCTION("""COMPUTED_VALUE"""),"علاج طبيعي")</f>
        <v>علاج طبيعي</v>
      </c>
      <c r="F1342" s="5" t="str">
        <f ca="1">IFERROR(__xludf.DUMMYFUNCTION("""COMPUTED_VALUE"""),"جلسات العلاج الطبيعي")</f>
        <v>جلسات العلاج الطبيعي</v>
      </c>
      <c r="G1342" s="5" t="str">
        <f ca="1">IFERROR(__xludf.DUMMYFUNCTION("""COMPUTED_VALUE"""),"مركز اللورا ( د. وحيد السيسي )")</f>
        <v>مركز اللورا ( د. وحيد السيسي )</v>
      </c>
      <c r="H1342" s="5" t="str">
        <f ca="1">IFERROR(__xludf.DUMMYFUNCTION("""COMPUTED_VALUE"""),"البوابة الرابعة -  طريق الجيش-حدائق الاهرام-القاهرة")</f>
        <v>البوابة الرابعة -  طريق الجيش-حدائق الاهرام-القاهرة</v>
      </c>
      <c r="I1342" s="6" t="str">
        <f ca="1">IFERROR(__xludf.DUMMYFUNCTION("""COMPUTED_VALUE"""),"2033914828")</f>
        <v>2033914828</v>
      </c>
      <c r="J1342" s="6"/>
      <c r="K1342" s="6" t="str">
        <f ca="1">IFERROR(__xludf.DUMMYFUNCTION("""COMPUTED_VALUE"""),"خصم 35% علي الاسعار المعلنة")</f>
        <v>خصم 35% علي الاسعار المعلنة</v>
      </c>
    </row>
    <row r="1343" spans="1:11" x14ac:dyDescent="0.25">
      <c r="A1343" s="4" t="str">
        <f ca="1">IFERROR(__xludf.DUMMYFUNCTION("""COMPUTED_VALUE"""),"105392")</f>
        <v>105392</v>
      </c>
      <c r="B1343" s="5" t="str">
        <f ca="1">IFERROR(__xludf.DUMMYFUNCTION("""COMPUTED_VALUE"""),"الدقهلية")</f>
        <v>الدقهلية</v>
      </c>
      <c r="C1343" s="5" t="str">
        <f ca="1">IFERROR(__xludf.DUMMYFUNCTION("""COMPUTED_VALUE"""),"ميت غمر")</f>
        <v>ميت غمر</v>
      </c>
      <c r="D1343" s="5" t="str">
        <f ca="1">IFERROR(__xludf.DUMMYFUNCTION("""COMPUTED_VALUE"""),"مستشفى")</f>
        <v>مستشفى</v>
      </c>
      <c r="E1343" s="5" t="str">
        <f ca="1">IFERROR(__xludf.DUMMYFUNCTION("""COMPUTED_VALUE"""),"مستشفي طبي متخصص")</f>
        <v>مستشفي طبي متخصص</v>
      </c>
      <c r="F1343" s="5" t="str">
        <f ca="1">IFERROR(__xludf.DUMMYFUNCTION("""COMPUTED_VALUE"""),"رمد (جراحة عيون)")</f>
        <v>رمد (جراحة عيون)</v>
      </c>
      <c r="G1343" s="5" t="str">
        <f ca="1">IFERROR(__xludf.DUMMYFUNCTION("""COMPUTED_VALUE"""),"مركز سمايل للعيون و الليزك")</f>
        <v>مركز سمايل للعيون و الليزك</v>
      </c>
      <c r="H1343" s="5" t="str">
        <f ca="1">IFERROR(__xludf.DUMMYFUNCTION("""COMPUTED_VALUE"""),"شارع ابو سنه متفرع من شارع الجيش- مستشفى الشفا - ميت غمر")</f>
        <v>شارع ابو سنه متفرع من شارع الجيش- مستشفى الشفا - ميت غمر</v>
      </c>
      <c r="I1343" s="6" t="str">
        <f ca="1">IFERROR(__xludf.DUMMYFUNCTION("""COMPUTED_VALUE"""),"01060007815")</f>
        <v>01060007815</v>
      </c>
      <c r="J1343" s="6"/>
      <c r="K1343" s="6" t="str">
        <f ca="1">IFERROR(__xludf.DUMMYFUNCTION("""COMPUTED_VALUE"""),"30% على جميع الخدمات")</f>
        <v>30% على جميع الخدمات</v>
      </c>
    </row>
    <row r="1344" spans="1:11" x14ac:dyDescent="0.25">
      <c r="A1344" s="4" t="str">
        <f ca="1">IFERROR(__xludf.DUMMYFUNCTION("""COMPUTED_VALUE"""),"104341-B")</f>
        <v>104341-B</v>
      </c>
      <c r="B1344" s="5" t="str">
        <f ca="1">IFERROR(__xludf.DUMMYFUNCTION("""COMPUTED_VALUE"""),"أسيوط")</f>
        <v>أسيوط</v>
      </c>
      <c r="C1344" s="5" t="str">
        <f ca="1">IFERROR(__xludf.DUMMYFUNCTION("""COMPUTED_VALUE"""),"أسيوط")</f>
        <v>أسيوط</v>
      </c>
      <c r="D1344" s="5" t="str">
        <f ca="1">IFERROR(__xludf.DUMMYFUNCTION("""COMPUTED_VALUE"""),"صيدلية")</f>
        <v>صيدلية</v>
      </c>
      <c r="E1344" s="5" t="str">
        <f ca="1">IFERROR(__xludf.DUMMYFUNCTION("""COMPUTED_VALUE"""),"صيدلية")</f>
        <v>صيدلية</v>
      </c>
      <c r="F1344" s="5" t="str">
        <f ca="1">IFERROR(__xludf.DUMMYFUNCTION("""COMPUTED_VALUE"""),"صيدلية (أدوية ومستلزمات طبية)")</f>
        <v>صيدلية (أدوية ومستلزمات طبية)</v>
      </c>
      <c r="G1344" s="5" t="str">
        <f ca="1">IFERROR(__xludf.DUMMYFUNCTION("""COMPUTED_VALUE"""),"صيدلية د. سامح (صيدلية د. مجدي)")</f>
        <v>صيدلية د. سامح (صيدلية د. مجدي)</v>
      </c>
      <c r="H1344" s="5" t="str">
        <f ca="1">IFERROR(__xludf.DUMMYFUNCTION("""COMPUTED_VALUE"""),"المدخل الرئيسي لمدينة المعلمين - بجوار معرض سراميك التلاوي - أسيوط")</f>
        <v>المدخل الرئيسي لمدينة المعلمين - بجوار معرض سراميك التلاوي - أسيوط</v>
      </c>
      <c r="I1344" s="6" t="str">
        <f ca="1">IFERROR(__xludf.DUMMYFUNCTION("""COMPUTED_VALUE"""),"01281145601")</f>
        <v>01281145601</v>
      </c>
      <c r="J1344" s="6"/>
      <c r="K1344" s="6" t="str">
        <f ca="1">IFERROR(__xludf.DUMMYFUNCTION("""COMPUTED_VALUE"""),"خصم 10% علي المحلي و 6 % علي المستورد")</f>
        <v>خصم 10% علي المحلي و 6 % علي المستورد</v>
      </c>
    </row>
    <row r="1345" spans="1:11" x14ac:dyDescent="0.25">
      <c r="A1345" s="4" t="str">
        <f ca="1">IFERROR(__xludf.DUMMYFUNCTION("""COMPUTED_VALUE"""),"1683-B")</f>
        <v>1683-B</v>
      </c>
      <c r="B1345" s="5" t="str">
        <f ca="1">IFERROR(__xludf.DUMMYFUNCTION("""COMPUTED_VALUE"""),"الغربية")</f>
        <v>الغربية</v>
      </c>
      <c r="C1345" s="5" t="str">
        <f ca="1">IFERROR(__xludf.DUMMYFUNCTION("""COMPUTED_VALUE"""),"طنطا")</f>
        <v>طنطا</v>
      </c>
      <c r="D1345" s="5" t="str">
        <f ca="1">IFERROR(__xludf.DUMMYFUNCTION("""COMPUTED_VALUE"""),"صيدلية")</f>
        <v>صيدلية</v>
      </c>
      <c r="E1345" s="5" t="str">
        <f ca="1">IFERROR(__xludf.DUMMYFUNCTION("""COMPUTED_VALUE"""),"صيدلية")</f>
        <v>صيدلية</v>
      </c>
      <c r="F1345" s="5" t="str">
        <f ca="1">IFERROR(__xludf.DUMMYFUNCTION("""COMPUTED_VALUE"""),"صيدلية (أدوية ومستلزمات طبية)")</f>
        <v>صيدلية (أدوية ومستلزمات طبية)</v>
      </c>
      <c r="G134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345" s="5" t="str">
        <f ca="1">IFERROR(__xludf.DUMMYFUNCTION("""COMPUTED_VALUE"""),"شارع حسن حسيب - طنطا")</f>
        <v>شارع حسن حسيب - طنطا</v>
      </c>
      <c r="I1345" s="6" t="str">
        <f ca="1">IFERROR(__xludf.DUMMYFUNCTION("""COMPUTED_VALUE"""),"1122219843
")</f>
        <v xml:space="preserve">1122219843
</v>
      </c>
      <c r="J1345" s="6" t="str">
        <f ca="1">IFERROR(__xludf.DUMMYFUNCTION("""COMPUTED_VALUE"""),"19600")</f>
        <v>19600</v>
      </c>
      <c r="K1345" s="6" t="str">
        <f ca="1">IFERROR(__xludf.DUMMYFUNCTION("""COMPUTED_VALUE"""),"7.5 % على المحلى ,5% على المستلزمات الطبية و التجميل")</f>
        <v>7.5 % على المحلى ,5% على المستلزمات الطبية و التجميل</v>
      </c>
    </row>
    <row r="1346" spans="1:11" x14ac:dyDescent="0.25">
      <c r="A1346" s="4" t="str">
        <f ca="1">IFERROR(__xludf.DUMMYFUNCTION("""COMPUTED_VALUE"""),"3679-B")</f>
        <v>3679-B</v>
      </c>
      <c r="B1346" s="5" t="str">
        <f ca="1">IFERROR(__xludf.DUMMYFUNCTION("""COMPUTED_VALUE"""),"الاسكندرية")</f>
        <v>الاسكندرية</v>
      </c>
      <c r="C1346" s="5" t="str">
        <f ca="1">IFERROR(__xludf.DUMMYFUNCTION("""COMPUTED_VALUE"""),"رشدي")</f>
        <v>رشدي</v>
      </c>
      <c r="D1346" s="5" t="str">
        <f ca="1">IFERROR(__xludf.DUMMYFUNCTION("""COMPUTED_VALUE"""),"مركز أشعة")</f>
        <v>مركز أشعة</v>
      </c>
      <c r="E1346" s="5" t="str">
        <f ca="1">IFERROR(__xludf.DUMMYFUNCTION("""COMPUTED_VALUE"""),"مركز أشعة")</f>
        <v>مركز أشعة</v>
      </c>
      <c r="F1346" s="5" t="str">
        <f ca="1">IFERROR(__xludf.DUMMYFUNCTION("""COMPUTED_VALUE"""),"مركز الأشعة التشخيصية")</f>
        <v>مركز الأشعة التشخيصية</v>
      </c>
      <c r="G1346" s="5" t="str">
        <f ca="1">IFERROR(__xludf.DUMMYFUNCTION("""COMPUTED_VALUE"""),"المجموعة الاستشارية للخدمات الطبية يوميجا التشخيصية  ( تحاليل فقط )")</f>
        <v>المجموعة الاستشارية للخدمات الطبية يوميجا التشخيصية  ( تحاليل فقط )</v>
      </c>
      <c r="H1346" s="5" t="str">
        <f ca="1">IFERROR(__xludf.DUMMYFUNCTION("""COMPUTED_VALUE"""),"1 شارع مصطفى كامل طريق الحريه رشدي")</f>
        <v>1 شارع مصطفى كامل طريق الحريه رشدي</v>
      </c>
      <c r="I1346" s="6" t="str">
        <f ca="1">IFERROR(__xludf.DUMMYFUNCTION("""COMPUTED_VALUE"""),"2034838480")</f>
        <v>2034838480</v>
      </c>
      <c r="J1346" s="6" t="str">
        <f ca="1">IFERROR(__xludf.DUMMYFUNCTION("""COMPUTED_VALUE"""),"16377")</f>
        <v>16377</v>
      </c>
      <c r="K1346" s="6" t="str">
        <f ca="1">IFERROR(__xludf.DUMMYFUNCTION("""COMPUTED_VALUE"""),"20% ماعدا التخدير والصبغة والوزن الزائد")</f>
        <v>20% ماعدا التخدير والصبغة والوزن الزائد</v>
      </c>
    </row>
    <row r="1347" spans="1:11" x14ac:dyDescent="0.25">
      <c r="A1347" s="4" t="str">
        <f ca="1">IFERROR(__xludf.DUMMYFUNCTION("""COMPUTED_VALUE"""),"105426")</f>
        <v>105426</v>
      </c>
      <c r="B1347" s="5" t="str">
        <f ca="1">IFERROR(__xludf.DUMMYFUNCTION("""COMPUTED_VALUE"""),"الاسكندرية")</f>
        <v>الاسكندرية</v>
      </c>
      <c r="C1347" s="5" t="str">
        <f ca="1">IFERROR(__xludf.DUMMYFUNCTION("""COMPUTED_VALUE"""),"لوران")</f>
        <v>لوران</v>
      </c>
      <c r="D1347" s="5" t="str">
        <f ca="1">IFERROR(__xludf.DUMMYFUNCTION("""COMPUTED_VALUE"""),"هيئة الأطباء")</f>
        <v>هيئة الأطباء</v>
      </c>
      <c r="E1347" s="5" t="str">
        <f ca="1">IFERROR(__xludf.DUMMYFUNCTION("""COMPUTED_VALUE"""),"اسنان")</f>
        <v>اسنان</v>
      </c>
      <c r="F1347" s="5" t="str">
        <f ca="1">IFERROR(__xludf.DUMMYFUNCTION("""COMPUTED_VALUE"""),"جراحة الفم والأسنان")</f>
        <v>جراحة الفم والأسنان</v>
      </c>
      <c r="G1347" s="5" t="str">
        <f ca="1">IFERROR(__xludf.DUMMYFUNCTION("""COMPUTED_VALUE"""),"د/ عمرو سعد محمد محمد احمد فرج(لوران دنتال كير)")</f>
        <v>د/ عمرو سعد محمد محمد احمد فرج(لوران دنتال كير)</v>
      </c>
      <c r="H1347" s="5" t="str">
        <f ca="1">IFERROR(__xludf.DUMMYFUNCTION("""COMPUTED_VALUE"""),"724 طريق الحرية لوران الرمل - لوران -الإسكندرية")</f>
        <v>724 طريق الحرية لوران الرمل - لوران -الإسكندرية</v>
      </c>
      <c r="I1347" s="6" t="str">
        <f ca="1">IFERROR(__xludf.DUMMYFUNCTION("""COMPUTED_VALUE"""),"201278564678")</f>
        <v>201278564678</v>
      </c>
      <c r="J1347" s="6" t="str">
        <f ca="1">IFERROR(__xludf.DUMMYFUNCTION("""COMPUTED_VALUE"""),"16752")</f>
        <v>16752</v>
      </c>
      <c r="K1347" s="6" t="str">
        <f ca="1">IFERROR(__xludf.DUMMYFUNCTION("""COMPUTED_VALUE"""),"50% علي الكشف , 25% علي التركيبات و 30% علي باقي الخدمات")</f>
        <v>50% علي الكشف , 25% علي التركيبات و 30% علي باقي الخدمات</v>
      </c>
    </row>
    <row r="1348" spans="1:11" x14ac:dyDescent="0.25">
      <c r="A1348" s="4" t="str">
        <f ca="1">IFERROR(__xludf.DUMMYFUNCTION("""COMPUTED_VALUE"""),"3936-B")</f>
        <v>3936-B</v>
      </c>
      <c r="B1348" s="5" t="str">
        <f ca="1">IFERROR(__xludf.DUMMYFUNCTION("""COMPUTED_VALUE"""),"القاهرة")</f>
        <v>القاهرة</v>
      </c>
      <c r="C1348" s="5" t="str">
        <f ca="1">IFERROR(__xludf.DUMMYFUNCTION("""COMPUTED_VALUE"""),"مصر الجديدة")</f>
        <v>مصر الجديدة</v>
      </c>
      <c r="D1348" s="5" t="str">
        <f ca="1">IFERROR(__xludf.DUMMYFUNCTION("""COMPUTED_VALUE"""),"هيئة الأطباء")</f>
        <v>هيئة الأطباء</v>
      </c>
      <c r="E1348" s="5" t="str">
        <f ca="1">IFERROR(__xludf.DUMMYFUNCTION("""COMPUTED_VALUE"""),"اسنان")</f>
        <v>اسنان</v>
      </c>
      <c r="F1348" s="5" t="str">
        <f ca="1">IFERROR(__xludf.DUMMYFUNCTION("""COMPUTED_VALUE"""),"جراحة الفم والأسنان")</f>
        <v>جراحة الفم والأسنان</v>
      </c>
      <c r="G1348" s="5" t="str">
        <f ca="1">IFERROR(__xludf.DUMMYFUNCTION("""COMPUTED_VALUE"""),"د/ هشام أحمد عيسى")</f>
        <v>د/ هشام أحمد عيسى</v>
      </c>
      <c r="H1348" s="5" t="str">
        <f ca="1">IFERROR(__xludf.DUMMYFUNCTION("""COMPUTED_VALUE"""),"57 ا شارع عثمان بن عفان - امام التوحيد والنور - ميدان سفير - مصر الجديده")</f>
        <v>57 ا شارع عثمان بن عفان - امام التوحيد والنور - ميدان سفير - مصر الجديده</v>
      </c>
      <c r="I1348" s="6" t="str">
        <f ca="1">IFERROR(__xludf.DUMMYFUNCTION("""COMPUTED_VALUE"""),"20226385715")</f>
        <v>20226385715</v>
      </c>
      <c r="J1348" s="6"/>
      <c r="K1348" s="6" t="str">
        <f ca="1">IFERROR(__xludf.DUMMYFUNCTION("""COMPUTED_VALUE"""),"50% علي الكشوفات و 25% علي باقي الخدمات النقدي المعلنة")</f>
        <v>50% علي الكشوفات و 25% علي باقي الخدمات النقدي المعلنة</v>
      </c>
    </row>
    <row r="1349" spans="1:11" x14ac:dyDescent="0.25">
      <c r="A1349" s="4" t="str">
        <f ca="1">IFERROR(__xludf.DUMMYFUNCTION("""COMPUTED_VALUE"""),"105451")</f>
        <v>105451</v>
      </c>
      <c r="B1349" s="5" t="str">
        <f ca="1">IFERROR(__xludf.DUMMYFUNCTION("""COMPUTED_VALUE"""),"البحيرة")</f>
        <v>البحيرة</v>
      </c>
      <c r="C1349" s="5" t="str">
        <f ca="1">IFERROR(__xludf.DUMMYFUNCTION("""COMPUTED_VALUE"""),"دمنهور")</f>
        <v>دمنهور</v>
      </c>
      <c r="D1349" s="5" t="str">
        <f ca="1">IFERROR(__xludf.DUMMYFUNCTION("""COMPUTED_VALUE"""),"مستشفى")</f>
        <v>مستشفى</v>
      </c>
      <c r="E1349" s="5" t="str">
        <f ca="1">IFERROR(__xludf.DUMMYFUNCTION("""COMPUTED_VALUE"""),"مستشفي طبي متكامل")</f>
        <v>مستشفي طبي متكامل</v>
      </c>
      <c r="F1349" s="5" t="str">
        <f ca="1">IFERROR(__xludf.DUMMYFUNCTION("""COMPUTED_VALUE"""),"جميع التخصصات الطبية")</f>
        <v>جميع التخصصات الطبية</v>
      </c>
      <c r="G1349" s="5" t="str">
        <f ca="1">IFERROR(__xludf.DUMMYFUNCTION("""COMPUTED_VALUE"""),"مستشفى كونكورد التخصصى")</f>
        <v>مستشفى كونكورد التخصصى</v>
      </c>
      <c r="H1349" s="5" t="str">
        <f ca="1">IFERROR(__xludf.DUMMYFUNCTION("""COMPUTED_VALUE"""),"شارع عبدالسلام عارف - برج كونكورد - بجوار محطة القطار - دمنهور - البحيرة")</f>
        <v>شارع عبدالسلام عارف - برج كونكورد - بجوار محطة القطار - دمنهور - البحيرة</v>
      </c>
      <c r="I1349" s="6" t="str">
        <f ca="1">IFERROR(__xludf.DUMMYFUNCTION("""COMPUTED_VALUE"""),"20453159581")</f>
        <v>20453159581</v>
      </c>
      <c r="J1349" s="6"/>
      <c r="K1349" s="6" t="str">
        <f ca="1">IFERROR(__xludf.DUMMYFUNCTION("""COMPUTED_VALUE"""),"30% علي الأسعار النقدي المعلنة")</f>
        <v>30% علي الأسعار النقدي المعلنة</v>
      </c>
    </row>
    <row r="1350" spans="1:11" x14ac:dyDescent="0.25">
      <c r="A1350" s="4" t="str">
        <f ca="1">IFERROR(__xludf.DUMMYFUNCTION("""COMPUTED_VALUE"""),"103741-B")</f>
        <v>103741-B</v>
      </c>
      <c r="B1350" s="5" t="str">
        <f ca="1">IFERROR(__xludf.DUMMYFUNCTION("""COMPUTED_VALUE"""),"المنوفية")</f>
        <v>المنوفية</v>
      </c>
      <c r="C1350" s="5" t="str">
        <f ca="1">IFERROR(__xludf.DUMMYFUNCTION("""COMPUTED_VALUE"""),"شبين الكوم")</f>
        <v>شبين الكوم</v>
      </c>
      <c r="D1350" s="5" t="str">
        <f ca="1">IFERROR(__xludf.DUMMYFUNCTION("""COMPUTED_VALUE"""),"صيدلية")</f>
        <v>صيدلية</v>
      </c>
      <c r="E1350" s="5" t="str">
        <f ca="1">IFERROR(__xludf.DUMMYFUNCTION("""COMPUTED_VALUE"""),"صيدلية")</f>
        <v>صيدلية</v>
      </c>
      <c r="F1350" s="5" t="str">
        <f ca="1">IFERROR(__xludf.DUMMYFUNCTION("""COMPUTED_VALUE"""),"صيدلية (أدوية ومستلزمات طبية)")</f>
        <v>صيدلية (أدوية ومستلزمات طبية)</v>
      </c>
      <c r="G1350" s="5" t="str">
        <f ca="1">IFERROR(__xludf.DUMMYFUNCTION("""COMPUTED_VALUE"""),"صيدلية د/ محمد الظريف")</f>
        <v>صيدلية د/ محمد الظريف</v>
      </c>
      <c r="H1350" s="5" t="str">
        <f ca="1">IFERROR(__xludf.DUMMYFUNCTION("""COMPUTED_VALUE"""),"ميت خاقان - مجمع المواقف - المنوفيه")</f>
        <v>ميت خاقان - مجمع المواقف - المنوفيه</v>
      </c>
      <c r="I1350" s="6" t="str">
        <f ca="1">IFERROR(__xludf.DUMMYFUNCTION("""COMPUTED_VALUE"""),"20482058174")</f>
        <v>20482058174</v>
      </c>
      <c r="J1350" s="6"/>
      <c r="K1350" s="6" t="str">
        <f ca="1">IFERROR(__xludf.DUMMYFUNCTION("""COMPUTED_VALUE"""),"خصم 10% علي المحلي و 5% علي المستورد")</f>
        <v>خصم 10% علي المحلي و 5% علي المستورد</v>
      </c>
    </row>
    <row r="1351" spans="1:11" x14ac:dyDescent="0.25">
      <c r="A1351" s="4" t="str">
        <f ca="1">IFERROR(__xludf.DUMMYFUNCTION("""COMPUTED_VALUE"""),"105481")</f>
        <v>105481</v>
      </c>
      <c r="B1351" s="5" t="str">
        <f ca="1">IFERROR(__xludf.DUMMYFUNCTION("""COMPUTED_VALUE"""),"المنوفية")</f>
        <v>المنوفية</v>
      </c>
      <c r="C1351" s="5" t="str">
        <f ca="1">IFERROR(__xludf.DUMMYFUNCTION("""COMPUTED_VALUE"""),"شبين الكوم")</f>
        <v>شبين الكوم</v>
      </c>
      <c r="D1351" s="5" t="str">
        <f ca="1">IFERROR(__xludf.DUMMYFUNCTION("""COMPUTED_VALUE"""),"مركز علاج طبيعي")</f>
        <v>مركز علاج طبيعي</v>
      </c>
      <c r="E1351" s="5" t="str">
        <f ca="1">IFERROR(__xludf.DUMMYFUNCTION("""COMPUTED_VALUE"""),"علاج طبيعي")</f>
        <v>علاج طبيعي</v>
      </c>
      <c r="F1351" s="5" t="str">
        <f ca="1">IFERROR(__xludf.DUMMYFUNCTION("""COMPUTED_VALUE"""),"جلسات العلاج الطبيعي")</f>
        <v>جلسات العلاج الطبيعي</v>
      </c>
      <c r="G1351" s="5" t="str">
        <f ca="1">IFERROR(__xludf.DUMMYFUNCTION("""COMPUTED_VALUE"""),"د/ ياسر عبدالصادق عبدالمقصود الاسرج  (مركز العلاج الطبيعى)")</f>
        <v>د/ ياسر عبدالصادق عبدالمقصود الاسرج  (مركز العلاج الطبيعى)</v>
      </c>
      <c r="H1351" s="5" t="str">
        <f ca="1">IFERROR(__xludf.DUMMYFUNCTION("""COMPUTED_VALUE"""),"شارع طلعت حرب امام ملجأ البنين - اعلى صيدلية القادسية - شبين الكوم")</f>
        <v>شارع طلعت حرب امام ملجأ البنين - اعلى صيدلية القادسية - شبين الكوم</v>
      </c>
      <c r="I1351" s="6" t="str">
        <f ca="1">IFERROR(__xludf.DUMMYFUNCTION("""COMPUTED_VALUE"""),"20482230334")</f>
        <v>20482230334</v>
      </c>
      <c r="J1351" s="6"/>
      <c r="K1351" s="6" t="str">
        <f ca="1">IFERROR(__xludf.DUMMYFUNCTION("""COMPUTED_VALUE"""),"خصم 35% علي الأسعار النقدي المعلنة ")</f>
        <v xml:space="preserve">خصم 35% علي الأسعار النقدي المعلنة </v>
      </c>
    </row>
    <row r="1352" spans="1:11" x14ac:dyDescent="0.25">
      <c r="A1352" s="4" t="str">
        <f ca="1">IFERROR(__xludf.DUMMYFUNCTION("""COMPUTED_VALUE"""),"105474")</f>
        <v>105474</v>
      </c>
      <c r="B1352" s="5" t="str">
        <f ca="1">IFERROR(__xludf.DUMMYFUNCTION("""COMPUTED_VALUE"""),"القاهرة")</f>
        <v>القاهرة</v>
      </c>
      <c r="C1352" s="5" t="str">
        <f ca="1">IFERROR(__xludf.DUMMYFUNCTION("""COMPUTED_VALUE"""),"المعادى")</f>
        <v>المعادى</v>
      </c>
      <c r="D1352" s="5" t="str">
        <f ca="1">IFERROR(__xludf.DUMMYFUNCTION("""COMPUTED_VALUE"""),"مستشفى")</f>
        <v>مستشفى</v>
      </c>
      <c r="E1352" s="5" t="str">
        <f ca="1">IFERROR(__xludf.DUMMYFUNCTION("""COMPUTED_VALUE"""),"مستشفي طبي متخصص")</f>
        <v>مستشفي طبي متخصص</v>
      </c>
      <c r="F1352" s="5" t="str">
        <f ca="1">IFERROR(__xludf.DUMMYFUNCTION("""COMPUTED_VALUE"""),"قلب واوعية دموية")</f>
        <v>قلب واوعية دموية</v>
      </c>
      <c r="G1352" s="5" t="str">
        <f ca="1">IFERROR(__xludf.DUMMYFUNCTION("""COMPUTED_VALUE"""),"شركة ايليت هارت للرعاية الصحية (مركز ايليت للقلب والاوعية الدموية)")</f>
        <v>شركة ايليت هارت للرعاية الصحية (مركز ايليت للقلب والاوعية الدموية)</v>
      </c>
      <c r="H1352" s="5" t="str">
        <f ca="1">IFERROR(__xludf.DUMMYFUNCTION("""COMPUTED_VALUE"""),"73 طريق مصر حلوان الزراعى - المعادى - القاهرة")</f>
        <v>73 طريق مصر حلوان الزراعى - المعادى - القاهرة</v>
      </c>
      <c r="I1352" s="6" t="str">
        <f ca="1">IFERROR(__xludf.DUMMYFUNCTION("""COMPUTED_VALUE"""),"01012092023")</f>
        <v>01012092023</v>
      </c>
      <c r="J1352" s="6"/>
      <c r="K1352" s="6" t="str">
        <f ca="1">IFERROR(__xludf.DUMMYFUNCTION("""COMPUTED_VALUE"""),"20% على الخارجي ,10% الداخلى")</f>
        <v>20% على الخارجي ,10% الداخلى</v>
      </c>
    </row>
    <row r="1353" spans="1:11" x14ac:dyDescent="0.25">
      <c r="A1353" s="4" t="str">
        <f ca="1">IFERROR(__xludf.DUMMYFUNCTION("""COMPUTED_VALUE"""),"105471")</f>
        <v>105471</v>
      </c>
      <c r="B1353" s="5" t="str">
        <f ca="1">IFERROR(__xludf.DUMMYFUNCTION("""COMPUTED_VALUE"""),"القاهرة")</f>
        <v>القاهرة</v>
      </c>
      <c r="C1353" s="5" t="str">
        <f ca="1">IFERROR(__xludf.DUMMYFUNCTION("""COMPUTED_VALUE"""),"القاهرة الجديدة")</f>
        <v>القاهرة الجديدة</v>
      </c>
      <c r="D1353" s="5" t="str">
        <f ca="1">IFERROR(__xludf.DUMMYFUNCTION("""COMPUTED_VALUE"""),"مستشفى")</f>
        <v>مستشفى</v>
      </c>
      <c r="E1353" s="5" t="str">
        <f ca="1">IFERROR(__xludf.DUMMYFUNCTION("""COMPUTED_VALUE"""),"مستشفي طبي متكامل")</f>
        <v>مستشفي طبي متكامل</v>
      </c>
      <c r="F1353" s="5" t="str">
        <f ca="1">IFERROR(__xludf.DUMMYFUNCTION("""COMPUTED_VALUE"""),"جميع التخصصات الطبية")</f>
        <v>جميع التخصصات الطبية</v>
      </c>
      <c r="G1353" s="5" t="str">
        <f ca="1">IFERROR(__xludf.DUMMYFUNCTION("""COMPUTED_VALUE"""),"شركة القطامية كلينك للخدمات الطبية(مستشفى القطامية كلينيك )")</f>
        <v>شركة القطامية كلينك للخدمات الطبية(مستشفى القطامية كلينيك )</v>
      </c>
      <c r="H1353" s="5" t="str">
        <f ca="1">IFERROR(__xludf.DUMMYFUNCTION("""COMPUTED_VALUE"""),"القطعة 8 بلوك  H مركز خدمات التجمع الأول - القاهرة الجديدة")</f>
        <v>القطعة 8 بلوك  H مركز خدمات التجمع الأول - القاهرة الجديدة</v>
      </c>
      <c r="I1353" s="6" t="str">
        <f ca="1">IFERROR(__xludf.DUMMYFUNCTION("""COMPUTED_VALUE"""),"20225865100")</f>
        <v>20225865100</v>
      </c>
      <c r="J1353" s="6"/>
      <c r="K1353" s="6" t="str">
        <f ca="1">IFERROR(__xludf.DUMMYFUNCTION("""COMPUTED_VALUE"""),"خصم 25% علي الاسعار النقدي")</f>
        <v>خصم 25% علي الاسعار النقدي</v>
      </c>
    </row>
    <row r="1354" spans="1:11" x14ac:dyDescent="0.25">
      <c r="A1354" s="4" t="str">
        <f ca="1">IFERROR(__xludf.DUMMYFUNCTION("""COMPUTED_VALUE"""),"1683-B")</f>
        <v>1683-B</v>
      </c>
      <c r="B1354" s="5" t="str">
        <f ca="1">IFERROR(__xludf.DUMMYFUNCTION("""COMPUTED_VALUE"""),"القاهرة")</f>
        <v>القاهرة</v>
      </c>
      <c r="C1354" s="5" t="str">
        <f ca="1">IFERROR(__xludf.DUMMYFUNCTION("""COMPUTED_VALUE"""),"حلمية الزيتون")</f>
        <v>حلمية الزيتون</v>
      </c>
      <c r="D1354" s="5" t="str">
        <f ca="1">IFERROR(__xludf.DUMMYFUNCTION("""COMPUTED_VALUE"""),"صيدلية")</f>
        <v>صيدلية</v>
      </c>
      <c r="E1354" s="5" t="str">
        <f ca="1">IFERROR(__xludf.DUMMYFUNCTION("""COMPUTED_VALUE"""),"صيدلية")</f>
        <v>صيدلية</v>
      </c>
      <c r="F1354" s="5" t="str">
        <f ca="1">IFERROR(__xludf.DUMMYFUNCTION("""COMPUTED_VALUE"""),"صيدلية (أدوية ومستلزمات طبية)")</f>
        <v>صيدلية (أدوية ومستلزمات طبية)</v>
      </c>
      <c r="G135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354" s="5" t="str">
        <f ca="1">IFERROR(__xludf.DUMMYFUNCTION("""COMPUTED_VALUE"""),"1ميدان إبن الحكم -بجوار نادى 6أكتوبر-الزيتون -القاهرة")</f>
        <v>1ميدان إبن الحكم -بجوار نادى 6أكتوبر-الزيتون -القاهرة</v>
      </c>
      <c r="I1354" s="6" t="str">
        <f ca="1">IFERROR(__xludf.DUMMYFUNCTION("""COMPUTED_VALUE"""),"1140568333
")</f>
        <v xml:space="preserve">1140568333
</v>
      </c>
      <c r="J1354" s="6" t="str">
        <f ca="1">IFERROR(__xludf.DUMMYFUNCTION("""COMPUTED_VALUE"""),"19600")</f>
        <v>19600</v>
      </c>
      <c r="K1354" s="6" t="str">
        <f ca="1">IFERROR(__xludf.DUMMYFUNCTION("""COMPUTED_VALUE"""),"7.5 % على المحلى ,5% على المستلزمات الطبية و التجميل")</f>
        <v>7.5 % على المحلى ,5% على المستلزمات الطبية و التجميل</v>
      </c>
    </row>
    <row r="1355" spans="1:11" x14ac:dyDescent="0.25">
      <c r="A1355" s="4" t="str">
        <f ca="1">IFERROR(__xludf.DUMMYFUNCTION("""COMPUTED_VALUE"""),"1816-B")</f>
        <v>1816-B</v>
      </c>
      <c r="B1355" s="5" t="str">
        <f ca="1">IFERROR(__xludf.DUMMYFUNCTION("""COMPUTED_VALUE"""),"الاسكندرية")</f>
        <v>الاسكندرية</v>
      </c>
      <c r="C1355" s="5" t="str">
        <f ca="1">IFERROR(__xludf.DUMMYFUNCTION("""COMPUTED_VALUE"""),"كليوباترا")</f>
        <v>كليوباترا</v>
      </c>
      <c r="D1355" s="5" t="str">
        <f ca="1">IFERROR(__xludf.DUMMYFUNCTION("""COMPUTED_VALUE"""),"معمل")</f>
        <v>معمل</v>
      </c>
      <c r="E1355" s="5" t="str">
        <f ca="1">IFERROR(__xludf.DUMMYFUNCTION("""COMPUTED_VALUE"""),"معمل")</f>
        <v>معمل</v>
      </c>
      <c r="F1355" s="5" t="str">
        <f ca="1">IFERROR(__xludf.DUMMYFUNCTION("""COMPUTED_VALUE"""),"معمل التحاليل الطبية")</f>
        <v>معمل التحاليل الطبية</v>
      </c>
      <c r="G1355" s="5" t="str">
        <f ca="1">IFERROR(__xludf.DUMMYFUNCTION("""COMPUTED_VALUE"""),"معامل ميترا")</f>
        <v>معامل ميترا</v>
      </c>
      <c r="H1355" s="5" t="str">
        <f ca="1">IFERROR(__xludf.DUMMYFUNCTION("""COMPUTED_VALUE"""),"48 سيدي جابر - الدور الارضي - امام محطه ترام كليوباترا الصغري - كليوباترا - الاسكندريه")</f>
        <v>48 سيدي جابر - الدور الارضي - امام محطه ترام كليوباترا الصغري - كليوباترا - الاسكندريه</v>
      </c>
      <c r="I1355" s="6" t="str">
        <f ca="1">IFERROR(__xludf.DUMMYFUNCTION("""COMPUTED_VALUE"""),"2035433273")</f>
        <v>2035433273</v>
      </c>
      <c r="J1355" s="6" t="str">
        <f ca="1">IFERROR(__xludf.DUMMYFUNCTION("""COMPUTED_VALUE"""),"15232")</f>
        <v>15232</v>
      </c>
      <c r="K1355" s="6" t="str">
        <f ca="1">IFERROR(__xludf.DUMMYFUNCTION("""COMPUTED_VALUE"""),"خصم 40% علي الاسعار النقدي")</f>
        <v>خصم 40% علي الاسعار النقدي</v>
      </c>
    </row>
    <row r="1356" spans="1:11" x14ac:dyDescent="0.25">
      <c r="A1356" s="4" t="str">
        <f ca="1">IFERROR(__xludf.DUMMYFUNCTION("""COMPUTED_VALUE"""),"1816-B")</f>
        <v>1816-B</v>
      </c>
      <c r="B1356" s="5" t="str">
        <f ca="1">IFERROR(__xludf.DUMMYFUNCTION("""COMPUTED_VALUE"""),"الاسكندرية")</f>
        <v>الاسكندرية</v>
      </c>
      <c r="C1356" s="5" t="str">
        <f ca="1">IFERROR(__xludf.DUMMYFUNCTION("""COMPUTED_VALUE"""),"محطة الرمل")</f>
        <v>محطة الرمل</v>
      </c>
      <c r="D1356" s="5" t="str">
        <f ca="1">IFERROR(__xludf.DUMMYFUNCTION("""COMPUTED_VALUE"""),"معمل")</f>
        <v>معمل</v>
      </c>
      <c r="E1356" s="5" t="str">
        <f ca="1">IFERROR(__xludf.DUMMYFUNCTION("""COMPUTED_VALUE"""),"معمل")</f>
        <v>معمل</v>
      </c>
      <c r="F1356" s="5" t="str">
        <f ca="1">IFERROR(__xludf.DUMMYFUNCTION("""COMPUTED_VALUE"""),"معمل التحاليل الطبية")</f>
        <v>معمل التحاليل الطبية</v>
      </c>
      <c r="G1356" s="5" t="str">
        <f ca="1">IFERROR(__xludf.DUMMYFUNCTION("""COMPUTED_VALUE"""),"معامل ميترا")</f>
        <v>معامل ميترا</v>
      </c>
      <c r="H1356" s="5" t="str">
        <f ca="1">IFERROR(__xludf.DUMMYFUNCTION("""COMPUTED_VALUE"""),"13 شارع مصطفي حافظ جليس بك سابقا موازي لصفيه زغلول - محطه الرمل - الاسكندريه")</f>
        <v>13 شارع مصطفي حافظ جليس بك سابقا موازي لصفيه زغلول - محطه الرمل - الاسكندريه</v>
      </c>
      <c r="I1356" s="6" t="str">
        <f ca="1">IFERROR(__xludf.DUMMYFUNCTION("""COMPUTED_VALUE"""),"2034866700")</f>
        <v>2034866700</v>
      </c>
      <c r="J1356" s="6" t="str">
        <f ca="1">IFERROR(__xludf.DUMMYFUNCTION("""COMPUTED_VALUE"""),"15232")</f>
        <v>15232</v>
      </c>
      <c r="K1356" s="6" t="str">
        <f ca="1">IFERROR(__xludf.DUMMYFUNCTION("""COMPUTED_VALUE"""),"خصم 40% علي الاسعار النقدي")</f>
        <v>خصم 40% علي الاسعار النقدي</v>
      </c>
    </row>
    <row r="1357" spans="1:11" x14ac:dyDescent="0.25">
      <c r="A1357" s="4" t="str">
        <f ca="1">IFERROR(__xludf.DUMMYFUNCTION("""COMPUTED_VALUE"""),"1816-B")</f>
        <v>1816-B</v>
      </c>
      <c r="B1357" s="5" t="str">
        <f ca="1">IFERROR(__xludf.DUMMYFUNCTION("""COMPUTED_VALUE"""),"الدقهلية")</f>
        <v>الدقهلية</v>
      </c>
      <c r="C1357" s="5" t="str">
        <f ca="1">IFERROR(__xludf.DUMMYFUNCTION("""COMPUTED_VALUE"""),"المنصورة")</f>
        <v>المنصورة</v>
      </c>
      <c r="D1357" s="5" t="str">
        <f ca="1">IFERROR(__xludf.DUMMYFUNCTION("""COMPUTED_VALUE"""),"معمل")</f>
        <v>معمل</v>
      </c>
      <c r="E1357" s="5" t="str">
        <f ca="1">IFERROR(__xludf.DUMMYFUNCTION("""COMPUTED_VALUE"""),"معمل")</f>
        <v>معمل</v>
      </c>
      <c r="F1357" s="5" t="str">
        <f ca="1">IFERROR(__xludf.DUMMYFUNCTION("""COMPUTED_VALUE"""),"معمل التحاليل الطبية")</f>
        <v>معمل التحاليل الطبية</v>
      </c>
      <c r="G1357" s="5" t="str">
        <f ca="1">IFERROR(__xludf.DUMMYFUNCTION("""COMPUTED_VALUE"""),"معامل ميترا")</f>
        <v>معامل ميترا</v>
      </c>
      <c r="H1357" s="5" t="str">
        <f ca="1">IFERROR(__xludf.DUMMYFUNCTION("""COMPUTED_VALUE"""),"30 شارع الجمهوريه - امام كليه طب و جراحه العيون - الدور الثاني - المنصوره - الدقهليه")</f>
        <v>30 شارع الجمهوريه - امام كليه طب و جراحه العيون - الدور الثاني - المنصوره - الدقهليه</v>
      </c>
      <c r="I1357" s="6" t="str">
        <f ca="1">IFERROR(__xludf.DUMMYFUNCTION("""COMPUTED_VALUE"""),"20502202847")</f>
        <v>20502202847</v>
      </c>
      <c r="J1357" s="6" t="str">
        <f ca="1">IFERROR(__xludf.DUMMYFUNCTION("""COMPUTED_VALUE"""),"15232")</f>
        <v>15232</v>
      </c>
      <c r="K1357" s="6" t="str">
        <f ca="1">IFERROR(__xludf.DUMMYFUNCTION("""COMPUTED_VALUE"""),"خصم 40% علي الاسعار النقدي")</f>
        <v>خصم 40% علي الاسعار النقدي</v>
      </c>
    </row>
    <row r="1358" spans="1:11" x14ac:dyDescent="0.25">
      <c r="A1358" s="4" t="str">
        <f ca="1">IFERROR(__xludf.DUMMYFUNCTION("""COMPUTED_VALUE"""),"105501")</f>
        <v>105501</v>
      </c>
      <c r="B1358" s="5" t="str">
        <f ca="1">IFERROR(__xludf.DUMMYFUNCTION("""COMPUTED_VALUE"""),"الجيزة")</f>
        <v>الجيزة</v>
      </c>
      <c r="C1358" s="5" t="str">
        <f ca="1">IFERROR(__xludf.DUMMYFUNCTION("""COMPUTED_VALUE"""),"الهرم")</f>
        <v>الهرم</v>
      </c>
      <c r="D1358" s="5" t="str">
        <f ca="1">IFERROR(__xludf.DUMMYFUNCTION("""COMPUTED_VALUE"""),"هيئة الأطباء")</f>
        <v>هيئة الأطباء</v>
      </c>
      <c r="E1358" s="5" t="str">
        <f ca="1">IFERROR(__xludf.DUMMYFUNCTION("""COMPUTED_VALUE"""),"اسنان")</f>
        <v>اسنان</v>
      </c>
      <c r="F1358" s="5" t="str">
        <f ca="1">IFERROR(__xludf.DUMMYFUNCTION("""COMPUTED_VALUE"""),"جراحة الفم والأسنان")</f>
        <v>جراحة الفم والأسنان</v>
      </c>
      <c r="G1358" s="5" t="str">
        <f ca="1">IFERROR(__xludf.DUMMYFUNCTION("""COMPUTED_VALUE"""),"د/ اسلام غاندى عبدالشكور  حسين")</f>
        <v>د/ اسلام غاندى عبدالشكور  حسين</v>
      </c>
      <c r="H1358" s="5" t="str">
        <f ca="1">IFERROR(__xludf.DUMMYFUNCTION("""COMPUTED_VALUE"""),"77شارع الشعب - نصر الدين - الهرم")</f>
        <v>77شارع الشعب - نصر الدين - الهرم</v>
      </c>
      <c r="I1358" s="6" t="str">
        <f ca="1">IFERROR(__xludf.DUMMYFUNCTION("""COMPUTED_VALUE"""),"20235821929")</f>
        <v>20235821929</v>
      </c>
      <c r="J1358" s="6"/>
      <c r="K1358" s="6" t="str">
        <f ca="1">IFERROR(__xludf.DUMMYFUNCTION("""COMPUTED_VALUE"""),"خصم 20% علي الاسعار النقدي")</f>
        <v>خصم 20% علي الاسعار النقدي</v>
      </c>
    </row>
    <row r="1359" spans="1:11" x14ac:dyDescent="0.25">
      <c r="A1359" s="4" t="str">
        <f ca="1">IFERROR(__xludf.DUMMYFUNCTION("""COMPUTED_VALUE"""),"105524")</f>
        <v>105524</v>
      </c>
      <c r="B1359" s="5" t="str">
        <f ca="1">IFERROR(__xludf.DUMMYFUNCTION("""COMPUTED_VALUE"""),"القاهرة")</f>
        <v>القاهرة</v>
      </c>
      <c r="C1359" s="5" t="str">
        <f ca="1">IFERROR(__xludf.DUMMYFUNCTION("""COMPUTED_VALUE"""),"المعادى")</f>
        <v>المعادى</v>
      </c>
      <c r="D1359" s="5" t="str">
        <f ca="1">IFERROR(__xludf.DUMMYFUNCTION("""COMPUTED_VALUE"""),"شركة")</f>
        <v>شركة</v>
      </c>
      <c r="E1359" s="5" t="str">
        <f ca="1">IFERROR(__xludf.DUMMYFUNCTION("""COMPUTED_VALUE"""),"شركة اجهزة طبية")</f>
        <v>شركة اجهزة طبية</v>
      </c>
      <c r="F1359" s="5" t="str">
        <f ca="1">IFERROR(__xludf.DUMMYFUNCTION("""COMPUTED_VALUE"""),"مركز بصريات")</f>
        <v>مركز بصريات</v>
      </c>
      <c r="G1359" s="5" t="str">
        <f ca="1">IFERROR(__xludf.DUMMYFUNCTION("""COMPUTED_VALUE"""),"بصريات العادل (اسلام خير الدين سالم احمد وشركاه)")</f>
        <v>بصريات العادل (اسلام خير الدين سالم احمد وشركاه)</v>
      </c>
      <c r="H1359" s="5" t="str">
        <f ca="1">IFERROR(__xludf.DUMMYFUNCTION("""COMPUTED_VALUE"""),"3ب عمارات الكويتية - شارع رئاسة الحى - المعادى الجديدة")</f>
        <v>3ب عمارات الكويتية - شارع رئاسة الحى - المعادى الجديدة</v>
      </c>
      <c r="I1359" s="6" t="str">
        <f ca="1">IFERROR(__xludf.DUMMYFUNCTION("""COMPUTED_VALUE"""),"202251882115")</f>
        <v>202251882115</v>
      </c>
      <c r="J1359" s="6"/>
      <c r="K1359" s="6" t="str">
        <f ca="1">IFERROR(__xludf.DUMMYFUNCTION("""COMPUTED_VALUE"""),"خصم 25% علي الاسعار النقدي")</f>
        <v>خصم 25% علي الاسعار النقدي</v>
      </c>
    </row>
    <row r="1360" spans="1:11" x14ac:dyDescent="0.25">
      <c r="A1360" s="4" t="str">
        <f ca="1">IFERROR(__xludf.DUMMYFUNCTION("""COMPUTED_VALUE"""),"105515")</f>
        <v>105515</v>
      </c>
      <c r="B1360" s="5" t="str">
        <f ca="1">IFERROR(__xludf.DUMMYFUNCTION("""COMPUTED_VALUE"""),"الجيزة")</f>
        <v>الجيزة</v>
      </c>
      <c r="C1360" s="5" t="str">
        <f ca="1">IFERROR(__xludf.DUMMYFUNCTION("""COMPUTED_VALUE"""),"الشيخ زايد")</f>
        <v>الشيخ زايد</v>
      </c>
      <c r="D1360" s="5" t="str">
        <f ca="1">IFERROR(__xludf.DUMMYFUNCTION("""COMPUTED_VALUE"""),"مركز علاج طبيعي")</f>
        <v>مركز علاج طبيعي</v>
      </c>
      <c r="E1360" s="5" t="str">
        <f ca="1">IFERROR(__xludf.DUMMYFUNCTION("""COMPUTED_VALUE"""),"علاج طبيعي")</f>
        <v>علاج طبيعي</v>
      </c>
      <c r="F1360" s="5" t="str">
        <f ca="1">IFERROR(__xludf.DUMMYFUNCTION("""COMPUTED_VALUE"""),"جلسات العلاج الطبيعي")</f>
        <v>جلسات العلاج الطبيعي</v>
      </c>
      <c r="G1360" s="5" t="str">
        <f ca="1">IFERROR(__xludf.DUMMYFUNCTION("""COMPUTED_VALUE"""),"د/ عبدالله اسامه عبدالله عبدالمجيد عطا (مركز حياه للعلاج الطبيعى)")</f>
        <v>د/ عبدالله اسامه عبدالله عبدالمجيد عطا (مركز حياه للعلاج الطبيعى)</v>
      </c>
      <c r="H1360" s="5" t="str">
        <f ca="1">IFERROR(__xludf.DUMMYFUNCTION("""COMPUTED_VALUE"""),"مول الحياة - بجوار مستشفى جلوبال كير - الشيخ زايد")</f>
        <v>مول الحياة - بجوار مستشفى جلوبال كير - الشيخ زايد</v>
      </c>
      <c r="I1360" s="6" t="str">
        <f ca="1">IFERROR(__xludf.DUMMYFUNCTION("""COMPUTED_VALUE"""),"201093500330")</f>
        <v>201093500330</v>
      </c>
      <c r="J1360" s="6"/>
      <c r="K1360" s="6" t="str">
        <f ca="1">IFERROR(__xludf.DUMMYFUNCTION("""COMPUTED_VALUE"""),"خصم 25% علي الاسعار النقدي")</f>
        <v>خصم 25% علي الاسعار النقدي</v>
      </c>
    </row>
    <row r="1361" spans="1:11" x14ac:dyDescent="0.25">
      <c r="A1361" s="4" t="str">
        <f ca="1">IFERROR(__xludf.DUMMYFUNCTION("""COMPUTED_VALUE"""),"105523")</f>
        <v>105523</v>
      </c>
      <c r="B1361" s="5" t="str">
        <f ca="1">IFERROR(__xludf.DUMMYFUNCTION("""COMPUTED_VALUE"""),"القاهرة")</f>
        <v>القاهرة</v>
      </c>
      <c r="C1361" s="5" t="str">
        <f ca="1">IFERROR(__xludf.DUMMYFUNCTION("""COMPUTED_VALUE"""),"مصر الجديدة")</f>
        <v>مصر الجديدة</v>
      </c>
      <c r="D1361" s="5" t="str">
        <f ca="1">IFERROR(__xludf.DUMMYFUNCTION("""COMPUTED_VALUE"""),"معمل")</f>
        <v>معمل</v>
      </c>
      <c r="E1361" s="5" t="str">
        <f ca="1">IFERROR(__xludf.DUMMYFUNCTION("""COMPUTED_VALUE"""),"معمل")</f>
        <v>معمل</v>
      </c>
      <c r="F1361" s="5" t="str">
        <f ca="1">IFERROR(__xludf.DUMMYFUNCTION("""COMPUTED_VALUE"""),"معمل التحاليل الطبية")</f>
        <v>معمل التحاليل الطبية</v>
      </c>
      <c r="G1361" s="5" t="str">
        <f ca="1">IFERROR(__xludf.DUMMYFUNCTION("""COMPUTED_VALUE"""),"تاون لاب للتحاليل الطبيه")</f>
        <v>تاون لاب للتحاليل الطبيه</v>
      </c>
      <c r="H1361" s="5" t="str">
        <f ca="1">IFERROR(__xludf.DUMMYFUNCTION("""COMPUTED_VALUE"""),"38 شارع ابو بكر الصديق - عماره المصرف المتحد - ميدان سفير - مصر الجديدة")</f>
        <v>38 شارع ابو بكر الصديق - عماره المصرف المتحد - ميدان سفير - مصر الجديدة</v>
      </c>
      <c r="I1361" s="6" t="str">
        <f ca="1">IFERROR(__xludf.DUMMYFUNCTION("""COMPUTED_VALUE"""),"201203333896")</f>
        <v>201203333896</v>
      </c>
      <c r="J1361" s="6"/>
      <c r="K1361" s="6" t="str">
        <f ca="1">IFERROR(__xludf.DUMMYFUNCTION("""COMPUTED_VALUE"""),"خصم 35% علي الأسعار النقدي المعلنة")</f>
        <v>خصم 35% علي الأسعار النقدي المعلنة</v>
      </c>
    </row>
    <row r="1362" spans="1:11" x14ac:dyDescent="0.25">
      <c r="A1362" s="4" t="str">
        <f ca="1">IFERROR(__xludf.DUMMYFUNCTION("""COMPUTED_VALUE"""),"105523-B")</f>
        <v>105523-B</v>
      </c>
      <c r="B1362" s="5" t="str">
        <f ca="1">IFERROR(__xludf.DUMMYFUNCTION("""COMPUTED_VALUE"""),"القاهرة")</f>
        <v>القاهرة</v>
      </c>
      <c r="C1362" s="5" t="str">
        <f ca="1">IFERROR(__xludf.DUMMYFUNCTION("""COMPUTED_VALUE"""),"مدينة نصر")</f>
        <v>مدينة نصر</v>
      </c>
      <c r="D1362" s="5" t="str">
        <f ca="1">IFERROR(__xludf.DUMMYFUNCTION("""COMPUTED_VALUE"""),"معمل")</f>
        <v>معمل</v>
      </c>
      <c r="E1362" s="5" t="str">
        <f ca="1">IFERROR(__xludf.DUMMYFUNCTION("""COMPUTED_VALUE"""),"معمل")</f>
        <v>معمل</v>
      </c>
      <c r="F1362" s="5" t="str">
        <f ca="1">IFERROR(__xludf.DUMMYFUNCTION("""COMPUTED_VALUE"""),"معمل التحاليل الطبية")</f>
        <v>معمل التحاليل الطبية</v>
      </c>
      <c r="G1362" s="5" t="str">
        <f ca="1">IFERROR(__xludf.DUMMYFUNCTION("""COMPUTED_VALUE"""),"تاون لاب للتحاليل الطبيه")</f>
        <v>تاون لاب للتحاليل الطبيه</v>
      </c>
      <c r="H1362" s="5" t="str">
        <f ca="1">IFERROR(__xludf.DUMMYFUNCTION("""COMPUTED_VALUE"""),"5شارع عباس العقاد - مدينة نصر")</f>
        <v>5شارع عباس العقاد - مدينة نصر</v>
      </c>
      <c r="I1362" s="6" t="str">
        <f ca="1">IFERROR(__xludf.DUMMYFUNCTION("""COMPUTED_VALUE"""),"201203333896")</f>
        <v>201203333896</v>
      </c>
      <c r="J1362" s="6"/>
      <c r="K1362" s="6" t="str">
        <f ca="1">IFERROR(__xludf.DUMMYFUNCTION("""COMPUTED_VALUE"""),"خصم 35% علي الأسعار النقدي المعلنة")</f>
        <v>خصم 35% علي الأسعار النقدي المعلنة</v>
      </c>
    </row>
    <row r="1363" spans="1:11" x14ac:dyDescent="0.25">
      <c r="A1363" s="4" t="str">
        <f ca="1">IFERROR(__xludf.DUMMYFUNCTION("""COMPUTED_VALUE"""),"105523-B")</f>
        <v>105523-B</v>
      </c>
      <c r="B1363" s="5" t="str">
        <f ca="1">IFERROR(__xludf.DUMMYFUNCTION("""COMPUTED_VALUE"""),"القاهرة")</f>
        <v>القاهرة</v>
      </c>
      <c r="C1363" s="5" t="str">
        <f ca="1">IFERROR(__xludf.DUMMYFUNCTION("""COMPUTED_VALUE"""),"القاهرة الجديدة")</f>
        <v>القاهرة الجديدة</v>
      </c>
      <c r="D1363" s="5" t="str">
        <f ca="1">IFERROR(__xludf.DUMMYFUNCTION("""COMPUTED_VALUE"""),"معمل")</f>
        <v>معمل</v>
      </c>
      <c r="E1363" s="5" t="str">
        <f ca="1">IFERROR(__xludf.DUMMYFUNCTION("""COMPUTED_VALUE"""),"معمل")</f>
        <v>معمل</v>
      </c>
      <c r="F1363" s="5" t="str">
        <f ca="1">IFERROR(__xludf.DUMMYFUNCTION("""COMPUTED_VALUE"""),"معمل التحاليل الطبية")</f>
        <v>معمل التحاليل الطبية</v>
      </c>
      <c r="G1363" s="5" t="str">
        <f ca="1">IFERROR(__xludf.DUMMYFUNCTION("""COMPUTED_VALUE"""),"تاون لاب للتحاليل الطبيه")</f>
        <v>تاون لاب للتحاليل الطبيه</v>
      </c>
      <c r="H1363" s="5" t="str">
        <f ca="1">IFERROR(__xludf.DUMMYFUNCTION("""COMPUTED_VALUE"""),"كايرو ميديكال سنتر - التجمع الخامس - القاهرة الجديدة")</f>
        <v>كايرو ميديكال سنتر - التجمع الخامس - القاهرة الجديدة</v>
      </c>
      <c r="I1363" s="6" t="str">
        <f ca="1">IFERROR(__xludf.DUMMYFUNCTION("""COMPUTED_VALUE"""),"201203333896")</f>
        <v>201203333896</v>
      </c>
      <c r="J1363" s="6"/>
      <c r="K1363" s="6" t="str">
        <f ca="1">IFERROR(__xludf.DUMMYFUNCTION("""COMPUTED_VALUE"""),"خصم 35% علي الأسعار النقدي المعلنة")</f>
        <v>خصم 35% علي الأسعار النقدي المعلنة</v>
      </c>
    </row>
    <row r="1364" spans="1:11" x14ac:dyDescent="0.25">
      <c r="A1364" s="4" t="str">
        <f ca="1">IFERROR(__xludf.DUMMYFUNCTION("""COMPUTED_VALUE"""),"105523-B")</f>
        <v>105523-B</v>
      </c>
      <c r="B1364" s="5" t="str">
        <f ca="1">IFERROR(__xludf.DUMMYFUNCTION("""COMPUTED_VALUE"""),"القاهرة")</f>
        <v>القاهرة</v>
      </c>
      <c r="C1364" s="5" t="str">
        <f ca="1">IFERROR(__xludf.DUMMYFUNCTION("""COMPUTED_VALUE"""),"مدينة الشروق")</f>
        <v>مدينة الشروق</v>
      </c>
      <c r="D1364" s="5" t="str">
        <f ca="1">IFERROR(__xludf.DUMMYFUNCTION("""COMPUTED_VALUE"""),"معمل")</f>
        <v>معمل</v>
      </c>
      <c r="E1364" s="5" t="str">
        <f ca="1">IFERROR(__xludf.DUMMYFUNCTION("""COMPUTED_VALUE"""),"معمل")</f>
        <v>معمل</v>
      </c>
      <c r="F1364" s="5" t="str">
        <f ca="1">IFERROR(__xludf.DUMMYFUNCTION("""COMPUTED_VALUE"""),"معمل التحاليل الطبية")</f>
        <v>معمل التحاليل الطبية</v>
      </c>
      <c r="G1364" s="5" t="str">
        <f ca="1">IFERROR(__xludf.DUMMYFUNCTION("""COMPUTED_VALUE"""),"تاون لاب للتحاليل الطبيه")</f>
        <v>تاون لاب للتحاليل الطبيه</v>
      </c>
      <c r="H1364" s="5" t="str">
        <f ca="1">IFERROR(__xludf.DUMMYFUNCTION("""COMPUTED_VALUE"""),"البانوراما مول - مبنى 4  - مدينة الشروق")</f>
        <v>البانوراما مول - مبنى 4  - مدينة الشروق</v>
      </c>
      <c r="I1364" s="6" t="str">
        <f ca="1">IFERROR(__xludf.DUMMYFUNCTION("""COMPUTED_VALUE"""),"201203333896")</f>
        <v>201203333896</v>
      </c>
      <c r="J1364" s="6"/>
      <c r="K1364" s="6" t="str">
        <f ca="1">IFERROR(__xludf.DUMMYFUNCTION("""COMPUTED_VALUE"""),"خصم 35% علي الأسعار النقدي المعلنة")</f>
        <v>خصم 35% علي الأسعار النقدي المعلنة</v>
      </c>
    </row>
    <row r="1365" spans="1:11" x14ac:dyDescent="0.25">
      <c r="A1365" s="4" t="str">
        <f ca="1">IFERROR(__xludf.DUMMYFUNCTION("""COMPUTED_VALUE"""),"105523-B")</f>
        <v>105523-B</v>
      </c>
      <c r="B1365" s="5" t="str">
        <f ca="1">IFERROR(__xludf.DUMMYFUNCTION("""COMPUTED_VALUE"""),"الجيزة")</f>
        <v>الجيزة</v>
      </c>
      <c r="C1365" s="5" t="str">
        <f ca="1">IFERROR(__xludf.DUMMYFUNCTION("""COMPUTED_VALUE"""),"المهندسين")</f>
        <v>المهندسين</v>
      </c>
      <c r="D1365" s="5" t="str">
        <f ca="1">IFERROR(__xludf.DUMMYFUNCTION("""COMPUTED_VALUE"""),"معمل")</f>
        <v>معمل</v>
      </c>
      <c r="E1365" s="5" t="str">
        <f ca="1">IFERROR(__xludf.DUMMYFUNCTION("""COMPUTED_VALUE"""),"معمل")</f>
        <v>معمل</v>
      </c>
      <c r="F1365" s="5" t="str">
        <f ca="1">IFERROR(__xludf.DUMMYFUNCTION("""COMPUTED_VALUE"""),"معمل التحاليل الطبية")</f>
        <v>معمل التحاليل الطبية</v>
      </c>
      <c r="G1365" s="5" t="str">
        <f ca="1">IFERROR(__xludf.DUMMYFUNCTION("""COMPUTED_VALUE"""),"تاون لاب للتحاليل الطبيه")</f>
        <v>تاون لاب للتحاليل الطبيه</v>
      </c>
      <c r="H1365" s="5" t="str">
        <f ca="1">IFERROR(__xludf.DUMMYFUNCTION("""COMPUTED_VALUE"""),"4شارع شهاب - المهندسين")</f>
        <v>4شارع شهاب - المهندسين</v>
      </c>
      <c r="I1365" s="6" t="str">
        <f ca="1">IFERROR(__xludf.DUMMYFUNCTION("""COMPUTED_VALUE"""),"201203333896")</f>
        <v>201203333896</v>
      </c>
      <c r="J1365" s="6"/>
      <c r="K1365" s="6" t="str">
        <f ca="1">IFERROR(__xludf.DUMMYFUNCTION("""COMPUTED_VALUE"""),"خصم 35% علي الأسعار النقدي المعلنة")</f>
        <v>خصم 35% علي الأسعار النقدي المعلنة</v>
      </c>
    </row>
    <row r="1366" spans="1:11" x14ac:dyDescent="0.25">
      <c r="A1366" s="4" t="str">
        <f ca="1">IFERROR(__xludf.DUMMYFUNCTION("""COMPUTED_VALUE"""),"4666-B")</f>
        <v>4666-B</v>
      </c>
      <c r="B1366" s="5" t="str">
        <f ca="1">IFERROR(__xludf.DUMMYFUNCTION("""COMPUTED_VALUE"""),"أسوان")</f>
        <v>أسوان</v>
      </c>
      <c r="C1366" s="5" t="str">
        <f ca="1">IFERROR(__xludf.DUMMYFUNCTION("""COMPUTED_VALUE"""),"أسوان")</f>
        <v>أسوان</v>
      </c>
      <c r="D1366" s="5" t="str">
        <f ca="1">IFERROR(__xludf.DUMMYFUNCTION("""COMPUTED_VALUE"""),"صيدلية")</f>
        <v>صيدلية</v>
      </c>
      <c r="E1366" s="5" t="str">
        <f ca="1">IFERROR(__xludf.DUMMYFUNCTION("""COMPUTED_VALUE"""),"صيدلية")</f>
        <v>صيدلية</v>
      </c>
      <c r="F1366" s="5" t="str">
        <f ca="1">IFERROR(__xludf.DUMMYFUNCTION("""COMPUTED_VALUE"""),"صيدلية (أدوية ومستلزمات طبية)")</f>
        <v>صيدلية (أدوية ومستلزمات طبية)</v>
      </c>
      <c r="G1366" s="5" t="str">
        <f ca="1">IFERROR(__xludf.DUMMYFUNCTION("""COMPUTED_VALUE"""),"صيدلية د/ مجدى فكتور حليم")</f>
        <v>صيدلية د/ مجدى فكتور حليم</v>
      </c>
      <c r="H1366" s="5" t="str">
        <f ca="1">IFERROR(__xludf.DUMMYFUNCTION("""COMPUTED_VALUE"""),"شارع  الغازات - امام مصنع الغازات - بجوار نقابه الطب البطري -أسوان")</f>
        <v>شارع  الغازات - امام مصنع الغازات - بجوار نقابه الطب البطري -أسوان</v>
      </c>
      <c r="I1366" s="6" t="str">
        <f ca="1">IFERROR(__xludf.DUMMYFUNCTION("""COMPUTED_VALUE"""),"01283322734")</f>
        <v>01283322734</v>
      </c>
      <c r="J1366" s="6"/>
      <c r="K1366" s="6" t="str">
        <f ca="1">IFERROR(__xludf.DUMMYFUNCTION("""COMPUTED_VALUE"""),"خصم 10% علي المحلي و 5% علي المستورد")</f>
        <v>خصم 10% علي المحلي و 5% علي المستورد</v>
      </c>
    </row>
    <row r="1367" spans="1:11" x14ac:dyDescent="0.25">
      <c r="A1367" s="4" t="str">
        <f ca="1">IFERROR(__xludf.DUMMYFUNCTION("""COMPUTED_VALUE"""),"105534")</f>
        <v>105534</v>
      </c>
      <c r="B1367" s="5" t="str">
        <f ca="1">IFERROR(__xludf.DUMMYFUNCTION("""COMPUTED_VALUE"""),"الاسكندرية")</f>
        <v>الاسكندرية</v>
      </c>
      <c r="C1367" s="5" t="str">
        <f ca="1">IFERROR(__xludf.DUMMYFUNCTION("""COMPUTED_VALUE"""),"العجمي")</f>
        <v>العجمي</v>
      </c>
      <c r="D1367" s="5" t="str">
        <f ca="1">IFERROR(__xludf.DUMMYFUNCTION("""COMPUTED_VALUE"""),"هيئة الأطباء")</f>
        <v>هيئة الأطباء</v>
      </c>
      <c r="E1367" s="5" t="str">
        <f ca="1">IFERROR(__xludf.DUMMYFUNCTION("""COMPUTED_VALUE"""),"اسنان")</f>
        <v>اسنان</v>
      </c>
      <c r="F1367" s="5" t="str">
        <f ca="1">IFERROR(__xludf.DUMMYFUNCTION("""COMPUTED_VALUE"""),"جراحة الفم والأسنان")</f>
        <v>جراحة الفم والأسنان</v>
      </c>
      <c r="G1367" s="5" t="str">
        <f ca="1">IFERROR(__xludf.DUMMYFUNCTION("""COMPUTED_VALUE"""),"سكاي دنت  لعلاج و تجميل الاسنان (احمد شعبان محمد ابوزيد عبدالعال)")</f>
        <v>سكاي دنت  لعلاج و تجميل الاسنان (احمد شعبان محمد ابوزيد عبدالعال)</v>
      </c>
      <c r="H1367" s="5" t="str">
        <f ca="1">IFERROR(__xludf.DUMMYFUNCTION("""COMPUTED_VALUE"""),"الهانوفيل - امام مسجد الدرايسة -طريق الإسكندرية مطروح - العجمى")</f>
        <v>الهانوفيل - امام مسجد الدرايسة -طريق الإسكندرية مطروح - العجمى</v>
      </c>
      <c r="I1367" s="6" t="str">
        <f ca="1">IFERROR(__xludf.DUMMYFUNCTION("""COMPUTED_VALUE"""),"2034380047")</f>
        <v>2034380047</v>
      </c>
      <c r="J1367" s="6"/>
      <c r="K1367" s="6" t="str">
        <f ca="1">IFERROR(__xludf.DUMMYFUNCTION("""COMPUTED_VALUE"""),"30% علي الأسعار النقدي المعلنة")</f>
        <v>30% علي الأسعار النقدي المعلنة</v>
      </c>
    </row>
    <row r="1368" spans="1:11" x14ac:dyDescent="0.25">
      <c r="A1368" s="4" t="str">
        <f ca="1">IFERROR(__xludf.DUMMYFUNCTION("""COMPUTED_VALUE"""),"105543")</f>
        <v>105543</v>
      </c>
      <c r="B1368" s="5" t="str">
        <f ca="1">IFERROR(__xludf.DUMMYFUNCTION("""COMPUTED_VALUE"""),"الاسكندرية")</f>
        <v>الاسكندرية</v>
      </c>
      <c r="C1368" s="5" t="str">
        <f ca="1">IFERROR(__xludf.DUMMYFUNCTION("""COMPUTED_VALUE"""),"برج العرب")</f>
        <v>برج العرب</v>
      </c>
      <c r="D1368" s="5" t="str">
        <f ca="1">IFERROR(__xludf.DUMMYFUNCTION("""COMPUTED_VALUE"""),"صيدلية")</f>
        <v>صيدلية</v>
      </c>
      <c r="E1368" s="5" t="str">
        <f ca="1">IFERROR(__xludf.DUMMYFUNCTION("""COMPUTED_VALUE"""),"صيدلية")</f>
        <v>صيدلية</v>
      </c>
      <c r="F1368" s="5" t="str">
        <f ca="1">IFERROR(__xludf.DUMMYFUNCTION("""COMPUTED_VALUE"""),"صيدلية (أدوية ومستلزمات طبية)")</f>
        <v>صيدلية (أدوية ومستلزمات طبية)</v>
      </c>
      <c r="G1368" s="5" t="str">
        <f ca="1">IFERROR(__xludf.DUMMYFUNCTION("""COMPUTED_VALUE"""),"د/ محمد طه عبدالمولى احمد عبدالحافظ(صيدلية د/ محمد طه)")</f>
        <v>د/ محمد طه عبدالمولى احمد عبدالحافظ(صيدلية د/ محمد طه)</v>
      </c>
      <c r="H1368" s="5" t="str">
        <f ca="1">IFERROR(__xludf.DUMMYFUNCTION("""COMPUTED_VALUE"""),"المجاورة التاسعة - سوق الزهور - بجوار بنك التعمير والإسكان - برج العرب الجديدة")</f>
        <v>المجاورة التاسعة - سوق الزهور - بجوار بنك التعمير والإسكان - برج العرب الجديدة</v>
      </c>
      <c r="I1368" s="6" t="str">
        <f ca="1">IFERROR(__xludf.DUMMYFUNCTION("""COMPUTED_VALUE"""),"2034596661")</f>
        <v>2034596661</v>
      </c>
      <c r="J1368" s="6"/>
      <c r="K1368" s="6" t="str">
        <f ca="1">IFERROR(__xludf.DUMMYFUNCTION("""COMPUTED_VALUE"""),"12%على المحلى ،6% على المستورد")</f>
        <v>12%على المحلى ،6% على المستورد</v>
      </c>
    </row>
    <row r="1369" spans="1:11" x14ac:dyDescent="0.25">
      <c r="A1369" s="4" t="str">
        <f ca="1">IFERROR(__xludf.DUMMYFUNCTION("""COMPUTED_VALUE"""),"1683-B")</f>
        <v>1683-B</v>
      </c>
      <c r="B1369" s="5" t="str">
        <f ca="1">IFERROR(__xludf.DUMMYFUNCTION("""COMPUTED_VALUE"""),"قنا")</f>
        <v>قنا</v>
      </c>
      <c r="C1369" s="5" t="str">
        <f ca="1">IFERROR(__xludf.DUMMYFUNCTION("""COMPUTED_VALUE"""),"قنا")</f>
        <v>قنا</v>
      </c>
      <c r="D1369" s="5" t="str">
        <f ca="1">IFERROR(__xludf.DUMMYFUNCTION("""COMPUTED_VALUE"""),"صيدلية")</f>
        <v>صيدلية</v>
      </c>
      <c r="E1369" s="5" t="str">
        <f ca="1">IFERROR(__xludf.DUMMYFUNCTION("""COMPUTED_VALUE"""),"صيدلية")</f>
        <v>صيدلية</v>
      </c>
      <c r="F1369" s="5" t="str">
        <f ca="1">IFERROR(__xludf.DUMMYFUNCTION("""COMPUTED_VALUE"""),"صيدلية (أدوية ومستلزمات طبية)")</f>
        <v>صيدلية (أدوية ومستلزمات طبية)</v>
      </c>
      <c r="G136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369" s="5" t="str">
        <f ca="1">IFERROR(__xludf.DUMMYFUNCTION("""COMPUTED_VALUE"""),"شارع الأقصر - بجوار ميدان بنزايون - قنا")</f>
        <v>شارع الأقصر - بجوار ميدان بنزايون - قنا</v>
      </c>
      <c r="I1369" s="6" t="str">
        <f ca="1">IFERROR(__xludf.DUMMYFUNCTION("""COMPUTED_VALUE"""),"1111906926
")</f>
        <v xml:space="preserve">1111906926
</v>
      </c>
      <c r="J1369" s="6" t="str">
        <f ca="1">IFERROR(__xludf.DUMMYFUNCTION("""COMPUTED_VALUE"""),"19600")</f>
        <v>19600</v>
      </c>
      <c r="K1369" s="6" t="str">
        <f ca="1">IFERROR(__xludf.DUMMYFUNCTION("""COMPUTED_VALUE"""),"7.5 % على المحلى ,5% على المستلزمات الطبية و التجميل")</f>
        <v>7.5 % على المحلى ,5% على المستلزمات الطبية و التجميل</v>
      </c>
    </row>
    <row r="1370" spans="1:11" x14ac:dyDescent="0.25">
      <c r="A1370" s="4" t="str">
        <f ca="1">IFERROR(__xludf.DUMMYFUNCTION("""COMPUTED_VALUE"""),"105580")</f>
        <v>105580</v>
      </c>
      <c r="B1370" s="5" t="str">
        <f ca="1">IFERROR(__xludf.DUMMYFUNCTION("""COMPUTED_VALUE"""),"القاهرة")</f>
        <v>القاهرة</v>
      </c>
      <c r="C1370" s="5" t="str">
        <f ca="1">IFERROR(__xludf.DUMMYFUNCTION("""COMPUTED_VALUE"""),"القاهرة الجديدة")</f>
        <v>القاهرة الجديدة</v>
      </c>
      <c r="D1370" s="5" t="str">
        <f ca="1">IFERROR(__xludf.DUMMYFUNCTION("""COMPUTED_VALUE"""),"مستشفى")</f>
        <v>مستشفى</v>
      </c>
      <c r="E1370" s="5" t="str">
        <f ca="1">IFERROR(__xludf.DUMMYFUNCTION("""COMPUTED_VALUE"""),"مستشفي طبي متكامل")</f>
        <v>مستشفي طبي متكامل</v>
      </c>
      <c r="F1370" s="5" t="str">
        <f ca="1">IFERROR(__xludf.DUMMYFUNCTION("""COMPUTED_VALUE"""),"جميع التخصصات الطبية")</f>
        <v>جميع التخصصات الطبية</v>
      </c>
      <c r="G1370" s="5" t="str">
        <f ca="1">IFERROR(__xludf.DUMMYFUNCTION("""COMPUTED_VALUE"""),"شركة نسائم للخدمات الطبية (مستشفى نسائم التخصصي)")</f>
        <v>شركة نسائم للخدمات الطبية (مستشفى نسائم التخصصي)</v>
      </c>
      <c r="H1370" s="5" t="str">
        <f ca="1">IFERROR(__xludf.DUMMYFUNCTION("""COMPUTED_VALUE"""),"قطعة 43 مركز خدمات التجمع الخامس خلف المستشفى الجوى-التجمع الخامس-القاهرة الجديدة.")</f>
        <v>قطعة 43 مركز خدمات التجمع الخامس خلف المستشفى الجوى-التجمع الخامس-القاهرة الجديدة.</v>
      </c>
      <c r="I1370" s="6" t="str">
        <f ca="1">IFERROR(__xludf.DUMMYFUNCTION("""COMPUTED_VALUE"""),"2022813510")</f>
        <v>2022813510</v>
      </c>
      <c r="J1370" s="6"/>
      <c r="K1370" s="6" t="str">
        <f ca="1">IFERROR(__xludf.DUMMYFUNCTION("""COMPUTED_VALUE"""),"35% علي جميع بنود اللائحة ماعدا اتعاب الاطباء يطبق عليها 10% خصم")</f>
        <v>35% علي جميع بنود اللائحة ماعدا اتعاب الاطباء يطبق عليها 10% خصم</v>
      </c>
    </row>
    <row r="1371" spans="1:11" x14ac:dyDescent="0.25">
      <c r="A1371" s="4" t="str">
        <f ca="1">IFERROR(__xludf.DUMMYFUNCTION("""COMPUTED_VALUE"""),"1683-B")</f>
        <v>1683-B</v>
      </c>
      <c r="B1371" s="5" t="str">
        <f ca="1">IFERROR(__xludf.DUMMYFUNCTION("""COMPUTED_VALUE"""),"القاهرة")</f>
        <v>القاهرة</v>
      </c>
      <c r="C1371" s="5" t="str">
        <f ca="1">IFERROR(__xludf.DUMMYFUNCTION("""COMPUTED_VALUE"""),"شبرا")</f>
        <v>شبرا</v>
      </c>
      <c r="D1371" s="5" t="str">
        <f ca="1">IFERROR(__xludf.DUMMYFUNCTION("""COMPUTED_VALUE"""),"صيدلية")</f>
        <v>صيدلية</v>
      </c>
      <c r="E1371" s="5" t="str">
        <f ca="1">IFERROR(__xludf.DUMMYFUNCTION("""COMPUTED_VALUE"""),"صيدلية")</f>
        <v>صيدلية</v>
      </c>
      <c r="F1371" s="5" t="str">
        <f ca="1">IFERROR(__xludf.DUMMYFUNCTION("""COMPUTED_VALUE"""),"صيدلية (أدوية ومستلزمات طبية)")</f>
        <v>صيدلية (أدوية ومستلزمات طبية)</v>
      </c>
      <c r="G137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371" s="5" t="str">
        <f ca="1">IFERROR(__xludf.DUMMYFUNCTION("""COMPUTED_VALUE"""),"208 شارع أبو الفرج - روض الفرج -شبرا-القاهرة")</f>
        <v>208 شارع أبو الفرج - روض الفرج -شبرا-القاهرة</v>
      </c>
      <c r="I1371" s="6" t="str">
        <f ca="1">IFERROR(__xludf.DUMMYFUNCTION("""COMPUTED_VALUE"""),"1100569539
")</f>
        <v xml:space="preserve">1100569539
</v>
      </c>
      <c r="J1371" s="6" t="str">
        <f ca="1">IFERROR(__xludf.DUMMYFUNCTION("""COMPUTED_VALUE"""),"19600")</f>
        <v>19600</v>
      </c>
      <c r="K1371" s="6" t="str">
        <f ca="1">IFERROR(__xludf.DUMMYFUNCTION("""COMPUTED_VALUE"""),"7.5 % على المحلى ,5% على المستلزمات الطبية و التجميل")</f>
        <v>7.5 % على المحلى ,5% على المستلزمات الطبية و التجميل</v>
      </c>
    </row>
    <row r="1372" spans="1:11" x14ac:dyDescent="0.25">
      <c r="A1372" s="4" t="str">
        <f ca="1">IFERROR(__xludf.DUMMYFUNCTION("""COMPUTED_VALUE"""),"105581")</f>
        <v>105581</v>
      </c>
      <c r="B1372" s="5" t="str">
        <f ca="1">IFERROR(__xludf.DUMMYFUNCTION("""COMPUTED_VALUE"""),"الجيزة")</f>
        <v>الجيزة</v>
      </c>
      <c r="C1372" s="5" t="str">
        <f ca="1">IFERROR(__xludf.DUMMYFUNCTION("""COMPUTED_VALUE"""),"الدقي")</f>
        <v>الدقي</v>
      </c>
      <c r="D1372" s="5" t="str">
        <f ca="1">IFERROR(__xludf.DUMMYFUNCTION("""COMPUTED_VALUE"""),"مستشفى")</f>
        <v>مستشفى</v>
      </c>
      <c r="E1372" s="5" t="str">
        <f ca="1">IFERROR(__xludf.DUMMYFUNCTION("""COMPUTED_VALUE"""),"مستشفي طبي متكامل")</f>
        <v>مستشفي طبي متكامل</v>
      </c>
      <c r="F1372" s="5" t="str">
        <f ca="1">IFERROR(__xludf.DUMMYFUNCTION("""COMPUTED_VALUE"""),"جميع التخصصات الطبية")</f>
        <v>جميع التخصصات الطبية</v>
      </c>
      <c r="G1372" s="5" t="str">
        <f ca="1">IFERROR(__xludf.DUMMYFUNCTION("""COMPUTED_VALUE"""),"د- السيد عبدالرحيم السيد حارس وشريكته(مستشفى الثريا)")</f>
        <v>د- السيد عبدالرحيم السيد حارس وشريكته(مستشفى الثريا)</v>
      </c>
      <c r="H1372" s="5" t="str">
        <f ca="1">IFERROR(__xludf.DUMMYFUNCTION("""COMPUTED_VALUE"""),"14شارع عبدالعزيز سليم  - الدقى  - الجيزة")</f>
        <v>14شارع عبدالعزيز سليم  - الدقى  - الجيزة</v>
      </c>
      <c r="I1372" s="6" t="str">
        <f ca="1">IFERROR(__xludf.DUMMYFUNCTION("""COMPUTED_VALUE"""),"20237489427")</f>
        <v>20237489427</v>
      </c>
      <c r="J1372" s="6"/>
      <c r="K1372" s="6" t="str">
        <f ca="1">IFERROR(__xludf.DUMMYFUNCTION("""COMPUTED_VALUE"""),"نسبة خصم 50% علي الكشوفات و نسبة خصم 20% علي باقي الخدمات ماعدا اتعاب الاطباء وبنك الدم والادويه والمستلزمات الطبيه علي الأسعار المعلنة")</f>
        <v>نسبة خصم 50% علي الكشوفات و نسبة خصم 20% علي باقي الخدمات ماعدا اتعاب الاطباء وبنك الدم والادويه والمستلزمات الطبيه علي الأسعار المعلنة</v>
      </c>
    </row>
    <row r="1373" spans="1:11" x14ac:dyDescent="0.25">
      <c r="A1373" s="4" t="str">
        <f ca="1">IFERROR(__xludf.DUMMYFUNCTION("""COMPUTED_VALUE"""),"105585")</f>
        <v>105585</v>
      </c>
      <c r="B1373" s="5" t="str">
        <f ca="1">IFERROR(__xludf.DUMMYFUNCTION("""COMPUTED_VALUE"""),"القاهرة")</f>
        <v>القاهرة</v>
      </c>
      <c r="C1373" s="5" t="str">
        <f ca="1">IFERROR(__xludf.DUMMYFUNCTION("""COMPUTED_VALUE"""),"مصر الجديدة")</f>
        <v>مصر الجديدة</v>
      </c>
      <c r="D1373" s="5" t="str">
        <f ca="1">IFERROR(__xludf.DUMMYFUNCTION("""COMPUTED_VALUE"""),"مجمع عيادات")</f>
        <v>مجمع عيادات</v>
      </c>
      <c r="E1373" s="5" t="str">
        <f ca="1">IFERROR(__xludf.DUMMYFUNCTION("""COMPUTED_VALUE"""),"جميع التخصصات")</f>
        <v>جميع التخصصات</v>
      </c>
      <c r="F1373" s="5" t="str">
        <f ca="1">IFERROR(__xludf.DUMMYFUNCTION("""COMPUTED_VALUE"""),"جميع التخصصات الطبية")</f>
        <v>جميع التخصصات الطبية</v>
      </c>
      <c r="G1373" s="5" t="str">
        <f ca="1">IFERROR(__xludf.DUMMYFUNCTION("""COMPUTED_VALUE"""),"عيادات الكرمة التخصصية للعلاج والوقاية من امراض السكر ومضاعفاته")</f>
        <v>عيادات الكرمة التخصصية للعلاج والوقاية من امراض السكر ومضاعفاته</v>
      </c>
      <c r="H1373" s="5" t="str">
        <f ca="1">IFERROR(__xludf.DUMMYFUNCTION("""COMPUTED_VALUE"""),"225شارع الحجاز - النزهة - مصر الجديدة")</f>
        <v>225شارع الحجاز - النزهة - مصر الجديدة</v>
      </c>
      <c r="I1373" s="6" t="str">
        <f ca="1">IFERROR(__xludf.DUMMYFUNCTION("""COMPUTED_VALUE"""),"2021928236")</f>
        <v>2021928236</v>
      </c>
      <c r="J1373" s="6"/>
      <c r="K1373" s="6" t="str">
        <f ca="1">IFERROR(__xludf.DUMMYFUNCTION("""COMPUTED_VALUE"""),"خصم 30% علي الأسعار النقدي المعلنة")</f>
        <v>خصم 30% علي الأسعار النقدي المعلنة</v>
      </c>
    </row>
    <row r="1374" spans="1:11" x14ac:dyDescent="0.25">
      <c r="A1374" s="4" t="str">
        <f ca="1">IFERROR(__xludf.DUMMYFUNCTION("""COMPUTED_VALUE"""),"1683-B")</f>
        <v>1683-B</v>
      </c>
      <c r="B1374" s="5" t="str">
        <f ca="1">IFERROR(__xludf.DUMMYFUNCTION("""COMPUTED_VALUE"""),"الجيزة")</f>
        <v>الجيزة</v>
      </c>
      <c r="C1374" s="5" t="str">
        <f ca="1">IFERROR(__xludf.DUMMYFUNCTION("""COMPUTED_VALUE"""),"الشيخ زايد")</f>
        <v>الشيخ زايد</v>
      </c>
      <c r="D1374" s="5" t="str">
        <f ca="1">IFERROR(__xludf.DUMMYFUNCTION("""COMPUTED_VALUE"""),"صيدلية")</f>
        <v>صيدلية</v>
      </c>
      <c r="E1374" s="5" t="str">
        <f ca="1">IFERROR(__xludf.DUMMYFUNCTION("""COMPUTED_VALUE"""),"صيدلية")</f>
        <v>صيدلية</v>
      </c>
      <c r="F1374" s="5" t="str">
        <f ca="1">IFERROR(__xludf.DUMMYFUNCTION("""COMPUTED_VALUE"""),"صيدلية (أدوية ومستلزمات طبية)")</f>
        <v>صيدلية (أدوية ومستلزمات طبية)</v>
      </c>
      <c r="G137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1374" s="5" t="str">
        <f ca="1">IFERROR(__xludf.DUMMYFUNCTION("""COMPUTED_VALUE"""),"114 ا المحور المركزي قطعه  16  مول السرايا زايد  وحده رقم 13  - الشيخ زايد")</f>
        <v>114 ا المحور المركزي قطعه  16  مول السرايا زايد  وحده رقم 13  - الشيخ زايد</v>
      </c>
      <c r="I1374" s="6" t="str">
        <f ca="1">IFERROR(__xludf.DUMMYFUNCTION("""COMPUTED_VALUE"""),"1120031493")</f>
        <v>1120031493</v>
      </c>
      <c r="J1374" s="6" t="str">
        <f ca="1">IFERROR(__xludf.DUMMYFUNCTION("""COMPUTED_VALUE"""),"19600")</f>
        <v>19600</v>
      </c>
      <c r="K1374" s="6" t="str">
        <f ca="1">IFERROR(__xludf.DUMMYFUNCTION("""COMPUTED_VALUE"""),"7.5 % على المحلى ,5% على المستلزمات الطبية و التجميل")</f>
        <v>7.5 % على المحلى ,5% على المستلزمات الطبية و التجميل</v>
      </c>
    </row>
    <row r="1375" spans="1:11" x14ac:dyDescent="0.25">
      <c r="A1375" s="4" t="str">
        <f ca="1">IFERROR(__xludf.DUMMYFUNCTION("""COMPUTED_VALUE"""),"105350-B")</f>
        <v>105350-B</v>
      </c>
      <c r="B1375" s="5" t="str">
        <f ca="1">IFERROR(__xludf.DUMMYFUNCTION("""COMPUTED_VALUE"""),"القاهرة")</f>
        <v>القاهرة</v>
      </c>
      <c r="C1375" s="5" t="str">
        <f ca="1">IFERROR(__xludf.DUMMYFUNCTION("""COMPUTED_VALUE"""),"المقطم")</f>
        <v>المقطم</v>
      </c>
      <c r="D1375" s="5" t="str">
        <f ca="1">IFERROR(__xludf.DUMMYFUNCTION("""COMPUTED_VALUE"""),"صيدلية")</f>
        <v>صيدلية</v>
      </c>
      <c r="E1375" s="5" t="str">
        <f ca="1">IFERROR(__xludf.DUMMYFUNCTION("""COMPUTED_VALUE"""),"صيدلية")</f>
        <v>صيدلية</v>
      </c>
      <c r="F1375" s="5" t="str">
        <f ca="1">IFERROR(__xludf.DUMMYFUNCTION("""COMPUTED_VALUE"""),"صيدلية (أدوية ومستلزمات طبية)")</f>
        <v>صيدلية (أدوية ومستلزمات طبية)</v>
      </c>
      <c r="G1375" s="5" t="str">
        <f ca="1">IFERROR(__xludf.DUMMYFUNCTION("""COMPUTED_VALUE"""),"صيدليات صحة أهل مصر")</f>
        <v>صيدليات صحة أهل مصر</v>
      </c>
      <c r="H1375" s="5" t="str">
        <f ca="1">IFERROR(__xludf.DUMMYFUNCTION("""COMPUTED_VALUE"""),"شارع 9 - قطعة 9127  - عمارة الشريف - محل رقم (2) - محل رقم 6 - الهضبة العليا - المقطم - القاهرة")</f>
        <v>شارع 9 - قطعة 9127  - عمارة الشريف - محل رقم (2) - محل رقم 6 - الهضبة العليا - المقطم - القاهرة</v>
      </c>
      <c r="I1375" s="6" t="str">
        <f ca="1">IFERROR(__xludf.DUMMYFUNCTION("""COMPUTED_VALUE"""),"16377")</f>
        <v>16377</v>
      </c>
      <c r="J1375" s="6"/>
      <c r="K1375" s="6" t="str">
        <f ca="1">IFERROR(__xludf.DUMMYFUNCTION("""COMPUTED_VALUE"""),"10% على المحلى ,5% على المسورد")</f>
        <v>10% على المحلى ,5% على المسورد</v>
      </c>
    </row>
    <row r="1376" spans="1:11" x14ac:dyDescent="0.25">
      <c r="A1376" s="4" t="str">
        <f ca="1">IFERROR(__xludf.DUMMYFUNCTION("""COMPUTED_VALUE"""),"104433-B")</f>
        <v>104433-B</v>
      </c>
      <c r="B1376" s="5" t="str">
        <f ca="1">IFERROR(__xludf.DUMMYFUNCTION("""COMPUTED_VALUE"""),"القاهرة")</f>
        <v>القاهرة</v>
      </c>
      <c r="C1376" s="5" t="str">
        <f ca="1">IFERROR(__xludf.DUMMYFUNCTION("""COMPUTED_VALUE"""),"الرحاب")</f>
        <v>الرحاب</v>
      </c>
      <c r="D1376" s="5" t="str">
        <f ca="1">IFERROR(__xludf.DUMMYFUNCTION("""COMPUTED_VALUE"""),"مجمع عيادات")</f>
        <v>مجمع عيادات</v>
      </c>
      <c r="E1376" s="5" t="str">
        <f ca="1">IFERROR(__xludf.DUMMYFUNCTION("""COMPUTED_VALUE"""),"جميع التخصصات")</f>
        <v>جميع التخصصات</v>
      </c>
      <c r="F1376" s="5" t="str">
        <f ca="1">IFERROR(__xludf.DUMMYFUNCTION("""COMPUTED_VALUE"""),"جميع التخصصات الطبية")</f>
        <v>جميع التخصصات الطبية</v>
      </c>
      <c r="G1376" s="5" t="str">
        <f ca="1">IFERROR(__xludf.DUMMYFUNCTION("""COMPUTED_VALUE"""),"مركز نسائم للخدمات الطبية ( خدمة الكشف فقط )")</f>
        <v>مركز نسائم للخدمات الطبية ( خدمة الكشف فقط )</v>
      </c>
      <c r="H1376" s="5" t="str">
        <f ca="1">IFERROR(__xludf.DUMMYFUNCTION("""COMPUTED_VALUE"""),"مبني ميديكال بارك ايليت منطقة الخدمات بوابه 6 – الرحاب")</f>
        <v>مبني ميديكال بارك ايليت منطقة الخدمات بوابه 6 – الرحاب</v>
      </c>
      <c r="I1376" s="6" t="str">
        <f ca="1">IFERROR(__xludf.DUMMYFUNCTION("""COMPUTED_VALUE"""),"201050277177")</f>
        <v>201050277177</v>
      </c>
      <c r="J1376" s="6"/>
      <c r="K1376" s="6" t="str">
        <f ca="1">IFERROR(__xludf.DUMMYFUNCTION("""COMPUTED_VALUE"""),"20% على كل الخدمات")</f>
        <v>20% على كل الخدمات</v>
      </c>
    </row>
    <row r="1377" spans="1:11" x14ac:dyDescent="0.25">
      <c r="A1377" s="4" t="str">
        <f ca="1">IFERROR(__xludf.DUMMYFUNCTION("""COMPUTED_VALUE"""),"105609")</f>
        <v>105609</v>
      </c>
      <c r="B1377" s="5" t="str">
        <f ca="1">IFERROR(__xludf.DUMMYFUNCTION("""COMPUTED_VALUE"""),"الدقهلية")</f>
        <v>الدقهلية</v>
      </c>
      <c r="C1377" s="5" t="str">
        <f ca="1">IFERROR(__xludf.DUMMYFUNCTION("""COMPUTED_VALUE"""),"المنصورة")</f>
        <v>المنصورة</v>
      </c>
      <c r="D1377" s="5" t="str">
        <f ca="1">IFERROR(__xludf.DUMMYFUNCTION("""COMPUTED_VALUE"""),"هيئة الأطباء")</f>
        <v>هيئة الأطباء</v>
      </c>
      <c r="E1377" s="5" t="str">
        <f ca="1">IFERROR(__xludf.DUMMYFUNCTION("""COMPUTED_VALUE"""),"اسنان")</f>
        <v>اسنان</v>
      </c>
      <c r="F1377" s="5" t="str">
        <f ca="1">IFERROR(__xludf.DUMMYFUNCTION("""COMPUTED_VALUE"""),"جراحة الفم والأسنان")</f>
        <v>جراحة الفم والأسنان</v>
      </c>
      <c r="G1377" s="5" t="str">
        <f ca="1">IFERROR(__xludf.DUMMYFUNCTION("""COMPUTED_VALUE"""),"د- عمرو هانئ حسن محمد حسن")</f>
        <v>د- عمرو هانئ حسن محمد حسن</v>
      </c>
      <c r="H1377" s="5" t="str">
        <f ca="1">IFERROR(__xludf.DUMMYFUNCTION("""COMPUTED_VALUE"""),"شارع السكة الجديدة - اعلى محلات كلاسيك للملابس -المنصورة")</f>
        <v>شارع السكة الجديدة - اعلى محلات كلاسيك للملابس -المنصورة</v>
      </c>
      <c r="I1377" s="6" t="str">
        <f ca="1">IFERROR(__xludf.DUMMYFUNCTION("""COMPUTED_VALUE"""),"20502227507")</f>
        <v>20502227507</v>
      </c>
      <c r="J1377" s="6"/>
      <c r="K1377" s="6" t="str">
        <f ca="1">IFERROR(__xludf.DUMMYFUNCTION("""COMPUTED_VALUE"""),"خصم 30% علي الأسعار النقدي المعلنة")</f>
        <v>خصم 30% علي الأسعار النقدي المعلنة</v>
      </c>
    </row>
    <row r="1378" spans="1:11" x14ac:dyDescent="0.25">
      <c r="A1378" s="4" t="str">
        <f ca="1">IFERROR(__xludf.DUMMYFUNCTION("""COMPUTED_VALUE"""),"105618")</f>
        <v>105618</v>
      </c>
      <c r="B1378" s="5" t="str">
        <f ca="1">IFERROR(__xludf.DUMMYFUNCTION("""COMPUTED_VALUE"""),"الاسكندرية")</f>
        <v>الاسكندرية</v>
      </c>
      <c r="C1378" s="5" t="str">
        <f ca="1">IFERROR(__xludf.DUMMYFUNCTION("""COMPUTED_VALUE"""),"العصافرة")</f>
        <v>العصافرة</v>
      </c>
      <c r="D1378" s="5" t="str">
        <f ca="1">IFERROR(__xludf.DUMMYFUNCTION("""COMPUTED_VALUE"""),"هيئة الأطباء")</f>
        <v>هيئة الأطباء</v>
      </c>
      <c r="E1378" s="5" t="str">
        <f ca="1">IFERROR(__xludf.DUMMYFUNCTION("""COMPUTED_VALUE"""),"اسنان")</f>
        <v>اسنان</v>
      </c>
      <c r="F1378" s="5" t="str">
        <f ca="1">IFERROR(__xludf.DUMMYFUNCTION("""COMPUTED_VALUE"""),"جراحة الفم والأسنان")</f>
        <v>جراحة الفم والأسنان</v>
      </c>
      <c r="G1378" s="5" t="str">
        <f ca="1">IFERROR(__xludf.DUMMYFUNCTION("""COMPUTED_VALUE"""),"د/ محمد عبدالمعطى محمد عبدالمعطى طيبه (امريكان دنتال كير)")</f>
        <v>د/ محمد عبدالمعطى محمد عبدالمعطى طيبه (امريكان دنتال كير)</v>
      </c>
      <c r="H1378" s="5" t="str">
        <f ca="1">IFERROR(__xludf.DUMMYFUNCTION("""COMPUTED_VALUE"""),"378شارع جمال عبدالناصر - العصافرة بحرى - العصافرة")</f>
        <v>378شارع جمال عبدالناصر - العصافرة بحرى - العصافرة</v>
      </c>
      <c r="I1378" s="6" t="str">
        <f ca="1">IFERROR(__xludf.DUMMYFUNCTION("""COMPUTED_VALUE"""),"2035480318")</f>
        <v>2035480318</v>
      </c>
      <c r="J1378" s="6"/>
      <c r="K1378" s="6" t="str">
        <f ca="1">IFERROR(__xludf.DUMMYFUNCTION("""COMPUTED_VALUE"""),"50%على الكشوفات ,20% على الإجراءات ,15% على التركيبات ,10%على الزراعات")</f>
        <v>50%على الكشوفات ,20% على الإجراءات ,15% على التركيبات ,10%على الزراعات</v>
      </c>
    </row>
    <row r="1379" spans="1:11" x14ac:dyDescent="0.25">
      <c r="A1379" s="4" t="str">
        <f ca="1">IFERROR(__xludf.DUMMYFUNCTION("""COMPUTED_VALUE"""),"105618-B")</f>
        <v>105618-B</v>
      </c>
      <c r="B1379" s="5" t="str">
        <f ca="1">IFERROR(__xludf.DUMMYFUNCTION("""COMPUTED_VALUE"""),"الاسكندرية")</f>
        <v>الاسكندرية</v>
      </c>
      <c r="C1379" s="5" t="str">
        <f ca="1">IFERROR(__xludf.DUMMYFUNCTION("""COMPUTED_VALUE"""),"العجمي")</f>
        <v>العجمي</v>
      </c>
      <c r="D1379" s="5" t="str">
        <f ca="1">IFERROR(__xludf.DUMMYFUNCTION("""COMPUTED_VALUE"""),"هيئة الأطباء")</f>
        <v>هيئة الأطباء</v>
      </c>
      <c r="E1379" s="5" t="str">
        <f ca="1">IFERROR(__xludf.DUMMYFUNCTION("""COMPUTED_VALUE"""),"اسنان")</f>
        <v>اسنان</v>
      </c>
      <c r="F1379" s="5" t="str">
        <f ca="1">IFERROR(__xludf.DUMMYFUNCTION("""COMPUTED_VALUE"""),"جراحة الفم والأسنان")</f>
        <v>جراحة الفم والأسنان</v>
      </c>
      <c r="G1379" s="5" t="str">
        <f ca="1">IFERROR(__xludf.DUMMYFUNCTION("""COMPUTED_VALUE"""),"د/ محمد عبدالمعطى محمد عبدالمعطى طيبه (امريكان دنتال كير)")</f>
        <v>د/ محمد عبدالمعطى محمد عبدالمعطى طيبه (امريكان دنتال كير)</v>
      </c>
      <c r="H1379" s="5" t="str">
        <f ca="1">IFERROR(__xludf.DUMMYFUNCTION("""COMPUTED_VALUE"""),"1شارع الشيخ احمد ياسين - امام حى العجمى - البيطاش - العجمى")</f>
        <v>1شارع الشيخ احمد ياسين - امام حى العجمى - البيطاش - العجمى</v>
      </c>
      <c r="I1379" s="6" t="str">
        <f ca="1">IFERROR(__xludf.DUMMYFUNCTION("""COMPUTED_VALUE"""),"2033084850")</f>
        <v>2033084850</v>
      </c>
      <c r="J1379" s="6"/>
      <c r="K1379" s="6" t="str">
        <f ca="1">IFERROR(__xludf.DUMMYFUNCTION("""COMPUTED_VALUE"""),"50%على الكشوفات ,20% على الإجراءات ,15% على التركيبات ,10%على الزراعات")</f>
        <v>50%على الكشوفات ,20% على الإجراءات ,15% على التركيبات ,10%على الزراعات</v>
      </c>
    </row>
    <row r="1380" spans="1:11" x14ac:dyDescent="0.25">
      <c r="A1380" s="4" t="str">
        <f ca="1">IFERROR(__xludf.DUMMYFUNCTION("""COMPUTED_VALUE"""),"105624")</f>
        <v>105624</v>
      </c>
      <c r="B1380" s="5" t="str">
        <f ca="1">IFERROR(__xludf.DUMMYFUNCTION("""COMPUTED_VALUE"""),"الجيزة")</f>
        <v>الجيزة</v>
      </c>
      <c r="C1380" s="5" t="str">
        <f ca="1">IFERROR(__xludf.DUMMYFUNCTION("""COMPUTED_VALUE"""),"الدقي")</f>
        <v>الدقي</v>
      </c>
      <c r="D1380" s="5" t="str">
        <f ca="1">IFERROR(__xludf.DUMMYFUNCTION("""COMPUTED_VALUE"""),"هيئة الأطباء")</f>
        <v>هيئة الأطباء</v>
      </c>
      <c r="E1380" s="5" t="str">
        <f ca="1">IFERROR(__xludf.DUMMYFUNCTION("""COMPUTED_VALUE"""),"اسنان")</f>
        <v>اسنان</v>
      </c>
      <c r="F1380" s="5" t="str">
        <f ca="1">IFERROR(__xludf.DUMMYFUNCTION("""COMPUTED_VALUE"""),"جراحة الفم والأسنان")</f>
        <v>جراحة الفم والأسنان</v>
      </c>
      <c r="G1380" s="5" t="str">
        <f ca="1">IFERROR(__xludf.DUMMYFUNCTION("""COMPUTED_VALUE"""),"د.باسم إبراهيم يوسف لاشين")</f>
        <v>د.باسم إبراهيم يوسف لاشين</v>
      </c>
      <c r="H1380" s="5" t="str">
        <f ca="1">IFERROR(__xludf.DUMMYFUNCTION("""COMPUTED_VALUE"""),"6 شارع التحرير-الدقي-الجيزه")</f>
        <v>6 شارع التحرير-الدقي-الجيزه</v>
      </c>
      <c r="I1380" s="6" t="str">
        <f ca="1">IFERROR(__xludf.DUMMYFUNCTION("""COMPUTED_VALUE"""),"1092298887")</f>
        <v>1092298887</v>
      </c>
      <c r="J1380" s="6"/>
      <c r="K1380" s="6" t="str">
        <f ca="1">IFERROR(__xludf.DUMMYFUNCTION("""COMPUTED_VALUE"""),"50%خصم علي الكشوفات وخصم 25% علي باقي الخدمات المعلنة")</f>
        <v>50%خصم علي الكشوفات وخصم 25% علي باقي الخدمات المعلنة</v>
      </c>
    </row>
    <row r="1381" spans="1:11" x14ac:dyDescent="0.25">
      <c r="A1381" s="4" t="str">
        <f ca="1">IFERROR(__xludf.DUMMYFUNCTION("""COMPUTED_VALUE"""),"105534-B")</f>
        <v>105534-B</v>
      </c>
      <c r="B1381" s="5" t="str">
        <f ca="1">IFERROR(__xludf.DUMMYFUNCTION("""COMPUTED_VALUE"""),"الاسكندرية")</f>
        <v>الاسكندرية</v>
      </c>
      <c r="C1381" s="5" t="str">
        <f ca="1">IFERROR(__xludf.DUMMYFUNCTION("""COMPUTED_VALUE"""),"محرم بيك")</f>
        <v>محرم بيك</v>
      </c>
      <c r="D1381" s="5" t="str">
        <f ca="1">IFERROR(__xludf.DUMMYFUNCTION("""COMPUTED_VALUE"""),"هيئة الأطباء")</f>
        <v>هيئة الأطباء</v>
      </c>
      <c r="E1381" s="5" t="str">
        <f ca="1">IFERROR(__xludf.DUMMYFUNCTION("""COMPUTED_VALUE"""),"اسنان")</f>
        <v>اسنان</v>
      </c>
      <c r="F1381" s="5" t="str">
        <f ca="1">IFERROR(__xludf.DUMMYFUNCTION("""COMPUTED_VALUE"""),"جراحة الفم والأسنان")</f>
        <v>جراحة الفم والأسنان</v>
      </c>
      <c r="G1381" s="5" t="str">
        <f ca="1">IFERROR(__xludf.DUMMYFUNCTION("""COMPUTED_VALUE"""),"سكاي دنت  لعلاج و تجميل الاسنان (احمد شعبان محمد ابوزيد عبدالعال)")</f>
        <v>سكاي دنت  لعلاج و تجميل الاسنان (احمد شعبان محمد ابوزيد عبدالعال)</v>
      </c>
      <c r="H1381" s="5" t="str">
        <f ca="1">IFERROR(__xludf.DUMMYFUNCTION("""COMPUTED_VALUE"""),"40 شارع قناة السويس - برج القصر - محرم بك")</f>
        <v>40 شارع قناة السويس - برج القصر - محرم بك</v>
      </c>
      <c r="I1381" s="6" t="str">
        <f ca="1">IFERROR(__xludf.DUMMYFUNCTION("""COMPUTED_VALUE"""),"2033951512")</f>
        <v>2033951512</v>
      </c>
      <c r="J1381" s="6"/>
      <c r="K1381" s="6" t="str">
        <f ca="1">IFERROR(__xludf.DUMMYFUNCTION("""COMPUTED_VALUE"""),"30% علي الأسعار النقدي المعلنة")</f>
        <v>30% علي الأسعار النقدي المعلنة</v>
      </c>
    </row>
    <row r="1382" spans="1:11" x14ac:dyDescent="0.25">
      <c r="A1382" s="4" t="str">
        <f ca="1">IFERROR(__xludf.DUMMYFUNCTION("""COMPUTED_VALUE"""),"105534-B")</f>
        <v>105534-B</v>
      </c>
      <c r="B1382" s="5" t="str">
        <f ca="1">IFERROR(__xludf.DUMMYFUNCTION("""COMPUTED_VALUE"""),"الاسكندرية")</f>
        <v>الاسكندرية</v>
      </c>
      <c r="C1382" s="5" t="str">
        <f ca="1">IFERROR(__xludf.DUMMYFUNCTION("""COMPUTED_VALUE"""),"سيدي بشر")</f>
        <v>سيدي بشر</v>
      </c>
      <c r="D1382" s="5" t="str">
        <f ca="1">IFERROR(__xludf.DUMMYFUNCTION("""COMPUTED_VALUE"""),"هيئة الأطباء")</f>
        <v>هيئة الأطباء</v>
      </c>
      <c r="E1382" s="5" t="str">
        <f ca="1">IFERROR(__xludf.DUMMYFUNCTION("""COMPUTED_VALUE"""),"اسنان")</f>
        <v>اسنان</v>
      </c>
      <c r="F1382" s="5" t="str">
        <f ca="1">IFERROR(__xludf.DUMMYFUNCTION("""COMPUTED_VALUE"""),"جراحة الفم والأسنان")</f>
        <v>جراحة الفم والأسنان</v>
      </c>
      <c r="G1382" s="5" t="str">
        <f ca="1">IFERROR(__xludf.DUMMYFUNCTION("""COMPUTED_VALUE"""),"سكاي دنت  لعلاج و تجميل الاسنان (احمد شعبان محمد ابوزيد عبدالعال)")</f>
        <v>سكاي دنت  لعلاج و تجميل الاسنان (احمد شعبان محمد ابوزيد عبدالعال)</v>
      </c>
      <c r="H1382" s="5" t="str">
        <f ca="1">IFERROR(__xludf.DUMMYFUNCTION("""COMPUTED_VALUE"""),"55 تقاطع شارع البكباشى العيسوى مع شارع مسجد سيدى بشر - سيدى بشر")</f>
        <v>55 تقاطع شارع البكباشى العيسوى مع شارع مسجد سيدى بشر - سيدى بشر</v>
      </c>
      <c r="I1382" s="6" t="str">
        <f ca="1">IFERROR(__xludf.DUMMYFUNCTION("""COMPUTED_VALUE"""),"2035539714")</f>
        <v>2035539714</v>
      </c>
      <c r="J1382" s="6"/>
      <c r="K1382" s="6" t="str">
        <f ca="1">IFERROR(__xludf.DUMMYFUNCTION("""COMPUTED_VALUE"""),"30% علي الأسعار النقدي المعلنة")</f>
        <v>30% علي الأسعار النقدي المعلنة</v>
      </c>
    </row>
    <row r="1383" spans="1:11" x14ac:dyDescent="0.25">
      <c r="A1383" s="4" t="str">
        <f ca="1">IFERROR(__xludf.DUMMYFUNCTION("""COMPUTED_VALUE"""),"105061-B")</f>
        <v>105061-B</v>
      </c>
      <c r="B1383" s="5" t="str">
        <f ca="1">IFERROR(__xludf.DUMMYFUNCTION("""COMPUTED_VALUE"""),"القليوبية")</f>
        <v>القليوبية</v>
      </c>
      <c r="C1383" s="5" t="str">
        <f ca="1">IFERROR(__xludf.DUMMYFUNCTION("""COMPUTED_VALUE"""),"الخصوص")</f>
        <v>الخصوص</v>
      </c>
      <c r="D1383" s="5" t="str">
        <f ca="1">IFERROR(__xludf.DUMMYFUNCTION("""COMPUTED_VALUE"""),"صيدلية")</f>
        <v>صيدلية</v>
      </c>
      <c r="E1383" s="5" t="str">
        <f ca="1">IFERROR(__xludf.DUMMYFUNCTION("""COMPUTED_VALUE"""),"صيدلية")</f>
        <v>صيدلية</v>
      </c>
      <c r="F1383" s="5" t="str">
        <f ca="1">IFERROR(__xludf.DUMMYFUNCTION("""COMPUTED_VALUE"""),"صيدلية (أدوية ومستلزمات طبية)")</f>
        <v>صيدلية (أدوية ومستلزمات طبية)</v>
      </c>
      <c r="G1383" s="5" t="str">
        <f ca="1">IFERROR(__xludf.DUMMYFUNCTION("""COMPUTED_VALUE"""),"صيدلية محمود جابر")</f>
        <v>صيدلية محمود جابر</v>
      </c>
      <c r="H1383" s="5" t="str">
        <f ca="1">IFERROR(__xludf.DUMMYFUNCTION("""COMPUTED_VALUE"""),"شارع الصرف الصحي بجوار مستشفي الحياه-الخصوص")</f>
        <v>شارع الصرف الصحي بجوار مستشفي الحياه-الخصوص</v>
      </c>
      <c r="I1383" s="6" t="str">
        <f ca="1">IFERROR(__xludf.DUMMYFUNCTION("""COMPUTED_VALUE"""),"201000284121")</f>
        <v>201000284121</v>
      </c>
      <c r="J1383" s="6" t="str">
        <f ca="1">IFERROR(__xludf.DUMMYFUNCTION("""COMPUTED_VALUE"""),"19930")</f>
        <v>19930</v>
      </c>
      <c r="K1383" s="6" t="str">
        <f ca="1">IFERROR(__xludf.DUMMYFUNCTION("""COMPUTED_VALUE"""),"خصم 12% محلي و 6% المستورد")</f>
        <v>خصم 12% محلي و 6% المستورد</v>
      </c>
    </row>
    <row r="1384" spans="1:11" x14ac:dyDescent="0.25">
      <c r="A1384" s="4" t="str">
        <f ca="1">IFERROR(__xludf.DUMMYFUNCTION("""COMPUTED_VALUE"""),"105061-B")</f>
        <v>105061-B</v>
      </c>
      <c r="B1384" s="5" t="str">
        <f ca="1">IFERROR(__xludf.DUMMYFUNCTION("""COMPUTED_VALUE"""),"القاهرة")</f>
        <v>القاهرة</v>
      </c>
      <c r="C1384" s="5" t="str">
        <f ca="1">IFERROR(__xludf.DUMMYFUNCTION("""COMPUTED_VALUE"""),"المرج")</f>
        <v>المرج</v>
      </c>
      <c r="D1384" s="5" t="str">
        <f ca="1">IFERROR(__xludf.DUMMYFUNCTION("""COMPUTED_VALUE"""),"صيدلية")</f>
        <v>صيدلية</v>
      </c>
      <c r="E1384" s="5" t="str">
        <f ca="1">IFERROR(__xludf.DUMMYFUNCTION("""COMPUTED_VALUE"""),"صيدلية")</f>
        <v>صيدلية</v>
      </c>
      <c r="F1384" s="5" t="str">
        <f ca="1">IFERROR(__xludf.DUMMYFUNCTION("""COMPUTED_VALUE"""),"صيدلية (أدوية ومستلزمات طبية)")</f>
        <v>صيدلية (أدوية ومستلزمات طبية)</v>
      </c>
      <c r="G1384" s="5" t="str">
        <f ca="1">IFERROR(__xludf.DUMMYFUNCTION("""COMPUTED_VALUE"""),"صيدلية هانى فايز لمعى الجديدة (صيدلية محمد سعيد)")</f>
        <v>صيدلية هانى فايز لمعى الجديدة (صيدلية محمد سعيد)</v>
      </c>
      <c r="H1384" s="5" t="str">
        <f ca="1">IFERROR(__xludf.DUMMYFUNCTION("""COMPUTED_VALUE"""),"شارع حسن الفقي امام مدرسه مناره الشرق الخاصه")</f>
        <v>شارع حسن الفقي امام مدرسه مناره الشرق الخاصه</v>
      </c>
      <c r="I1384" s="6" t="str">
        <f ca="1">IFERROR(__xludf.DUMMYFUNCTION("""COMPUTED_VALUE"""),"201022323397")</f>
        <v>201022323397</v>
      </c>
      <c r="J1384" s="6" t="str">
        <f ca="1">IFERROR(__xludf.DUMMYFUNCTION("""COMPUTED_VALUE"""),"19930")</f>
        <v>19930</v>
      </c>
      <c r="K1384" s="6" t="str">
        <f ca="1">IFERROR(__xludf.DUMMYFUNCTION("""COMPUTED_VALUE"""),"خصم 12% محلي و 6% المستورد")</f>
        <v>خصم 12% محلي و 6% المستورد</v>
      </c>
    </row>
    <row r="1385" spans="1:11" x14ac:dyDescent="0.25">
      <c r="A1385" s="4" t="str">
        <f ca="1">IFERROR(__xludf.DUMMYFUNCTION("""COMPUTED_VALUE"""),"105061-B")</f>
        <v>105061-B</v>
      </c>
      <c r="B1385" s="5" t="str">
        <f ca="1">IFERROR(__xludf.DUMMYFUNCTION("""COMPUTED_VALUE"""),"القاهرة")</f>
        <v>القاهرة</v>
      </c>
      <c r="C1385" s="5" t="str">
        <f ca="1">IFERROR(__xludf.DUMMYFUNCTION("""COMPUTED_VALUE"""),"عزبه النخل")</f>
        <v>عزبه النخل</v>
      </c>
      <c r="D1385" s="5" t="str">
        <f ca="1">IFERROR(__xludf.DUMMYFUNCTION("""COMPUTED_VALUE"""),"صيدلية")</f>
        <v>صيدلية</v>
      </c>
      <c r="E1385" s="5" t="str">
        <f ca="1">IFERROR(__xludf.DUMMYFUNCTION("""COMPUTED_VALUE"""),"صيدلية")</f>
        <v>صيدلية</v>
      </c>
      <c r="F1385" s="5" t="str">
        <f ca="1">IFERROR(__xludf.DUMMYFUNCTION("""COMPUTED_VALUE"""),"صيدلية (أدوية ومستلزمات طبية)")</f>
        <v>صيدلية (أدوية ومستلزمات طبية)</v>
      </c>
      <c r="G1385" s="5" t="str">
        <f ca="1">IFERROR(__xludf.DUMMYFUNCTION("""COMPUTED_VALUE"""),"صيدلية هانى فايز لمعى الجديدة (صيدلية الصباح)")</f>
        <v>صيدلية هانى فايز لمعى الجديدة (صيدلية الصباح)</v>
      </c>
      <c r="H1385" s="5" t="str">
        <f ca="1">IFERROR(__xludf.DUMMYFUNCTION("""COMPUTED_VALUE"""),"2 شارع خالد ابن الوليد امام مؤسسه الزكاه عزبه النخل")</f>
        <v>2 شارع خالد ابن الوليد امام مؤسسه الزكاه عزبه النخل</v>
      </c>
      <c r="I1385" s="6" t="str">
        <f ca="1">IFERROR(__xludf.DUMMYFUNCTION("""COMPUTED_VALUE"""),"201022323384")</f>
        <v>201022323384</v>
      </c>
      <c r="J1385" s="6" t="str">
        <f ca="1">IFERROR(__xludf.DUMMYFUNCTION("""COMPUTED_VALUE"""),"19930")</f>
        <v>19930</v>
      </c>
      <c r="K1385" s="6" t="str">
        <f ca="1">IFERROR(__xludf.DUMMYFUNCTION("""COMPUTED_VALUE"""),"خصم 12% محلي و 6% المستورد")</f>
        <v>خصم 12% محلي و 6% المستورد</v>
      </c>
    </row>
    <row r="1386" spans="1:11" x14ac:dyDescent="0.25">
      <c r="A1386" s="4" t="str">
        <f ca="1">IFERROR(__xludf.DUMMYFUNCTION("""COMPUTED_VALUE"""),"105061-B")</f>
        <v>105061-B</v>
      </c>
      <c r="B1386" s="5" t="str">
        <f ca="1">IFERROR(__xludf.DUMMYFUNCTION("""COMPUTED_VALUE"""),"القاهرة")</f>
        <v>القاهرة</v>
      </c>
      <c r="C1386" s="5" t="str">
        <f ca="1">IFERROR(__xludf.DUMMYFUNCTION("""COMPUTED_VALUE"""),"المرج")</f>
        <v>المرج</v>
      </c>
      <c r="D1386" s="5" t="str">
        <f ca="1">IFERROR(__xludf.DUMMYFUNCTION("""COMPUTED_VALUE"""),"صيدلية")</f>
        <v>صيدلية</v>
      </c>
      <c r="E1386" s="5" t="str">
        <f ca="1">IFERROR(__xludf.DUMMYFUNCTION("""COMPUTED_VALUE"""),"صيدلية")</f>
        <v>صيدلية</v>
      </c>
      <c r="F1386" s="5" t="str">
        <f ca="1">IFERROR(__xludf.DUMMYFUNCTION("""COMPUTED_VALUE"""),"صيدلية (أدوية ومستلزمات طبية)")</f>
        <v>صيدلية (أدوية ومستلزمات طبية)</v>
      </c>
      <c r="G1386" s="5" t="str">
        <f ca="1">IFERROR(__xludf.DUMMYFUNCTION("""COMPUTED_VALUE"""),"صيدلية هانى فايز لمعى الجديدة (صيدلية محمد العجمي)")</f>
        <v>صيدلية هانى فايز لمعى الجديدة (صيدلية محمد العجمي)</v>
      </c>
      <c r="H1386" s="5" t="str">
        <f ca="1">IFERROR(__xludf.DUMMYFUNCTION("""COMPUTED_VALUE"""),"2 شارع محمد نجيب امام محطه مياه المرج")</f>
        <v>2 شارع محمد نجيب امام محطه مياه المرج</v>
      </c>
      <c r="I1386" s="6" t="str">
        <f ca="1">IFERROR(__xludf.DUMMYFUNCTION("""COMPUTED_VALUE"""),"01271645102")</f>
        <v>01271645102</v>
      </c>
      <c r="J1386" s="6" t="str">
        <f ca="1">IFERROR(__xludf.DUMMYFUNCTION("""COMPUTED_VALUE"""),"19930")</f>
        <v>19930</v>
      </c>
      <c r="K1386" s="6" t="str">
        <f ca="1">IFERROR(__xludf.DUMMYFUNCTION("""COMPUTED_VALUE"""),"خصم 12% محلي و 6% المستورد")</f>
        <v>خصم 12% محلي و 6% المستورد</v>
      </c>
    </row>
    <row r="1387" spans="1:11" x14ac:dyDescent="0.25">
      <c r="A1387" s="4" t="str">
        <f ca="1">IFERROR(__xludf.DUMMYFUNCTION("""COMPUTED_VALUE"""),"105061-B")</f>
        <v>105061-B</v>
      </c>
      <c r="B1387" s="5" t="str">
        <f ca="1">IFERROR(__xludf.DUMMYFUNCTION("""COMPUTED_VALUE"""),"القاهرة")</f>
        <v>القاهرة</v>
      </c>
      <c r="C1387" s="5" t="str">
        <f ca="1">IFERROR(__xludf.DUMMYFUNCTION("""COMPUTED_VALUE"""),"عين شمس")</f>
        <v>عين شمس</v>
      </c>
      <c r="D1387" s="5" t="str">
        <f ca="1">IFERROR(__xludf.DUMMYFUNCTION("""COMPUTED_VALUE"""),"صيدلية")</f>
        <v>صيدلية</v>
      </c>
      <c r="E1387" s="5" t="str">
        <f ca="1">IFERROR(__xludf.DUMMYFUNCTION("""COMPUTED_VALUE"""),"صيدلية")</f>
        <v>صيدلية</v>
      </c>
      <c r="F1387" s="5" t="str">
        <f ca="1">IFERROR(__xludf.DUMMYFUNCTION("""COMPUTED_VALUE"""),"صيدلية (أدوية ومستلزمات طبية)")</f>
        <v>صيدلية (أدوية ومستلزمات طبية)</v>
      </c>
      <c r="G1387" s="5" t="str">
        <f ca="1">IFERROR(__xludf.DUMMYFUNCTION("""COMPUTED_VALUE"""),"صيدلية مرقس منير")</f>
        <v>صيدلية مرقس منير</v>
      </c>
      <c r="H1387" s="5" t="str">
        <f ca="1">IFERROR(__xludf.DUMMYFUNCTION("""COMPUTED_VALUE"""),"شارع غرب السكه الحديد - عين شمس")</f>
        <v>شارع غرب السكه الحديد - عين شمس</v>
      </c>
      <c r="I1387" s="6" t="str">
        <f ca="1">IFERROR(__xludf.DUMMYFUNCTION("""COMPUTED_VALUE"""),"201050165355")</f>
        <v>201050165355</v>
      </c>
      <c r="J1387" s="6" t="str">
        <f ca="1">IFERROR(__xludf.DUMMYFUNCTION("""COMPUTED_VALUE"""),"19930")</f>
        <v>19930</v>
      </c>
      <c r="K1387" s="6" t="str">
        <f ca="1">IFERROR(__xludf.DUMMYFUNCTION("""COMPUTED_VALUE"""),"خصم 12% محلي و 6% المستورد")</f>
        <v>خصم 12% محلي و 6% المستورد</v>
      </c>
    </row>
    <row r="1388" spans="1:11" x14ac:dyDescent="0.25">
      <c r="A1388" s="4" t="str">
        <f ca="1">IFERROR(__xludf.DUMMYFUNCTION("""COMPUTED_VALUE"""),"2822-B")</f>
        <v>2822-B</v>
      </c>
      <c r="B1388" s="5" t="str">
        <f ca="1">IFERROR(__xludf.DUMMYFUNCTION("""COMPUTED_VALUE"""),"القاهرة")</f>
        <v>القاهرة</v>
      </c>
      <c r="C1388" s="5" t="str">
        <f ca="1">IFERROR(__xludf.DUMMYFUNCTION("""COMPUTED_VALUE"""),"القاهرة الجديدة")</f>
        <v>القاهرة الجديدة</v>
      </c>
      <c r="D1388" s="5" t="str">
        <f ca="1">IFERROR(__xludf.DUMMYFUNCTION("""COMPUTED_VALUE"""),"صيدلية")</f>
        <v>صيدلية</v>
      </c>
      <c r="E1388" s="5" t="str">
        <f ca="1">IFERROR(__xludf.DUMMYFUNCTION("""COMPUTED_VALUE"""),"صيدلية")</f>
        <v>صيدلية</v>
      </c>
      <c r="F1388" s="5" t="str">
        <f ca="1">IFERROR(__xludf.DUMMYFUNCTION("""COMPUTED_VALUE"""),"صيدلية (أدوية ومستلزمات طبية)")</f>
        <v>صيدلية (أدوية ومستلزمات طبية)</v>
      </c>
      <c r="G1388" s="5" t="str">
        <f ca="1">IFERROR(__xludf.DUMMYFUNCTION("""COMPUTED_VALUE"""),"صيدليات سيف")</f>
        <v>صيدليات سيف</v>
      </c>
      <c r="H1388" s="5" t="str">
        <f ca="1">IFERROR(__xludf.DUMMYFUNCTION("""COMPUTED_VALUE"""),"قطعه 177 –القطاع التانى متفرع من ش التسعين بجوار شركه جيزا سيستم – التجمع الخامس")</f>
        <v>قطعه 177 –القطاع التانى متفرع من ش التسعين بجوار شركه جيزا سيستم – التجمع الخامس</v>
      </c>
      <c r="I1388" s="6" t="str">
        <f ca="1">IFERROR(__xludf.DUMMYFUNCTION("""COMPUTED_VALUE"""),"1277555513")</f>
        <v>1277555513</v>
      </c>
      <c r="J1388" s="6" t="str">
        <f ca="1">IFERROR(__xludf.DUMMYFUNCTION("""COMPUTED_VALUE"""),"19199")</f>
        <v>19199</v>
      </c>
      <c r="K1388"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1389" spans="1:11" x14ac:dyDescent="0.25">
      <c r="A1389" s="4" t="str">
        <f ca="1">IFERROR(__xludf.DUMMYFUNCTION("""COMPUTED_VALUE"""),"105631")</f>
        <v>105631</v>
      </c>
      <c r="B1389" s="5" t="str">
        <f ca="1">IFERROR(__xludf.DUMMYFUNCTION("""COMPUTED_VALUE"""),"القليوبية")</f>
        <v>القليوبية</v>
      </c>
      <c r="C1389" s="5" t="str">
        <f ca="1">IFERROR(__xludf.DUMMYFUNCTION("""COMPUTED_VALUE"""),"أبو زعبل")</f>
        <v>أبو زعبل</v>
      </c>
      <c r="D1389" s="5" t="str">
        <f ca="1">IFERROR(__xludf.DUMMYFUNCTION("""COMPUTED_VALUE"""),"مستشفى")</f>
        <v>مستشفى</v>
      </c>
      <c r="E1389" s="5" t="str">
        <f ca="1">IFERROR(__xludf.DUMMYFUNCTION("""COMPUTED_VALUE"""),"مستشفي طبي متكامل")</f>
        <v>مستشفي طبي متكامل</v>
      </c>
      <c r="F1389" s="5" t="str">
        <f ca="1">IFERROR(__xludf.DUMMYFUNCTION("""COMPUTED_VALUE"""),"جميع التخصصات الطبية")</f>
        <v>جميع التخصصات الطبية</v>
      </c>
      <c r="G1389" s="5" t="str">
        <f ca="1">IFERROR(__xludf.DUMMYFUNCTION("""COMPUTED_VALUE"""),"مركز اراب كلينيك للجراحة العامة")</f>
        <v>مركز اراب كلينيك للجراحة العامة</v>
      </c>
      <c r="H1389" s="5" t="str">
        <f ca="1">IFERROR(__xludf.DUMMYFUNCTION("""COMPUTED_VALUE"""),"5شارع ماكينة المياه - بجوار بوسطة أبو زعبل - أبو زعبل - الخانكة  القليوبية")</f>
        <v>5شارع ماكينة المياه - بجوار بوسطة أبو زعبل - أبو زعبل - الخانكة  القليوبية</v>
      </c>
      <c r="I1389" s="6" t="str">
        <f ca="1">IFERROR(__xludf.DUMMYFUNCTION("""COMPUTED_VALUE"""),"20244555212")</f>
        <v>20244555212</v>
      </c>
      <c r="J1389" s="6"/>
      <c r="K1389" s="6" t="str">
        <f ca="1">IFERROR(__xludf.DUMMYFUNCTION("""COMPUTED_VALUE"""),"30% علي الكشف و الاشعه و التحاليل ،15% علي العمليات ما عدا اتعاب الاطباء والمستلزمات الطبية والادوية")</f>
        <v>30% علي الكشف و الاشعه و التحاليل ،15% علي العمليات ما عدا اتعاب الاطباء والمستلزمات الطبية والادوية</v>
      </c>
    </row>
    <row r="1390" spans="1:11" x14ac:dyDescent="0.25">
      <c r="A1390" s="4" t="str">
        <f ca="1">IFERROR(__xludf.DUMMYFUNCTION("""COMPUTED_VALUE"""),"105635")</f>
        <v>105635</v>
      </c>
      <c r="B1390" s="5" t="str">
        <f ca="1">IFERROR(__xludf.DUMMYFUNCTION("""COMPUTED_VALUE"""),"المنوفية")</f>
        <v>المنوفية</v>
      </c>
      <c r="C1390" s="5" t="str">
        <f ca="1">IFERROR(__xludf.DUMMYFUNCTION("""COMPUTED_VALUE"""),"مدينه السادات")</f>
        <v>مدينه السادات</v>
      </c>
      <c r="D1390" s="5" t="str">
        <f ca="1">IFERROR(__xludf.DUMMYFUNCTION("""COMPUTED_VALUE"""),"مستشفى")</f>
        <v>مستشفى</v>
      </c>
      <c r="E1390" s="5" t="str">
        <f ca="1">IFERROR(__xludf.DUMMYFUNCTION("""COMPUTED_VALUE"""),"مستشفي طبي متخصص")</f>
        <v>مستشفي طبي متخصص</v>
      </c>
      <c r="F1390" s="5" t="str">
        <f ca="1">IFERROR(__xludf.DUMMYFUNCTION("""COMPUTED_VALUE"""),"رمد (جراحة عيون)")</f>
        <v>رمد (جراحة عيون)</v>
      </c>
      <c r="G1390" s="5" t="str">
        <f ca="1">IFERROR(__xludf.DUMMYFUNCTION("""COMPUTED_VALUE"""),"شركة المدينة للخدمات الطبية(مركز المدينة للعيون)")</f>
        <v>شركة المدينة للخدمات الطبية(مركز المدينة للعيون)</v>
      </c>
      <c r="H1390" s="5" t="str">
        <f ca="1">IFERROR(__xludf.DUMMYFUNCTION("""COMPUTED_VALUE"""),"وحدة 15 اعلى محلات سوق المنطقة الرابعة - اعلى هايبر الياسمين - المنطقة الرابعة - مدينة السادات - المنوفية")</f>
        <v>وحدة 15 اعلى محلات سوق المنطقة الرابعة - اعلى هايبر الياسمين - المنطقة الرابعة - مدينة السادات - المنوفية</v>
      </c>
      <c r="I1390" s="6" t="str">
        <f ca="1">IFERROR(__xludf.DUMMYFUNCTION("""COMPUTED_VALUE"""),"20482610615")</f>
        <v>20482610615</v>
      </c>
      <c r="J1390" s="6"/>
      <c r="K1390" s="6" t="str">
        <f ca="1">IFERROR(__xludf.DUMMYFUNCTION("""COMPUTED_VALUE"""),"خصم 20% علي الأسعار النقدي المعلنة")</f>
        <v>خصم 20% علي الأسعار النقدي المعلنة</v>
      </c>
    </row>
    <row r="1391" spans="1:11" x14ac:dyDescent="0.25">
      <c r="A1391" s="4" t="str">
        <f ca="1">IFERROR(__xludf.DUMMYFUNCTION("""COMPUTED_VALUE"""),"105644")</f>
        <v>105644</v>
      </c>
      <c r="B1391" s="5" t="str">
        <f ca="1">IFERROR(__xludf.DUMMYFUNCTION("""COMPUTED_VALUE"""),"الجيزة")</f>
        <v>الجيزة</v>
      </c>
      <c r="C1391" s="5" t="str">
        <f ca="1">IFERROR(__xludf.DUMMYFUNCTION("""COMPUTED_VALUE"""),"امبابة")</f>
        <v>امبابة</v>
      </c>
      <c r="D1391" s="5" t="str">
        <f ca="1">IFERROR(__xludf.DUMMYFUNCTION("""COMPUTED_VALUE"""),"مستشفى")</f>
        <v>مستشفى</v>
      </c>
      <c r="E1391" s="5" t="str">
        <f ca="1">IFERROR(__xludf.DUMMYFUNCTION("""COMPUTED_VALUE"""),"مستشفي طبي متكامل")</f>
        <v>مستشفي طبي متكامل</v>
      </c>
      <c r="F1391" s="5" t="str">
        <f ca="1">IFERROR(__xludf.DUMMYFUNCTION("""COMPUTED_VALUE"""),"جميع التخصصات الطبية")</f>
        <v>جميع التخصصات الطبية</v>
      </c>
      <c r="G1391" s="5" t="str">
        <f ca="1">IFERROR(__xludf.DUMMYFUNCTION("""COMPUTED_VALUE"""),"مستشفى العجوز التخصصى")</f>
        <v>مستشفى العجوز التخصصى</v>
      </c>
      <c r="H1391" s="5" t="str">
        <f ca="1">IFERROR(__xludf.DUMMYFUNCTION("""COMPUTED_VALUE"""),"1شارع محمد إبراهيم سالمان من شارع القومية العربية - امبابة")</f>
        <v>1شارع محمد إبراهيم سالمان من شارع القومية العربية - امبابة</v>
      </c>
      <c r="I1391" s="6" t="str">
        <f ca="1">IFERROR(__xludf.DUMMYFUNCTION("""COMPUTED_VALUE"""),"201111149544")</f>
        <v>201111149544</v>
      </c>
      <c r="J1391" s="6"/>
      <c r="K1391" s="6" t="str">
        <f ca="1">IFERROR(__xludf.DUMMYFUNCTION("""COMPUTED_VALUE"""),"25% علي الكشف ، 15% علي كل الخدمات ما عدا المستلزمات الطبية والادوية واتعاب الاطباء")</f>
        <v>25% علي الكشف ، 15% علي كل الخدمات ما عدا المستلزمات الطبية والادوية واتعاب الاطباء</v>
      </c>
    </row>
    <row r="1392" spans="1:11" x14ac:dyDescent="0.25">
      <c r="A1392" s="4" t="str">
        <f ca="1">IFERROR(__xludf.DUMMYFUNCTION("""COMPUTED_VALUE"""),"105654")</f>
        <v>105654</v>
      </c>
      <c r="B1392" s="5" t="str">
        <f ca="1">IFERROR(__xludf.DUMMYFUNCTION("""COMPUTED_VALUE"""),"القاهرة")</f>
        <v>القاهرة</v>
      </c>
      <c r="C1392" s="5" t="str">
        <f ca="1">IFERROR(__xludf.DUMMYFUNCTION("""COMPUTED_VALUE"""),"مدينة نصر")</f>
        <v>مدينة نصر</v>
      </c>
      <c r="D1392" s="5" t="str">
        <f ca="1">IFERROR(__xludf.DUMMYFUNCTION("""COMPUTED_VALUE"""),"هيئة الأطباء")</f>
        <v>هيئة الأطباء</v>
      </c>
      <c r="E1392" s="5" t="str">
        <f ca="1">IFERROR(__xludf.DUMMYFUNCTION("""COMPUTED_VALUE"""),"اسنان")</f>
        <v>اسنان</v>
      </c>
      <c r="F1392" s="5" t="str">
        <f ca="1">IFERROR(__xludf.DUMMYFUNCTION("""COMPUTED_VALUE"""),"جراحة الفم والأسنان")</f>
        <v>جراحة الفم والأسنان</v>
      </c>
      <c r="G1392" s="5" t="str">
        <f ca="1">IFERROR(__xludf.DUMMYFUNCTION("""COMPUTED_VALUE"""),"مركز سمايل كير")</f>
        <v>مركز سمايل كير</v>
      </c>
      <c r="H1392" s="5" t="str">
        <f ca="1">IFERROR(__xludf.DUMMYFUNCTION("""COMPUTED_VALUE"""),"13 شارع إبراهيم نوار  متفرع من شارع احمد فخرى - مدينة نصر")</f>
        <v>13 شارع إبراهيم نوار  متفرع من شارع احمد فخرى - مدينة نصر</v>
      </c>
      <c r="I1392" s="6" t="str">
        <f ca="1">IFERROR(__xludf.DUMMYFUNCTION("""COMPUTED_VALUE"""),"20223521660")</f>
        <v>20223521660</v>
      </c>
      <c r="J1392" s="6"/>
      <c r="K1392" s="6" t="str">
        <f ca="1">IFERROR(__xludf.DUMMYFUNCTION("""COMPUTED_VALUE"""),"خصم 50% غلي الكشوفات و 20% علي التركيبات و الزراعات و 30% علي باقي الخدمات ")</f>
        <v xml:space="preserve">خصم 50% غلي الكشوفات و 20% علي التركيبات و الزراعات و 30% علي باقي الخدمات </v>
      </c>
    </row>
    <row r="1393" spans="1:11" x14ac:dyDescent="0.25">
      <c r="A1393" s="4" t="str">
        <f ca="1">IFERROR(__xludf.DUMMYFUNCTION("""COMPUTED_VALUE"""),"105656")</f>
        <v>105656</v>
      </c>
      <c r="B1393" s="5" t="str">
        <f ca="1">IFERROR(__xludf.DUMMYFUNCTION("""COMPUTED_VALUE"""),"القاهرة")</f>
        <v>القاهرة</v>
      </c>
      <c r="C1393" s="5" t="str">
        <f ca="1">IFERROR(__xludf.DUMMYFUNCTION("""COMPUTED_VALUE"""),"مصر الجديدة")</f>
        <v>مصر الجديدة</v>
      </c>
      <c r="D1393" s="5" t="str">
        <f ca="1">IFERROR(__xludf.DUMMYFUNCTION("""COMPUTED_VALUE"""),"هيئة الأطباء")</f>
        <v>هيئة الأطباء</v>
      </c>
      <c r="E1393" s="5" t="str">
        <f ca="1">IFERROR(__xludf.DUMMYFUNCTION("""COMPUTED_VALUE"""),"باطنة")</f>
        <v>باطنة</v>
      </c>
      <c r="F1393" s="5" t="str">
        <f ca="1">IFERROR(__xludf.DUMMYFUNCTION("""COMPUTED_VALUE"""),"قلب واوعية دموية")</f>
        <v>قلب واوعية دموية</v>
      </c>
      <c r="G1393" s="5" t="str">
        <f ca="1">IFERROR(__xludf.DUMMYFUNCTION("""COMPUTED_VALUE"""),"د/شريف حسين محمد كامل")</f>
        <v>د/شريف حسين محمد كامل</v>
      </c>
      <c r="H1393" s="5" t="str">
        <f ca="1">IFERROR(__xludf.DUMMYFUNCTION("""COMPUTED_VALUE"""),"2 شارع الفيوم - من شارع كليوباترا - مصر الجديده")</f>
        <v>2 شارع الفيوم - من شارع كليوباترا - مصر الجديده</v>
      </c>
      <c r="I1393" s="6" t="str">
        <f ca="1">IFERROR(__xludf.DUMMYFUNCTION("""COMPUTED_VALUE"""),"1001021920")</f>
        <v>1001021920</v>
      </c>
      <c r="J1393" s="6"/>
      <c r="K1393" s="6" t="str">
        <f ca="1">IFERROR(__xludf.DUMMYFUNCTION("""COMPUTED_VALUE"""),"خصم 25% علي الاسعار النقدي المعلنه")</f>
        <v>خصم 25% علي الاسعار النقدي المعلنه</v>
      </c>
    </row>
    <row r="1394" spans="1:11" x14ac:dyDescent="0.25">
      <c r="A1394" s="4" t="str">
        <f ca="1">IFERROR(__xludf.DUMMYFUNCTION("""COMPUTED_VALUE"""),"106692")</f>
        <v>106692</v>
      </c>
      <c r="B1394" s="5" t="str">
        <f ca="1">IFERROR(__xludf.DUMMYFUNCTION("""COMPUTED_VALUE"""),"الجيزة")</f>
        <v>الجيزة</v>
      </c>
      <c r="C1394" s="5" t="str">
        <f ca="1">IFERROR(__xludf.DUMMYFUNCTION("""COMPUTED_VALUE"""),"المهندسين")</f>
        <v>المهندسين</v>
      </c>
      <c r="D1394" s="5" t="str">
        <f ca="1">IFERROR(__xludf.DUMMYFUNCTION("""COMPUTED_VALUE"""),"هيئة الأطباء")</f>
        <v>هيئة الأطباء</v>
      </c>
      <c r="E1394" s="5" t="str">
        <f ca="1">IFERROR(__xludf.DUMMYFUNCTION("""COMPUTED_VALUE"""),"جراحة")</f>
        <v>جراحة</v>
      </c>
      <c r="F1394" s="5" t="str">
        <f ca="1">IFERROR(__xludf.DUMMYFUNCTION("""COMPUTED_VALUE"""),"جراحة تجميل")</f>
        <v>جراحة تجميل</v>
      </c>
      <c r="G1394" s="5" t="str">
        <f ca="1">IFERROR(__xludf.DUMMYFUNCTION("""COMPUTED_VALUE"""),"عيادات باراديس للتجميل ( أ.د. طارق محمد رائف)")</f>
        <v>عيادات باراديس للتجميل ( أ.د. طارق محمد رائف)</v>
      </c>
      <c r="H1394" s="5" t="str">
        <f ca="1">IFERROR(__xludf.DUMMYFUNCTION("""COMPUTED_VALUE"""),"32 شارع جزيرة العرب - اعلى burberry - المهندسين - الجيزة")</f>
        <v>32 شارع جزيرة العرب - اعلى burberry - المهندسين - الجيزة</v>
      </c>
      <c r="I1394" s="6" t="str">
        <f ca="1">IFERROR(__xludf.DUMMYFUNCTION("""COMPUTED_VALUE"""),"1159066622")</f>
        <v>1159066622</v>
      </c>
      <c r="J1394" s="6" t="str">
        <f ca="1">IFERROR(__xludf.DUMMYFUNCTION("""COMPUTED_VALUE"""),"201151666000")</f>
        <v>201151666000</v>
      </c>
      <c r="K1394" s="6" t="str">
        <f ca="1">IFERROR(__xludf.DUMMYFUNCTION("""COMPUTED_VALUE"""),"نسبة خصم 10%")</f>
        <v>نسبة خصم 10%</v>
      </c>
    </row>
    <row r="1395" spans="1:11" x14ac:dyDescent="0.25">
      <c r="A1395" s="4" t="str">
        <f ca="1">IFERROR(__xludf.DUMMYFUNCTION("""COMPUTED_VALUE"""),"106692-B")</f>
        <v>106692-B</v>
      </c>
      <c r="B1395" s="5" t="str">
        <f ca="1">IFERROR(__xludf.DUMMYFUNCTION("""COMPUTED_VALUE"""),"أسيوط")</f>
        <v>أسيوط</v>
      </c>
      <c r="C1395" s="5" t="str">
        <f ca="1">IFERROR(__xludf.DUMMYFUNCTION("""COMPUTED_VALUE"""),"أسيوط")</f>
        <v>أسيوط</v>
      </c>
      <c r="D1395" s="5" t="str">
        <f ca="1">IFERROR(__xludf.DUMMYFUNCTION("""COMPUTED_VALUE"""),"هيئة الأطباء")</f>
        <v>هيئة الأطباء</v>
      </c>
      <c r="E1395" s="5" t="str">
        <f ca="1">IFERROR(__xludf.DUMMYFUNCTION("""COMPUTED_VALUE"""),"جراحة")</f>
        <v>جراحة</v>
      </c>
      <c r="F1395" s="5" t="str">
        <f ca="1">IFERROR(__xludf.DUMMYFUNCTION("""COMPUTED_VALUE"""),"جراحة تجميل")</f>
        <v>جراحة تجميل</v>
      </c>
      <c r="G1395" s="5" t="str">
        <f ca="1">IFERROR(__xludf.DUMMYFUNCTION("""COMPUTED_VALUE"""),"عيادات باراديس للتجميل ( أ.د. طارق محمد رائف)")</f>
        <v>عيادات باراديس للتجميل ( أ.د. طارق محمد رائف)</v>
      </c>
      <c r="H1395" s="5" t="str">
        <f ca="1">IFERROR(__xludf.DUMMYFUNCTION("""COMPUTED_VALUE"""),"شارع الازهر - أبراج القضاه - برح (أ) - بجوار دلر المناسبات - أسيوط")</f>
        <v>شارع الازهر - أبراج القضاه - برح (أ) - بجوار دلر المناسبات - أسيوط</v>
      </c>
      <c r="I1395" s="6" t="str">
        <f ca="1">IFERROR(__xludf.DUMMYFUNCTION("""COMPUTED_VALUE"""),"1159066622")</f>
        <v>1159066622</v>
      </c>
      <c r="J1395" s="6" t="str">
        <f ca="1">IFERROR(__xludf.DUMMYFUNCTION("""COMPUTED_VALUE"""),"201151666000")</f>
        <v>201151666000</v>
      </c>
      <c r="K1395" s="6" t="str">
        <f ca="1">IFERROR(__xludf.DUMMYFUNCTION("""COMPUTED_VALUE"""),"نسبة خصم 10%")</f>
        <v>نسبة خصم 10%</v>
      </c>
    </row>
    <row r="1396" spans="1:11" x14ac:dyDescent="0.25">
      <c r="A1396" s="4" t="str">
        <f ca="1">IFERROR(__xludf.DUMMYFUNCTION("""COMPUTED_VALUE"""),"105675")</f>
        <v>105675</v>
      </c>
      <c r="B1396" s="5" t="str">
        <f ca="1">IFERROR(__xludf.DUMMYFUNCTION("""COMPUTED_VALUE"""),"الجيزة")</f>
        <v>الجيزة</v>
      </c>
      <c r="C1396" s="5" t="str">
        <f ca="1">IFERROR(__xludf.DUMMYFUNCTION("""COMPUTED_VALUE"""),"فيصل")</f>
        <v>فيصل</v>
      </c>
      <c r="D1396" s="5" t="str">
        <f ca="1">IFERROR(__xludf.DUMMYFUNCTION("""COMPUTED_VALUE"""),"مركز أشعة")</f>
        <v>مركز أشعة</v>
      </c>
      <c r="E1396" s="5" t="str">
        <f ca="1">IFERROR(__xludf.DUMMYFUNCTION("""COMPUTED_VALUE"""),"مركز أشعة")</f>
        <v>مركز أشعة</v>
      </c>
      <c r="F1396" s="5" t="str">
        <f ca="1">IFERROR(__xludf.DUMMYFUNCTION("""COMPUTED_VALUE"""),"مركز الأشعة التشخيصية")</f>
        <v>مركز الأشعة التشخيصية</v>
      </c>
      <c r="G1396" s="5" t="str">
        <f ca="1">IFERROR(__xludf.DUMMYFUNCTION("""COMPUTED_VALUE"""),"مركز الشروق للاشعه")</f>
        <v>مركز الشروق للاشعه</v>
      </c>
      <c r="H1396" s="5" t="str">
        <f ca="1">IFERROR(__xludf.DUMMYFUNCTION("""COMPUTED_VALUE"""),"برج بلازا الطبي - اعلي اولاد رجب - بجوار برج الاطباء - اول فيصل")</f>
        <v>برج بلازا الطبي - اعلي اولاد رجب - بجوار برج الاطباء - اول فيصل</v>
      </c>
      <c r="I1396" s="6" t="str">
        <f ca="1">IFERROR(__xludf.DUMMYFUNCTION("""COMPUTED_VALUE"""),"1005824298")</f>
        <v>1005824298</v>
      </c>
      <c r="J1396" s="6" t="str">
        <f ca="1">IFERROR(__xludf.DUMMYFUNCTION("""COMPUTED_VALUE"""),"15184")</f>
        <v>15184</v>
      </c>
      <c r="K1396" s="6" t="str">
        <f ca="1">IFERROR(__xludf.DUMMYFUNCTION("""COMPUTED_VALUE"""),"30% علي الأشعه، 35% علي التحاليل ماعدا الصبغه و التخدير ")</f>
        <v xml:space="preserve">30% علي الأشعه، 35% علي التحاليل ماعدا الصبغه و التخدير </v>
      </c>
    </row>
    <row r="1397" spans="1:11" x14ac:dyDescent="0.25">
      <c r="A1397" s="4" t="str">
        <f ca="1">IFERROR(__xludf.DUMMYFUNCTION("""COMPUTED_VALUE"""),"105676")</f>
        <v>105676</v>
      </c>
      <c r="B1397" s="5" t="str">
        <f ca="1">IFERROR(__xludf.DUMMYFUNCTION("""COMPUTED_VALUE"""),"الأقصر")</f>
        <v>الأقصر</v>
      </c>
      <c r="C1397" s="5" t="str">
        <f ca="1">IFERROR(__xludf.DUMMYFUNCTION("""COMPUTED_VALUE"""),"الأقصر")</f>
        <v>الأقصر</v>
      </c>
      <c r="D1397" s="5" t="str">
        <f ca="1">IFERROR(__xludf.DUMMYFUNCTION("""COMPUTED_VALUE"""),"مستشفى")</f>
        <v>مستشفى</v>
      </c>
      <c r="E1397" s="5" t="str">
        <f ca="1">IFERROR(__xludf.DUMMYFUNCTION("""COMPUTED_VALUE"""),"مستشفي طبي متكامل")</f>
        <v>مستشفي طبي متكامل</v>
      </c>
      <c r="F1397" s="5" t="str">
        <f ca="1">IFERROR(__xludf.DUMMYFUNCTION("""COMPUTED_VALUE"""),"جميع التخصصات الطبية")</f>
        <v>جميع التخصصات الطبية</v>
      </c>
      <c r="G1397" s="5" t="str">
        <f ca="1">IFERROR(__xludf.DUMMYFUNCTION("""COMPUTED_VALUE"""),"شركه مركز الندي الطبي ( مستشفي الندي الطبي )")</f>
        <v>شركه مركز الندي الطبي ( مستشفي الندي الطبي )</v>
      </c>
      <c r="H1397" s="5" t="str">
        <f ca="1">IFERROR(__xludf.DUMMYFUNCTION("""COMPUTED_VALUE"""),"شارع طريق الكباش الجديد - بجوار بيت الشعر الاقصري")</f>
        <v>شارع طريق الكباش الجديد - بجوار بيت الشعر الاقصري</v>
      </c>
      <c r="I1397" s="6" t="str">
        <f ca="1">IFERROR(__xludf.DUMMYFUNCTION("""COMPUTED_VALUE"""),"952359394")</f>
        <v>952359394</v>
      </c>
      <c r="J1397" s="6"/>
      <c r="K1397" s="6" t="str">
        <f ca="1">IFERROR(__xludf.DUMMYFUNCTION("""COMPUTED_VALUE"""),"خصم يصل الي 20%")</f>
        <v>خصم يصل الي 20%</v>
      </c>
    </row>
    <row r="1398" spans="1:11" x14ac:dyDescent="0.25">
      <c r="A1398" s="4" t="str">
        <f ca="1">IFERROR(__xludf.DUMMYFUNCTION("""COMPUTED_VALUE"""),"105678")</f>
        <v>105678</v>
      </c>
      <c r="B1398" s="5" t="str">
        <f ca="1">IFERROR(__xludf.DUMMYFUNCTION("""COMPUTED_VALUE"""),"البحيرة")</f>
        <v>البحيرة</v>
      </c>
      <c r="C1398" s="5" t="str">
        <f ca="1">IFERROR(__xludf.DUMMYFUNCTION("""COMPUTED_VALUE"""),"دمنهور")</f>
        <v>دمنهور</v>
      </c>
      <c r="D1398" s="5" t="str">
        <f ca="1">IFERROR(__xludf.DUMMYFUNCTION("""COMPUTED_VALUE"""),"مركز أشعة")</f>
        <v>مركز أشعة</v>
      </c>
      <c r="E1398" s="5" t="str">
        <f ca="1">IFERROR(__xludf.DUMMYFUNCTION("""COMPUTED_VALUE"""),"مركز أشعة")</f>
        <v>مركز أشعة</v>
      </c>
      <c r="F1398" s="5" t="str">
        <f ca="1">IFERROR(__xludf.DUMMYFUNCTION("""COMPUTED_VALUE"""),"مركز الأشعة التشخيصية")</f>
        <v>مركز الأشعة التشخيصية</v>
      </c>
      <c r="G1398" s="5" t="str">
        <f ca="1">IFERROR(__xludf.DUMMYFUNCTION("""COMPUTED_VALUE"""),"مركز المستقبل للاشعه")</f>
        <v>مركز المستقبل للاشعه</v>
      </c>
      <c r="H1398" s="5" t="str">
        <f ca="1">IFERROR(__xludf.DUMMYFUNCTION("""COMPUTED_VALUE"""),"متفرع من شارع عبد السلام الشاذلي - امام مبني المحافظه - بجوار شركه WE - دمنهور")</f>
        <v>متفرع من شارع عبد السلام الشاذلي - امام مبني المحافظه - بجوار شركه WE - دمنهور</v>
      </c>
      <c r="I1398" s="6" t="str">
        <f ca="1">IFERROR(__xludf.DUMMYFUNCTION("""COMPUTED_VALUE"""),"01142222800")</f>
        <v>01142222800</v>
      </c>
      <c r="J1398" s="6"/>
      <c r="K1398" s="6" t="str">
        <f ca="1">IFERROR(__xludf.DUMMYFUNCTION("""COMPUTED_VALUE"""),"نسبة الخصم 15%على جميع الاشعة والصبغة")</f>
        <v>نسبة الخصم 15%على جميع الاشعة والصبغة</v>
      </c>
    </row>
    <row r="1399" spans="1:11" x14ac:dyDescent="0.25">
      <c r="A1399" s="4" t="str">
        <f ca="1">IFERROR(__xludf.DUMMYFUNCTION("""COMPUTED_VALUE"""),"105678-B")</f>
        <v>105678-B</v>
      </c>
      <c r="B1399" s="5" t="str">
        <f ca="1">IFERROR(__xludf.DUMMYFUNCTION("""COMPUTED_VALUE"""),"البحيرة")</f>
        <v>البحيرة</v>
      </c>
      <c r="C1399" s="5" t="str">
        <f ca="1">IFERROR(__xludf.DUMMYFUNCTION("""COMPUTED_VALUE"""),"دمنهور")</f>
        <v>دمنهور</v>
      </c>
      <c r="D1399" s="5" t="str">
        <f ca="1">IFERROR(__xludf.DUMMYFUNCTION("""COMPUTED_VALUE"""),"مركز أشعة")</f>
        <v>مركز أشعة</v>
      </c>
      <c r="E1399" s="5" t="str">
        <f ca="1">IFERROR(__xludf.DUMMYFUNCTION("""COMPUTED_VALUE"""),"مركز أشعة")</f>
        <v>مركز أشعة</v>
      </c>
      <c r="F1399" s="5" t="str">
        <f ca="1">IFERROR(__xludf.DUMMYFUNCTION("""COMPUTED_VALUE"""),"مركز الأشعة التشخيصية")</f>
        <v>مركز الأشعة التشخيصية</v>
      </c>
      <c r="G1399" s="5" t="str">
        <f ca="1">IFERROR(__xludf.DUMMYFUNCTION("""COMPUTED_VALUE"""),"مركز المستقبل للاشعه")</f>
        <v>مركز المستقبل للاشعه</v>
      </c>
      <c r="H1399" s="5" t="str">
        <f ca="1">IFERROR(__xludf.DUMMYFUNCTION("""COMPUTED_VALUE"""),"ميدان الساعه - امام محطه بنزين سلطان - دمنهور")</f>
        <v>ميدان الساعه - امام محطه بنزين سلطان - دمنهور</v>
      </c>
      <c r="I1399" s="6" t="str">
        <f ca="1">IFERROR(__xludf.DUMMYFUNCTION("""COMPUTED_VALUE"""),"0453333395")</f>
        <v>0453333395</v>
      </c>
      <c r="J1399" s="6"/>
      <c r="K1399" s="6" t="str">
        <f ca="1">IFERROR(__xludf.DUMMYFUNCTION("""COMPUTED_VALUE"""),"نسبة الخصم 15%على جميع الاشعة والصبغة")</f>
        <v>نسبة الخصم 15%على جميع الاشعة والصبغة</v>
      </c>
    </row>
    <row r="1400" spans="1:11" x14ac:dyDescent="0.25">
      <c r="A1400" s="4" t="str">
        <f ca="1">IFERROR(__xludf.DUMMYFUNCTION("""COMPUTED_VALUE"""),"105679")</f>
        <v>105679</v>
      </c>
      <c r="B1400" s="5" t="str">
        <f ca="1">IFERROR(__xludf.DUMMYFUNCTION("""COMPUTED_VALUE"""),"القليوبية")</f>
        <v>القليوبية</v>
      </c>
      <c r="C1400" s="5" t="str">
        <f ca="1">IFERROR(__xludf.DUMMYFUNCTION("""COMPUTED_VALUE"""),"قليوب")</f>
        <v>قليوب</v>
      </c>
      <c r="D1400" s="5" t="str">
        <f ca="1">IFERROR(__xludf.DUMMYFUNCTION("""COMPUTED_VALUE"""),"هيئة الأطباء")</f>
        <v>هيئة الأطباء</v>
      </c>
      <c r="E1400" s="5" t="str">
        <f ca="1">IFERROR(__xludf.DUMMYFUNCTION("""COMPUTED_VALUE"""),"جراحة")</f>
        <v>جراحة</v>
      </c>
      <c r="F1400" s="5" t="str">
        <f ca="1">IFERROR(__xludf.DUMMYFUNCTION("""COMPUTED_VALUE"""),"امراض الكلى و المسالك البولية")</f>
        <v>امراض الكلى و المسالك البولية</v>
      </c>
      <c r="G1400" s="5" t="str">
        <f ca="1">IFERROR(__xludf.DUMMYFUNCTION("""COMPUTED_VALUE"""),"د/ اسلام سيد عواض نوح")</f>
        <v>د/ اسلام سيد عواض نوح</v>
      </c>
      <c r="H1400" s="5" t="str">
        <f ca="1">IFERROR(__xludf.DUMMYFUNCTION("""COMPUTED_VALUE"""),"الطريق الرئيسي - ناصيه شارع التحرير - قليوب البلد - القليوبيه")</f>
        <v>الطريق الرئيسي - ناصيه شارع التحرير - قليوب البلد - القليوبيه</v>
      </c>
      <c r="I1400" s="6" t="str">
        <f ca="1">IFERROR(__xludf.DUMMYFUNCTION("""COMPUTED_VALUE"""),"1008912386")</f>
        <v>1008912386</v>
      </c>
      <c r="J1400" s="6"/>
      <c r="K1400" s="6" t="str">
        <f ca="1">IFERROR(__xludf.DUMMYFUNCTION("""COMPUTED_VALUE"""),"الكشف:90 , نقابه 2017")</f>
        <v>الكشف:90 , نقابه 2017</v>
      </c>
    </row>
    <row r="1401" spans="1:11" x14ac:dyDescent="0.25">
      <c r="A1401" s="4" t="str">
        <f ca="1">IFERROR(__xludf.DUMMYFUNCTION("""COMPUTED_VALUE"""),"105564")</f>
        <v>105564</v>
      </c>
      <c r="B1401" s="5" t="str">
        <f ca="1">IFERROR(__xludf.DUMMYFUNCTION("""COMPUTED_VALUE"""),"الشرقية")</f>
        <v>الشرقية</v>
      </c>
      <c r="C1401" s="5" t="str">
        <f ca="1">IFERROR(__xludf.DUMMYFUNCTION("""COMPUTED_VALUE"""),"أبو حماد")</f>
        <v>أبو حماد</v>
      </c>
      <c r="D1401" s="5" t="str">
        <f ca="1">IFERROR(__xludf.DUMMYFUNCTION("""COMPUTED_VALUE"""),"مستشفى")</f>
        <v>مستشفى</v>
      </c>
      <c r="E1401" s="5" t="str">
        <f ca="1">IFERROR(__xludf.DUMMYFUNCTION("""COMPUTED_VALUE"""),"مستشفي طبي متكامل")</f>
        <v>مستشفي طبي متكامل</v>
      </c>
      <c r="F1401" s="5" t="str">
        <f ca="1">IFERROR(__xludf.DUMMYFUNCTION("""COMPUTED_VALUE"""),"جميع التخصصات الطبية")</f>
        <v>جميع التخصصات الطبية</v>
      </c>
      <c r="G1401" s="5" t="str">
        <f ca="1">IFERROR(__xludf.DUMMYFUNCTION("""COMPUTED_VALUE"""),"شركة ابو ساطي وشركاه (مستشفى ابو ساطي التخصصي")</f>
        <v>شركة ابو ساطي وشركاه (مستشفى ابو ساطي التخصصي</v>
      </c>
      <c r="H1401" s="5" t="str">
        <f ca="1">IFERROR(__xludf.DUMMYFUNCTION("""COMPUTED_VALUE"""),"شارع الشيخ بجوار المحكمة-أبو حماد-الشرقية")</f>
        <v>شارع الشيخ بجوار المحكمة-أبو حماد-الشرقية</v>
      </c>
      <c r="I1401" s="6" t="str">
        <f ca="1">IFERROR(__xludf.DUMMYFUNCTION("""COMPUTED_VALUE"""),"1006615835")</f>
        <v>1006615835</v>
      </c>
      <c r="J1401" s="6"/>
      <c r="K1401" s="6" t="str">
        <f ca="1">IFERROR(__xludf.DUMMYFUNCTION("""COMPUTED_VALUE"""),"30% على جميع الخدمات فيما عدا المستلزمات الطبية وبنك الدم")</f>
        <v>30% على جميع الخدمات فيما عدا المستلزمات الطبية وبنك الدم</v>
      </c>
    </row>
    <row r="1402" spans="1:11" x14ac:dyDescent="0.25">
      <c r="A1402" s="4" t="str">
        <f ca="1">IFERROR(__xludf.DUMMYFUNCTION("""COMPUTED_VALUE"""),"105683")</f>
        <v>105683</v>
      </c>
      <c r="B1402" s="5" t="str">
        <f ca="1">IFERROR(__xludf.DUMMYFUNCTION("""COMPUTED_VALUE"""),"الدقهلية")</f>
        <v>الدقهلية</v>
      </c>
      <c r="C1402" s="5" t="str">
        <f ca="1">IFERROR(__xludf.DUMMYFUNCTION("""COMPUTED_VALUE"""),"بلقاس")</f>
        <v>بلقاس</v>
      </c>
      <c r="D1402" s="5" t="str">
        <f ca="1">IFERROR(__xludf.DUMMYFUNCTION("""COMPUTED_VALUE"""),"صيدلية")</f>
        <v>صيدلية</v>
      </c>
      <c r="E1402" s="5" t="str">
        <f ca="1">IFERROR(__xludf.DUMMYFUNCTION("""COMPUTED_VALUE"""),"صيدلية")</f>
        <v>صيدلية</v>
      </c>
      <c r="F1402" s="5" t="str">
        <f ca="1">IFERROR(__xludf.DUMMYFUNCTION("""COMPUTED_VALUE"""),"صيدلية (أدوية ومستلزمات طبية)")</f>
        <v>صيدلية (أدوية ومستلزمات طبية)</v>
      </c>
      <c r="G1402" s="5" t="str">
        <f ca="1">IFERROR(__xludf.DUMMYFUNCTION("""COMPUTED_VALUE"""),"د/ ارساني ناجي بهيج جبران جرجس(  صيدليه د/ ارساني ناجي )")</f>
        <v>د/ ارساني ناجي بهيج جبران جرجس(  صيدليه د/ ارساني ناجي )</v>
      </c>
      <c r="H1402" s="5" t="str">
        <f ca="1">IFERROR(__xludf.DUMMYFUNCTION("""COMPUTED_VALUE"""),"شارع الثوره امام مصنع الزيتون والصابون - بلقاس - الدقهليه")</f>
        <v>شارع الثوره امام مصنع الزيتون والصابون - بلقاس - الدقهليه</v>
      </c>
      <c r="I1402" s="6" t="str">
        <f ca="1">IFERROR(__xludf.DUMMYFUNCTION("""COMPUTED_VALUE"""),"1000082185")</f>
        <v>1000082185</v>
      </c>
      <c r="J1402" s="6"/>
      <c r="K1402" s="6" t="str">
        <f ca="1">IFERROR(__xludf.DUMMYFUNCTION("""COMPUTED_VALUE"""),"خصم 13% علي المحلي,7% علي المستورد")</f>
        <v>خصم 13% علي المحلي,7% علي المستورد</v>
      </c>
    </row>
    <row r="1403" spans="1:11" x14ac:dyDescent="0.25">
      <c r="A1403" s="4" t="str">
        <f ca="1">IFERROR(__xludf.DUMMYFUNCTION("""COMPUTED_VALUE"""),"104427-B")</f>
        <v>104427-B</v>
      </c>
      <c r="B1403" s="5" t="str">
        <f ca="1">IFERROR(__xludf.DUMMYFUNCTION("""COMPUTED_VALUE"""),"القاهرة")</f>
        <v>القاهرة</v>
      </c>
      <c r="C1403" s="5" t="str">
        <f ca="1">IFERROR(__xludf.DUMMYFUNCTION("""COMPUTED_VALUE"""),"المعادى")</f>
        <v>المعادى</v>
      </c>
      <c r="D1403" s="5" t="str">
        <f ca="1">IFERROR(__xludf.DUMMYFUNCTION("""COMPUTED_VALUE"""),"مجمع عيادات")</f>
        <v>مجمع عيادات</v>
      </c>
      <c r="E1403" s="5" t="str">
        <f ca="1">IFERROR(__xludf.DUMMYFUNCTION("""COMPUTED_VALUE"""),"جميع التخصصات")</f>
        <v>جميع التخصصات</v>
      </c>
      <c r="F1403" s="5" t="str">
        <f ca="1">IFERROR(__xludf.DUMMYFUNCTION("""COMPUTED_VALUE"""),"جميع التخصصات الطبية")</f>
        <v>جميع التخصصات الطبية</v>
      </c>
      <c r="G1403" s="5" t="str">
        <f ca="1">IFERROR(__xludf.DUMMYFUNCTION("""COMPUTED_VALUE"""),"عيادات صحة")</f>
        <v>عيادات صحة</v>
      </c>
      <c r="H1403" s="5" t="str">
        <f ca="1">IFERROR(__xludf.DUMMYFUNCTION("""COMPUTED_VALUE"""),"206 شارع المعادي")</f>
        <v>206 شارع المعادي</v>
      </c>
      <c r="I1403" s="6" t="str">
        <f ca="1">IFERROR(__xludf.DUMMYFUNCTION("""COMPUTED_VALUE"""),"1096166608")</f>
        <v>1096166608</v>
      </c>
      <c r="J1403" s="6" t="str">
        <f ca="1">IFERROR(__xludf.DUMMYFUNCTION("""COMPUTED_VALUE"""),"16897")</f>
        <v>16897</v>
      </c>
      <c r="K1403" s="6" t="str">
        <f ca="1">IFERROR(__xludf.DUMMYFUNCTION("""COMPUTED_VALUE"""),"15% علي الأسعار النقدي المعلنة")</f>
        <v>15% علي الأسعار النقدي المعلنة</v>
      </c>
    </row>
    <row r="1404" spans="1:11" x14ac:dyDescent="0.25">
      <c r="A1404" s="4" t="str">
        <f ca="1">IFERROR(__xludf.DUMMYFUNCTION("""COMPUTED_VALUE"""),"105694")</f>
        <v>105694</v>
      </c>
      <c r="B1404" s="5" t="str">
        <f ca="1">IFERROR(__xludf.DUMMYFUNCTION("""COMPUTED_VALUE"""),"البحر الاحمر")</f>
        <v>البحر الاحمر</v>
      </c>
      <c r="C1404" s="5" t="str">
        <f ca="1">IFERROR(__xludf.DUMMYFUNCTION("""COMPUTED_VALUE"""),"القصير")</f>
        <v>القصير</v>
      </c>
      <c r="D1404" s="5" t="str">
        <f ca="1">IFERROR(__xludf.DUMMYFUNCTION("""COMPUTED_VALUE"""),"صيدلية")</f>
        <v>صيدلية</v>
      </c>
      <c r="E1404" s="5" t="str">
        <f ca="1">IFERROR(__xludf.DUMMYFUNCTION("""COMPUTED_VALUE"""),"صيدلية")</f>
        <v>صيدلية</v>
      </c>
      <c r="F1404" s="5" t="str">
        <f ca="1">IFERROR(__xludf.DUMMYFUNCTION("""COMPUTED_VALUE"""),"صيدلية (أدوية ومستلزمات طبية)")</f>
        <v>صيدلية (أدوية ومستلزمات طبية)</v>
      </c>
      <c r="G1404" s="5" t="str">
        <f ca="1">IFERROR(__xludf.DUMMYFUNCTION("""COMPUTED_VALUE"""),"د/ مجدي محمد منصور نصار ( صيدليه د/ مجدي محمد منصور )")</f>
        <v>د/ مجدي محمد منصور نصار ( صيدليه د/ مجدي محمد منصور )</v>
      </c>
      <c r="H1404" s="5" t="str">
        <f ca="1">IFERROR(__xludf.DUMMYFUNCTION("""COMPUTED_VALUE"""),"تقسيم التلفزيون - بجوار مدرسه العوينه الجديده - القصير - البحر الاحمر")</f>
        <v>تقسيم التلفزيون - بجوار مدرسه العوينه الجديده - القصير - البحر الاحمر</v>
      </c>
      <c r="I1404" s="6" t="str">
        <f ca="1">IFERROR(__xludf.DUMMYFUNCTION("""COMPUTED_VALUE"""),"1092661300")</f>
        <v>1092661300</v>
      </c>
      <c r="J1404" s="6"/>
      <c r="K1404" s="6" t="str">
        <f ca="1">IFERROR(__xludf.DUMMYFUNCTION("""COMPUTED_VALUE"""),"خصم 13% علي المحلي,7% علي المستورد")</f>
        <v>خصم 13% علي المحلي,7% علي المستورد</v>
      </c>
    </row>
    <row r="1405" spans="1:11" x14ac:dyDescent="0.25">
      <c r="A1405" s="4" t="str">
        <f ca="1">IFERROR(__xludf.DUMMYFUNCTION("""COMPUTED_VALUE"""),"105696")</f>
        <v>105696</v>
      </c>
      <c r="B1405" s="5" t="str">
        <f ca="1">IFERROR(__xludf.DUMMYFUNCTION("""COMPUTED_VALUE"""),"البحيرة")</f>
        <v>البحيرة</v>
      </c>
      <c r="C1405" s="5" t="str">
        <f ca="1">IFERROR(__xludf.DUMMYFUNCTION("""COMPUTED_VALUE"""),"كوم حمادة")</f>
        <v>كوم حمادة</v>
      </c>
      <c r="D1405" s="5" t="str">
        <f ca="1">IFERROR(__xludf.DUMMYFUNCTION("""COMPUTED_VALUE"""),"صيدلية")</f>
        <v>صيدلية</v>
      </c>
      <c r="E1405" s="5" t="str">
        <f ca="1">IFERROR(__xludf.DUMMYFUNCTION("""COMPUTED_VALUE"""),"صيدلية")</f>
        <v>صيدلية</v>
      </c>
      <c r="F1405" s="5" t="str">
        <f ca="1">IFERROR(__xludf.DUMMYFUNCTION("""COMPUTED_VALUE"""),"صيدلية (أدوية ومستلزمات طبية)")</f>
        <v>صيدلية (أدوية ومستلزمات طبية)</v>
      </c>
      <c r="G1405" s="5" t="str">
        <f ca="1">IFERROR(__xludf.DUMMYFUNCTION("""COMPUTED_VALUE"""),"د/ احمد صبحى بسيونى كموش(صيدلية د/ احمد كموش)")</f>
        <v>د/ احمد صبحى بسيونى كموش(صيدلية د/ احمد كموش)</v>
      </c>
      <c r="H1405" s="5" t="str">
        <f ca="1">IFERROR(__xludf.DUMMYFUNCTION("""COMPUTED_VALUE"""),"شارع اللمعى - بجوار مسجد الهداية - كوم حمادة")</f>
        <v>شارع اللمعى - بجوار مسجد الهداية - كوم حمادة</v>
      </c>
      <c r="I1405" s="6" t="str">
        <f ca="1">IFERROR(__xludf.DUMMYFUNCTION("""COMPUTED_VALUE"""),"01011679793")</f>
        <v>01011679793</v>
      </c>
      <c r="J1405" s="6"/>
      <c r="K1405" s="6" t="str">
        <f ca="1">IFERROR(__xludf.DUMMYFUNCTION("""COMPUTED_VALUE"""),"خصم 14% علي المحلي,7% علي المستورد")</f>
        <v>خصم 14% علي المحلي,7% علي المستورد</v>
      </c>
    </row>
    <row r="1406" spans="1:11" x14ac:dyDescent="0.25">
      <c r="A1406" s="4" t="str">
        <f ca="1">IFERROR(__xludf.DUMMYFUNCTION("""COMPUTED_VALUE"""),"105703")</f>
        <v>105703</v>
      </c>
      <c r="B1406" s="5" t="str">
        <f ca="1">IFERROR(__xludf.DUMMYFUNCTION("""COMPUTED_VALUE"""),"القاهرة")</f>
        <v>القاهرة</v>
      </c>
      <c r="C1406" s="5" t="str">
        <f ca="1">IFERROR(__xludf.DUMMYFUNCTION("""COMPUTED_VALUE"""),"القاهرة الجديدة")</f>
        <v>القاهرة الجديدة</v>
      </c>
      <c r="D1406" s="5" t="str">
        <f ca="1">IFERROR(__xludf.DUMMYFUNCTION("""COMPUTED_VALUE"""),"مستشفى")</f>
        <v>مستشفى</v>
      </c>
      <c r="E1406" s="5" t="str">
        <f ca="1">IFERROR(__xludf.DUMMYFUNCTION("""COMPUTED_VALUE"""),"مستشفي طبي متكامل")</f>
        <v>مستشفي طبي متكامل</v>
      </c>
      <c r="F1406" s="5" t="str">
        <f ca="1">IFERROR(__xludf.DUMMYFUNCTION("""COMPUTED_VALUE"""),"جميع التخصصات الطبية")</f>
        <v>جميع التخصصات الطبية</v>
      </c>
      <c r="G1406" s="5" t="str">
        <f ca="1">IFERROR(__xludf.DUMMYFUNCTION("""COMPUTED_VALUE"""),"شركه مجموعه الاستثمار الصحي اتش اي جي ( مستشفي دار الصحه )")</f>
        <v>شركه مجموعه الاستثمار الصحي اتش اي جي ( مستشفي دار الصحه )</v>
      </c>
      <c r="H1406" s="5" t="str">
        <f ca="1">IFERROR(__xludf.DUMMYFUNCTION("""COMPUTED_VALUE"""),"القطعه 8 مركز الخدمات منطقه المثلث - كمبوند الدبلوماسيين - القاهره الجديده")</f>
        <v>القطعه 8 مركز الخدمات منطقه المثلث - كمبوند الدبلوماسيين - القاهره الجديده</v>
      </c>
      <c r="I1406" s="6" t="str">
        <f ca="1">IFERROR(__xludf.DUMMYFUNCTION("""COMPUTED_VALUE"""),"01115722200")</f>
        <v>01115722200</v>
      </c>
      <c r="J1406" s="6"/>
      <c r="K1406" s="6" t="str">
        <f ca="1">IFERROR(__xludf.DUMMYFUNCTION("""COMPUTED_VALUE"""),"30% نسبة خصم")</f>
        <v>30% نسبة خصم</v>
      </c>
    </row>
    <row r="1407" spans="1:11" x14ac:dyDescent="0.25">
      <c r="A1407" s="4" t="str">
        <f ca="1">IFERROR(__xludf.DUMMYFUNCTION("""COMPUTED_VALUE"""),"105710")</f>
        <v>105710</v>
      </c>
      <c r="B1407" s="5" t="str">
        <f ca="1">IFERROR(__xludf.DUMMYFUNCTION("""COMPUTED_VALUE"""),"القاهرة")</f>
        <v>القاهرة</v>
      </c>
      <c r="C1407" s="5" t="str">
        <f ca="1">IFERROR(__xludf.DUMMYFUNCTION("""COMPUTED_VALUE"""),"المطرية")</f>
        <v>المطرية</v>
      </c>
      <c r="D1407" s="5" t="str">
        <f ca="1">IFERROR(__xludf.DUMMYFUNCTION("""COMPUTED_VALUE"""),"هيئة الأطباء")</f>
        <v>هيئة الأطباء</v>
      </c>
      <c r="E1407" s="5" t="str">
        <f ca="1">IFERROR(__xludf.DUMMYFUNCTION("""COMPUTED_VALUE"""),"اسنان")</f>
        <v>اسنان</v>
      </c>
      <c r="F1407" s="5" t="str">
        <f ca="1">IFERROR(__xludf.DUMMYFUNCTION("""COMPUTED_VALUE"""),"جراحة الفم والأسنان")</f>
        <v>جراحة الفم والأسنان</v>
      </c>
      <c r="G1407" s="5" t="str">
        <f ca="1">IFERROR(__xludf.DUMMYFUNCTION("""COMPUTED_VALUE"""),"د/ علاء الدين عبدالله محمد")</f>
        <v>د/ علاء الدين عبدالله محمد</v>
      </c>
      <c r="H1407" s="5" t="str">
        <f ca="1">IFERROR(__xludf.DUMMYFUNCTION("""COMPUTED_VALUE"""),"53 شارع محمود هاشم - مدينة السعادة - المطرية")</f>
        <v>53 شارع محمود هاشم - مدينة السعادة - المطرية</v>
      </c>
      <c r="I1407" s="6" t="str">
        <f ca="1">IFERROR(__xludf.DUMMYFUNCTION("""COMPUTED_VALUE"""),"20222501746")</f>
        <v>20222501746</v>
      </c>
      <c r="J1407" s="6"/>
      <c r="K1407" s="6" t="str">
        <f ca="1">IFERROR(__xludf.DUMMYFUNCTION("""COMPUTED_VALUE"""),"خصم 25% علي الأسعار النقدي المعلنة")</f>
        <v>خصم 25% علي الأسعار النقدي المعلنة</v>
      </c>
    </row>
    <row r="1408" spans="1:11" x14ac:dyDescent="0.25">
      <c r="A1408" s="4" t="str">
        <f ca="1">IFERROR(__xludf.DUMMYFUNCTION("""COMPUTED_VALUE"""),"105710-B")</f>
        <v>105710-B</v>
      </c>
      <c r="B1408" s="5" t="str">
        <f ca="1">IFERROR(__xludf.DUMMYFUNCTION("""COMPUTED_VALUE"""),"القاهرة")</f>
        <v>القاهرة</v>
      </c>
      <c r="C1408" s="5" t="str">
        <f ca="1">IFERROR(__xludf.DUMMYFUNCTION("""COMPUTED_VALUE"""),"مصر الجديدة")</f>
        <v>مصر الجديدة</v>
      </c>
      <c r="D1408" s="5" t="str">
        <f ca="1">IFERROR(__xludf.DUMMYFUNCTION("""COMPUTED_VALUE"""),"هيئة الأطباء")</f>
        <v>هيئة الأطباء</v>
      </c>
      <c r="E1408" s="5" t="str">
        <f ca="1">IFERROR(__xludf.DUMMYFUNCTION("""COMPUTED_VALUE"""),"اسنان")</f>
        <v>اسنان</v>
      </c>
      <c r="F1408" s="5" t="str">
        <f ca="1">IFERROR(__xludf.DUMMYFUNCTION("""COMPUTED_VALUE"""),"جراحة الفم والأسنان")</f>
        <v>جراحة الفم والأسنان</v>
      </c>
      <c r="G1408" s="5" t="str">
        <f ca="1">IFERROR(__xludf.DUMMYFUNCTION("""COMPUTED_VALUE"""),"د/ علاء الدين عبدالله محمد")</f>
        <v>د/ علاء الدين عبدالله محمد</v>
      </c>
      <c r="H1408" s="5" t="str">
        <f ca="1">IFERROR(__xludf.DUMMYFUNCTION("""COMPUTED_VALUE"""),"40 شارع الحجاز - امام كنتاكى - مصر الجديدة")</f>
        <v>40 شارع الحجاز - امام كنتاكى - مصر الجديدة</v>
      </c>
      <c r="I1408" s="6" t="str">
        <f ca="1">IFERROR(__xludf.DUMMYFUNCTION("""COMPUTED_VALUE"""),"20222403348")</f>
        <v>20222403348</v>
      </c>
      <c r="J1408" s="6"/>
      <c r="K1408" s="6" t="str">
        <f ca="1">IFERROR(__xludf.DUMMYFUNCTION("""COMPUTED_VALUE"""),"خصم 25% علي الأسعار النقدي المعلنة")</f>
        <v>خصم 25% علي الأسعار النقدي المعلنة</v>
      </c>
    </row>
    <row r="1409" spans="1:11" x14ac:dyDescent="0.25">
      <c r="A1409" s="4" t="str">
        <f ca="1">IFERROR(__xludf.DUMMYFUNCTION("""COMPUTED_VALUE"""),"105715")</f>
        <v>105715</v>
      </c>
      <c r="B1409" s="5" t="str">
        <f ca="1">IFERROR(__xludf.DUMMYFUNCTION("""COMPUTED_VALUE"""),"البحر الاحمر")</f>
        <v>البحر الاحمر</v>
      </c>
      <c r="C1409" s="5" t="str">
        <f ca="1">IFERROR(__xludf.DUMMYFUNCTION("""COMPUTED_VALUE"""),"الغردقة")</f>
        <v>الغردقة</v>
      </c>
      <c r="D1409" s="5" t="str">
        <f ca="1">IFERROR(__xludf.DUMMYFUNCTION("""COMPUTED_VALUE"""),"شركة")</f>
        <v>شركة</v>
      </c>
      <c r="E1409" s="5" t="str">
        <f ca="1">IFERROR(__xludf.DUMMYFUNCTION("""COMPUTED_VALUE"""),"شركة اجهزة طبية")</f>
        <v>شركة اجهزة طبية</v>
      </c>
      <c r="F1409" s="5" t="str">
        <f ca="1">IFERROR(__xludf.DUMMYFUNCTION("""COMPUTED_VALUE"""),"مركز بصريات")</f>
        <v>مركز بصريات</v>
      </c>
      <c r="G1409" s="5" t="str">
        <f ca="1">IFERROR(__xludf.DUMMYFUNCTION("""COMPUTED_VALUE"""),"محمد على محمد حميد (مراكز محمد على للنظارات)")</f>
        <v>محمد على محمد حميد (مراكز محمد على للنظارات)</v>
      </c>
      <c r="H1409" s="5" t="str">
        <f ca="1">IFERROR(__xludf.DUMMYFUNCTION("""COMPUTED_VALUE"""),"الدھار - امام الكنیسة مباشرة - الغردقة")</f>
        <v>الدھار - امام الكنیسة مباشرة - الغردقة</v>
      </c>
      <c r="I1409" s="6" t="str">
        <f ca="1">IFERROR(__xludf.DUMMYFUNCTION("""COMPUTED_VALUE"""),"201112111491")</f>
        <v>201112111491</v>
      </c>
      <c r="J1409" s="6"/>
      <c r="K1409" s="6" t="str">
        <f ca="1">IFERROR(__xludf.DUMMYFUNCTION("""COMPUTED_VALUE"""),"30% علي كل الخدمات")</f>
        <v>30% علي كل الخدمات</v>
      </c>
    </row>
    <row r="1410" spans="1:11" x14ac:dyDescent="0.25">
      <c r="A1410" s="4" t="str">
        <f ca="1">IFERROR(__xludf.DUMMYFUNCTION("""COMPUTED_VALUE"""),"105715-B")</f>
        <v>105715-B</v>
      </c>
      <c r="B1410" s="5" t="str">
        <f ca="1">IFERROR(__xludf.DUMMYFUNCTION("""COMPUTED_VALUE"""),"البحر الاحمر")</f>
        <v>البحر الاحمر</v>
      </c>
      <c r="C1410" s="5" t="str">
        <f ca="1">IFERROR(__xludf.DUMMYFUNCTION("""COMPUTED_VALUE"""),"الغردقة")</f>
        <v>الغردقة</v>
      </c>
      <c r="D1410" s="5" t="str">
        <f ca="1">IFERROR(__xludf.DUMMYFUNCTION("""COMPUTED_VALUE"""),"شركة")</f>
        <v>شركة</v>
      </c>
      <c r="E1410" s="5" t="str">
        <f ca="1">IFERROR(__xludf.DUMMYFUNCTION("""COMPUTED_VALUE"""),"شركة اجهزة طبية")</f>
        <v>شركة اجهزة طبية</v>
      </c>
      <c r="F1410" s="5" t="str">
        <f ca="1">IFERROR(__xludf.DUMMYFUNCTION("""COMPUTED_VALUE"""),"مركز بصريات")</f>
        <v>مركز بصريات</v>
      </c>
      <c r="G1410" s="5" t="str">
        <f ca="1">IFERROR(__xludf.DUMMYFUNCTION("""COMPUTED_VALUE"""),"محمد على محمد حميد (مراكز محمد على للنظارات)")</f>
        <v>محمد على محمد حميد (مراكز محمد على للنظارات)</v>
      </c>
      <c r="H1410" s="5" t="str">
        <f ca="1">IFERROR(__xludf.DUMMYFUNCTION("""COMPUTED_VALUE"""),"السقالة - شارع الميناء- امام مدرسة حسين سعيد - الغردقة")</f>
        <v>السقالة - شارع الميناء- امام مدرسة حسين سعيد - الغردقة</v>
      </c>
      <c r="I1410" s="6" t="str">
        <f ca="1">IFERROR(__xludf.DUMMYFUNCTION("""COMPUTED_VALUE"""),"201102011061")</f>
        <v>201102011061</v>
      </c>
      <c r="J1410" s="6"/>
      <c r="K1410" s="6" t="str">
        <f ca="1">IFERROR(__xludf.DUMMYFUNCTION("""COMPUTED_VALUE"""),"30% علي كل الخدمات")</f>
        <v>30% علي كل الخدمات</v>
      </c>
    </row>
    <row r="1411" spans="1:11" x14ac:dyDescent="0.25">
      <c r="A1411" s="4" t="str">
        <f ca="1">IFERROR(__xludf.DUMMYFUNCTION("""COMPUTED_VALUE"""),"105715-B")</f>
        <v>105715-B</v>
      </c>
      <c r="B1411" s="5" t="str">
        <f ca="1">IFERROR(__xludf.DUMMYFUNCTION("""COMPUTED_VALUE"""),"البحر الاحمر")</f>
        <v>البحر الاحمر</v>
      </c>
      <c r="C1411" s="5" t="str">
        <f ca="1">IFERROR(__xludf.DUMMYFUNCTION("""COMPUTED_VALUE"""),"سفاجا")</f>
        <v>سفاجا</v>
      </c>
      <c r="D1411" s="5" t="str">
        <f ca="1">IFERROR(__xludf.DUMMYFUNCTION("""COMPUTED_VALUE"""),"شركة")</f>
        <v>شركة</v>
      </c>
      <c r="E1411" s="5" t="str">
        <f ca="1">IFERROR(__xludf.DUMMYFUNCTION("""COMPUTED_VALUE"""),"شركة اجهزة طبية")</f>
        <v>شركة اجهزة طبية</v>
      </c>
      <c r="F1411" s="5" t="str">
        <f ca="1">IFERROR(__xludf.DUMMYFUNCTION("""COMPUTED_VALUE"""),"مركز بصريات")</f>
        <v>مركز بصريات</v>
      </c>
      <c r="G1411" s="5" t="str">
        <f ca="1">IFERROR(__xludf.DUMMYFUNCTION("""COMPUTED_VALUE"""),"محمد على محمد حميد (مراكز محمد على للنظارات)")</f>
        <v>محمد على محمد حميد (مراكز محمد على للنظارات)</v>
      </c>
      <c r="H1411" s="5" t="str">
        <f ca="1">IFERROR(__xludf.DUMMYFUNCTION("""COMPUTED_VALUE"""),"الشارع الخلفي - سفاجا")</f>
        <v>الشارع الخلفي - سفاجا</v>
      </c>
      <c r="I1411" s="6" t="str">
        <f ca="1">IFERROR(__xludf.DUMMYFUNCTION("""COMPUTED_VALUE"""),"201112111492")</f>
        <v>201112111492</v>
      </c>
      <c r="J1411" s="6"/>
      <c r="K1411" s="6" t="str">
        <f ca="1">IFERROR(__xludf.DUMMYFUNCTION("""COMPUTED_VALUE"""),"30% علي كل الخدمات")</f>
        <v>30% علي كل الخدمات</v>
      </c>
    </row>
    <row r="1412" spans="1:11" x14ac:dyDescent="0.25">
      <c r="A1412" s="4" t="str">
        <f ca="1">IFERROR(__xludf.DUMMYFUNCTION("""COMPUTED_VALUE"""),"105715-B")</f>
        <v>105715-B</v>
      </c>
      <c r="B1412" s="5" t="str">
        <f ca="1">IFERROR(__xludf.DUMMYFUNCTION("""COMPUTED_VALUE"""),"البحر الاحمر")</f>
        <v>البحر الاحمر</v>
      </c>
      <c r="C1412" s="5" t="str">
        <f ca="1">IFERROR(__xludf.DUMMYFUNCTION("""COMPUTED_VALUE"""),"القصير")</f>
        <v>القصير</v>
      </c>
      <c r="D1412" s="5" t="str">
        <f ca="1">IFERROR(__xludf.DUMMYFUNCTION("""COMPUTED_VALUE"""),"شركة")</f>
        <v>شركة</v>
      </c>
      <c r="E1412" s="5" t="str">
        <f ca="1">IFERROR(__xludf.DUMMYFUNCTION("""COMPUTED_VALUE"""),"شركة اجهزة طبية")</f>
        <v>شركة اجهزة طبية</v>
      </c>
      <c r="F1412" s="5" t="str">
        <f ca="1">IFERROR(__xludf.DUMMYFUNCTION("""COMPUTED_VALUE"""),"مركز بصريات")</f>
        <v>مركز بصريات</v>
      </c>
      <c r="G1412" s="5" t="str">
        <f ca="1">IFERROR(__xludf.DUMMYFUNCTION("""COMPUTED_VALUE"""),"محمد على محمد حميد (مراكز محمد على للنظارات)")</f>
        <v>محمد على محمد حميد (مراكز محمد على للنظارات)</v>
      </c>
      <c r="H1412" s="5" t="str">
        <f ca="1">IFERROR(__xludf.DUMMYFUNCTION("""COMPUTED_VALUE"""),"شارع باتا - القصير")</f>
        <v>شارع باتا - القصير</v>
      </c>
      <c r="I1412" s="6" t="str">
        <f ca="1">IFERROR(__xludf.DUMMYFUNCTION("""COMPUTED_VALUE"""),"201157210072")</f>
        <v>201157210072</v>
      </c>
      <c r="J1412" s="6"/>
      <c r="K1412" s="6" t="str">
        <f ca="1">IFERROR(__xludf.DUMMYFUNCTION("""COMPUTED_VALUE"""),"30% علي كل الخدمات")</f>
        <v>30% علي كل الخدمات</v>
      </c>
    </row>
    <row r="1413" spans="1:11" x14ac:dyDescent="0.25">
      <c r="A1413" s="4" t="str">
        <f ca="1">IFERROR(__xludf.DUMMYFUNCTION("""COMPUTED_VALUE"""),"105715-B")</f>
        <v>105715-B</v>
      </c>
      <c r="B1413" s="5" t="str">
        <f ca="1">IFERROR(__xludf.DUMMYFUNCTION("""COMPUTED_VALUE"""),"قنا")</f>
        <v>قنا</v>
      </c>
      <c r="C1413" s="5" t="str">
        <f ca="1">IFERROR(__xludf.DUMMYFUNCTION("""COMPUTED_VALUE"""),"قفط")</f>
        <v>قفط</v>
      </c>
      <c r="D1413" s="5" t="str">
        <f ca="1">IFERROR(__xludf.DUMMYFUNCTION("""COMPUTED_VALUE"""),"شركة")</f>
        <v>شركة</v>
      </c>
      <c r="E1413" s="5" t="str">
        <f ca="1">IFERROR(__xludf.DUMMYFUNCTION("""COMPUTED_VALUE"""),"شركة اجهزة طبية")</f>
        <v>شركة اجهزة طبية</v>
      </c>
      <c r="F1413" s="5" t="str">
        <f ca="1">IFERROR(__xludf.DUMMYFUNCTION("""COMPUTED_VALUE"""),"مركز بصريات")</f>
        <v>مركز بصريات</v>
      </c>
      <c r="G1413" s="5" t="str">
        <f ca="1">IFERROR(__xludf.DUMMYFUNCTION("""COMPUTED_VALUE"""),"محمد على محمد حميد (مراكز محمد على للنظارات)")</f>
        <v>محمد على محمد حميد (مراكز محمد على للنظارات)</v>
      </c>
      <c r="H1413" s="5" t="str">
        <f ca="1">IFERROR(__xludf.DUMMYFUNCTION("""COMPUTED_VALUE"""),"شارع المحطة – امام مركز الشرطة -قفط")</f>
        <v>شارع المحطة – امام مركز الشرطة -قفط</v>
      </c>
      <c r="I1413" s="6" t="str">
        <f ca="1">IFERROR(__xludf.DUMMYFUNCTION("""COMPUTED_VALUE"""),"201157611101")</f>
        <v>201157611101</v>
      </c>
      <c r="J1413" s="6"/>
      <c r="K1413" s="6" t="str">
        <f ca="1">IFERROR(__xludf.DUMMYFUNCTION("""COMPUTED_VALUE"""),"30% علي كل الخدمات")</f>
        <v>30% علي كل الخدمات</v>
      </c>
    </row>
    <row r="1414" spans="1:11" x14ac:dyDescent="0.25">
      <c r="A1414" s="4" t="str">
        <f ca="1">IFERROR(__xludf.DUMMYFUNCTION("""COMPUTED_VALUE"""),"105715-B")</f>
        <v>105715-B</v>
      </c>
      <c r="B1414" s="5" t="str">
        <f ca="1">IFERROR(__xludf.DUMMYFUNCTION("""COMPUTED_VALUE"""),"قنا")</f>
        <v>قنا</v>
      </c>
      <c r="C1414" s="5" t="str">
        <f ca="1">IFERROR(__xludf.DUMMYFUNCTION("""COMPUTED_VALUE"""),"قوص")</f>
        <v>قوص</v>
      </c>
      <c r="D1414" s="5" t="str">
        <f ca="1">IFERROR(__xludf.DUMMYFUNCTION("""COMPUTED_VALUE"""),"شركة")</f>
        <v>شركة</v>
      </c>
      <c r="E1414" s="5" t="str">
        <f ca="1">IFERROR(__xludf.DUMMYFUNCTION("""COMPUTED_VALUE"""),"شركة اجهزة طبية")</f>
        <v>شركة اجهزة طبية</v>
      </c>
      <c r="F1414" s="5" t="str">
        <f ca="1">IFERROR(__xludf.DUMMYFUNCTION("""COMPUTED_VALUE"""),"مركز بصريات")</f>
        <v>مركز بصريات</v>
      </c>
      <c r="G1414" s="5" t="str">
        <f ca="1">IFERROR(__xludf.DUMMYFUNCTION("""COMPUTED_VALUE"""),"محمد على محمد حميد (مراكز محمد على للنظارات)")</f>
        <v>محمد على محمد حميد (مراكز محمد على للنظارات)</v>
      </c>
      <c r="H1414" s="5" t="str">
        <f ca="1">IFERROR(__xludf.DUMMYFUNCTION("""COMPUTED_VALUE"""),"شارع عبدالمنعم ریاض بجوار مدرسة الثانوي بنين - قوص")</f>
        <v>شارع عبدالمنعم ریاض بجوار مدرسة الثانوي بنين - قوص</v>
      </c>
      <c r="I1414" s="6" t="str">
        <f ca="1">IFERROR(__xludf.DUMMYFUNCTION("""COMPUTED_VALUE"""),"201112111461")</f>
        <v>201112111461</v>
      </c>
      <c r="J1414" s="6"/>
      <c r="K1414" s="6" t="str">
        <f ca="1">IFERROR(__xludf.DUMMYFUNCTION("""COMPUTED_VALUE"""),"30% علي كل الخدمات")</f>
        <v>30% علي كل الخدمات</v>
      </c>
    </row>
    <row r="1415" spans="1:11" x14ac:dyDescent="0.25">
      <c r="A1415" s="4" t="str">
        <f ca="1">IFERROR(__xludf.DUMMYFUNCTION("""COMPUTED_VALUE"""),"105715-B")</f>
        <v>105715-B</v>
      </c>
      <c r="B1415" s="5" t="str">
        <f ca="1">IFERROR(__xludf.DUMMYFUNCTION("""COMPUTED_VALUE"""),"قنا")</f>
        <v>قنا</v>
      </c>
      <c r="C1415" s="5" t="str">
        <f ca="1">IFERROR(__xludf.DUMMYFUNCTION("""COMPUTED_VALUE"""),"قوص")</f>
        <v>قوص</v>
      </c>
      <c r="D1415" s="5" t="str">
        <f ca="1">IFERROR(__xludf.DUMMYFUNCTION("""COMPUTED_VALUE"""),"شركة")</f>
        <v>شركة</v>
      </c>
      <c r="E1415" s="5" t="str">
        <f ca="1">IFERROR(__xludf.DUMMYFUNCTION("""COMPUTED_VALUE"""),"شركة اجهزة طبية")</f>
        <v>شركة اجهزة طبية</v>
      </c>
      <c r="F1415" s="5" t="str">
        <f ca="1">IFERROR(__xludf.DUMMYFUNCTION("""COMPUTED_VALUE"""),"مركز بصريات")</f>
        <v>مركز بصريات</v>
      </c>
      <c r="G1415" s="5" t="str">
        <f ca="1">IFERROR(__xludf.DUMMYFUNCTION("""COMPUTED_VALUE"""),"محمد على محمد حميد (مراكز محمد على للنظارات)")</f>
        <v>محمد على محمد حميد (مراكز محمد على للنظارات)</v>
      </c>
      <c r="H1415" s="5" t="str">
        <f ca="1">IFERROR(__xludf.DUMMYFUNCTION("""COMPUTED_VALUE"""),"شارع طریق النصر – امام اتصالات - قوص")</f>
        <v>شارع طریق النصر – امام اتصالات - قوص</v>
      </c>
      <c r="I1415" s="6" t="str">
        <f ca="1">IFERROR(__xludf.DUMMYFUNCTION("""COMPUTED_VALUE"""),"201112111460")</f>
        <v>201112111460</v>
      </c>
      <c r="J1415" s="6"/>
      <c r="K1415" s="6" t="str">
        <f ca="1">IFERROR(__xludf.DUMMYFUNCTION("""COMPUTED_VALUE"""),"30% علي كل الخدمات")</f>
        <v>30% علي كل الخدمات</v>
      </c>
    </row>
    <row r="1416" spans="1:11" x14ac:dyDescent="0.25">
      <c r="A1416" s="4" t="str">
        <f ca="1">IFERROR(__xludf.DUMMYFUNCTION("""COMPUTED_VALUE"""),"105715-B")</f>
        <v>105715-B</v>
      </c>
      <c r="B1416" s="5" t="str">
        <f ca="1">IFERROR(__xludf.DUMMYFUNCTION("""COMPUTED_VALUE"""),"الأقصر")</f>
        <v>الأقصر</v>
      </c>
      <c r="C1416" s="5" t="str">
        <f ca="1">IFERROR(__xludf.DUMMYFUNCTION("""COMPUTED_VALUE"""),"الأقصر")</f>
        <v>الأقصر</v>
      </c>
      <c r="D1416" s="5" t="str">
        <f ca="1">IFERROR(__xludf.DUMMYFUNCTION("""COMPUTED_VALUE"""),"شركة")</f>
        <v>شركة</v>
      </c>
      <c r="E1416" s="5" t="str">
        <f ca="1">IFERROR(__xludf.DUMMYFUNCTION("""COMPUTED_VALUE"""),"شركة اجهزة طبية")</f>
        <v>شركة اجهزة طبية</v>
      </c>
      <c r="F1416" s="5" t="str">
        <f ca="1">IFERROR(__xludf.DUMMYFUNCTION("""COMPUTED_VALUE"""),"مركز بصريات")</f>
        <v>مركز بصريات</v>
      </c>
      <c r="G1416" s="5" t="str">
        <f ca="1">IFERROR(__xludf.DUMMYFUNCTION("""COMPUTED_VALUE"""),"محمد على محمد حميد (مراكز محمد على للنظارات)")</f>
        <v>محمد على محمد حميد (مراكز محمد على للنظارات)</v>
      </c>
      <c r="H1416" s="5" t="str">
        <f ca="1">IFERROR(__xludf.DUMMYFUNCTION("""COMPUTED_VALUE"""),"شارع المنشية - بجوار سيراميكا الشيخ الطيب - الأقصر")</f>
        <v>شارع المنشية - بجوار سيراميكا الشيخ الطيب - الأقصر</v>
      </c>
      <c r="I1416" s="6" t="str">
        <f ca="1">IFERROR(__xludf.DUMMYFUNCTION("""COMPUTED_VALUE"""),"201152862333")</f>
        <v>201152862333</v>
      </c>
      <c r="J1416" s="6"/>
      <c r="K1416" s="6" t="str">
        <f ca="1">IFERROR(__xludf.DUMMYFUNCTION("""COMPUTED_VALUE"""),"30% علي كل الخدمات")</f>
        <v>30% علي كل الخدمات</v>
      </c>
    </row>
    <row r="1417" spans="1:11" x14ac:dyDescent="0.25">
      <c r="A1417" s="4" t="str">
        <f ca="1">IFERROR(__xludf.DUMMYFUNCTION("""COMPUTED_VALUE"""),"105715-B")</f>
        <v>105715-B</v>
      </c>
      <c r="B1417" s="5" t="str">
        <f ca="1">IFERROR(__xludf.DUMMYFUNCTION("""COMPUTED_VALUE"""),"القاهرة")</f>
        <v>القاهرة</v>
      </c>
      <c r="C1417" s="5" t="str">
        <f ca="1">IFERROR(__xludf.DUMMYFUNCTION("""COMPUTED_VALUE"""),"وسط البلد")</f>
        <v>وسط البلد</v>
      </c>
      <c r="D1417" s="5" t="str">
        <f ca="1">IFERROR(__xludf.DUMMYFUNCTION("""COMPUTED_VALUE"""),"شركة")</f>
        <v>شركة</v>
      </c>
      <c r="E1417" s="5" t="str">
        <f ca="1">IFERROR(__xludf.DUMMYFUNCTION("""COMPUTED_VALUE"""),"شركة اجهزة طبية")</f>
        <v>شركة اجهزة طبية</v>
      </c>
      <c r="F1417" s="5" t="str">
        <f ca="1">IFERROR(__xludf.DUMMYFUNCTION("""COMPUTED_VALUE"""),"مركز بصريات")</f>
        <v>مركز بصريات</v>
      </c>
      <c r="G1417" s="5" t="str">
        <f ca="1">IFERROR(__xludf.DUMMYFUNCTION("""COMPUTED_VALUE"""),"محمد على محمد حميد (مراكز محمد على للنظارات)")</f>
        <v>محمد على محمد حميد (مراكز محمد على للنظارات)</v>
      </c>
      <c r="H1417" s="5" t="str">
        <f ca="1">IFERROR(__xludf.DUMMYFUNCTION("""COMPUTED_VALUE"""),"٤٨أ شارع محمد فرید - تقاطع شارع محمد محمود مع محمد فرید - وسط البلد")</f>
        <v>٤٨أ شارع محمد فرید - تقاطع شارع محمد محمود مع محمد فرید - وسط البلد</v>
      </c>
      <c r="I1417" s="6" t="str">
        <f ca="1">IFERROR(__xludf.DUMMYFUNCTION("""COMPUTED_VALUE"""),"201112111493")</f>
        <v>201112111493</v>
      </c>
      <c r="J1417" s="6"/>
      <c r="K1417" s="6" t="str">
        <f ca="1">IFERROR(__xludf.DUMMYFUNCTION("""COMPUTED_VALUE"""),"30% علي كل الخدمات")</f>
        <v>30% علي كل الخدمات</v>
      </c>
    </row>
    <row r="1418" spans="1:11" x14ac:dyDescent="0.25">
      <c r="A1418" s="4" t="str">
        <f ca="1">IFERROR(__xludf.DUMMYFUNCTION("""COMPUTED_VALUE"""),"105716")</f>
        <v>105716</v>
      </c>
      <c r="B1418" s="5" t="str">
        <f ca="1">IFERROR(__xludf.DUMMYFUNCTION("""COMPUTED_VALUE"""),"البحر الاحمر")</f>
        <v>البحر الاحمر</v>
      </c>
      <c r="C1418" s="5" t="str">
        <f ca="1">IFERROR(__xludf.DUMMYFUNCTION("""COMPUTED_VALUE"""),"القصير")</f>
        <v>القصير</v>
      </c>
      <c r="D1418" s="5" t="str">
        <f ca="1">IFERROR(__xludf.DUMMYFUNCTION("""COMPUTED_VALUE"""),"شركة")</f>
        <v>شركة</v>
      </c>
      <c r="E1418" s="5" t="str">
        <f ca="1">IFERROR(__xludf.DUMMYFUNCTION("""COMPUTED_VALUE"""),"شركة اجهزة طبية")</f>
        <v>شركة اجهزة طبية</v>
      </c>
      <c r="F1418" s="5" t="str">
        <f ca="1">IFERROR(__xludf.DUMMYFUNCTION("""COMPUTED_VALUE"""),"مركز بصريات")</f>
        <v>مركز بصريات</v>
      </c>
      <c r="G1418" s="5" t="str">
        <f ca="1">IFERROR(__xludf.DUMMYFUNCTION("""COMPUTED_VALUE"""),"السيد مرعى عبدالعال محمد (مركز السيد مرعى للنظارات)")</f>
        <v>السيد مرعى عبدالعال محمد (مركز السيد مرعى للنظارات)</v>
      </c>
      <c r="H1418" s="5" t="str">
        <f ca="1">IFERROR(__xludf.DUMMYFUNCTION("""COMPUTED_VALUE"""),"شارع العاشر من رمضان - بجوار الطابية - القصير")</f>
        <v>شارع العاشر من رمضان - بجوار الطابية - القصير</v>
      </c>
      <c r="I1418" s="6" t="str">
        <f ca="1">IFERROR(__xludf.DUMMYFUNCTION("""COMPUTED_VALUE"""),"201067606047")</f>
        <v>201067606047</v>
      </c>
      <c r="J1418" s="6"/>
      <c r="K1418" s="6" t="str">
        <f ca="1">IFERROR(__xludf.DUMMYFUNCTION("""COMPUTED_VALUE"""),"خصم يصل الي 25%")</f>
        <v>خصم يصل الي 25%</v>
      </c>
    </row>
    <row r="1419" spans="1:11" x14ac:dyDescent="0.25">
      <c r="A1419" s="4" t="str">
        <f ca="1">IFERROR(__xludf.DUMMYFUNCTION("""COMPUTED_VALUE"""),"105718")</f>
        <v>105718</v>
      </c>
      <c r="B1419" s="5" t="str">
        <f ca="1">IFERROR(__xludf.DUMMYFUNCTION("""COMPUTED_VALUE"""),"البحر الاحمر")</f>
        <v>البحر الاحمر</v>
      </c>
      <c r="C1419" s="5" t="str">
        <f ca="1">IFERROR(__xludf.DUMMYFUNCTION("""COMPUTED_VALUE"""),"القصير")</f>
        <v>القصير</v>
      </c>
      <c r="D1419" s="5" t="str">
        <f ca="1">IFERROR(__xludf.DUMMYFUNCTION("""COMPUTED_VALUE"""),"هيئة الأطباء")</f>
        <v>هيئة الأطباء</v>
      </c>
      <c r="E1419" s="5" t="str">
        <f ca="1">IFERROR(__xludf.DUMMYFUNCTION("""COMPUTED_VALUE"""),"جراحة")</f>
        <v>جراحة</v>
      </c>
      <c r="F1419" s="5" t="str">
        <f ca="1">IFERROR(__xludf.DUMMYFUNCTION("""COMPUTED_VALUE"""),"جراحة عامة")</f>
        <v>جراحة عامة</v>
      </c>
      <c r="G1419" s="5" t="str">
        <f ca="1">IFERROR(__xludf.DUMMYFUNCTION("""COMPUTED_VALUE"""),"د/ صابر جاد احمد عبدالرحمن")</f>
        <v>د/ صابر جاد احمد عبدالرحمن</v>
      </c>
      <c r="H1419" s="5" t="str">
        <f ca="1">IFERROR(__xludf.DUMMYFUNCTION("""COMPUTED_VALUE"""),"2 شارع تقسيم الجمعية - امام وحدة الامل الصحية - القصير")</f>
        <v>2 شارع تقسيم الجمعية - امام وحدة الامل الصحية - القصير</v>
      </c>
      <c r="I1419" s="6" t="str">
        <f ca="1">IFERROR(__xludf.DUMMYFUNCTION("""COMPUTED_VALUE"""),"20653332848")</f>
        <v>20653332848</v>
      </c>
      <c r="J1419" s="6"/>
      <c r="K1419" s="6" t="str">
        <f ca="1">IFERROR(__xludf.DUMMYFUNCTION("""COMPUTED_VALUE"""),"نقابه 2017")</f>
        <v>نقابه 2017</v>
      </c>
    </row>
    <row r="1420" spans="1:11" x14ac:dyDescent="0.25">
      <c r="A1420" s="4" t="str">
        <f ca="1">IFERROR(__xludf.DUMMYFUNCTION("""COMPUTED_VALUE"""),"105720")</f>
        <v>105720</v>
      </c>
      <c r="B1420" s="5" t="str">
        <f ca="1">IFERROR(__xludf.DUMMYFUNCTION("""COMPUTED_VALUE"""),"البحر الاحمر")</f>
        <v>البحر الاحمر</v>
      </c>
      <c r="C1420" s="5" t="str">
        <f ca="1">IFERROR(__xludf.DUMMYFUNCTION("""COMPUTED_VALUE"""),"القصير")</f>
        <v>القصير</v>
      </c>
      <c r="D1420" s="5" t="str">
        <f ca="1">IFERROR(__xludf.DUMMYFUNCTION("""COMPUTED_VALUE"""),"هيئة الأطباء")</f>
        <v>هيئة الأطباء</v>
      </c>
      <c r="E1420" s="5" t="str">
        <f ca="1">IFERROR(__xludf.DUMMYFUNCTION("""COMPUTED_VALUE"""),"اسنان")</f>
        <v>اسنان</v>
      </c>
      <c r="F1420" s="5" t="str">
        <f ca="1">IFERROR(__xludf.DUMMYFUNCTION("""COMPUTED_VALUE"""),"جراحة الفم والأسنان")</f>
        <v>جراحة الفم والأسنان</v>
      </c>
      <c r="G1420" s="5" t="str">
        <f ca="1">IFERROR(__xludf.DUMMYFUNCTION("""COMPUTED_VALUE"""),"د/ خلود محمود إبراهيم محمود")</f>
        <v>د/ خلود محمود إبراهيم محمود</v>
      </c>
      <c r="H1420" s="5" t="str">
        <f ca="1">IFERROR(__xludf.DUMMYFUNCTION("""COMPUTED_VALUE"""),"شارع بنك مصر عمارة الفراعنة - امام وحدة الامل - القصير")</f>
        <v>شارع بنك مصر عمارة الفراعنة - امام وحدة الامل - القصير</v>
      </c>
      <c r="I1420" s="6" t="str">
        <f ca="1">IFERROR(__xludf.DUMMYFUNCTION("""COMPUTED_VALUE"""),"201019005803")</f>
        <v>201019005803</v>
      </c>
      <c r="J1420" s="6"/>
      <c r="K1420" s="6" t="str">
        <f ca="1">IFERROR(__xludf.DUMMYFUNCTION("""COMPUTED_VALUE"""),"نقابه 2018")</f>
        <v>نقابه 2018</v>
      </c>
    </row>
    <row r="1421" spans="1:11" x14ac:dyDescent="0.25">
      <c r="A1421" s="4" t="str">
        <f ca="1">IFERROR(__xludf.DUMMYFUNCTION("""COMPUTED_VALUE"""),"1897-B")</f>
        <v>1897-B</v>
      </c>
      <c r="B1421" s="5" t="str">
        <f ca="1">IFERROR(__xludf.DUMMYFUNCTION("""COMPUTED_VALUE"""),"القاهرة")</f>
        <v>القاهرة</v>
      </c>
      <c r="C1421" s="5" t="str">
        <f ca="1">IFERROR(__xludf.DUMMYFUNCTION("""COMPUTED_VALUE"""),"مصر الجديدة")</f>
        <v>مصر الجديدة</v>
      </c>
      <c r="D1421" s="5" t="str">
        <f ca="1">IFERROR(__xludf.DUMMYFUNCTION("""COMPUTED_VALUE"""),"معمل")</f>
        <v>معمل</v>
      </c>
      <c r="E1421" s="5" t="str">
        <f ca="1">IFERROR(__xludf.DUMMYFUNCTION("""COMPUTED_VALUE"""),"معمل")</f>
        <v>معمل</v>
      </c>
      <c r="F1421" s="5" t="str">
        <f ca="1">IFERROR(__xludf.DUMMYFUNCTION("""COMPUTED_VALUE"""),"معمل التحاليل الطبية")</f>
        <v>معمل التحاليل الطبية</v>
      </c>
      <c r="G1421" s="5" t="str">
        <f ca="1">IFERROR(__xludf.DUMMYFUNCTION("""COMPUTED_VALUE"""),"معمل المختبر (د. مؤمنة كامل)")</f>
        <v>معمل المختبر (د. مؤمنة كامل)</v>
      </c>
      <c r="H1421" s="5" t="str">
        <f ca="1">IFERROR(__xludf.DUMMYFUNCTION("""COMPUTED_VALUE"""),"الوحدة رقم 3 الدور الارضي العلوي – العقار رقم 96 شارع عبد العزيز فهمي – مصر الجديدة النزهة")</f>
        <v>الوحدة رقم 3 الدور الارضي العلوي – العقار رقم 96 شارع عبد العزيز فهمي – مصر الجديدة النزهة</v>
      </c>
      <c r="I1421" s="6" t="str">
        <f ca="1">IFERROR(__xludf.DUMMYFUNCTION("""COMPUTED_VALUE"""),"01099988487")</f>
        <v>01099988487</v>
      </c>
      <c r="J1421" s="6" t="str">
        <f ca="1">IFERROR(__xludf.DUMMYFUNCTION("""COMPUTED_VALUE"""),"19014")</f>
        <v>19014</v>
      </c>
      <c r="K1421" s="6" t="str">
        <f ca="1">IFERROR(__xludf.DUMMYFUNCTION("""COMPUTED_VALUE"""),"خصم 20% علي جميع التحاليل")</f>
        <v>خصم 20% علي جميع التحاليل</v>
      </c>
    </row>
    <row r="1422" spans="1:11" x14ac:dyDescent="0.25">
      <c r="A1422" s="4" t="str">
        <f ca="1">IFERROR(__xludf.DUMMYFUNCTION("""COMPUTED_VALUE"""),"1897-B")</f>
        <v>1897-B</v>
      </c>
      <c r="B1422" s="5" t="str">
        <f ca="1">IFERROR(__xludf.DUMMYFUNCTION("""COMPUTED_VALUE"""),"الجيزة")</f>
        <v>الجيزة</v>
      </c>
      <c r="C1422" s="5" t="str">
        <f ca="1">IFERROR(__xludf.DUMMYFUNCTION("""COMPUTED_VALUE"""),"حدائق الاهرام")</f>
        <v>حدائق الاهرام</v>
      </c>
      <c r="D1422" s="5" t="str">
        <f ca="1">IFERROR(__xludf.DUMMYFUNCTION("""COMPUTED_VALUE"""),"معمل")</f>
        <v>معمل</v>
      </c>
      <c r="E1422" s="5" t="str">
        <f ca="1">IFERROR(__xludf.DUMMYFUNCTION("""COMPUTED_VALUE"""),"معمل")</f>
        <v>معمل</v>
      </c>
      <c r="F1422" s="5" t="str">
        <f ca="1">IFERROR(__xludf.DUMMYFUNCTION("""COMPUTED_VALUE"""),"معمل التحاليل الطبية")</f>
        <v>معمل التحاليل الطبية</v>
      </c>
      <c r="G1422" s="5" t="str">
        <f ca="1">IFERROR(__xludf.DUMMYFUNCTION("""COMPUTED_VALUE"""),"معمل المختبر (د. مؤمنة كامل)")</f>
        <v>معمل المختبر (د. مؤمنة كامل)</v>
      </c>
      <c r="H1422" s="5" t="str">
        <f ca="1">IFERROR(__xludf.DUMMYFUNCTION("""COMPUTED_VALUE""")," 97 ( ة)  البوابه الثانية القديمة حدائق الاهرام الدور الاول")</f>
        <v> 97 ( ة)  البوابه الثانية القديمة حدائق الاهرام الدور الاول</v>
      </c>
      <c r="I1422" s="6" t="str">
        <f ca="1">IFERROR(__xludf.DUMMYFUNCTION("""COMPUTED_VALUE"""),"1028906668")</f>
        <v>1028906668</v>
      </c>
      <c r="J1422" s="6" t="str">
        <f ca="1">IFERROR(__xludf.DUMMYFUNCTION("""COMPUTED_VALUE"""),"19014")</f>
        <v>19014</v>
      </c>
      <c r="K1422" s="6" t="str">
        <f ca="1">IFERROR(__xludf.DUMMYFUNCTION("""COMPUTED_VALUE"""),"خصم 20% علي جميع التحاليل")</f>
        <v>خصم 20% علي جميع التحاليل</v>
      </c>
    </row>
    <row r="1423" spans="1:11" x14ac:dyDescent="0.25">
      <c r="A1423" s="4" t="str">
        <f ca="1">IFERROR(__xludf.DUMMYFUNCTION("""COMPUTED_VALUE"""),"1897-B")</f>
        <v>1897-B</v>
      </c>
      <c r="B1423" s="5" t="str">
        <f ca="1">IFERROR(__xludf.DUMMYFUNCTION("""COMPUTED_VALUE"""),"الجيزة")</f>
        <v>الجيزة</v>
      </c>
      <c r="C1423" s="5" t="str">
        <f ca="1">IFERROR(__xludf.DUMMYFUNCTION("""COMPUTED_VALUE"""),"الهرم")</f>
        <v>الهرم</v>
      </c>
      <c r="D1423" s="5" t="str">
        <f ca="1">IFERROR(__xludf.DUMMYFUNCTION("""COMPUTED_VALUE"""),"معمل")</f>
        <v>معمل</v>
      </c>
      <c r="E1423" s="5" t="str">
        <f ca="1">IFERROR(__xludf.DUMMYFUNCTION("""COMPUTED_VALUE"""),"معمل")</f>
        <v>معمل</v>
      </c>
      <c r="F1423" s="5" t="str">
        <f ca="1">IFERROR(__xludf.DUMMYFUNCTION("""COMPUTED_VALUE"""),"معمل التحاليل الطبية")</f>
        <v>معمل التحاليل الطبية</v>
      </c>
      <c r="G1423" s="5" t="str">
        <f ca="1">IFERROR(__xludf.DUMMYFUNCTION("""COMPUTED_VALUE"""),"معمل المختبر (د. مؤمنة كامل)")</f>
        <v>معمل المختبر (د. مؤمنة كامل)</v>
      </c>
      <c r="H1423" s="5" t="str">
        <f ca="1">IFERROR(__xludf.DUMMYFUNCTION("""COMPUTED_VALUE"""),"شارع اللبيني الهرم الجيزة عقار 302 الدور الثالث – المالك محمد عبد الحميد علي موسي")</f>
        <v>شارع اللبيني الهرم الجيزة عقار 302 الدور الثالث – المالك محمد عبد الحميد علي موسي</v>
      </c>
      <c r="I1423" s="6" t="str">
        <f ca="1">IFERROR(__xludf.DUMMYFUNCTION("""COMPUTED_VALUE"""),"1019666340")</f>
        <v>1019666340</v>
      </c>
      <c r="J1423" s="6" t="str">
        <f ca="1">IFERROR(__xludf.DUMMYFUNCTION("""COMPUTED_VALUE"""),"19014")</f>
        <v>19014</v>
      </c>
      <c r="K1423" s="6" t="str">
        <f ca="1">IFERROR(__xludf.DUMMYFUNCTION("""COMPUTED_VALUE"""),"خصم 20% علي جميع التحاليل")</f>
        <v>خصم 20% علي جميع التحاليل</v>
      </c>
    </row>
    <row r="1424" spans="1:11" x14ac:dyDescent="0.25">
      <c r="A1424" s="4" t="str">
        <f ca="1">IFERROR(__xludf.DUMMYFUNCTION("""COMPUTED_VALUE"""),"105773")</f>
        <v>105773</v>
      </c>
      <c r="B1424" s="5" t="str">
        <f ca="1">IFERROR(__xludf.DUMMYFUNCTION("""COMPUTED_VALUE"""),"الوادى الجديد")</f>
        <v>الوادى الجديد</v>
      </c>
      <c r="C1424" s="5" t="str">
        <f ca="1">IFERROR(__xludf.DUMMYFUNCTION("""COMPUTED_VALUE"""),"الداخلة")</f>
        <v>الداخلة</v>
      </c>
      <c r="D1424" s="5" t="str">
        <f ca="1">IFERROR(__xludf.DUMMYFUNCTION("""COMPUTED_VALUE"""),"صيدلية")</f>
        <v>صيدلية</v>
      </c>
      <c r="E1424" s="5" t="str">
        <f ca="1">IFERROR(__xludf.DUMMYFUNCTION("""COMPUTED_VALUE"""),"صيدلية")</f>
        <v>صيدلية</v>
      </c>
      <c r="F1424" s="5" t="str">
        <f ca="1">IFERROR(__xludf.DUMMYFUNCTION("""COMPUTED_VALUE"""),"صيدلية (أدوية ومستلزمات طبية)")</f>
        <v>صيدلية (أدوية ومستلزمات طبية)</v>
      </c>
      <c r="G1424" s="5" t="str">
        <f ca="1">IFERROR(__xludf.DUMMYFUNCTION("""COMPUTED_VALUE"""),"د/ احمد خالد ابراهيم محمد ( صيدليه د/ احمد خالد )")</f>
        <v>د/ احمد خالد ابراهيم محمد ( صيدليه د/ احمد خالد )</v>
      </c>
      <c r="H1424" s="5" t="str">
        <f ca="1">IFERROR(__xludf.DUMMYFUNCTION("""COMPUTED_VALUE"""),"الداخله - موط بجوار مستشفي شلبي - الداخله - الوادي الجديد")</f>
        <v>الداخله - موط بجوار مستشفي شلبي - الداخله - الوادي الجديد</v>
      </c>
      <c r="I1424" s="6" t="str">
        <f ca="1">IFERROR(__xludf.DUMMYFUNCTION("""COMPUTED_VALUE"""),"1012033013")</f>
        <v>1012033013</v>
      </c>
      <c r="J1424" s="6"/>
      <c r="K1424" s="6" t="str">
        <f ca="1">IFERROR(__xludf.DUMMYFUNCTION("""COMPUTED_VALUE"""),"خصم 10% علي المحلي,10% علي المستورد")</f>
        <v>خصم 10% علي المحلي,10% علي المستورد</v>
      </c>
    </row>
    <row r="1425" spans="1:11" x14ac:dyDescent="0.25">
      <c r="A1425" s="4" t="str">
        <f ca="1">IFERROR(__xludf.DUMMYFUNCTION("""COMPUTED_VALUE"""),"1763-B")</f>
        <v>1763-B</v>
      </c>
      <c r="B1425" s="5" t="str">
        <f ca="1">IFERROR(__xludf.DUMMYFUNCTION("""COMPUTED_VALUE"""),"الاسكندرية")</f>
        <v>الاسكندرية</v>
      </c>
      <c r="C1425" s="5" t="str">
        <f ca="1">IFERROR(__xludf.DUMMYFUNCTION("""COMPUTED_VALUE"""),"محطة الرمل")</f>
        <v>محطة الرمل</v>
      </c>
      <c r="D1425" s="5" t="str">
        <f ca="1">IFERROR(__xludf.DUMMYFUNCTION("""COMPUTED_VALUE"""),"هيئة الأطباء")</f>
        <v>هيئة الأطباء</v>
      </c>
      <c r="E1425" s="5" t="str">
        <f ca="1">IFERROR(__xludf.DUMMYFUNCTION("""COMPUTED_VALUE"""),"اسنان")</f>
        <v>اسنان</v>
      </c>
      <c r="F1425" s="5" t="str">
        <f ca="1">IFERROR(__xludf.DUMMYFUNCTION("""COMPUTED_VALUE"""),"جراحة الفم والأسنان")</f>
        <v>جراحة الفم والأسنان</v>
      </c>
      <c r="G1425" s="5" t="str">
        <f ca="1">IFERROR(__xludf.DUMMYFUNCTION("""COMPUTED_VALUE"""),"المركز المصري الاول لطب الأسنان ( د/ حسين محمد طاهر)")</f>
        <v>المركز المصري الاول لطب الأسنان ( د/ حسين محمد طاهر)</v>
      </c>
      <c r="H1425" s="5" t="str">
        <f ca="1">IFERROR(__xludf.DUMMYFUNCTION("""COMPUTED_VALUE"""),"محطة الرمل - 8 شارع كلية الطب - برج الأطباء - الدور السادس - وحدة 609")</f>
        <v>محطة الرمل - 8 شارع كلية الطب - برج الأطباء - الدور السادس - وحدة 609</v>
      </c>
      <c r="I1425" s="6" t="str">
        <f ca="1">IFERROR(__xludf.DUMMYFUNCTION("""COMPUTED_VALUE"""),"201110002139")</f>
        <v>201110002139</v>
      </c>
      <c r="J1425" s="6"/>
      <c r="K1425" s="6" t="str">
        <f ca="1">IFERROR(__xludf.DUMMYFUNCTION("""COMPUTED_VALUE"""),"30% على الكشوفات ,10% على التركيبات ,10% على الإجراءات ,5% على الزراعات")</f>
        <v>30% على الكشوفات ,10% على التركيبات ,10% على الإجراءات ,5% على الزراعات</v>
      </c>
    </row>
    <row r="1426" spans="1:11" x14ac:dyDescent="0.25">
      <c r="A1426" s="4" t="str">
        <f ca="1">IFERROR(__xludf.DUMMYFUNCTION("""COMPUTED_VALUE"""),"105779")</f>
        <v>105779</v>
      </c>
      <c r="B1426" s="5" t="str">
        <f ca="1">IFERROR(__xludf.DUMMYFUNCTION("""COMPUTED_VALUE"""),"سوهاج")</f>
        <v>سوهاج</v>
      </c>
      <c r="C1426" s="5" t="str">
        <f ca="1">IFERROR(__xludf.DUMMYFUNCTION("""COMPUTED_VALUE"""),"سوهاج")</f>
        <v>سوهاج</v>
      </c>
      <c r="D1426" s="5" t="str">
        <f ca="1">IFERROR(__xludf.DUMMYFUNCTION("""COMPUTED_VALUE"""),"مستشفى")</f>
        <v>مستشفى</v>
      </c>
      <c r="E1426" s="5" t="str">
        <f ca="1">IFERROR(__xludf.DUMMYFUNCTION("""COMPUTED_VALUE"""),"مستشفي طبي متكامل")</f>
        <v>مستشفي طبي متكامل</v>
      </c>
      <c r="F1426" s="5" t="str">
        <f ca="1">IFERROR(__xludf.DUMMYFUNCTION("""COMPUTED_VALUE"""),"جميع التخصصات الطبية")</f>
        <v>جميع التخصصات الطبية</v>
      </c>
      <c r="G1426" s="5" t="str">
        <f ca="1">IFERROR(__xludf.DUMMYFUNCTION("""COMPUTED_VALUE"""),"مستشفي الرحاب")</f>
        <v>مستشفي الرحاب</v>
      </c>
      <c r="H1426" s="5" t="str">
        <f ca="1">IFERROR(__xludf.DUMMYFUNCTION("""COMPUTED_VALUE"""),"القطعتين 77و79 بتقسيم الرحاب - امام مركز اصدار البطاقات - سوهاج")</f>
        <v>القطعتين 77و79 بتقسيم الرحاب - امام مركز اصدار البطاقات - سوهاج</v>
      </c>
      <c r="I1426" s="6" t="str">
        <f ca="1">IFERROR(__xludf.DUMMYFUNCTION("""COMPUTED_VALUE"""),"0932156626")</f>
        <v>0932156626</v>
      </c>
      <c r="J1426" s="6"/>
      <c r="K1426" s="6" t="str">
        <f ca="1">IFERROR(__xludf.DUMMYFUNCTION("""COMPUTED_VALUE"""),"خصم 20% علي الاسعار النقدي المعلنه")</f>
        <v>خصم 20% علي الاسعار النقدي المعلنه</v>
      </c>
    </row>
    <row r="1427" spans="1:11" x14ac:dyDescent="0.25">
      <c r="A1427" s="4" t="str">
        <f ca="1">IFERROR(__xludf.DUMMYFUNCTION("""COMPUTED_VALUE"""),"105780")</f>
        <v>105780</v>
      </c>
      <c r="B1427" s="5" t="str">
        <f ca="1">IFERROR(__xludf.DUMMYFUNCTION("""COMPUTED_VALUE"""),"كفر الشيخ")</f>
        <v>كفر الشيخ</v>
      </c>
      <c r="C1427" s="5" t="str">
        <f ca="1">IFERROR(__xludf.DUMMYFUNCTION("""COMPUTED_VALUE"""),"كفر الشيخ")</f>
        <v>كفر الشيخ</v>
      </c>
      <c r="D1427" s="5" t="str">
        <f ca="1">IFERROR(__xludf.DUMMYFUNCTION("""COMPUTED_VALUE"""),"هيئة الأطباء")</f>
        <v>هيئة الأطباء</v>
      </c>
      <c r="E1427" s="5" t="str">
        <f ca="1">IFERROR(__xludf.DUMMYFUNCTION("""COMPUTED_VALUE"""),"باطنة")</f>
        <v>باطنة</v>
      </c>
      <c r="F1427" s="5" t="str">
        <f ca="1">IFERROR(__xludf.DUMMYFUNCTION("""COMPUTED_VALUE"""),"قلب واوعية دموية")</f>
        <v>قلب واوعية دموية</v>
      </c>
      <c r="G1427" s="5" t="str">
        <f ca="1">IFERROR(__xludf.DUMMYFUNCTION("""COMPUTED_VALUE"""),"د/ محمود احمد عبدالغفار محمد")</f>
        <v>د/ محمود احمد عبدالغفار محمد</v>
      </c>
      <c r="H1427" s="5" t="str">
        <f ca="1">IFERROR(__xludf.DUMMYFUNCTION("""COMPUTED_VALUE"""),"عمارات المحاربين الجديده - خلف البنك الاهلي - كفر الشيخ")</f>
        <v>عمارات المحاربين الجديده - خلف البنك الاهلي - كفر الشيخ</v>
      </c>
      <c r="I1427" s="6" t="str">
        <f ca="1">IFERROR(__xludf.DUMMYFUNCTION("""COMPUTED_VALUE"""),"01004958430")</f>
        <v>01004958430</v>
      </c>
      <c r="J1427" s="6"/>
      <c r="K1427" s="6" t="str">
        <f ca="1">IFERROR(__xludf.DUMMYFUNCTION("""COMPUTED_VALUE"""),"الكشف: 70 المؤسسه العلاجيه 2017")</f>
        <v>الكشف: 70 المؤسسه العلاجيه 2017</v>
      </c>
    </row>
    <row r="1428" spans="1:11" x14ac:dyDescent="0.25">
      <c r="A1428" s="4" t="str">
        <f ca="1">IFERROR(__xludf.DUMMYFUNCTION("""COMPUTED_VALUE"""),"105781")</f>
        <v>105781</v>
      </c>
      <c r="B1428" s="5" t="str">
        <f ca="1">IFERROR(__xludf.DUMMYFUNCTION("""COMPUTED_VALUE"""),"كفر الشيخ")</f>
        <v>كفر الشيخ</v>
      </c>
      <c r="C1428" s="5" t="str">
        <f ca="1">IFERROR(__xludf.DUMMYFUNCTION("""COMPUTED_VALUE"""),"كفر الشيخ")</f>
        <v>كفر الشيخ</v>
      </c>
      <c r="D1428" s="5" t="str">
        <f ca="1">IFERROR(__xludf.DUMMYFUNCTION("""COMPUTED_VALUE"""),"هيئة الأطباء")</f>
        <v>هيئة الأطباء</v>
      </c>
      <c r="E1428" s="5" t="str">
        <f ca="1">IFERROR(__xludf.DUMMYFUNCTION("""COMPUTED_VALUE"""),"جراحة")</f>
        <v>جراحة</v>
      </c>
      <c r="F1428" s="5" t="str">
        <f ca="1">IFERROR(__xludf.DUMMYFUNCTION("""COMPUTED_VALUE"""),"جراحة عامة")</f>
        <v>جراحة عامة</v>
      </c>
      <c r="G1428" s="5" t="str">
        <f ca="1">IFERROR(__xludf.DUMMYFUNCTION("""COMPUTED_VALUE"""),"د/ عبد الكريم الياس عبد الكريم رجب ( د/ عبدالكريم الياس الجرم )")</f>
        <v>د/ عبد الكريم الياس عبد الكريم رجب ( د/ عبدالكريم الياس الجرم )</v>
      </c>
      <c r="H1428" s="5" t="str">
        <f ca="1">IFERROR(__xludf.DUMMYFUNCTION("""COMPUTED_VALUE"""),"عمارات المحاربين الجديده - خلف البنك الاهلي - كفر الشيخ")</f>
        <v>عمارات المحاربين الجديده - خلف البنك الاهلي - كفر الشيخ</v>
      </c>
      <c r="I1428" s="6" t="str">
        <f ca="1">IFERROR(__xludf.DUMMYFUNCTION("""COMPUTED_VALUE"""),"0473144964")</f>
        <v>0473144964</v>
      </c>
      <c r="J1428" s="6"/>
      <c r="K1428" s="6" t="str">
        <f ca="1">IFERROR(__xludf.DUMMYFUNCTION("""COMPUTED_VALUE"""),"الكشف: 70 المؤسسه العلاجيه 2017")</f>
        <v>الكشف: 70 المؤسسه العلاجيه 2017</v>
      </c>
    </row>
    <row r="1429" spans="1:11" x14ac:dyDescent="0.25">
      <c r="A1429" s="4" t="str">
        <f ca="1">IFERROR(__xludf.DUMMYFUNCTION("""COMPUTED_VALUE"""),"103307-B")</f>
        <v>103307-B</v>
      </c>
      <c r="B1429" s="5" t="str">
        <f ca="1">IFERROR(__xludf.DUMMYFUNCTION("""COMPUTED_VALUE"""),"القاهرة")</f>
        <v>القاهرة</v>
      </c>
      <c r="C1429" s="5" t="str">
        <f ca="1">IFERROR(__xludf.DUMMYFUNCTION("""COMPUTED_VALUE"""),"مصر الجديدة")</f>
        <v>مصر الجديدة</v>
      </c>
      <c r="D1429" s="5" t="str">
        <f ca="1">IFERROR(__xludf.DUMMYFUNCTION("""COMPUTED_VALUE"""),"مركز أشعة و تحاليل")</f>
        <v>مركز أشعة و تحاليل</v>
      </c>
      <c r="E1429" s="5" t="str">
        <f ca="1">IFERROR(__xludf.DUMMYFUNCTION("""COMPUTED_VALUE""")," أشعة و تحاليل")</f>
        <v xml:space="preserve"> أشعة و تحاليل</v>
      </c>
      <c r="F1429" s="5" t="str">
        <f ca="1">IFERROR(__xludf.DUMMYFUNCTION("""COMPUTED_VALUE""")," أشعة و تحاليل")</f>
        <v xml:space="preserve"> أشعة و تحاليل</v>
      </c>
      <c r="G1429" s="5" t="str">
        <f ca="1">IFERROR(__xludf.DUMMYFUNCTION("""COMPUTED_VALUE"""),"مركز القاهرة للأشعة (كايرو سكان)")</f>
        <v>مركز القاهرة للأشعة (كايرو سكان)</v>
      </c>
      <c r="H1429" s="5" t="str">
        <f ca="1">IFERROR(__xludf.DUMMYFUNCTION("""COMPUTED_VALUE"""),"25 شارع عثمان ابن عفان مصر الجديدة , اعلي بنك QNB")</f>
        <v>25 شارع عثمان ابن عفان مصر الجديدة , اعلي بنك QNB</v>
      </c>
      <c r="I1429" s="6" t="str">
        <f ca="1">IFERROR(__xludf.DUMMYFUNCTION("""COMPUTED_VALUE"""),"01202077989")</f>
        <v>01202077989</v>
      </c>
      <c r="J1429" s="6" t="str">
        <f ca="1">IFERROR(__xludf.DUMMYFUNCTION("""COMPUTED_VALUE"""),"19144")</f>
        <v>19144</v>
      </c>
      <c r="K1429" s="6" t="str">
        <f ca="1">IFERROR(__xludf.DUMMYFUNCTION("""COMPUTED_VALUE"""),"29% على جميع الخدمات")</f>
        <v>29% على جميع الخدمات</v>
      </c>
    </row>
    <row r="1430" spans="1:11" x14ac:dyDescent="0.25">
      <c r="A1430" s="4" t="str">
        <f ca="1">IFERROR(__xludf.DUMMYFUNCTION("""COMPUTED_VALUE"""),"103307-B")</f>
        <v>103307-B</v>
      </c>
      <c r="B1430" s="5" t="str">
        <f ca="1">IFERROR(__xludf.DUMMYFUNCTION("""COMPUTED_VALUE"""),"القاهرة")</f>
        <v>القاهرة</v>
      </c>
      <c r="C1430" s="5" t="str">
        <f ca="1">IFERROR(__xludf.DUMMYFUNCTION("""COMPUTED_VALUE"""),"مدينة نصر")</f>
        <v>مدينة نصر</v>
      </c>
      <c r="D1430" s="5" t="str">
        <f ca="1">IFERROR(__xludf.DUMMYFUNCTION("""COMPUTED_VALUE"""),"مركز أشعة و تحاليل")</f>
        <v>مركز أشعة و تحاليل</v>
      </c>
      <c r="E1430" s="5" t="str">
        <f ca="1">IFERROR(__xludf.DUMMYFUNCTION("""COMPUTED_VALUE""")," أشعة و تحاليل")</f>
        <v xml:space="preserve"> أشعة و تحاليل</v>
      </c>
      <c r="F1430" s="5" t="str">
        <f ca="1">IFERROR(__xludf.DUMMYFUNCTION("""COMPUTED_VALUE""")," أشعة و تحاليل")</f>
        <v xml:space="preserve"> أشعة و تحاليل</v>
      </c>
      <c r="G1430" s="5" t="str">
        <f ca="1">IFERROR(__xludf.DUMMYFUNCTION("""COMPUTED_VALUE"""),"مركز القاهرة للأشعة (كايرو سكان)")</f>
        <v>مركز القاهرة للأشعة (كايرو سكان)</v>
      </c>
      <c r="H1430" s="5" t="str">
        <f ca="1">IFERROR(__xludf.DUMMYFUNCTION("""COMPUTED_VALUE"""),"برج دار الفؤاد الطبي - تقاطع شارع يوسف عباس مع شارع النصر")</f>
        <v>برج دار الفؤاد الطبي - تقاطع شارع يوسف عباس مع شارع النصر</v>
      </c>
      <c r="I1430" s="6" t="str">
        <f ca="1">IFERROR(__xludf.DUMMYFUNCTION("""COMPUTED_VALUE"""),"20227730030")</f>
        <v>20227730030</v>
      </c>
      <c r="J1430" s="6" t="str">
        <f ca="1">IFERROR(__xludf.DUMMYFUNCTION("""COMPUTED_VALUE"""),"19144")</f>
        <v>19144</v>
      </c>
      <c r="K1430" s="6" t="str">
        <f ca="1">IFERROR(__xludf.DUMMYFUNCTION("""COMPUTED_VALUE"""),"29% على جميع الخدمات")</f>
        <v>29% على جميع الخدمات</v>
      </c>
    </row>
    <row r="1431" spans="1:11" x14ac:dyDescent="0.25">
      <c r="A1431" s="4" t="str">
        <f ca="1">IFERROR(__xludf.DUMMYFUNCTION("""COMPUTED_VALUE"""),"104090-B")</f>
        <v>104090-B</v>
      </c>
      <c r="B1431" s="5" t="str">
        <f ca="1">IFERROR(__xludf.DUMMYFUNCTION("""COMPUTED_VALUE"""),"القاهرة")</f>
        <v>القاهرة</v>
      </c>
      <c r="C1431" s="5" t="str">
        <f ca="1">IFERROR(__xludf.DUMMYFUNCTION("""COMPUTED_VALUE"""),"المعادى")</f>
        <v>المعادى</v>
      </c>
      <c r="D1431" s="5" t="str">
        <f ca="1">IFERROR(__xludf.DUMMYFUNCTION("""COMPUTED_VALUE"""),"مستشفى")</f>
        <v>مستشفى</v>
      </c>
      <c r="E1431" s="5" t="str">
        <f ca="1">IFERROR(__xludf.DUMMYFUNCTION("""COMPUTED_VALUE"""),"مستشفي طبي متخصص")</f>
        <v>مستشفي طبي متخصص</v>
      </c>
      <c r="F1431" s="5" t="str">
        <f ca="1">IFERROR(__xludf.DUMMYFUNCTION("""COMPUTED_VALUE"""),"كبد وجهاز هضمي")</f>
        <v>كبد وجهاز هضمي</v>
      </c>
      <c r="G1431" s="5" t="str">
        <f ca="1">IFERROR(__xludf.DUMMYFUNCTION("""COMPUTED_VALUE"""),"مركز الاكسير")</f>
        <v>مركز الاكسير</v>
      </c>
      <c r="H1431" s="5" t="str">
        <f ca="1">IFERROR(__xludf.DUMMYFUNCTION("""COMPUTED_VALUE"""),"45 شارع النصر- ميدان الجزائر - المعادي الجديدة - القاهرة")</f>
        <v>45 شارع النصر- ميدان الجزائر - المعادي الجديدة - القاهرة</v>
      </c>
      <c r="I1431" s="6" t="str">
        <f ca="1">IFERROR(__xludf.DUMMYFUNCTION("""COMPUTED_VALUE"""),"025169707")</f>
        <v>025169707</v>
      </c>
      <c r="J1431" s="6" t="str">
        <f ca="1">IFERROR(__xludf.DUMMYFUNCTION("""COMPUTED_VALUE"""),"16617")</f>
        <v>16617</v>
      </c>
      <c r="K1431" s="6" t="str">
        <f ca="1">IFERROR(__xludf.DUMMYFUNCTION("""COMPUTED_VALUE"""),"25% على جميع الخدمات")</f>
        <v>25% على جميع الخدمات</v>
      </c>
    </row>
    <row r="1432" spans="1:11" x14ac:dyDescent="0.25">
      <c r="A1432" s="4" t="str">
        <f ca="1">IFERROR(__xludf.DUMMYFUNCTION("""COMPUTED_VALUE"""),"2984-B")</f>
        <v>2984-B</v>
      </c>
      <c r="B1432" s="5" t="str">
        <f ca="1">IFERROR(__xludf.DUMMYFUNCTION("""COMPUTED_VALUE"""),"القاهرة")</f>
        <v>القاهرة</v>
      </c>
      <c r="C1432" s="5" t="str">
        <f ca="1">IFERROR(__xludf.DUMMYFUNCTION("""COMPUTED_VALUE"""),"مدينة الشروق")</f>
        <v>مدينة الشروق</v>
      </c>
      <c r="D1432" s="5" t="str">
        <f ca="1">IFERROR(__xludf.DUMMYFUNCTION("""COMPUTED_VALUE"""),"هيئة الأطباء")</f>
        <v>هيئة الأطباء</v>
      </c>
      <c r="E1432" s="5" t="str">
        <f ca="1">IFERROR(__xludf.DUMMYFUNCTION("""COMPUTED_VALUE"""),"جلدية وتناسلية")</f>
        <v>جلدية وتناسلية</v>
      </c>
      <c r="F1432" s="5" t="str">
        <f ca="1">IFERROR(__xludf.DUMMYFUNCTION("""COMPUTED_VALUE"""),"جلدية وتناسلية")</f>
        <v>جلدية وتناسلية</v>
      </c>
      <c r="G1432" s="5" t="str">
        <f ca="1">IFERROR(__xludf.DUMMYFUNCTION("""COMPUTED_VALUE"""),"د/ مصطفى احمد محمود همام")</f>
        <v>د/ مصطفى احمد محمود همام</v>
      </c>
      <c r="H1432" s="5" t="str">
        <f ca="1">IFERROR(__xludf.DUMMYFUNCTION("""COMPUTED_VALUE"""),"9 مركز المدينة - برج الاطباء الدور الاول شقة ١٥مدينة الشروق")</f>
        <v>9 مركز المدينة - برج الاطباء الدور الاول شقة ١٥مدينة الشروق</v>
      </c>
      <c r="I1432" s="6" t="str">
        <f ca="1">IFERROR(__xludf.DUMMYFUNCTION("""COMPUTED_VALUE"""),"20226871129")</f>
        <v>20226871129</v>
      </c>
      <c r="J1432" s="6"/>
      <c r="K1432" s="6" t="str">
        <f ca="1">IFERROR(__xludf.DUMMYFUNCTION("""COMPUTED_VALUE"""),"الكشف:75")</f>
        <v>الكشف:75</v>
      </c>
    </row>
    <row r="1433" spans="1:11" x14ac:dyDescent="0.25">
      <c r="A1433" s="4" t="str">
        <f ca="1">IFERROR(__xludf.DUMMYFUNCTION("""COMPUTED_VALUE"""),"105219-B")</f>
        <v>105219-B</v>
      </c>
      <c r="B1433" s="5" t="str">
        <f ca="1">IFERROR(__xludf.DUMMYFUNCTION("""COMPUTED_VALUE"""),"الاسكندرية")</f>
        <v>الاسكندرية</v>
      </c>
      <c r="C1433" s="5" t="str">
        <f ca="1">IFERROR(__xludf.DUMMYFUNCTION("""COMPUTED_VALUE"""),"العجمي")</f>
        <v>العجمي</v>
      </c>
      <c r="D1433" s="5" t="str">
        <f ca="1">IFERROR(__xludf.DUMMYFUNCTION("""COMPUTED_VALUE"""),"هيئة الأطباء")</f>
        <v>هيئة الأطباء</v>
      </c>
      <c r="E1433" s="5" t="str">
        <f ca="1">IFERROR(__xludf.DUMMYFUNCTION("""COMPUTED_VALUE"""),"اسنان")</f>
        <v>اسنان</v>
      </c>
      <c r="F1433" s="5" t="str">
        <f ca="1">IFERROR(__xludf.DUMMYFUNCTION("""COMPUTED_VALUE"""),"جراحة الفم والأسنان")</f>
        <v>جراحة الفم والأسنان</v>
      </c>
      <c r="G1433" s="5" t="str">
        <f ca="1">IFERROR(__xludf.DUMMYFUNCTION("""COMPUTED_VALUE"""),"د.محمد سامى محمد عبدالعال أبو الدهب (سامى دنتال كلينك)")</f>
        <v>د.محمد سامى محمد عبدالعال أبو الدهب (سامى دنتال كلينك)</v>
      </c>
      <c r="H1433" s="5" t="str">
        <f ca="1">IFERROR(__xludf.DUMMYFUNCTION("""COMPUTED_VALUE"""),"طريق الاسكندرية مطروح الرئيسى أمام مدرسة األورمان الفندقية أعلى صيدلية كير- ابويوسف- العجمى")</f>
        <v>طريق الاسكندرية مطروح الرئيسى أمام مدرسة األورمان الفندقية أعلى صيدلية كير- ابويوسف- العجمى</v>
      </c>
      <c r="I1433" s="6" t="str">
        <f ca="1">IFERROR(__xludf.DUMMYFUNCTION("""COMPUTED_VALUE"""),"34112655")</f>
        <v>34112655</v>
      </c>
      <c r="J1433" s="6"/>
      <c r="K1433" s="6" t="str">
        <f ca="1">IFERROR(__xludf.DUMMYFUNCTION("""COMPUTED_VALUE"""),"خصم 25 % علي الأسعار النقدي المعلنة")</f>
        <v>خصم 25 % علي الأسعار النقدي المعلنة</v>
      </c>
    </row>
    <row r="1434" spans="1:11" x14ac:dyDescent="0.25">
      <c r="A1434" s="4" t="str">
        <f ca="1">IFERROR(__xludf.DUMMYFUNCTION("""COMPUTED_VALUE"""),"105810")</f>
        <v>105810</v>
      </c>
      <c r="B1434" s="5" t="str">
        <f ca="1">IFERROR(__xludf.DUMMYFUNCTION("""COMPUTED_VALUE"""),"المنوفية")</f>
        <v>المنوفية</v>
      </c>
      <c r="C1434" s="5" t="str">
        <f ca="1">IFERROR(__xludf.DUMMYFUNCTION("""COMPUTED_VALUE"""),"مدينه السادات")</f>
        <v>مدينه السادات</v>
      </c>
      <c r="D1434" s="5" t="str">
        <f ca="1">IFERROR(__xludf.DUMMYFUNCTION("""COMPUTED_VALUE"""),"هيئة الأطباء")</f>
        <v>هيئة الأطباء</v>
      </c>
      <c r="E1434" s="5" t="str">
        <f ca="1">IFERROR(__xludf.DUMMYFUNCTION("""COMPUTED_VALUE"""),"اسنان")</f>
        <v>اسنان</v>
      </c>
      <c r="F1434" s="5" t="str">
        <f ca="1">IFERROR(__xludf.DUMMYFUNCTION("""COMPUTED_VALUE"""),"جراحة الفم والأسنان")</f>
        <v>جراحة الفم والأسنان</v>
      </c>
      <c r="G1434" s="5" t="str">
        <f ca="1">IFERROR(__xludf.DUMMYFUNCTION("""COMPUTED_VALUE"""),"د/ مصطفي عبدالمجيد ابو العباس جبر ( مركز طيبه للاسنان )")</f>
        <v>د/ مصطفي عبدالمجيد ابو العباس جبر ( مركز طيبه للاسنان )</v>
      </c>
      <c r="H1434" s="5" t="str">
        <f ca="1">IFERROR(__xludf.DUMMYFUNCTION("""COMPUTED_VALUE"""),"مول دار مصر - مدينه السادات - المنوفيه")</f>
        <v>مول دار مصر - مدينه السادات - المنوفيه</v>
      </c>
      <c r="I1434" s="6" t="str">
        <f ca="1">IFERROR(__xludf.DUMMYFUNCTION("""COMPUTED_VALUE"""),"01270949022")</f>
        <v>01270949022</v>
      </c>
      <c r="J1434" s="6"/>
      <c r="K1434" s="6" t="str">
        <f ca="1">IFERROR(__xludf.DUMMYFUNCTION("""COMPUTED_VALUE"""),"خصم 25 % علي الأسعار النقدي المعلنة")</f>
        <v>خصم 25 % علي الأسعار النقدي المعلنة</v>
      </c>
    </row>
    <row r="1435" spans="1:11" x14ac:dyDescent="0.25">
      <c r="A1435" s="4" t="str">
        <f ca="1">IFERROR(__xludf.DUMMYFUNCTION("""COMPUTED_VALUE"""),"105812")</f>
        <v>105812</v>
      </c>
      <c r="B1435" s="5" t="str">
        <f ca="1">IFERROR(__xludf.DUMMYFUNCTION("""COMPUTED_VALUE"""),"الاسكندرية")</f>
        <v>الاسكندرية</v>
      </c>
      <c r="C1435" s="5" t="str">
        <f ca="1">IFERROR(__xludf.DUMMYFUNCTION("""COMPUTED_VALUE"""),"محرم بيك")</f>
        <v>محرم بيك</v>
      </c>
      <c r="D1435" s="5" t="str">
        <f ca="1">IFERROR(__xludf.DUMMYFUNCTION("""COMPUTED_VALUE"""),"مستشفى")</f>
        <v>مستشفى</v>
      </c>
      <c r="E1435" s="5" t="str">
        <f ca="1">IFERROR(__xludf.DUMMYFUNCTION("""COMPUTED_VALUE"""),"مستشفي طبي متخصص")</f>
        <v>مستشفي طبي متخصص</v>
      </c>
      <c r="F1435" s="5" t="str">
        <f ca="1">IFERROR(__xludf.DUMMYFUNCTION("""COMPUTED_VALUE"""),"أمراض الكلى و المسالك و الكلى الصناعية")</f>
        <v>أمراض الكلى و المسالك و الكلى الصناعية</v>
      </c>
      <c r="G1435" s="5" t="str">
        <f ca="1">IFERROR(__xludf.DUMMYFUNCTION("""COMPUTED_VALUE"""),"د/ محمد فتحي احمد محمد فؤاد ( مركز الصفوه للغسيل الكلوي )")</f>
        <v>د/ محمد فتحي احمد محمد فؤاد ( مركز الصفوه للغسيل الكلوي )</v>
      </c>
      <c r="H1435" s="5" t="str">
        <f ca="1">IFERROR(__xludf.DUMMYFUNCTION("""COMPUTED_VALUE"""),"45 شارع الرصافه - محرم بيك - الاسكندريه")</f>
        <v>45 شارع الرصافه - محرم بيك - الاسكندريه</v>
      </c>
      <c r="I1435" s="6" t="str">
        <f ca="1">IFERROR(__xludf.DUMMYFUNCTION("""COMPUTED_VALUE"""),"01223299752")</f>
        <v>01223299752</v>
      </c>
      <c r="J1435" s="6"/>
      <c r="K1435" s="6" t="str">
        <f ca="1">IFERROR(__xludf.DUMMYFUNCTION("""COMPUTED_VALUE"""),"خصم 20 % علي الأسعار النقدي المعلنة")</f>
        <v>خصم 20 % علي الأسعار النقدي المعلنة</v>
      </c>
    </row>
    <row r="1436" spans="1:11" x14ac:dyDescent="0.25">
      <c r="A1436" s="4" t="str">
        <f ca="1">IFERROR(__xludf.DUMMYFUNCTION("""COMPUTED_VALUE"""),"105815")</f>
        <v>105815</v>
      </c>
      <c r="B1436" s="5" t="str">
        <f ca="1">IFERROR(__xludf.DUMMYFUNCTION("""COMPUTED_VALUE"""),"المنوفية")</f>
        <v>المنوفية</v>
      </c>
      <c r="C1436" s="5" t="str">
        <f ca="1">IFERROR(__xludf.DUMMYFUNCTION("""COMPUTED_VALUE"""),"تلا")</f>
        <v>تلا</v>
      </c>
      <c r="D1436" s="5" t="str">
        <f ca="1">IFERROR(__xludf.DUMMYFUNCTION("""COMPUTED_VALUE"""),"مستشفى")</f>
        <v>مستشفى</v>
      </c>
      <c r="E1436" s="5" t="str">
        <f ca="1">IFERROR(__xludf.DUMMYFUNCTION("""COMPUTED_VALUE"""),"مستشفي طبي متكامل")</f>
        <v>مستشفي طبي متكامل</v>
      </c>
      <c r="F1436" s="5" t="str">
        <f ca="1">IFERROR(__xludf.DUMMYFUNCTION("""COMPUTED_VALUE"""),"جميع التخصصات الطبية")</f>
        <v>جميع التخصصات الطبية</v>
      </c>
      <c r="G1436" s="5" t="str">
        <f ca="1">IFERROR(__xludf.DUMMYFUNCTION("""COMPUTED_VALUE"""),"شركه الفقي للمستشفيات ( مستشفي الفقي التخصصي )")</f>
        <v>شركه الفقي للمستشفيات ( مستشفي الفقي التخصصي )</v>
      </c>
      <c r="H1436" s="5" t="str">
        <f ca="1">IFERROR(__xludf.DUMMYFUNCTION("""COMPUTED_VALUE"""),"شارع البحر - كمشيش - مركز تلا - المنوفيه")</f>
        <v>شارع البحر - كمشيش - مركز تلا - المنوفيه</v>
      </c>
      <c r="I1436" s="6" t="str">
        <f ca="1">IFERROR(__xludf.DUMMYFUNCTION("""COMPUTED_VALUE"""),"01011502355")</f>
        <v>01011502355</v>
      </c>
      <c r="J1436" s="6"/>
      <c r="K1436" s="6" t="str">
        <f ca="1">IFERROR(__xludf.DUMMYFUNCTION("""COMPUTED_VALUE"""),"خصم 35% علي الاسعار النقدي المعلنة")</f>
        <v>خصم 35% علي الاسعار النقدي المعلنة</v>
      </c>
    </row>
    <row r="1437" spans="1:11" x14ac:dyDescent="0.25">
      <c r="A1437" s="4" t="str">
        <f ca="1">IFERROR(__xludf.DUMMYFUNCTION("""COMPUTED_VALUE"""),"105816")</f>
        <v>105816</v>
      </c>
      <c r="B1437" s="5" t="str">
        <f ca="1">IFERROR(__xludf.DUMMYFUNCTION("""COMPUTED_VALUE"""),"المنوفية")</f>
        <v>المنوفية</v>
      </c>
      <c r="C1437" s="5" t="str">
        <f ca="1">IFERROR(__xludf.DUMMYFUNCTION("""COMPUTED_VALUE"""),"الشهداء")</f>
        <v>الشهداء</v>
      </c>
      <c r="D1437" s="5" t="str">
        <f ca="1">IFERROR(__xludf.DUMMYFUNCTION("""COMPUTED_VALUE"""),"مستشفى")</f>
        <v>مستشفى</v>
      </c>
      <c r="E1437" s="5" t="str">
        <f ca="1">IFERROR(__xludf.DUMMYFUNCTION("""COMPUTED_VALUE"""),"مستشفي طبي متكامل")</f>
        <v>مستشفي طبي متكامل</v>
      </c>
      <c r="F1437" s="5" t="str">
        <f ca="1">IFERROR(__xludf.DUMMYFUNCTION("""COMPUTED_VALUE"""),"جميع التخصصات الطبية")</f>
        <v>جميع التخصصات الطبية</v>
      </c>
      <c r="G1437" s="5" t="str">
        <f ca="1">IFERROR(__xludf.DUMMYFUNCTION("""COMPUTED_VALUE"""),"مركز مبره الشهداء ( د/ سعاد محمد احمد ابراهيم علم الدين )")</f>
        <v>مركز مبره الشهداء ( د/ سعاد محمد احمد ابراهيم علم الدين )</v>
      </c>
      <c r="H1437" s="5" t="str">
        <f ca="1">IFERROR(__xludf.DUMMYFUNCTION("""COMPUTED_VALUE"""),"شارع الضرائب العامه - امام محطه القطار - مدينه الشهداء - المنوفيه")</f>
        <v>شارع الضرائب العامه - امام محطه القطار - مدينه الشهداء - المنوفيه</v>
      </c>
      <c r="I1437" s="6" t="str">
        <f ca="1">IFERROR(__xludf.DUMMYFUNCTION("""COMPUTED_VALUE"""),"01228895011")</f>
        <v>01228895011</v>
      </c>
      <c r="J1437" s="6"/>
      <c r="K1437" s="6" t="str">
        <f ca="1">IFERROR(__xludf.DUMMYFUNCTION("""COMPUTED_VALUE"""),"المؤسسه العلاجيه 2017")</f>
        <v>المؤسسه العلاجيه 2017</v>
      </c>
    </row>
    <row r="1438" spans="1:11" x14ac:dyDescent="0.25">
      <c r="A1438" s="4" t="str">
        <f ca="1">IFERROR(__xludf.DUMMYFUNCTION("""COMPUTED_VALUE"""),"105817")</f>
        <v>105817</v>
      </c>
      <c r="B1438" s="5" t="str">
        <f ca="1">IFERROR(__xludf.DUMMYFUNCTION("""COMPUTED_VALUE"""),"الجيزة")</f>
        <v>الجيزة</v>
      </c>
      <c r="C1438" s="5" t="str">
        <f ca="1">IFERROR(__xludf.DUMMYFUNCTION("""COMPUTED_VALUE"""),"العياط")</f>
        <v>العياط</v>
      </c>
      <c r="D1438" s="5" t="str">
        <f ca="1">IFERROR(__xludf.DUMMYFUNCTION("""COMPUTED_VALUE"""),"مركز علاج طبيعي")</f>
        <v>مركز علاج طبيعي</v>
      </c>
      <c r="E1438" s="5" t="str">
        <f ca="1">IFERROR(__xludf.DUMMYFUNCTION("""COMPUTED_VALUE"""),"علاج طبيعي")</f>
        <v>علاج طبيعي</v>
      </c>
      <c r="F1438" s="5" t="str">
        <f ca="1">IFERROR(__xludf.DUMMYFUNCTION("""COMPUTED_VALUE"""),"جلسات العلاج الطبيعي")</f>
        <v>جلسات العلاج الطبيعي</v>
      </c>
      <c r="G1438" s="5" t="str">
        <f ca="1">IFERROR(__xludf.DUMMYFUNCTION("""COMPUTED_VALUE"""),"جمعيه التاهيل الاجتماعي لرعايه الفئات الخاصه والمعاقين بالجيزه ( مركز العلاج الطبيعي بالعياط )")</f>
        <v>جمعيه التاهيل الاجتماعي لرعايه الفئات الخاصه والمعاقين بالجيزه ( مركز العلاج الطبيعي بالعياط )</v>
      </c>
      <c r="H1438" s="5" t="str">
        <f ca="1">IFERROR(__xludf.DUMMYFUNCTION("""COMPUTED_VALUE"""),"ارض المحلج - بجوار معرض النساجون الشرقيون - العياط - الجيزه")</f>
        <v>ارض المحلج - بجوار معرض النساجون الشرقيون - العياط - الجيزه</v>
      </c>
      <c r="I1438" s="6" t="str">
        <f ca="1">IFERROR(__xludf.DUMMYFUNCTION("""COMPUTED_VALUE"""),"01142075400")</f>
        <v>01142075400</v>
      </c>
      <c r="J1438" s="6"/>
      <c r="K1438" s="6" t="str">
        <f ca="1">IFERROR(__xludf.DUMMYFUNCTION("""COMPUTED_VALUE"""),"عضو واحد: 40 , عضوين: 50 , اكثر من عضوين: 70")</f>
        <v>عضو واحد: 40 , عضوين: 50 , اكثر من عضوين: 70</v>
      </c>
    </row>
    <row r="1439" spans="1:11" x14ac:dyDescent="0.25">
      <c r="A1439" s="4" t="str">
        <f ca="1">IFERROR(__xludf.DUMMYFUNCTION("""COMPUTED_VALUE"""),"105818")</f>
        <v>105818</v>
      </c>
      <c r="B1439" s="5" t="str">
        <f ca="1">IFERROR(__xludf.DUMMYFUNCTION("""COMPUTED_VALUE"""),"سوهاج")</f>
        <v>سوهاج</v>
      </c>
      <c r="C1439" s="5" t="str">
        <f ca="1">IFERROR(__xludf.DUMMYFUNCTION("""COMPUTED_VALUE"""),"طهطا")</f>
        <v>طهطا</v>
      </c>
      <c r="D1439" s="5" t="str">
        <f ca="1">IFERROR(__xludf.DUMMYFUNCTION("""COMPUTED_VALUE"""),"مستشفى")</f>
        <v>مستشفى</v>
      </c>
      <c r="E1439" s="5" t="str">
        <f ca="1">IFERROR(__xludf.DUMMYFUNCTION("""COMPUTED_VALUE"""),"مستشفي طبي متكامل")</f>
        <v>مستشفي طبي متكامل</v>
      </c>
      <c r="F1439" s="5" t="str">
        <f ca="1">IFERROR(__xludf.DUMMYFUNCTION("""COMPUTED_VALUE"""),"جميع التخصصات الطبية")</f>
        <v>جميع التخصصات الطبية</v>
      </c>
      <c r="G1439" s="5" t="str">
        <f ca="1">IFERROR(__xludf.DUMMYFUNCTION("""COMPUTED_VALUE"""),"د/ خالد احمد عبداللطيف عثمان محمد عمر ( مستشفي دار الشفاء )")</f>
        <v>د/ خالد احمد عبداللطيف عثمان محمد عمر ( مستشفي دار الشفاء )</v>
      </c>
      <c r="H1439" s="5" t="str">
        <f ca="1">IFERROR(__xludf.DUMMYFUNCTION("""COMPUTED_VALUE"""),"شارع الجيش - بجوار المرور - طهطا - سوهاج")</f>
        <v>شارع الجيش - بجوار المرور - طهطا - سوهاج</v>
      </c>
      <c r="I1439" s="6" t="str">
        <f ca="1">IFERROR(__xludf.DUMMYFUNCTION("""COMPUTED_VALUE"""),"01223338758")</f>
        <v>01223338758</v>
      </c>
      <c r="J1439" s="6"/>
      <c r="K1439" s="6" t="str">
        <f ca="1">IFERROR(__xludf.DUMMYFUNCTION("""COMPUTED_VALUE"""),"الكشف : 70 , المؤسسه العلاجيه 2017")</f>
        <v>الكشف : 70 , المؤسسه العلاجيه 2017</v>
      </c>
    </row>
    <row r="1440" spans="1:11" x14ac:dyDescent="0.25">
      <c r="A1440" s="4" t="str">
        <f ca="1">IFERROR(__xludf.DUMMYFUNCTION("""COMPUTED_VALUE"""),"105820")</f>
        <v>105820</v>
      </c>
      <c r="B1440" s="5" t="str">
        <f ca="1">IFERROR(__xludf.DUMMYFUNCTION("""COMPUTED_VALUE"""),"الجيزة")</f>
        <v>الجيزة</v>
      </c>
      <c r="C1440" s="5" t="str">
        <f ca="1">IFERROR(__xludf.DUMMYFUNCTION("""COMPUTED_VALUE"""),"الحوامدية")</f>
        <v>الحوامدية</v>
      </c>
      <c r="D1440" s="5" t="str">
        <f ca="1">IFERROR(__xludf.DUMMYFUNCTION("""COMPUTED_VALUE"""),"مستشفى")</f>
        <v>مستشفى</v>
      </c>
      <c r="E1440" s="5" t="str">
        <f ca="1">IFERROR(__xludf.DUMMYFUNCTION("""COMPUTED_VALUE"""),"مستشفي طبي متكامل")</f>
        <v>مستشفي طبي متكامل</v>
      </c>
      <c r="F1440" s="5" t="str">
        <f ca="1">IFERROR(__xludf.DUMMYFUNCTION("""COMPUTED_VALUE"""),"جميع التخصصات الطبية")</f>
        <v>جميع التخصصات الطبية</v>
      </c>
      <c r="G1440" s="5" t="str">
        <f ca="1">IFERROR(__xludf.DUMMYFUNCTION("""COMPUTED_VALUE"""),"مركز القادسيه للعلاج الطبي")</f>
        <v>مركز القادسيه للعلاج الطبي</v>
      </c>
      <c r="H1440" s="5" t="str">
        <f ca="1">IFERROR(__xludf.DUMMYFUNCTION("""COMPUTED_VALUE"""),"10 شارع طراد النيل - اسفل الكوبري العلوي - الحوامديه - الجيزه")</f>
        <v>10 شارع طراد النيل - اسفل الكوبري العلوي - الحوامديه - الجيزه</v>
      </c>
      <c r="I1440" s="6" t="str">
        <f ca="1">IFERROR(__xludf.DUMMYFUNCTION("""COMPUTED_VALUE"""),"36703881")</f>
        <v>36703881</v>
      </c>
      <c r="J1440" s="6"/>
      <c r="K1440" s="6" t="str">
        <f ca="1">IFERROR(__xludf.DUMMYFUNCTION("""COMPUTED_VALUE"""),"خصم 25% علي الاسعار النقدي المعلنة")</f>
        <v>خصم 25% علي الاسعار النقدي المعلنة</v>
      </c>
    </row>
    <row r="1441" spans="1:11" x14ac:dyDescent="0.25">
      <c r="A1441" s="4" t="str">
        <f ca="1">IFERROR(__xludf.DUMMYFUNCTION("""COMPUTED_VALUE"""),"105821")</f>
        <v>105821</v>
      </c>
      <c r="B1441" s="5" t="str">
        <f ca="1">IFERROR(__xludf.DUMMYFUNCTION("""COMPUTED_VALUE"""),"المنيا")</f>
        <v>المنيا</v>
      </c>
      <c r="C1441" s="5" t="str">
        <f ca="1">IFERROR(__xludf.DUMMYFUNCTION("""COMPUTED_VALUE"""),"عدوة")</f>
        <v>عدوة</v>
      </c>
      <c r="D1441" s="5" t="str">
        <f ca="1">IFERROR(__xludf.DUMMYFUNCTION("""COMPUTED_VALUE"""),"صيدلية")</f>
        <v>صيدلية</v>
      </c>
      <c r="E1441" s="5" t="str">
        <f ca="1">IFERROR(__xludf.DUMMYFUNCTION("""COMPUTED_VALUE"""),"صيدلية")</f>
        <v>صيدلية</v>
      </c>
      <c r="F1441" s="5" t="str">
        <f ca="1">IFERROR(__xludf.DUMMYFUNCTION("""COMPUTED_VALUE"""),"صيدلية (أدوية ومستلزمات طبية)")</f>
        <v>صيدلية (أدوية ومستلزمات طبية)</v>
      </c>
      <c r="G1441" s="5" t="str">
        <f ca="1">IFERROR(__xludf.DUMMYFUNCTION("""COMPUTED_VALUE"""),"د/ عصمت كارم ناجي علي ( صيدليه د/ عصمت كارم )")</f>
        <v>د/ عصمت كارم ناجي علي ( صيدليه د/ عصمت كارم )</v>
      </c>
      <c r="H1441" s="5" t="str">
        <f ca="1">IFERROR(__xludf.DUMMYFUNCTION("""COMPUTED_VALUE"""),"شارع الكورنيش - مركز العدوه - المنيا")</f>
        <v>شارع الكورنيش - مركز العدوه - المنيا</v>
      </c>
      <c r="I1441" s="6" t="str">
        <f ca="1">IFERROR(__xludf.DUMMYFUNCTION("""COMPUTED_VALUE"""),"01152483927")</f>
        <v>01152483927</v>
      </c>
      <c r="J1441" s="6"/>
      <c r="K1441" s="6" t="str">
        <f ca="1">IFERROR(__xludf.DUMMYFUNCTION("""COMPUTED_VALUE"""),"Discount 13% on local , 7% on imported")</f>
        <v>Discount 13% on local , 7% on imported</v>
      </c>
    </row>
    <row r="1442" spans="1:11" x14ac:dyDescent="0.25">
      <c r="A1442" s="4" t="str">
        <f ca="1">IFERROR(__xludf.DUMMYFUNCTION("""COMPUTED_VALUE"""),"105823")</f>
        <v>105823</v>
      </c>
      <c r="B1442" s="5" t="str">
        <f ca="1">IFERROR(__xludf.DUMMYFUNCTION("""COMPUTED_VALUE"""),"القليوبية")</f>
        <v>القليوبية</v>
      </c>
      <c r="C1442" s="5" t="str">
        <f ca="1">IFERROR(__xludf.DUMMYFUNCTION("""COMPUTED_VALUE"""),"شبين القناطر")</f>
        <v>شبين القناطر</v>
      </c>
      <c r="D1442" s="5" t="str">
        <f ca="1">IFERROR(__xludf.DUMMYFUNCTION("""COMPUTED_VALUE"""),"مستشفى")</f>
        <v>مستشفى</v>
      </c>
      <c r="E1442" s="5" t="str">
        <f ca="1">IFERROR(__xludf.DUMMYFUNCTION("""COMPUTED_VALUE"""),"مستشفي طبي متكامل")</f>
        <v>مستشفي طبي متكامل</v>
      </c>
      <c r="F1442" s="5" t="str">
        <f ca="1">IFERROR(__xludf.DUMMYFUNCTION("""COMPUTED_VALUE"""),"جميع التخصصات الطبية")</f>
        <v>جميع التخصصات الطبية</v>
      </c>
      <c r="G1442" s="5" t="str">
        <f ca="1">IFERROR(__xludf.DUMMYFUNCTION("""COMPUTED_VALUE"""),"مستشفي المهدي")</f>
        <v>مستشفي المهدي</v>
      </c>
      <c r="H1442" s="5" t="str">
        <f ca="1">IFERROR(__xludf.DUMMYFUNCTION("""COMPUTED_VALUE"""),"2 ميدان المحطه - امام سكه حديد شبين - شبين القناطر - القليوبيه")</f>
        <v>2 ميدان المحطه - امام سكه حديد شبين - شبين القناطر - القليوبيه</v>
      </c>
      <c r="I1442" s="6" t="str">
        <f ca="1">IFERROR(__xludf.DUMMYFUNCTION("""COMPUTED_VALUE"""),"0132723906")</f>
        <v>0132723906</v>
      </c>
      <c r="J1442" s="6"/>
      <c r="K1442" s="6" t="str">
        <f ca="1">IFERROR(__xludf.DUMMYFUNCTION("""COMPUTED_VALUE"""),"الكشف: 75 , نقابه 2018")</f>
        <v>الكشف: 75 , نقابه 2018</v>
      </c>
    </row>
    <row r="1443" spans="1:11" x14ac:dyDescent="0.25">
      <c r="A1443" s="4" t="str">
        <f ca="1">IFERROR(__xludf.DUMMYFUNCTION("""COMPUTED_VALUE"""),"105826")</f>
        <v>105826</v>
      </c>
      <c r="B1443" s="5" t="str">
        <f ca="1">IFERROR(__xludf.DUMMYFUNCTION("""COMPUTED_VALUE"""),"القليوبية")</f>
        <v>القليوبية</v>
      </c>
      <c r="C1443" s="5" t="str">
        <f ca="1">IFERROR(__xludf.DUMMYFUNCTION("""COMPUTED_VALUE"""),"شبين القناطر")</f>
        <v>شبين القناطر</v>
      </c>
      <c r="D1443" s="5" t="str">
        <f ca="1">IFERROR(__xludf.DUMMYFUNCTION("""COMPUTED_VALUE"""),"مركز أشعة")</f>
        <v>مركز أشعة</v>
      </c>
      <c r="E1443" s="5" t="str">
        <f ca="1">IFERROR(__xludf.DUMMYFUNCTION("""COMPUTED_VALUE"""),"مركز أشعة")</f>
        <v>مركز أشعة</v>
      </c>
      <c r="F1443" s="5" t="str">
        <f ca="1">IFERROR(__xludf.DUMMYFUNCTION("""COMPUTED_VALUE"""),"مركز الأشعة التشخيصية")</f>
        <v>مركز الأشعة التشخيصية</v>
      </c>
      <c r="G1443" s="5" t="str">
        <f ca="1">IFERROR(__xludf.DUMMYFUNCTION("""COMPUTED_VALUE"""),"مركز سينا سكان للاشعه التشخيصيه ( د/ احمد محمد جودت عبدالمنعم يس وشريكيه )")</f>
        <v>مركز سينا سكان للاشعه التشخيصيه ( د/ احمد محمد جودت عبدالمنعم يس وشريكيه )</v>
      </c>
      <c r="H1443" s="5" t="str">
        <f ca="1">IFERROR(__xludf.DUMMYFUNCTION("""COMPUTED_VALUE"""),"شارع الدلتا - امام السكه الحديد - شبين القناطر - القليوبيه")</f>
        <v>شارع الدلتا - امام السكه الحديد - شبين القناطر - القليوبيه</v>
      </c>
      <c r="I1443" s="6" t="str">
        <f ca="1">IFERROR(__xludf.DUMMYFUNCTION("""COMPUTED_VALUE"""),"01096378833")</f>
        <v>01096378833</v>
      </c>
      <c r="J1443" s="6"/>
      <c r="K1443" s="6" t="str">
        <f ca="1">IFERROR(__xludf.DUMMYFUNCTION("""COMPUTED_VALUE"""),"المؤسسه العلاجيه 2017")</f>
        <v>المؤسسه العلاجيه 2017</v>
      </c>
    </row>
    <row r="1444" spans="1:11" x14ac:dyDescent="0.25">
      <c r="A1444" s="4" t="str">
        <f ca="1">IFERROR(__xludf.DUMMYFUNCTION("""COMPUTED_VALUE"""),"104243-B")</f>
        <v>104243-B</v>
      </c>
      <c r="B1444" s="5" t="str">
        <f ca="1">IFERROR(__xludf.DUMMYFUNCTION("""COMPUTED_VALUE"""),"الجيزة")</f>
        <v>الجيزة</v>
      </c>
      <c r="C1444" s="5" t="str">
        <f ca="1">IFERROR(__xludf.DUMMYFUNCTION("""COMPUTED_VALUE"""),"الشيخ زايد")</f>
        <v>الشيخ زايد</v>
      </c>
      <c r="D1444" s="5" t="str">
        <f ca="1">IFERROR(__xludf.DUMMYFUNCTION("""COMPUTED_VALUE"""),"مستشفى")</f>
        <v>مستشفى</v>
      </c>
      <c r="E1444" s="5" t="str">
        <f ca="1">IFERROR(__xludf.DUMMYFUNCTION("""COMPUTED_VALUE"""),"مستشفي طبي متخصص")</f>
        <v>مستشفي طبي متخصص</v>
      </c>
      <c r="F1444" s="5" t="str">
        <f ca="1">IFERROR(__xludf.DUMMYFUNCTION("""COMPUTED_VALUE"""),"قلب واوعية دموية")</f>
        <v>قلب واوعية دموية</v>
      </c>
      <c r="G1444" s="5" t="str">
        <f ca="1">IFERROR(__xludf.DUMMYFUNCTION("""COMPUTED_VALUE"""),"مركز أي فين ( للأوردة )")</f>
        <v>مركز أي فين ( للأوردة )</v>
      </c>
      <c r="H1444" s="5" t="str">
        <f ca="1">IFERROR(__xludf.DUMMYFUNCTION("""COMPUTED_VALUE"""),"ويست ميديكال سنتر ، سوديك ويست ، مبني 3 ، الدور الأول ، عياده 19")</f>
        <v>ويست ميديكال سنتر ، سوديك ويست ، مبني 3 ، الدور الأول ، عياده 19</v>
      </c>
      <c r="I1444" s="6" t="str">
        <f ca="1">IFERROR(__xludf.DUMMYFUNCTION("""COMPUTED_VALUE"""),"201110060088")</f>
        <v>201110060088</v>
      </c>
      <c r="J1444" s="6" t="str">
        <f ca="1">IFERROR(__xludf.DUMMYFUNCTION("""COMPUTED_VALUE"""),"15780")</f>
        <v>15780</v>
      </c>
      <c r="K1444" s="6" t="str">
        <f ca="1">IFERROR(__xludf.DUMMYFUNCTION("""COMPUTED_VALUE"""),"خصم 25% على الكشف , خصم 15% على باقي الاجراءات")</f>
        <v>خصم 25% على الكشف , خصم 15% على باقي الاجراءات</v>
      </c>
    </row>
    <row r="1445" spans="1:11" x14ac:dyDescent="0.25">
      <c r="A1445" s="4" t="str">
        <f ca="1">IFERROR(__xludf.DUMMYFUNCTION("""COMPUTED_VALUE"""),"104433-B")</f>
        <v>104433-B</v>
      </c>
      <c r="B1445" s="5" t="str">
        <f ca="1">IFERROR(__xludf.DUMMYFUNCTION("""COMPUTED_VALUE"""),"القاهرة")</f>
        <v>القاهرة</v>
      </c>
      <c r="C1445" s="5" t="str">
        <f ca="1">IFERROR(__xludf.DUMMYFUNCTION("""COMPUTED_VALUE"""),"مدينة نصر")</f>
        <v>مدينة نصر</v>
      </c>
      <c r="D1445" s="5" t="str">
        <f ca="1">IFERROR(__xludf.DUMMYFUNCTION("""COMPUTED_VALUE"""),"مجمع عيادات")</f>
        <v>مجمع عيادات</v>
      </c>
      <c r="E1445" s="5" t="str">
        <f ca="1">IFERROR(__xludf.DUMMYFUNCTION("""COMPUTED_VALUE"""),"جميع التخصصات")</f>
        <v>جميع التخصصات</v>
      </c>
      <c r="F1445" s="5" t="str">
        <f ca="1">IFERROR(__xludf.DUMMYFUNCTION("""COMPUTED_VALUE"""),"جميع التخصصات الطبية")</f>
        <v>جميع التخصصات الطبية</v>
      </c>
      <c r="G1445" s="5" t="str">
        <f ca="1">IFERROR(__xludf.DUMMYFUNCTION("""COMPUTED_VALUE"""),"مركز نسائم للخدمات الطبية ( خدمة الكشف فقط )")</f>
        <v>مركز نسائم للخدمات الطبية ( خدمة الكشف فقط )</v>
      </c>
      <c r="H1445" s="5" t="str">
        <f ca="1">IFERROR(__xludf.DUMMYFUNCTION("""COMPUTED_VALUE"""),"١٠١ شارع مصطفي النحاس")</f>
        <v>١٠١ شارع مصطفي النحاس</v>
      </c>
      <c r="I1445" s="6" t="str">
        <f ca="1">IFERROR(__xludf.DUMMYFUNCTION("""COMPUTED_VALUE"""),"01061666141")</f>
        <v>01061666141</v>
      </c>
      <c r="J1445" s="6" t="str">
        <f ca="1">IFERROR(__xludf.DUMMYFUNCTION("""COMPUTED_VALUE"""),"16522")</f>
        <v>16522</v>
      </c>
      <c r="K1445" s="6" t="str">
        <f ca="1">IFERROR(__xludf.DUMMYFUNCTION("""COMPUTED_VALUE"""),"20% على كل الخدمات")</f>
        <v>20% على كل الخدمات</v>
      </c>
    </row>
    <row r="1446" spans="1:11" x14ac:dyDescent="0.25">
      <c r="A1446" s="4" t="str">
        <f ca="1">IFERROR(__xludf.DUMMYFUNCTION("""COMPUTED_VALUE"""),"105618-B")</f>
        <v>105618-B</v>
      </c>
      <c r="B1446" s="5" t="str">
        <f ca="1">IFERROR(__xludf.DUMMYFUNCTION("""COMPUTED_VALUE"""),"الجيزة")</f>
        <v>الجيزة</v>
      </c>
      <c r="C1446" s="5" t="str">
        <f ca="1">IFERROR(__xludf.DUMMYFUNCTION("""COMPUTED_VALUE"""),"الدقي")</f>
        <v>الدقي</v>
      </c>
      <c r="D1446" s="5" t="str">
        <f ca="1">IFERROR(__xludf.DUMMYFUNCTION("""COMPUTED_VALUE"""),"هيئة الأطباء")</f>
        <v>هيئة الأطباء</v>
      </c>
      <c r="E1446" s="5" t="str">
        <f ca="1">IFERROR(__xludf.DUMMYFUNCTION("""COMPUTED_VALUE"""),"اسنان")</f>
        <v>اسنان</v>
      </c>
      <c r="F1446" s="5" t="str">
        <f ca="1">IFERROR(__xludf.DUMMYFUNCTION("""COMPUTED_VALUE"""),"جراحة الفم والأسنان")</f>
        <v>جراحة الفم والأسنان</v>
      </c>
      <c r="G1446" s="5" t="str">
        <f ca="1">IFERROR(__xludf.DUMMYFUNCTION("""COMPUTED_VALUE"""),"د/ محمد عبدالمعطى محمد عبدالمعطى طيبه (امريكان دنتال كير)")</f>
        <v>د/ محمد عبدالمعطى محمد عبدالمعطى طيبه (امريكان دنتال كير)</v>
      </c>
      <c r="H1446" s="5" t="str">
        <f ca="1">IFERROR(__xludf.DUMMYFUNCTION("""COMPUTED_VALUE"""),"١٣٩ شارع التحرير - الدقي بجوار بنك فيصل الاسلامي")</f>
        <v>١٣٩ شارع التحرير - الدقي بجوار بنك فيصل الاسلامي</v>
      </c>
      <c r="I1446" s="6" t="str">
        <f ca="1">IFERROR(__xludf.DUMMYFUNCTION("""COMPUTED_VALUE"""),"0237606122")</f>
        <v>0237606122</v>
      </c>
      <c r="J1446" s="6"/>
      <c r="K1446" s="6" t="str">
        <f ca="1">IFERROR(__xludf.DUMMYFUNCTION("""COMPUTED_VALUE"""),"50%على الكشوفات ,20% على الإجراءات ,15% على التركيبات ,10%على الزراعات")</f>
        <v>50%على الكشوفات ,20% على الإجراءات ,15% على التركيبات ,10%على الزراعات</v>
      </c>
    </row>
    <row r="1447" spans="1:11" x14ac:dyDescent="0.25">
      <c r="A1447" s="4" t="str">
        <f ca="1">IFERROR(__xludf.DUMMYFUNCTION("""COMPUTED_VALUE"""),"105618-B")</f>
        <v>105618-B</v>
      </c>
      <c r="B1447" s="5" t="str">
        <f ca="1">IFERROR(__xludf.DUMMYFUNCTION("""COMPUTED_VALUE"""),"البحيرة")</f>
        <v>البحيرة</v>
      </c>
      <c r="C1447" s="5" t="str">
        <f ca="1">IFERROR(__xludf.DUMMYFUNCTION("""COMPUTED_VALUE"""),"دمنهور")</f>
        <v>دمنهور</v>
      </c>
      <c r="D1447" s="5" t="str">
        <f ca="1">IFERROR(__xludf.DUMMYFUNCTION("""COMPUTED_VALUE"""),"هيئة الأطباء")</f>
        <v>هيئة الأطباء</v>
      </c>
      <c r="E1447" s="5" t="str">
        <f ca="1">IFERROR(__xludf.DUMMYFUNCTION("""COMPUTED_VALUE"""),"اسنان")</f>
        <v>اسنان</v>
      </c>
      <c r="F1447" s="5" t="str">
        <f ca="1">IFERROR(__xludf.DUMMYFUNCTION("""COMPUTED_VALUE"""),"جراحة الفم والأسنان")</f>
        <v>جراحة الفم والأسنان</v>
      </c>
      <c r="G1447" s="5" t="str">
        <f ca="1">IFERROR(__xludf.DUMMYFUNCTION("""COMPUTED_VALUE"""),"د/ محمد عبدالمعطى محمد عبدالمعطى طيبه (امريكان دنتال كير)")</f>
        <v>د/ محمد عبدالمعطى محمد عبدالمعطى طيبه (امريكان دنتال كير)</v>
      </c>
      <c r="H1447" s="5" t="str">
        <f ca="1">IFERROR(__xludf.DUMMYFUNCTION("""COMPUTED_VALUE"""),"شارع احمد عرابي - برج الكنفاني الدور الأول - دمنهور - البحيرة ")</f>
        <v xml:space="preserve">شارع احمد عرابي - برج الكنفاني الدور الأول - دمنهور - البحيرة </v>
      </c>
      <c r="I1447" s="6" t="str">
        <f ca="1">IFERROR(__xludf.DUMMYFUNCTION("""COMPUTED_VALUE"""),"20453301191")</f>
        <v>20453301191</v>
      </c>
      <c r="J1447" s="6"/>
      <c r="K1447" s="6" t="str">
        <f ca="1">IFERROR(__xludf.DUMMYFUNCTION("""COMPUTED_VALUE"""),"50%على الكشوفات ,20% على الإجراءات ,15% على التركيبات ,10%على الزراعات")</f>
        <v>50%على الكشوفات ,20% على الإجراءات ,15% على التركيبات ,10%على الزراعات</v>
      </c>
    </row>
    <row r="1448" spans="1:11" x14ac:dyDescent="0.25">
      <c r="A1448" s="4" t="str">
        <f ca="1">IFERROR(__xludf.DUMMYFUNCTION("""COMPUTED_VALUE"""),"104719-B")</f>
        <v>104719-B</v>
      </c>
      <c r="B1448" s="5" t="str">
        <f ca="1">IFERROR(__xludf.DUMMYFUNCTION("""COMPUTED_VALUE"""),"القاهرة")</f>
        <v>القاهرة</v>
      </c>
      <c r="C1448" s="5" t="str">
        <f ca="1">IFERROR(__xludf.DUMMYFUNCTION("""COMPUTED_VALUE"""),"القاهرة الجديدة")</f>
        <v>القاهرة الجديدة</v>
      </c>
      <c r="D1448" s="5" t="str">
        <f ca="1">IFERROR(__xludf.DUMMYFUNCTION("""COMPUTED_VALUE"""),"شركة")</f>
        <v>شركة</v>
      </c>
      <c r="E1448" s="5" t="str">
        <f ca="1">IFERROR(__xludf.DUMMYFUNCTION("""COMPUTED_VALUE"""),"شركة اجهزة طبية")</f>
        <v>شركة اجهزة طبية</v>
      </c>
      <c r="F1448" s="5" t="str">
        <f ca="1">IFERROR(__xludf.DUMMYFUNCTION("""COMPUTED_VALUE"""),"مركز بصريات")</f>
        <v>مركز بصريات</v>
      </c>
      <c r="G1448" s="5" t="str">
        <f ca="1">IFERROR(__xludf.DUMMYFUNCTION("""COMPUTED_VALUE"""),"شركة أوبتك جاليري للتجارة")</f>
        <v>شركة أوبتك جاليري للتجارة</v>
      </c>
      <c r="H1448" s="5" t="str">
        <f ca="1">IFERROR(__xludf.DUMMYFUNCTION("""COMPUTED_VALUE"""),"مستشفي نسائم الطبي - خلف المستشفي الجوي - التجمع الخامس ")</f>
        <v xml:space="preserve">مستشفي نسائم الطبي - خلف المستشفي الجوي - التجمع الخامس </v>
      </c>
      <c r="I1448" s="6" t="str">
        <f ca="1">IFERROR(__xludf.DUMMYFUNCTION("""COMPUTED_VALUE"""),"1008820103")</f>
        <v>1008820103</v>
      </c>
      <c r="J1448" s="6"/>
      <c r="K1448" s="6" t="str">
        <f ca="1">IFERROR(__xludf.DUMMYFUNCTION("""COMPUTED_VALUE"""),"25% نسبة خصم")</f>
        <v>25% نسبة خصم</v>
      </c>
    </row>
    <row r="1449" spans="1:11" x14ac:dyDescent="0.25">
      <c r="A1449" s="4" t="str">
        <f ca="1">IFERROR(__xludf.DUMMYFUNCTION("""COMPUTED_VALUE"""),"104719-B")</f>
        <v>104719-B</v>
      </c>
      <c r="B1449" s="5" t="str">
        <f ca="1">IFERROR(__xludf.DUMMYFUNCTION("""COMPUTED_VALUE"""),"القاهرة")</f>
        <v>القاهرة</v>
      </c>
      <c r="C1449" s="5" t="str">
        <f ca="1">IFERROR(__xludf.DUMMYFUNCTION("""COMPUTED_VALUE"""),"الرحاب")</f>
        <v>الرحاب</v>
      </c>
      <c r="D1449" s="5" t="str">
        <f ca="1">IFERROR(__xludf.DUMMYFUNCTION("""COMPUTED_VALUE"""),"شركة")</f>
        <v>شركة</v>
      </c>
      <c r="E1449" s="5" t="str">
        <f ca="1">IFERROR(__xludf.DUMMYFUNCTION("""COMPUTED_VALUE"""),"شركة اجهزة طبية")</f>
        <v>شركة اجهزة طبية</v>
      </c>
      <c r="F1449" s="5" t="str">
        <f ca="1">IFERROR(__xludf.DUMMYFUNCTION("""COMPUTED_VALUE"""),"مركز بصريات")</f>
        <v>مركز بصريات</v>
      </c>
      <c r="G1449" s="5" t="str">
        <f ca="1">IFERROR(__xludf.DUMMYFUNCTION("""COMPUTED_VALUE"""),"شركة أوبتك جاليري للتجارة")</f>
        <v>شركة أوبتك جاليري للتجارة</v>
      </c>
      <c r="H1449" s="5" t="str">
        <f ca="1">IFERROR(__xludf.DUMMYFUNCTION("""COMPUTED_VALUE"""),"مركز نسائم الطبى مول  the yard  الدور الثانى بوابة 6 - الرحاب                 ")</f>
        <v xml:space="preserve">مركز نسائم الطبى مول  the yard  الدور الثانى بوابة 6 - الرحاب                 </v>
      </c>
      <c r="I1449" s="6" t="str">
        <f ca="1">IFERROR(__xludf.DUMMYFUNCTION("""COMPUTED_VALUE"""),"1002140194")</f>
        <v>1002140194</v>
      </c>
      <c r="J1449" s="6"/>
      <c r="K1449" s="6" t="str">
        <f ca="1">IFERROR(__xludf.DUMMYFUNCTION("""COMPUTED_VALUE"""),"25% نسبة خصم")</f>
        <v>25% نسبة خصم</v>
      </c>
    </row>
    <row r="1450" spans="1:11" x14ac:dyDescent="0.25">
      <c r="A1450" s="4" t="str">
        <f ca="1">IFERROR(__xludf.DUMMYFUNCTION("""COMPUTED_VALUE"""),"104719-B")</f>
        <v>104719-B</v>
      </c>
      <c r="B1450" s="5" t="str">
        <f ca="1">IFERROR(__xludf.DUMMYFUNCTION("""COMPUTED_VALUE"""),"القاهرة")</f>
        <v>القاهرة</v>
      </c>
      <c r="C1450" s="5" t="str">
        <f ca="1">IFERROR(__xludf.DUMMYFUNCTION("""COMPUTED_VALUE"""),"مدينة الشروق")</f>
        <v>مدينة الشروق</v>
      </c>
      <c r="D1450" s="5" t="str">
        <f ca="1">IFERROR(__xludf.DUMMYFUNCTION("""COMPUTED_VALUE"""),"شركة")</f>
        <v>شركة</v>
      </c>
      <c r="E1450" s="5" t="str">
        <f ca="1">IFERROR(__xludf.DUMMYFUNCTION("""COMPUTED_VALUE"""),"شركة اجهزة طبية")</f>
        <v>شركة اجهزة طبية</v>
      </c>
      <c r="F1450" s="5" t="str">
        <f ca="1">IFERROR(__xludf.DUMMYFUNCTION("""COMPUTED_VALUE"""),"مركز بصريات")</f>
        <v>مركز بصريات</v>
      </c>
      <c r="G1450" s="5" t="str">
        <f ca="1">IFERROR(__xludf.DUMMYFUNCTION("""COMPUTED_VALUE"""),"شركة أوبتك جاليري للتجارة")</f>
        <v>شركة أوبتك جاليري للتجارة</v>
      </c>
      <c r="H1450" s="5" t="str">
        <f ca="1">IFERROR(__xludf.DUMMYFUNCTION("""COMPUTED_VALUE"""),"بانوراما مول محل رقم 23 الدور الاول -امام البنك الاهلى - الشروق")</f>
        <v>بانوراما مول محل رقم 23 الدور الاول -امام البنك الاهلى - الشروق</v>
      </c>
      <c r="I1450" s="6" t="str">
        <f ca="1">IFERROR(__xludf.DUMMYFUNCTION("""COMPUTED_VALUE"""),"01020038534")</f>
        <v>01020038534</v>
      </c>
      <c r="J1450" s="6"/>
      <c r="K1450" s="6" t="str">
        <f ca="1">IFERROR(__xludf.DUMMYFUNCTION("""COMPUTED_VALUE"""),"25% نسبة خصم")</f>
        <v>25% نسبة خصم</v>
      </c>
    </row>
    <row r="1451" spans="1:11" x14ac:dyDescent="0.25">
      <c r="A1451" s="4" t="str">
        <f ca="1">IFERROR(__xludf.DUMMYFUNCTION("""COMPUTED_VALUE"""),"104341-B")</f>
        <v>104341-B</v>
      </c>
      <c r="B1451" s="5" t="str">
        <f ca="1">IFERROR(__xludf.DUMMYFUNCTION("""COMPUTED_VALUE"""),"سوهاج")</f>
        <v>سوهاج</v>
      </c>
      <c r="C1451" s="5" t="str">
        <f ca="1">IFERROR(__xludf.DUMMYFUNCTION("""COMPUTED_VALUE"""),"سوهاج")</f>
        <v>سوهاج</v>
      </c>
      <c r="D1451" s="5" t="str">
        <f ca="1">IFERROR(__xludf.DUMMYFUNCTION("""COMPUTED_VALUE"""),"صيدلية")</f>
        <v>صيدلية</v>
      </c>
      <c r="E1451" s="5" t="str">
        <f ca="1">IFERROR(__xludf.DUMMYFUNCTION("""COMPUTED_VALUE"""),"صيدلية")</f>
        <v>صيدلية</v>
      </c>
      <c r="F1451" s="5" t="str">
        <f ca="1">IFERROR(__xludf.DUMMYFUNCTION("""COMPUTED_VALUE"""),"صيدلية (أدوية ومستلزمات طبية)")</f>
        <v>صيدلية (أدوية ومستلزمات طبية)</v>
      </c>
      <c r="G1451" s="5" t="str">
        <f ca="1">IFERROR(__xludf.DUMMYFUNCTION("""COMPUTED_VALUE"""),"صيدلية د. مجدي ( صيدلية كيرلس الجديدة)")</f>
        <v>صيدلية د. مجدي ( صيدلية كيرلس الجديدة)</v>
      </c>
      <c r="H1451" s="5" t="str">
        <f ca="1">IFERROR(__xludf.DUMMYFUNCTION("""COMPUTED_VALUE"""),"السلاموني - أخميم - سوهاج")</f>
        <v>السلاموني - أخميم - سوهاج</v>
      </c>
      <c r="I1451" s="6" t="str">
        <f ca="1">IFERROR(__xludf.DUMMYFUNCTION("""COMPUTED_VALUE"""),"1280683434")</f>
        <v>1280683434</v>
      </c>
      <c r="J1451" s="6"/>
      <c r="K1451" s="6" t="str">
        <f ca="1">IFERROR(__xludf.DUMMYFUNCTION("""COMPUTED_VALUE"""),"خصم 10% علي المحلي و 6 % علي المستورد")</f>
        <v>خصم 10% علي المحلي و 6 % علي المستورد</v>
      </c>
    </row>
    <row r="1452" spans="1:11" x14ac:dyDescent="0.25">
      <c r="A1452" s="4" t="str">
        <f ca="1">IFERROR(__xludf.DUMMYFUNCTION("""COMPUTED_VALUE"""),"1763-B")</f>
        <v>1763-B</v>
      </c>
      <c r="B1452" s="5" t="str">
        <f ca="1">IFERROR(__xludf.DUMMYFUNCTION("""COMPUTED_VALUE"""),"المنيا")</f>
        <v>المنيا</v>
      </c>
      <c r="C1452" s="5" t="str">
        <f ca="1">IFERROR(__xludf.DUMMYFUNCTION("""COMPUTED_VALUE"""),"المنيا")</f>
        <v>المنيا</v>
      </c>
      <c r="D1452" s="5" t="str">
        <f ca="1">IFERROR(__xludf.DUMMYFUNCTION("""COMPUTED_VALUE"""),"هيئة الأطباء")</f>
        <v>هيئة الأطباء</v>
      </c>
      <c r="E1452" s="5" t="str">
        <f ca="1">IFERROR(__xludf.DUMMYFUNCTION("""COMPUTED_VALUE"""),"اسنان")</f>
        <v>اسنان</v>
      </c>
      <c r="F1452" s="5" t="str">
        <f ca="1">IFERROR(__xludf.DUMMYFUNCTION("""COMPUTED_VALUE"""),"جراحة الفم والأسنان")</f>
        <v>جراحة الفم والأسنان</v>
      </c>
      <c r="G1452" s="5" t="str">
        <f ca="1">IFERROR(__xludf.DUMMYFUNCTION("""COMPUTED_VALUE"""),"المركز المصري الاول لطب الأسنان ( د/ حسين محمد طاهر)")</f>
        <v>المركز المصري الاول لطب الأسنان ( د/ حسين محمد طاهر)</v>
      </c>
      <c r="H1452" s="5" t="str">
        <f ca="1">IFERROR(__xludf.DUMMYFUNCTION("""COMPUTED_VALUE"""),"12 شارع بور سعيد - برج المها امام جمعية الشبان المسلمين -بابراج الجامعة")</f>
        <v>12 شارع بور سعيد - برج المها امام جمعية الشبان المسلمين -بابراج الجامعة</v>
      </c>
      <c r="I1452" s="6" t="str">
        <f ca="1">IFERROR(__xludf.DUMMYFUNCTION("""COMPUTED_VALUE"""),"201113064411")</f>
        <v>201113064411</v>
      </c>
      <c r="J1452" s="6"/>
      <c r="K1452" s="6" t="str">
        <f ca="1">IFERROR(__xludf.DUMMYFUNCTION("""COMPUTED_VALUE"""),"30% على الكشوفات ,10% على التركيبات ,10% على الإجراءات ,5% على الزراعات")</f>
        <v>30% على الكشوفات ,10% على التركيبات ,10% على الإجراءات ,5% على الزراعات</v>
      </c>
    </row>
    <row r="1453" spans="1:11" x14ac:dyDescent="0.25">
      <c r="A1453" s="4" t="str">
        <f ca="1">IFERROR(__xludf.DUMMYFUNCTION("""COMPUTED_VALUE"""),"1763-B")</f>
        <v>1763-B</v>
      </c>
      <c r="B1453" s="5" t="str">
        <f ca="1">IFERROR(__xludf.DUMMYFUNCTION("""COMPUTED_VALUE"""),"القاهرة")</f>
        <v>القاهرة</v>
      </c>
      <c r="C1453" s="5" t="str">
        <f ca="1">IFERROR(__xludf.DUMMYFUNCTION("""COMPUTED_VALUE"""),"جاردن سيتى")</f>
        <v>جاردن سيتى</v>
      </c>
      <c r="D1453" s="5" t="str">
        <f ca="1">IFERROR(__xludf.DUMMYFUNCTION("""COMPUTED_VALUE"""),"هيئة الأطباء")</f>
        <v>هيئة الأطباء</v>
      </c>
      <c r="E1453" s="5" t="str">
        <f ca="1">IFERROR(__xludf.DUMMYFUNCTION("""COMPUTED_VALUE"""),"اسنان")</f>
        <v>اسنان</v>
      </c>
      <c r="F1453" s="5" t="str">
        <f ca="1">IFERROR(__xludf.DUMMYFUNCTION("""COMPUTED_VALUE"""),"جراحة الفم والأسنان")</f>
        <v>جراحة الفم والأسنان</v>
      </c>
      <c r="G1453" s="5" t="str">
        <f ca="1">IFERROR(__xludf.DUMMYFUNCTION("""COMPUTED_VALUE"""),"المركز المصري الاول لطب الأسنان ( د/ حسين محمد طاهر)")</f>
        <v>المركز المصري الاول لطب الأسنان ( د/ حسين محمد طاهر)</v>
      </c>
      <c r="H1453" s="5" t="str">
        <f ca="1">IFERROR(__xludf.DUMMYFUNCTION("""COMPUTED_VALUE"""),"2 شارع الديوان - امام القصر العيني الفرنساوي - جاردن سيتي")</f>
        <v>2 شارع الديوان - امام القصر العيني الفرنساوي - جاردن سيتي</v>
      </c>
      <c r="I1453" s="6" t="str">
        <f ca="1">IFERROR(__xludf.DUMMYFUNCTION("""COMPUTED_VALUE"""),"201113002245")</f>
        <v>201113002245</v>
      </c>
      <c r="J1453" s="6"/>
      <c r="K1453" s="6" t="str">
        <f ca="1">IFERROR(__xludf.DUMMYFUNCTION("""COMPUTED_VALUE"""),"30% على الكشوفات ,10% على التركيبات ,10% على الإجراءات ,5% على الزراعات")</f>
        <v>30% على الكشوفات ,10% على التركيبات ,10% على الإجراءات ,5% على الزراعات</v>
      </c>
    </row>
    <row r="1454" spans="1:11" x14ac:dyDescent="0.25">
      <c r="A1454" s="4" t="str">
        <f ca="1">IFERROR(__xludf.DUMMYFUNCTION("""COMPUTED_VALUE"""),"1763-B")</f>
        <v>1763-B</v>
      </c>
      <c r="B1454" s="5" t="str">
        <f ca="1">IFERROR(__xludf.DUMMYFUNCTION("""COMPUTED_VALUE"""),"القاهرة")</f>
        <v>القاهرة</v>
      </c>
      <c r="C1454" s="5" t="str">
        <f ca="1">IFERROR(__xludf.DUMMYFUNCTION("""COMPUTED_VALUE"""),"المعادى")</f>
        <v>المعادى</v>
      </c>
      <c r="D1454" s="5" t="str">
        <f ca="1">IFERROR(__xludf.DUMMYFUNCTION("""COMPUTED_VALUE"""),"هيئة الأطباء")</f>
        <v>هيئة الأطباء</v>
      </c>
      <c r="E1454" s="5" t="str">
        <f ca="1">IFERROR(__xludf.DUMMYFUNCTION("""COMPUTED_VALUE"""),"اسنان")</f>
        <v>اسنان</v>
      </c>
      <c r="F1454" s="5" t="str">
        <f ca="1">IFERROR(__xludf.DUMMYFUNCTION("""COMPUTED_VALUE"""),"جراحة الفم والأسنان")</f>
        <v>جراحة الفم والأسنان</v>
      </c>
      <c r="G1454" s="5" t="str">
        <f ca="1">IFERROR(__xludf.DUMMYFUNCTION("""COMPUTED_VALUE"""),"المركز المصري الاول لطب الأسنان ( د/ حسين محمد طاهر)")</f>
        <v>المركز المصري الاول لطب الأسنان ( د/ حسين محمد طاهر)</v>
      </c>
      <c r="H1454" s="5" t="str">
        <f ca="1">IFERROR(__xludf.DUMMYFUNCTION("""COMPUTED_VALUE"""),"٤٩ كورنيش النيل - برج جوهرة النيل بجوار مستشفي السلام الدولي ")</f>
        <v xml:space="preserve">٤٩ كورنيش النيل - برج جوهرة النيل بجوار مستشفي السلام الدولي </v>
      </c>
      <c r="I1454" s="6" t="str">
        <f ca="1">IFERROR(__xludf.DUMMYFUNCTION("""COMPUTED_VALUE"""),"201112991992")</f>
        <v>201112991992</v>
      </c>
      <c r="J1454" s="6"/>
      <c r="K1454" s="6" t="str">
        <f ca="1">IFERROR(__xludf.DUMMYFUNCTION("""COMPUTED_VALUE"""),"30% على الكشوفات ,10% على التركيبات ,10% على الإجراءات ,5% على الزراعات")</f>
        <v>30% على الكشوفات ,10% على التركيبات ,10% على الإجراءات ,5% على الزراعات</v>
      </c>
    </row>
    <row r="1455" spans="1:11" x14ac:dyDescent="0.25">
      <c r="A1455" s="4" t="str">
        <f ca="1">IFERROR(__xludf.DUMMYFUNCTION("""COMPUTED_VALUE"""),"1763-B")</f>
        <v>1763-B</v>
      </c>
      <c r="B1455" s="5" t="str">
        <f ca="1">IFERROR(__xludf.DUMMYFUNCTION("""COMPUTED_VALUE"""),"القاهرة")</f>
        <v>القاهرة</v>
      </c>
      <c r="C1455" s="5" t="str">
        <f ca="1">IFERROR(__xludf.DUMMYFUNCTION("""COMPUTED_VALUE"""),"مدينة الشروق")</f>
        <v>مدينة الشروق</v>
      </c>
      <c r="D1455" s="5" t="str">
        <f ca="1">IFERROR(__xludf.DUMMYFUNCTION("""COMPUTED_VALUE"""),"هيئة الأطباء")</f>
        <v>هيئة الأطباء</v>
      </c>
      <c r="E1455" s="5" t="str">
        <f ca="1">IFERROR(__xludf.DUMMYFUNCTION("""COMPUTED_VALUE"""),"اسنان")</f>
        <v>اسنان</v>
      </c>
      <c r="F1455" s="5" t="str">
        <f ca="1">IFERROR(__xludf.DUMMYFUNCTION("""COMPUTED_VALUE"""),"جراحة الفم والأسنان")</f>
        <v>جراحة الفم والأسنان</v>
      </c>
      <c r="G1455" s="5" t="str">
        <f ca="1">IFERROR(__xludf.DUMMYFUNCTION("""COMPUTED_VALUE"""),"المركز المصري الاول لطب الأسنان ( د/ حسين محمد طاهر)")</f>
        <v>المركز المصري الاول لطب الأسنان ( د/ حسين محمد طاهر)</v>
      </c>
      <c r="H1455" s="5" t="str">
        <f ca="1">IFERROR(__xludf.DUMMYFUNCTION("""COMPUTED_VALUE"""),"سيتي بلازا مول - بجوار الجامعة البريطانية")</f>
        <v>سيتي بلازا مول - بجوار الجامعة البريطانية</v>
      </c>
      <c r="I1455" s="6" t="str">
        <f ca="1">IFERROR(__xludf.DUMMYFUNCTION("""COMPUTED_VALUE"""),"201113002245")</f>
        <v>201113002245</v>
      </c>
      <c r="J1455" s="6"/>
      <c r="K1455" s="6" t="str">
        <f ca="1">IFERROR(__xludf.DUMMYFUNCTION("""COMPUTED_VALUE"""),"30% على الكشوفات ,10% على التركيبات ,10% على الإجراءات ,5% على الزراعات")</f>
        <v>30% على الكشوفات ,10% على التركيبات ,10% على الإجراءات ,5% على الزراعات</v>
      </c>
    </row>
    <row r="1456" spans="1:11" x14ac:dyDescent="0.25">
      <c r="A1456" s="4" t="str">
        <f ca="1">IFERROR(__xludf.DUMMYFUNCTION("""COMPUTED_VALUE"""),"1763-B")</f>
        <v>1763-B</v>
      </c>
      <c r="B1456" s="5" t="str">
        <f ca="1">IFERROR(__xludf.DUMMYFUNCTION("""COMPUTED_VALUE"""),"الجيزة")</f>
        <v>الجيزة</v>
      </c>
      <c r="C1456" s="5" t="str">
        <f ca="1">IFERROR(__xludf.DUMMYFUNCTION("""COMPUTED_VALUE"""),"الهرم")</f>
        <v>الهرم</v>
      </c>
      <c r="D1456" s="5" t="str">
        <f ca="1">IFERROR(__xludf.DUMMYFUNCTION("""COMPUTED_VALUE"""),"هيئة الأطباء")</f>
        <v>هيئة الأطباء</v>
      </c>
      <c r="E1456" s="5" t="str">
        <f ca="1">IFERROR(__xludf.DUMMYFUNCTION("""COMPUTED_VALUE"""),"اسنان")</f>
        <v>اسنان</v>
      </c>
      <c r="F1456" s="5" t="str">
        <f ca="1">IFERROR(__xludf.DUMMYFUNCTION("""COMPUTED_VALUE"""),"جراحة الفم والأسنان")</f>
        <v>جراحة الفم والأسنان</v>
      </c>
      <c r="G1456" s="5" t="str">
        <f ca="1">IFERROR(__xludf.DUMMYFUNCTION("""COMPUTED_VALUE"""),"المركز المصري الاول لطب الأسنان ( د/ حسين محمد طاهر)")</f>
        <v>المركز المصري الاول لطب الأسنان ( د/ حسين محمد طاهر)</v>
      </c>
      <c r="H1456" s="5" t="str">
        <f ca="1">IFERROR(__xludf.DUMMYFUNCTION("""COMPUTED_VALUE"""),"٤٤٦ ابراج نصر الدين - برج ١ - اعلي نفق الهرم")</f>
        <v>٤٤٦ ابراج نصر الدين - برج ١ - اعلي نفق الهرم</v>
      </c>
      <c r="I1456" s="6" t="str">
        <f ca="1">IFERROR(__xludf.DUMMYFUNCTION("""COMPUTED_VALUE"""),"201113039944")</f>
        <v>201113039944</v>
      </c>
      <c r="J1456" s="6"/>
      <c r="K1456" s="6" t="str">
        <f ca="1">IFERROR(__xludf.DUMMYFUNCTION("""COMPUTED_VALUE"""),"30% على الكشوفات ,10% على التركيبات ,10% على الإجراءات ,5% على الزراعات")</f>
        <v>30% على الكشوفات ,10% على التركيبات ,10% على الإجراءات ,5% على الزراعات</v>
      </c>
    </row>
    <row r="1457" spans="1:11" x14ac:dyDescent="0.25">
      <c r="A1457" s="4" t="str">
        <f ca="1">IFERROR(__xludf.DUMMYFUNCTION("""COMPUTED_VALUE"""),"1897-B")</f>
        <v>1897-B</v>
      </c>
      <c r="B1457" s="5" t="str">
        <f ca="1">IFERROR(__xludf.DUMMYFUNCTION("""COMPUTED_VALUE"""),"الجيزة")</f>
        <v>الجيزة</v>
      </c>
      <c r="C1457" s="5" t="str">
        <f ca="1">IFERROR(__xludf.DUMMYFUNCTION("""COMPUTED_VALUE"""),"السادس من اكتوبر")</f>
        <v>السادس من اكتوبر</v>
      </c>
      <c r="D1457" s="5" t="str">
        <f ca="1">IFERROR(__xludf.DUMMYFUNCTION("""COMPUTED_VALUE"""),"معمل")</f>
        <v>معمل</v>
      </c>
      <c r="E1457" s="5" t="str">
        <f ca="1">IFERROR(__xludf.DUMMYFUNCTION("""COMPUTED_VALUE"""),"معمل")</f>
        <v>معمل</v>
      </c>
      <c r="F1457" s="5" t="str">
        <f ca="1">IFERROR(__xludf.DUMMYFUNCTION("""COMPUTED_VALUE"""),"معمل التحاليل الطبية")</f>
        <v>معمل التحاليل الطبية</v>
      </c>
      <c r="G1457" s="5" t="str">
        <f ca="1">IFERROR(__xludf.DUMMYFUNCTION("""COMPUTED_VALUE"""),"معمل المختبر (د. مؤمنة كامل)")</f>
        <v>معمل المختبر (د. مؤمنة كامل)</v>
      </c>
      <c r="H1457" s="5" t="str">
        <f ca="1">IFERROR(__xludf.DUMMYFUNCTION("""COMPUTED_VALUE"""),"كومباوند رويال فالى الحى الايطالى")</f>
        <v>كومباوند رويال فالى الحى الايطالى</v>
      </c>
      <c r="I1457" s="6" t="str">
        <f ca="1">IFERROR(__xludf.DUMMYFUNCTION("""COMPUTED_VALUE"""),"01050680499")</f>
        <v>01050680499</v>
      </c>
      <c r="J1457" s="6" t="str">
        <f ca="1">IFERROR(__xludf.DUMMYFUNCTION("""COMPUTED_VALUE"""),"19014")</f>
        <v>19014</v>
      </c>
      <c r="K1457" s="6" t="str">
        <f ca="1">IFERROR(__xludf.DUMMYFUNCTION("""COMPUTED_VALUE"""),"خصم 20% علي جميع التحاليل")</f>
        <v>خصم 20% علي جميع التحاليل</v>
      </c>
    </row>
    <row r="1458" spans="1:11" x14ac:dyDescent="0.25">
      <c r="A1458" s="4" t="str">
        <f ca="1">IFERROR(__xludf.DUMMYFUNCTION("""COMPUTED_VALUE"""),"1897-B")</f>
        <v>1897-B</v>
      </c>
      <c r="B1458" s="5" t="str">
        <f ca="1">IFERROR(__xludf.DUMMYFUNCTION("""COMPUTED_VALUE"""),"الجيزة")</f>
        <v>الجيزة</v>
      </c>
      <c r="C1458" s="5" t="str">
        <f ca="1">IFERROR(__xludf.DUMMYFUNCTION("""COMPUTED_VALUE"""),"الشيخ زايد")</f>
        <v>الشيخ زايد</v>
      </c>
      <c r="D1458" s="5" t="str">
        <f ca="1">IFERROR(__xludf.DUMMYFUNCTION("""COMPUTED_VALUE"""),"معمل")</f>
        <v>معمل</v>
      </c>
      <c r="E1458" s="5" t="str">
        <f ca="1">IFERROR(__xludf.DUMMYFUNCTION("""COMPUTED_VALUE"""),"معمل")</f>
        <v>معمل</v>
      </c>
      <c r="F1458" s="5" t="str">
        <f ca="1">IFERROR(__xludf.DUMMYFUNCTION("""COMPUTED_VALUE"""),"معمل التحاليل الطبية")</f>
        <v>معمل التحاليل الطبية</v>
      </c>
      <c r="G1458" s="5" t="str">
        <f ca="1">IFERROR(__xludf.DUMMYFUNCTION("""COMPUTED_VALUE"""),"معمل المختبر (د. مؤمنة كامل)")</f>
        <v>معمل المختبر (د. مؤمنة كامل)</v>
      </c>
      <c r="H1458" s="5" t="str">
        <f ca="1">IFERROR(__xludf.DUMMYFUNCTION("""COMPUTED_VALUE"""),"كورتيارد المجاورة الاولى الحي الثاني عشر - الشيخ زايد")</f>
        <v>كورتيارد المجاورة الاولى الحي الثاني عشر - الشيخ زايد</v>
      </c>
      <c r="I1458" s="6" t="str">
        <f ca="1">IFERROR(__xludf.DUMMYFUNCTION("""COMPUTED_VALUE"""),"01099715600")</f>
        <v>01099715600</v>
      </c>
      <c r="J1458" s="6" t="str">
        <f ca="1">IFERROR(__xludf.DUMMYFUNCTION("""COMPUTED_VALUE"""),"19014")</f>
        <v>19014</v>
      </c>
      <c r="K1458" s="6" t="str">
        <f ca="1">IFERROR(__xludf.DUMMYFUNCTION("""COMPUTED_VALUE"""),"خصم 20% علي جميع التحاليل")</f>
        <v>خصم 20% علي جميع التحاليل</v>
      </c>
    </row>
    <row r="1459" spans="1:11" x14ac:dyDescent="0.25">
      <c r="A1459" s="4" t="str">
        <f ca="1">IFERROR(__xludf.DUMMYFUNCTION("""COMPUTED_VALUE"""),"1897-B")</f>
        <v>1897-B</v>
      </c>
      <c r="B1459" s="5" t="str">
        <f ca="1">IFERROR(__xludf.DUMMYFUNCTION("""COMPUTED_VALUE"""),"القاهرة")</f>
        <v>القاهرة</v>
      </c>
      <c r="C1459" s="5" t="str">
        <f ca="1">IFERROR(__xludf.DUMMYFUNCTION("""COMPUTED_VALUE"""),"المعادى")</f>
        <v>المعادى</v>
      </c>
      <c r="D1459" s="5" t="str">
        <f ca="1">IFERROR(__xludf.DUMMYFUNCTION("""COMPUTED_VALUE"""),"معمل")</f>
        <v>معمل</v>
      </c>
      <c r="E1459" s="5" t="str">
        <f ca="1">IFERROR(__xludf.DUMMYFUNCTION("""COMPUTED_VALUE"""),"معمل")</f>
        <v>معمل</v>
      </c>
      <c r="F1459" s="5" t="str">
        <f ca="1">IFERROR(__xludf.DUMMYFUNCTION("""COMPUTED_VALUE"""),"معمل التحاليل الطبية")</f>
        <v>معمل التحاليل الطبية</v>
      </c>
      <c r="G1459" s="5" t="str">
        <f ca="1">IFERROR(__xludf.DUMMYFUNCTION("""COMPUTED_VALUE"""),"معمل المختبر (د. مؤمنة كامل)")</f>
        <v>معمل المختبر (د. مؤمنة كامل)</v>
      </c>
      <c r="H1459" s="5" t="str">
        <f ca="1">IFERROR(__xludf.DUMMYFUNCTION("""COMPUTED_VALUE"""),"88 شارع 9- المعادى - عمارة مصر الخير بجوارسلينترو")</f>
        <v>88 شارع 9- المعادى - عمارة مصر الخير بجوارسلينترو</v>
      </c>
      <c r="I1459" s="6" t="str">
        <f ca="1">IFERROR(__xludf.DUMMYFUNCTION("""COMPUTED_VALUE"""),"01061110957")</f>
        <v>01061110957</v>
      </c>
      <c r="J1459" s="6" t="str">
        <f ca="1">IFERROR(__xludf.DUMMYFUNCTION("""COMPUTED_VALUE"""),"19014")</f>
        <v>19014</v>
      </c>
      <c r="K1459" s="6" t="str">
        <f ca="1">IFERROR(__xludf.DUMMYFUNCTION("""COMPUTED_VALUE"""),"خصم 20% علي جميع التحاليل")</f>
        <v>خصم 20% علي جميع التحاليل</v>
      </c>
    </row>
    <row r="1460" spans="1:11" x14ac:dyDescent="0.25">
      <c r="A1460" s="4" t="str">
        <f ca="1">IFERROR(__xludf.DUMMYFUNCTION("""COMPUTED_VALUE"""),"1897-B")</f>
        <v>1897-B</v>
      </c>
      <c r="B1460" s="5" t="str">
        <f ca="1">IFERROR(__xludf.DUMMYFUNCTION("""COMPUTED_VALUE"""),"القاهرة")</f>
        <v>القاهرة</v>
      </c>
      <c r="C1460" s="5" t="str">
        <f ca="1">IFERROR(__xludf.DUMMYFUNCTION("""COMPUTED_VALUE"""),"عين شمس")</f>
        <v>عين شمس</v>
      </c>
      <c r="D1460" s="5" t="str">
        <f ca="1">IFERROR(__xludf.DUMMYFUNCTION("""COMPUTED_VALUE"""),"معمل")</f>
        <v>معمل</v>
      </c>
      <c r="E1460" s="5" t="str">
        <f ca="1">IFERROR(__xludf.DUMMYFUNCTION("""COMPUTED_VALUE"""),"معمل")</f>
        <v>معمل</v>
      </c>
      <c r="F1460" s="5" t="str">
        <f ca="1">IFERROR(__xludf.DUMMYFUNCTION("""COMPUTED_VALUE"""),"معمل التحاليل الطبية")</f>
        <v>معمل التحاليل الطبية</v>
      </c>
      <c r="G1460" s="5" t="str">
        <f ca="1">IFERROR(__xludf.DUMMYFUNCTION("""COMPUTED_VALUE"""),"معمل المختبر (د. مؤمنة كامل)")</f>
        <v>معمل المختبر (د. مؤمنة كامل)</v>
      </c>
      <c r="H1460" s="5" t="str">
        <f ca="1">IFERROR(__xludf.DUMMYFUNCTION("""COMPUTED_VALUE"""),"عين شمس الشرقية شارع محمد عباس من شارع العشرين أمام مسجد التقوى")</f>
        <v>عين شمس الشرقية شارع محمد عباس من شارع العشرين أمام مسجد التقوى</v>
      </c>
      <c r="I1460" s="6" t="str">
        <f ca="1">IFERROR(__xludf.DUMMYFUNCTION("""COMPUTED_VALUE"""),"01092244094")</f>
        <v>01092244094</v>
      </c>
      <c r="J1460" s="6" t="str">
        <f ca="1">IFERROR(__xludf.DUMMYFUNCTION("""COMPUTED_VALUE"""),"19014")</f>
        <v>19014</v>
      </c>
      <c r="K1460" s="6" t="str">
        <f ca="1">IFERROR(__xludf.DUMMYFUNCTION("""COMPUTED_VALUE"""),"خصم 20% علي جميع التحاليل")</f>
        <v>خصم 20% علي جميع التحاليل</v>
      </c>
    </row>
    <row r="1461" spans="1:11" x14ac:dyDescent="0.25">
      <c r="A1461" s="4" t="str">
        <f ca="1">IFERROR(__xludf.DUMMYFUNCTION("""COMPUTED_VALUE"""),"1897-B")</f>
        <v>1897-B</v>
      </c>
      <c r="B1461" s="5" t="str">
        <f ca="1">IFERROR(__xludf.DUMMYFUNCTION("""COMPUTED_VALUE"""),"القاهرة")</f>
        <v>القاهرة</v>
      </c>
      <c r="C1461" s="5" t="str">
        <f ca="1">IFERROR(__xludf.DUMMYFUNCTION("""COMPUTED_VALUE"""),"شبرا")</f>
        <v>شبرا</v>
      </c>
      <c r="D1461" s="5" t="str">
        <f ca="1">IFERROR(__xludf.DUMMYFUNCTION("""COMPUTED_VALUE"""),"معمل")</f>
        <v>معمل</v>
      </c>
      <c r="E1461" s="5" t="str">
        <f ca="1">IFERROR(__xludf.DUMMYFUNCTION("""COMPUTED_VALUE"""),"معمل")</f>
        <v>معمل</v>
      </c>
      <c r="F1461" s="5" t="str">
        <f ca="1">IFERROR(__xludf.DUMMYFUNCTION("""COMPUTED_VALUE"""),"معمل التحاليل الطبية")</f>
        <v>معمل التحاليل الطبية</v>
      </c>
      <c r="G1461" s="5" t="str">
        <f ca="1">IFERROR(__xludf.DUMMYFUNCTION("""COMPUTED_VALUE"""),"معمل المختبر (د. مؤمنة كامل)")</f>
        <v>معمل المختبر (د. مؤمنة كامل)</v>
      </c>
      <c r="H1461" s="5" t="str">
        <f ca="1">IFERROR(__xludf.DUMMYFUNCTION("""COMPUTED_VALUE"""),"203 ش شبرا فوق تكنو سكان")</f>
        <v>203 ش شبرا فوق تكنو سكان</v>
      </c>
      <c r="I1461" s="6" t="str">
        <f ca="1">IFERROR(__xludf.DUMMYFUNCTION("""COMPUTED_VALUE"""),"01021132297")</f>
        <v>01021132297</v>
      </c>
      <c r="J1461" s="6" t="str">
        <f ca="1">IFERROR(__xludf.DUMMYFUNCTION("""COMPUTED_VALUE"""),"19014")</f>
        <v>19014</v>
      </c>
      <c r="K1461" s="6" t="str">
        <f ca="1">IFERROR(__xludf.DUMMYFUNCTION("""COMPUTED_VALUE"""),"خصم 20% علي جميع التحاليل")</f>
        <v>خصم 20% علي جميع التحاليل</v>
      </c>
    </row>
    <row r="1462" spans="1:11" x14ac:dyDescent="0.25">
      <c r="A1462" s="4" t="str">
        <f ca="1">IFERROR(__xludf.DUMMYFUNCTION("""COMPUTED_VALUE"""),"1897-B")</f>
        <v>1897-B</v>
      </c>
      <c r="B1462" s="5" t="str">
        <f ca="1">IFERROR(__xludf.DUMMYFUNCTION("""COMPUTED_VALUE"""),"القاهرة")</f>
        <v>القاهرة</v>
      </c>
      <c r="C1462" s="5" t="str">
        <f ca="1">IFERROR(__xludf.DUMMYFUNCTION("""COMPUTED_VALUE"""),"القاهرة الجديدة")</f>
        <v>القاهرة الجديدة</v>
      </c>
      <c r="D1462" s="5" t="str">
        <f ca="1">IFERROR(__xludf.DUMMYFUNCTION("""COMPUTED_VALUE"""),"معمل")</f>
        <v>معمل</v>
      </c>
      <c r="E1462" s="5" t="str">
        <f ca="1">IFERROR(__xludf.DUMMYFUNCTION("""COMPUTED_VALUE"""),"معمل")</f>
        <v>معمل</v>
      </c>
      <c r="F1462" s="5" t="str">
        <f ca="1">IFERROR(__xludf.DUMMYFUNCTION("""COMPUTED_VALUE"""),"معمل التحاليل الطبية")</f>
        <v>معمل التحاليل الطبية</v>
      </c>
      <c r="G1462" s="5" t="str">
        <f ca="1">IFERROR(__xludf.DUMMYFUNCTION("""COMPUTED_VALUE"""),"معمل المختبر (د. مؤمنة كامل)")</f>
        <v>معمل المختبر (د. مؤمنة كامل)</v>
      </c>
      <c r="H1462" s="5" t="str">
        <f ca="1">IFERROR(__xludf.DUMMYFUNCTION("""COMPUTED_VALUE"""),"اربيلا بلازا ميدان جمال عبد الناصر الوحدة الادارية الاولي التجمع الخامس")</f>
        <v>اربيلا بلازا ميدان جمال عبد الناصر الوحدة الادارية الاولي التجمع الخامس</v>
      </c>
      <c r="I1462" s="6" t="str">
        <f ca="1">IFERROR(__xludf.DUMMYFUNCTION("""COMPUTED_VALUE"""),"01050220742")</f>
        <v>01050220742</v>
      </c>
      <c r="J1462" s="6" t="str">
        <f ca="1">IFERROR(__xludf.DUMMYFUNCTION("""COMPUTED_VALUE"""),"19014")</f>
        <v>19014</v>
      </c>
      <c r="K1462" s="6" t="str">
        <f ca="1">IFERROR(__xludf.DUMMYFUNCTION("""COMPUTED_VALUE"""),"خصم 20% علي جميع التحاليل")</f>
        <v>خصم 20% علي جميع التحاليل</v>
      </c>
    </row>
    <row r="1463" spans="1:11" x14ac:dyDescent="0.25">
      <c r="A1463" s="4" t="str">
        <f ca="1">IFERROR(__xludf.DUMMYFUNCTION("""COMPUTED_VALUE"""),"1897-B")</f>
        <v>1897-B</v>
      </c>
      <c r="B1463" s="5" t="str">
        <f ca="1">IFERROR(__xludf.DUMMYFUNCTION("""COMPUTED_VALUE"""),"القليوبية")</f>
        <v>القليوبية</v>
      </c>
      <c r="C1463" s="5" t="str">
        <f ca="1">IFERROR(__xludf.DUMMYFUNCTION("""COMPUTED_VALUE"""),"مدينة العبور")</f>
        <v>مدينة العبور</v>
      </c>
      <c r="D1463" s="5" t="str">
        <f ca="1">IFERROR(__xludf.DUMMYFUNCTION("""COMPUTED_VALUE"""),"معمل")</f>
        <v>معمل</v>
      </c>
      <c r="E1463" s="5" t="str">
        <f ca="1">IFERROR(__xludf.DUMMYFUNCTION("""COMPUTED_VALUE"""),"معمل")</f>
        <v>معمل</v>
      </c>
      <c r="F1463" s="5" t="str">
        <f ca="1">IFERROR(__xludf.DUMMYFUNCTION("""COMPUTED_VALUE"""),"معمل التحاليل الطبية")</f>
        <v>معمل التحاليل الطبية</v>
      </c>
      <c r="G1463" s="5" t="str">
        <f ca="1">IFERROR(__xludf.DUMMYFUNCTION("""COMPUTED_VALUE"""),"معمل المختبر (د. مؤمنة كامل)")</f>
        <v>معمل المختبر (د. مؤمنة كامل)</v>
      </c>
      <c r="H1463" s="5" t="str">
        <f ca="1">IFERROR(__xludf.DUMMYFUNCTION("""COMPUTED_VALUE"""),"الحي الخامس المنطقة 800 بلوك11001 قطعة 1 العبور")</f>
        <v>الحي الخامس المنطقة 800 بلوك11001 قطعة 1 العبور</v>
      </c>
      <c r="I1463" s="6" t="str">
        <f ca="1">IFERROR(__xludf.DUMMYFUNCTION("""COMPUTED_VALUE"""),"01090011270")</f>
        <v>01090011270</v>
      </c>
      <c r="J1463" s="6" t="str">
        <f ca="1">IFERROR(__xludf.DUMMYFUNCTION("""COMPUTED_VALUE"""),"19014")</f>
        <v>19014</v>
      </c>
      <c r="K1463" s="6" t="str">
        <f ca="1">IFERROR(__xludf.DUMMYFUNCTION("""COMPUTED_VALUE"""),"خصم 20% علي جميع التحاليل")</f>
        <v>خصم 20% علي جميع التحاليل</v>
      </c>
    </row>
    <row r="1464" spans="1:11" x14ac:dyDescent="0.25">
      <c r="A1464" s="4" t="str">
        <f ca="1">IFERROR(__xludf.DUMMYFUNCTION("""COMPUTED_VALUE"""),"1897-B")</f>
        <v>1897-B</v>
      </c>
      <c r="B1464" s="5" t="str">
        <f ca="1">IFERROR(__xludf.DUMMYFUNCTION("""COMPUTED_VALUE"""),"القاهرة")</f>
        <v>القاهرة</v>
      </c>
      <c r="C1464" s="5" t="str">
        <f ca="1">IFERROR(__xludf.DUMMYFUNCTION("""COMPUTED_VALUE"""),"مدينة الشروق")</f>
        <v>مدينة الشروق</v>
      </c>
      <c r="D1464" s="5" t="str">
        <f ca="1">IFERROR(__xludf.DUMMYFUNCTION("""COMPUTED_VALUE"""),"معمل")</f>
        <v>معمل</v>
      </c>
      <c r="E1464" s="5" t="str">
        <f ca="1">IFERROR(__xludf.DUMMYFUNCTION("""COMPUTED_VALUE"""),"معمل")</f>
        <v>معمل</v>
      </c>
      <c r="F1464" s="5" t="str">
        <f ca="1">IFERROR(__xludf.DUMMYFUNCTION("""COMPUTED_VALUE"""),"معمل التحاليل الطبية")</f>
        <v>معمل التحاليل الطبية</v>
      </c>
      <c r="G1464" s="5" t="str">
        <f ca="1">IFERROR(__xludf.DUMMYFUNCTION("""COMPUTED_VALUE"""),"معمل المختبر (د. مؤمنة كامل)")</f>
        <v>معمل المختبر (د. مؤمنة كامل)</v>
      </c>
      <c r="H1464" s="5" t="str">
        <f ca="1">IFERROR(__xludf.DUMMYFUNCTION("""COMPUTED_VALUE"""),"مول المستقبل التجاري الكائن بمدينة المستقبل بجوار صن مول القوات المسلحه طريق مصر الاسماعليه الصحراوي")</f>
        <v>مول المستقبل التجاري الكائن بمدينة المستقبل بجوار صن مول القوات المسلحه طريق مصر الاسماعليه الصحراوي</v>
      </c>
      <c r="I1464" s="6" t="str">
        <f ca="1">IFERROR(__xludf.DUMMYFUNCTION("""COMPUTED_VALUE"""),"01033114972")</f>
        <v>01033114972</v>
      </c>
      <c r="J1464" s="6" t="str">
        <f ca="1">IFERROR(__xludf.DUMMYFUNCTION("""COMPUTED_VALUE"""),"19014")</f>
        <v>19014</v>
      </c>
      <c r="K1464" s="6" t="str">
        <f ca="1">IFERROR(__xludf.DUMMYFUNCTION("""COMPUTED_VALUE"""),"خصم 20% علي جميع التحاليل")</f>
        <v>خصم 20% علي جميع التحاليل</v>
      </c>
    </row>
    <row r="1465" spans="1:11" x14ac:dyDescent="0.25">
      <c r="A1465" s="4" t="str">
        <f ca="1">IFERROR(__xludf.DUMMYFUNCTION("""COMPUTED_VALUE"""),"1897-B")</f>
        <v>1897-B</v>
      </c>
      <c r="B1465" s="5" t="str">
        <f ca="1">IFERROR(__xludf.DUMMYFUNCTION("""COMPUTED_VALUE"""),"القاهرة")</f>
        <v>القاهرة</v>
      </c>
      <c r="C1465" s="5" t="str">
        <f ca="1">IFERROR(__xludf.DUMMYFUNCTION("""COMPUTED_VALUE"""),"الرحاب")</f>
        <v>الرحاب</v>
      </c>
      <c r="D1465" s="5" t="str">
        <f ca="1">IFERROR(__xludf.DUMMYFUNCTION("""COMPUTED_VALUE"""),"معمل")</f>
        <v>معمل</v>
      </c>
      <c r="E1465" s="5" t="str">
        <f ca="1">IFERROR(__xludf.DUMMYFUNCTION("""COMPUTED_VALUE"""),"معمل")</f>
        <v>معمل</v>
      </c>
      <c r="F1465" s="5" t="str">
        <f ca="1">IFERROR(__xludf.DUMMYFUNCTION("""COMPUTED_VALUE"""),"معمل التحاليل الطبية")</f>
        <v>معمل التحاليل الطبية</v>
      </c>
      <c r="G1465" s="5" t="str">
        <f ca="1">IFERROR(__xludf.DUMMYFUNCTION("""COMPUTED_VALUE"""),"معمل المختبر (د. مؤمنة كامل)")</f>
        <v>معمل المختبر (د. مؤمنة كامل)</v>
      </c>
      <c r="H1465" s="5" t="str">
        <f ca="1">IFERROR(__xludf.DUMMYFUNCTION("""COMPUTED_VALUE"""),"الرحاب 3 زيارد مول بوابه 6 بجوار جهاز المدينه داخل مستشفه النسايم")</f>
        <v>الرحاب 3 زيارد مول بوابه 6 بجوار جهاز المدينه داخل مستشفه النسايم</v>
      </c>
      <c r="I1465" s="6" t="str">
        <f ca="1">IFERROR(__xludf.DUMMYFUNCTION("""COMPUTED_VALUE"""),"01099740083")</f>
        <v>01099740083</v>
      </c>
      <c r="J1465" s="6" t="str">
        <f ca="1">IFERROR(__xludf.DUMMYFUNCTION("""COMPUTED_VALUE"""),"19014")</f>
        <v>19014</v>
      </c>
      <c r="K1465" s="6" t="str">
        <f ca="1">IFERROR(__xludf.DUMMYFUNCTION("""COMPUTED_VALUE"""),"خصم 20% علي جميع التحاليل")</f>
        <v>خصم 20% علي جميع التحاليل</v>
      </c>
    </row>
    <row r="1466" spans="1:11" x14ac:dyDescent="0.25">
      <c r="A1466" s="4" t="str">
        <f ca="1">IFERROR(__xludf.DUMMYFUNCTION("""COMPUTED_VALUE"""),"1897-B")</f>
        <v>1897-B</v>
      </c>
      <c r="B1466" s="5" t="str">
        <f ca="1">IFERROR(__xludf.DUMMYFUNCTION("""COMPUTED_VALUE"""),"القاهرة")</f>
        <v>القاهرة</v>
      </c>
      <c r="C1466" s="5" t="str">
        <f ca="1">IFERROR(__xludf.DUMMYFUNCTION("""COMPUTED_VALUE"""),"القاهرة الجديدة")</f>
        <v>القاهرة الجديدة</v>
      </c>
      <c r="D1466" s="5" t="str">
        <f ca="1">IFERROR(__xludf.DUMMYFUNCTION("""COMPUTED_VALUE"""),"معمل")</f>
        <v>معمل</v>
      </c>
      <c r="E1466" s="5" t="str">
        <f ca="1">IFERROR(__xludf.DUMMYFUNCTION("""COMPUTED_VALUE"""),"معمل")</f>
        <v>معمل</v>
      </c>
      <c r="F1466" s="5" t="str">
        <f ca="1">IFERROR(__xludf.DUMMYFUNCTION("""COMPUTED_VALUE"""),"معمل التحاليل الطبية")</f>
        <v>معمل التحاليل الطبية</v>
      </c>
      <c r="G1466" s="5" t="str">
        <f ca="1">IFERROR(__xludf.DUMMYFUNCTION("""COMPUTED_VALUE"""),"معمل المختبر (د. مؤمنة كامل)")</f>
        <v>معمل المختبر (د. مؤمنة كامل)</v>
      </c>
      <c r="H1466" s="5" t="str">
        <f ca="1">IFERROR(__xludf.DUMMYFUNCTION("""COMPUTED_VALUE"""),"مول تريفيوم - شارع التسعين الشمالي بالتجمع الخامس")</f>
        <v>مول تريفيوم - شارع التسعين الشمالي بالتجمع الخامس</v>
      </c>
      <c r="I1466" s="6" t="str">
        <f ca="1">IFERROR(__xludf.DUMMYFUNCTION("""COMPUTED_VALUE"""),"01092242668")</f>
        <v>01092242668</v>
      </c>
      <c r="J1466" s="6" t="str">
        <f ca="1">IFERROR(__xludf.DUMMYFUNCTION("""COMPUTED_VALUE"""),"19014")</f>
        <v>19014</v>
      </c>
      <c r="K1466" s="6" t="str">
        <f ca="1">IFERROR(__xludf.DUMMYFUNCTION("""COMPUTED_VALUE"""),"خصم 20% علي جميع التحاليل")</f>
        <v>خصم 20% علي جميع التحاليل</v>
      </c>
    </row>
    <row r="1467" spans="1:11" x14ac:dyDescent="0.25">
      <c r="A1467" s="4" t="str">
        <f ca="1">IFERROR(__xludf.DUMMYFUNCTION("""COMPUTED_VALUE"""),"1897-B")</f>
        <v>1897-B</v>
      </c>
      <c r="B1467" s="5" t="str">
        <f ca="1">IFERROR(__xludf.DUMMYFUNCTION("""COMPUTED_VALUE"""),"الغربية")</f>
        <v>الغربية</v>
      </c>
      <c r="C1467" s="5" t="str">
        <f ca="1">IFERROR(__xludf.DUMMYFUNCTION("""COMPUTED_VALUE"""),"طنطا")</f>
        <v>طنطا</v>
      </c>
      <c r="D1467" s="5" t="str">
        <f ca="1">IFERROR(__xludf.DUMMYFUNCTION("""COMPUTED_VALUE"""),"معمل")</f>
        <v>معمل</v>
      </c>
      <c r="E1467" s="5" t="str">
        <f ca="1">IFERROR(__xludf.DUMMYFUNCTION("""COMPUTED_VALUE"""),"معمل")</f>
        <v>معمل</v>
      </c>
      <c r="F1467" s="5" t="str">
        <f ca="1">IFERROR(__xludf.DUMMYFUNCTION("""COMPUTED_VALUE"""),"معمل التحاليل الطبية")</f>
        <v>معمل التحاليل الطبية</v>
      </c>
      <c r="G1467" s="5" t="str">
        <f ca="1">IFERROR(__xludf.DUMMYFUNCTION("""COMPUTED_VALUE"""),"معمل المختبر (د. مؤمنة كامل)")</f>
        <v>معمل المختبر (د. مؤمنة كامل)</v>
      </c>
      <c r="H1467" s="5" t="str">
        <f ca="1">IFERROR(__xludf.DUMMYFUNCTION("""COMPUTED_VALUE"""),"اول شارع الجلاء من اول شارع البحر امام مول رنين")</f>
        <v>اول شارع الجلاء من اول شارع البحر امام مول رنين</v>
      </c>
      <c r="I1467" s="6" t="str">
        <f ca="1">IFERROR(__xludf.DUMMYFUNCTION("""COMPUTED_VALUE"""),"01050680227")</f>
        <v>01050680227</v>
      </c>
      <c r="J1467" s="6" t="str">
        <f ca="1">IFERROR(__xludf.DUMMYFUNCTION("""COMPUTED_VALUE"""),"19014")</f>
        <v>19014</v>
      </c>
      <c r="K1467" s="6" t="str">
        <f ca="1">IFERROR(__xludf.DUMMYFUNCTION("""COMPUTED_VALUE"""),"خصم 20% علي جميع التحاليل")</f>
        <v>خصم 20% علي جميع التحاليل</v>
      </c>
    </row>
    <row r="1468" spans="1:11" x14ac:dyDescent="0.25">
      <c r="A1468" s="4" t="str">
        <f ca="1">IFERROR(__xludf.DUMMYFUNCTION("""COMPUTED_VALUE"""),"1897-B")</f>
        <v>1897-B</v>
      </c>
      <c r="B1468" s="5" t="str">
        <f ca="1">IFERROR(__xludf.DUMMYFUNCTION("""COMPUTED_VALUE"""),"أسيوط")</f>
        <v>أسيوط</v>
      </c>
      <c r="C1468" s="5" t="str">
        <f ca="1">IFERROR(__xludf.DUMMYFUNCTION("""COMPUTED_VALUE"""),"ابو تيج")</f>
        <v>ابو تيج</v>
      </c>
      <c r="D1468" s="5" t="str">
        <f ca="1">IFERROR(__xludf.DUMMYFUNCTION("""COMPUTED_VALUE"""),"معمل")</f>
        <v>معمل</v>
      </c>
      <c r="E1468" s="5" t="str">
        <f ca="1">IFERROR(__xludf.DUMMYFUNCTION("""COMPUTED_VALUE"""),"معمل")</f>
        <v>معمل</v>
      </c>
      <c r="F1468" s="5" t="str">
        <f ca="1">IFERROR(__xludf.DUMMYFUNCTION("""COMPUTED_VALUE"""),"معمل التحاليل الطبية")</f>
        <v>معمل التحاليل الطبية</v>
      </c>
      <c r="G1468" s="5" t="str">
        <f ca="1">IFERROR(__xludf.DUMMYFUNCTION("""COMPUTED_VALUE"""),"معمل المختبر (د. مؤمنة كامل)")</f>
        <v>معمل المختبر (د. مؤمنة كامل)</v>
      </c>
      <c r="H1468" s="5" t="str">
        <f ca="1">IFERROR(__xludf.DUMMYFUNCTION("""COMPUTED_VALUE"""),"66 شارع الدكتور محمد هاشم خليل")</f>
        <v>66 شارع الدكتور محمد هاشم خليل</v>
      </c>
      <c r="I1468" s="6" t="str">
        <f ca="1">IFERROR(__xludf.DUMMYFUNCTION("""COMPUTED_VALUE"""),"01064466215")</f>
        <v>01064466215</v>
      </c>
      <c r="J1468" s="6" t="str">
        <f ca="1">IFERROR(__xludf.DUMMYFUNCTION("""COMPUTED_VALUE"""),"19014")</f>
        <v>19014</v>
      </c>
      <c r="K1468" s="6" t="str">
        <f ca="1">IFERROR(__xludf.DUMMYFUNCTION("""COMPUTED_VALUE"""),"خصم 20% علي جميع التحاليل")</f>
        <v>خصم 20% علي جميع التحاليل</v>
      </c>
    </row>
    <row r="1469" spans="1:11" x14ac:dyDescent="0.25">
      <c r="A1469" s="4" t="str">
        <f ca="1">IFERROR(__xludf.DUMMYFUNCTION("""COMPUTED_VALUE"""),"1897-B")</f>
        <v>1897-B</v>
      </c>
      <c r="B1469" s="5" t="str">
        <f ca="1">IFERROR(__xludf.DUMMYFUNCTION("""COMPUTED_VALUE"""),"سوهاج")</f>
        <v>سوهاج</v>
      </c>
      <c r="C1469" s="5" t="str">
        <f ca="1">IFERROR(__xludf.DUMMYFUNCTION("""COMPUTED_VALUE"""),"سوهاج")</f>
        <v>سوهاج</v>
      </c>
      <c r="D1469" s="5" t="str">
        <f ca="1">IFERROR(__xludf.DUMMYFUNCTION("""COMPUTED_VALUE"""),"معمل")</f>
        <v>معمل</v>
      </c>
      <c r="E1469" s="5" t="str">
        <f ca="1">IFERROR(__xludf.DUMMYFUNCTION("""COMPUTED_VALUE"""),"معمل")</f>
        <v>معمل</v>
      </c>
      <c r="F1469" s="5" t="str">
        <f ca="1">IFERROR(__xludf.DUMMYFUNCTION("""COMPUTED_VALUE"""),"معمل التحاليل الطبية")</f>
        <v>معمل التحاليل الطبية</v>
      </c>
      <c r="G1469" s="5" t="str">
        <f ca="1">IFERROR(__xludf.DUMMYFUNCTION("""COMPUTED_VALUE"""),"معمل المختبر (د. مؤمنة كامل)")</f>
        <v>معمل المختبر (د. مؤمنة كامل)</v>
      </c>
      <c r="H1469" s="5" t="str">
        <f ca="1">IFERROR(__xludf.DUMMYFUNCTION("""COMPUTED_VALUE"""),"عقار رقم 3 شارع الجمهورية - الدور الاول علوى بعد الارضى - البيلينا")</f>
        <v>عقار رقم 3 شارع الجمهورية - الدور الاول علوى بعد الارضى - البيلينا</v>
      </c>
      <c r="I1469" s="6" t="str">
        <f ca="1">IFERROR(__xludf.DUMMYFUNCTION("""COMPUTED_VALUE"""),"01022004486")</f>
        <v>01022004486</v>
      </c>
      <c r="J1469" s="6" t="str">
        <f ca="1">IFERROR(__xludf.DUMMYFUNCTION("""COMPUTED_VALUE"""),"19014")</f>
        <v>19014</v>
      </c>
      <c r="K1469" s="6" t="str">
        <f ca="1">IFERROR(__xludf.DUMMYFUNCTION("""COMPUTED_VALUE"""),"خصم 20% علي جميع التحاليل")</f>
        <v>خصم 20% علي جميع التحاليل</v>
      </c>
    </row>
    <row r="1470" spans="1:11" x14ac:dyDescent="0.25">
      <c r="A1470" s="4" t="str">
        <f ca="1">IFERROR(__xludf.DUMMYFUNCTION("""COMPUTED_VALUE"""),"1897-B")</f>
        <v>1897-B</v>
      </c>
      <c r="B1470" s="5" t="str">
        <f ca="1">IFERROR(__xludf.DUMMYFUNCTION("""COMPUTED_VALUE"""),"جنوب سيناء")</f>
        <v>جنوب سيناء</v>
      </c>
      <c r="C1470" s="5" t="str">
        <f ca="1">IFERROR(__xludf.DUMMYFUNCTION("""COMPUTED_VALUE"""),"شرم الشيخ")</f>
        <v>شرم الشيخ</v>
      </c>
      <c r="D1470" s="5" t="str">
        <f ca="1">IFERROR(__xludf.DUMMYFUNCTION("""COMPUTED_VALUE"""),"معمل")</f>
        <v>معمل</v>
      </c>
      <c r="E1470" s="5" t="str">
        <f ca="1">IFERROR(__xludf.DUMMYFUNCTION("""COMPUTED_VALUE"""),"معمل")</f>
        <v>معمل</v>
      </c>
      <c r="F1470" s="5" t="str">
        <f ca="1">IFERROR(__xludf.DUMMYFUNCTION("""COMPUTED_VALUE"""),"معمل التحاليل الطبية")</f>
        <v>معمل التحاليل الطبية</v>
      </c>
      <c r="G1470" s="5" t="str">
        <f ca="1">IFERROR(__xludf.DUMMYFUNCTION("""COMPUTED_VALUE"""),"معمل المختبر (د. مؤمنة كامل)")</f>
        <v>معمل المختبر (د. مؤمنة كامل)</v>
      </c>
      <c r="H1470" s="5" t="str">
        <f ca="1">IFERROR(__xludf.DUMMYFUNCTION("""COMPUTED_VALUE"""),"قطعة 230 حي النور شارع الفيلات")</f>
        <v>قطعة 230 حي النور شارع الفيلات</v>
      </c>
      <c r="I1470" s="6" t="str">
        <f ca="1">IFERROR(__xludf.DUMMYFUNCTION("""COMPUTED_VALUE"""),"01007733581")</f>
        <v>01007733581</v>
      </c>
      <c r="J1470" s="6" t="str">
        <f ca="1">IFERROR(__xludf.DUMMYFUNCTION("""COMPUTED_VALUE"""),"19014")</f>
        <v>19014</v>
      </c>
      <c r="K1470" s="6" t="str">
        <f ca="1">IFERROR(__xludf.DUMMYFUNCTION("""COMPUTED_VALUE"""),"خصم 20% علي جميع التحاليل")</f>
        <v>خصم 20% علي جميع التحاليل</v>
      </c>
    </row>
    <row r="1471" spans="1:11" x14ac:dyDescent="0.25">
      <c r="A1471" s="4" t="str">
        <f ca="1">IFERROR(__xludf.DUMMYFUNCTION("""COMPUTED_VALUE"""),"1897-B")</f>
        <v>1897-B</v>
      </c>
      <c r="B1471" s="5" t="str">
        <f ca="1">IFERROR(__xludf.DUMMYFUNCTION("""COMPUTED_VALUE"""),"الجيزة")</f>
        <v>الجيزة</v>
      </c>
      <c r="C1471" s="5" t="str">
        <f ca="1">IFERROR(__xludf.DUMMYFUNCTION("""COMPUTED_VALUE"""),"الدقي")</f>
        <v>الدقي</v>
      </c>
      <c r="D1471" s="5" t="str">
        <f ca="1">IFERROR(__xludf.DUMMYFUNCTION("""COMPUTED_VALUE"""),"معمل")</f>
        <v>معمل</v>
      </c>
      <c r="E1471" s="5" t="str">
        <f ca="1">IFERROR(__xludf.DUMMYFUNCTION("""COMPUTED_VALUE"""),"معمل")</f>
        <v>معمل</v>
      </c>
      <c r="F1471" s="5" t="str">
        <f ca="1">IFERROR(__xludf.DUMMYFUNCTION("""COMPUTED_VALUE"""),"معمل التحاليل الطبية")</f>
        <v>معمل التحاليل الطبية</v>
      </c>
      <c r="G1471" s="5" t="str">
        <f ca="1">IFERROR(__xludf.DUMMYFUNCTION("""COMPUTED_VALUE"""),"معمل المختبر (د. مؤمنة كامل)")</f>
        <v>معمل المختبر (د. مؤمنة كامل)</v>
      </c>
      <c r="H1471" s="5" t="str">
        <f ca="1">IFERROR(__xludf.DUMMYFUNCTION("""COMPUTED_VALUE"""),"19 شارع مصدق الدقى - امام مستشفى ابن سينا")</f>
        <v>19 شارع مصدق الدقى - امام مستشفى ابن سينا</v>
      </c>
      <c r="I1471" s="6" t="str">
        <f ca="1">IFERROR(__xludf.DUMMYFUNCTION("""COMPUTED_VALUE"""),"01033114953")</f>
        <v>01033114953</v>
      </c>
      <c r="J1471" s="6" t="str">
        <f ca="1">IFERROR(__xludf.DUMMYFUNCTION("""COMPUTED_VALUE"""),"19014")</f>
        <v>19014</v>
      </c>
      <c r="K1471" s="6" t="str">
        <f ca="1">IFERROR(__xludf.DUMMYFUNCTION("""COMPUTED_VALUE"""),"خصم 20% علي جميع التحاليل")</f>
        <v>خصم 20% علي جميع التحاليل</v>
      </c>
    </row>
    <row r="1472" spans="1:11" x14ac:dyDescent="0.25">
      <c r="A1472" s="4" t="str">
        <f ca="1">IFERROR(__xludf.DUMMYFUNCTION("""COMPUTED_VALUE"""),"1897-B")</f>
        <v>1897-B</v>
      </c>
      <c r="B1472" s="5" t="str">
        <f ca="1">IFERROR(__xludf.DUMMYFUNCTION("""COMPUTED_VALUE"""),"الجيزة")</f>
        <v>الجيزة</v>
      </c>
      <c r="C1472" s="5" t="str">
        <f ca="1">IFERROR(__xludf.DUMMYFUNCTION("""COMPUTED_VALUE"""),"بشتيل")</f>
        <v>بشتيل</v>
      </c>
      <c r="D1472" s="5" t="str">
        <f ca="1">IFERROR(__xludf.DUMMYFUNCTION("""COMPUTED_VALUE"""),"معمل")</f>
        <v>معمل</v>
      </c>
      <c r="E1472" s="5" t="str">
        <f ca="1">IFERROR(__xludf.DUMMYFUNCTION("""COMPUTED_VALUE"""),"معمل")</f>
        <v>معمل</v>
      </c>
      <c r="F1472" s="5" t="str">
        <f ca="1">IFERROR(__xludf.DUMMYFUNCTION("""COMPUTED_VALUE"""),"معمل التحاليل الطبية")</f>
        <v>معمل التحاليل الطبية</v>
      </c>
      <c r="G1472" s="5" t="str">
        <f ca="1">IFERROR(__xludf.DUMMYFUNCTION("""COMPUTED_VALUE"""),"معمل المختبر (د. مؤمنة كامل)")</f>
        <v>معمل المختبر (د. مؤمنة كامل)</v>
      </c>
      <c r="H1472" s="5" t="str">
        <f ca="1">IFERROR(__xludf.DUMMYFUNCTION("""COMPUTED_VALUE"""),"شارع القدس الشريف من شارع بشتيل الرئيسى امام مستشفى تبارك بشتيل امبابة الجيزة")</f>
        <v>شارع القدس الشريف من شارع بشتيل الرئيسى امام مستشفى تبارك بشتيل امبابة الجيزة</v>
      </c>
      <c r="I1472" s="6" t="str">
        <f ca="1">IFERROR(__xludf.DUMMYFUNCTION("""COMPUTED_VALUE"""),"1026566685")</f>
        <v>1026566685</v>
      </c>
      <c r="J1472" s="6" t="str">
        <f ca="1">IFERROR(__xludf.DUMMYFUNCTION("""COMPUTED_VALUE"""),"19014")</f>
        <v>19014</v>
      </c>
      <c r="K1472" s="6" t="str">
        <f ca="1">IFERROR(__xludf.DUMMYFUNCTION("""COMPUTED_VALUE"""),"خصم 20% علي جميع التحاليل")</f>
        <v>خصم 20% علي جميع التحاليل</v>
      </c>
    </row>
    <row r="1473" spans="1:11" x14ac:dyDescent="0.25">
      <c r="A1473" s="4" t="str">
        <f ca="1">IFERROR(__xludf.DUMMYFUNCTION("""COMPUTED_VALUE"""),"1897-B")</f>
        <v>1897-B</v>
      </c>
      <c r="B1473" s="5" t="str">
        <f ca="1">IFERROR(__xludf.DUMMYFUNCTION("""COMPUTED_VALUE"""),"القاهرة")</f>
        <v>القاهرة</v>
      </c>
      <c r="C1473" s="5" t="str">
        <f ca="1">IFERROR(__xludf.DUMMYFUNCTION("""COMPUTED_VALUE"""),"القاهرة الجديدة")</f>
        <v>القاهرة الجديدة</v>
      </c>
      <c r="D1473" s="5" t="str">
        <f ca="1">IFERROR(__xludf.DUMMYFUNCTION("""COMPUTED_VALUE"""),"معمل")</f>
        <v>معمل</v>
      </c>
      <c r="E1473" s="5" t="str">
        <f ca="1">IFERROR(__xludf.DUMMYFUNCTION("""COMPUTED_VALUE"""),"معمل")</f>
        <v>معمل</v>
      </c>
      <c r="F1473" s="5" t="str">
        <f ca="1">IFERROR(__xludf.DUMMYFUNCTION("""COMPUTED_VALUE"""),"معمل التحاليل الطبية")</f>
        <v>معمل التحاليل الطبية</v>
      </c>
      <c r="G1473" s="5" t="str">
        <f ca="1">IFERROR(__xludf.DUMMYFUNCTION("""COMPUTED_VALUE"""),"معمل المختبر (د. مؤمنة كامل)")</f>
        <v>معمل المختبر (د. مؤمنة كامل)</v>
      </c>
      <c r="H1473" s="5" t="str">
        <f ca="1">IFERROR(__xludf.DUMMYFUNCTION("""COMPUTED_VALUE"""),"عيادات اكسا كلينك داخل مول 01 شارع وتر واي")</f>
        <v>عيادات اكسا كلينك داخل مول 01 شارع وتر واي</v>
      </c>
      <c r="I1473" s="6" t="str">
        <f ca="1">IFERROR(__xludf.DUMMYFUNCTION("""COMPUTED_VALUE"""),"01092242655")</f>
        <v>01092242655</v>
      </c>
      <c r="J1473" s="6" t="str">
        <f ca="1">IFERROR(__xludf.DUMMYFUNCTION("""COMPUTED_VALUE"""),"19014")</f>
        <v>19014</v>
      </c>
      <c r="K1473" s="6" t="str">
        <f ca="1">IFERROR(__xludf.DUMMYFUNCTION("""COMPUTED_VALUE"""),"خصم 20% علي جميع التحاليل")</f>
        <v>خصم 20% علي جميع التحاليل</v>
      </c>
    </row>
    <row r="1474" spans="1:11" x14ac:dyDescent="0.25">
      <c r="A1474" s="4" t="str">
        <f ca="1">IFERROR(__xludf.DUMMYFUNCTION("""COMPUTED_VALUE"""),"1897-B")</f>
        <v>1897-B</v>
      </c>
      <c r="B1474" s="5" t="str">
        <f ca="1">IFERROR(__xludf.DUMMYFUNCTION("""COMPUTED_VALUE"""),"القاهرة")</f>
        <v>القاهرة</v>
      </c>
      <c r="C1474" s="5" t="str">
        <f ca="1">IFERROR(__xludf.DUMMYFUNCTION("""COMPUTED_VALUE"""),"مصر القديمة")</f>
        <v>مصر القديمة</v>
      </c>
      <c r="D1474" s="5" t="str">
        <f ca="1">IFERROR(__xludf.DUMMYFUNCTION("""COMPUTED_VALUE"""),"معمل")</f>
        <v>معمل</v>
      </c>
      <c r="E1474" s="5" t="str">
        <f ca="1">IFERROR(__xludf.DUMMYFUNCTION("""COMPUTED_VALUE"""),"معمل")</f>
        <v>معمل</v>
      </c>
      <c r="F1474" s="5" t="str">
        <f ca="1">IFERROR(__xludf.DUMMYFUNCTION("""COMPUTED_VALUE"""),"معمل التحاليل الطبية")</f>
        <v>معمل التحاليل الطبية</v>
      </c>
      <c r="G1474" s="5" t="str">
        <f ca="1">IFERROR(__xludf.DUMMYFUNCTION("""COMPUTED_VALUE"""),"معمل المختبر (د. مؤمنة كامل)")</f>
        <v>معمل المختبر (د. مؤمنة كامل)</v>
      </c>
      <c r="H1474" s="5" t="str">
        <f ca="1">IFERROR(__xludf.DUMMYFUNCTION("""COMPUTED_VALUE"""),"102 المجاورة التانية الفسطاط سنتر – مدينة الفسطاط – اعلى خير زمان – مصر القديمة")</f>
        <v>102 المجاورة التانية الفسطاط سنتر – مدينة الفسطاط – اعلى خير زمان – مصر القديمة</v>
      </c>
      <c r="I1474" s="6" t="str">
        <f ca="1">IFERROR(__xludf.DUMMYFUNCTION("""COMPUTED_VALUE"""),"01095111973")</f>
        <v>01095111973</v>
      </c>
      <c r="J1474" s="6" t="str">
        <f ca="1">IFERROR(__xludf.DUMMYFUNCTION("""COMPUTED_VALUE"""),"19014")</f>
        <v>19014</v>
      </c>
      <c r="K1474" s="6" t="str">
        <f ca="1">IFERROR(__xludf.DUMMYFUNCTION("""COMPUTED_VALUE"""),"خصم 20% علي جميع التحاليل")</f>
        <v>خصم 20% علي جميع التحاليل</v>
      </c>
    </row>
    <row r="1475" spans="1:11" x14ac:dyDescent="0.25">
      <c r="A1475" s="4" t="str">
        <f ca="1">IFERROR(__xludf.DUMMYFUNCTION("""COMPUTED_VALUE"""),"105148-B")</f>
        <v>105148-B</v>
      </c>
      <c r="B1475" s="5" t="str">
        <f ca="1">IFERROR(__xludf.DUMMYFUNCTION("""COMPUTED_VALUE"""),"القاهرة")</f>
        <v>القاهرة</v>
      </c>
      <c r="C1475" s="5" t="str">
        <f ca="1">IFERROR(__xludf.DUMMYFUNCTION("""COMPUTED_VALUE"""),"مصر الجديدة")</f>
        <v>مصر الجديدة</v>
      </c>
      <c r="D1475" s="5" t="str">
        <f ca="1">IFERROR(__xludf.DUMMYFUNCTION("""COMPUTED_VALUE"""),"مركز أشعة")</f>
        <v>مركز أشعة</v>
      </c>
      <c r="E1475" s="5" t="str">
        <f ca="1">IFERROR(__xludf.DUMMYFUNCTION("""COMPUTED_VALUE"""),"مركز أشعة")</f>
        <v>مركز أشعة</v>
      </c>
      <c r="F1475" s="5" t="str">
        <f ca="1">IFERROR(__xludf.DUMMYFUNCTION("""COMPUTED_VALUE"""),"مركز الأشعة التشخيصية")</f>
        <v>مركز الأشعة التشخيصية</v>
      </c>
      <c r="G1475" s="5" t="str">
        <f ca="1">IFERROR(__xludf.DUMMYFUNCTION("""COMPUTED_VALUE"""),"البرج سكان ( معامل البرج)")</f>
        <v>البرج سكان ( معامل البرج)</v>
      </c>
      <c r="H1475" s="5" t="str">
        <f ca="1">IFERROR(__xludf.DUMMYFUNCTION("""COMPUTED_VALUE"""),"٦٧ شارع الميرغني ، مصر الجديدة")</f>
        <v>٦٧ شارع الميرغني ، مصر الجديدة</v>
      </c>
      <c r="I1475" s="6"/>
      <c r="J1475" s="6" t="str">
        <f ca="1">IFERROR(__xludf.DUMMYFUNCTION("""COMPUTED_VALUE"""),"19911")</f>
        <v>19911</v>
      </c>
      <c r="K1475" s="6" t="str">
        <f ca="1">IFERROR(__xludf.DUMMYFUNCTION("""COMPUTED_VALUE"""),"30% علي الأسعار النقدي المعلنة")</f>
        <v>30% علي الأسعار النقدي المعلنة</v>
      </c>
    </row>
    <row r="1476" spans="1:11" x14ac:dyDescent="0.25">
      <c r="A1476" s="4" t="str">
        <f ca="1">IFERROR(__xludf.DUMMYFUNCTION("""COMPUTED_VALUE"""),"104199-B")</f>
        <v>104199-B</v>
      </c>
      <c r="B1476" s="5" t="str">
        <f ca="1">IFERROR(__xludf.DUMMYFUNCTION("""COMPUTED_VALUE"""),"الجيزة")</f>
        <v>الجيزة</v>
      </c>
      <c r="C1476" s="5" t="str">
        <f ca="1">IFERROR(__xludf.DUMMYFUNCTION("""COMPUTED_VALUE"""),"المهندسين")</f>
        <v>المهندسين</v>
      </c>
      <c r="D1476" s="5" t="str">
        <f ca="1">IFERROR(__xludf.DUMMYFUNCTION("""COMPUTED_VALUE"""),"معمل")</f>
        <v>معمل</v>
      </c>
      <c r="E1476" s="5" t="str">
        <f ca="1">IFERROR(__xludf.DUMMYFUNCTION("""COMPUTED_VALUE"""),"معمل")</f>
        <v>معمل</v>
      </c>
      <c r="F1476" s="5" t="str">
        <f ca="1">IFERROR(__xludf.DUMMYFUNCTION("""COMPUTED_VALUE"""),"معمل التحاليل الطبية")</f>
        <v>معمل التحاليل الطبية</v>
      </c>
      <c r="G1476" s="5" t="str">
        <f ca="1">IFERROR(__xludf.DUMMYFUNCTION("""COMPUTED_VALUE"""),"معامل ترست")</f>
        <v>معامل ترست</v>
      </c>
      <c r="H1476" s="5" t="str">
        <f ca="1">IFERROR(__xludf.DUMMYFUNCTION("""COMPUTED_VALUE"""),"10 ش البطل احمد عبد العزيز المهندسين - الدور الرابع")</f>
        <v>10 ش البطل احمد عبد العزيز المهندسين - الدور الرابع</v>
      </c>
      <c r="I1476" s="6" t="str">
        <f ca="1">IFERROR(__xludf.DUMMYFUNCTION("""COMPUTED_VALUE"""),"01210773388")</f>
        <v>01210773388</v>
      </c>
      <c r="J1476" s="6" t="str">
        <f ca="1">IFERROR(__xludf.DUMMYFUNCTION("""COMPUTED_VALUE"""),"16183")</f>
        <v>16183</v>
      </c>
      <c r="K1476" s="6" t="str">
        <f ca="1">IFERROR(__xludf.DUMMYFUNCTION("""COMPUTED_VALUE"""),"خصم 30% علي الاسعار المعلنة")</f>
        <v>خصم 30% علي الاسعار المعلنة</v>
      </c>
    </row>
    <row r="1477" spans="1:11" x14ac:dyDescent="0.25">
      <c r="A1477" s="4" t="str">
        <f ca="1">IFERROR(__xludf.DUMMYFUNCTION("""COMPUTED_VALUE"""),"104199-B")</f>
        <v>104199-B</v>
      </c>
      <c r="B1477" s="5" t="str">
        <f ca="1">IFERROR(__xludf.DUMMYFUNCTION("""COMPUTED_VALUE"""),"الجيزة")</f>
        <v>الجيزة</v>
      </c>
      <c r="C1477" s="5" t="str">
        <f ca="1">IFERROR(__xludf.DUMMYFUNCTION("""COMPUTED_VALUE"""),"الشيخ زايد")</f>
        <v>الشيخ زايد</v>
      </c>
      <c r="D1477" s="5" t="str">
        <f ca="1">IFERROR(__xludf.DUMMYFUNCTION("""COMPUTED_VALUE"""),"معمل")</f>
        <v>معمل</v>
      </c>
      <c r="E1477" s="5" t="str">
        <f ca="1">IFERROR(__xludf.DUMMYFUNCTION("""COMPUTED_VALUE"""),"معمل")</f>
        <v>معمل</v>
      </c>
      <c r="F1477" s="5" t="str">
        <f ca="1">IFERROR(__xludf.DUMMYFUNCTION("""COMPUTED_VALUE"""),"معمل التحاليل الطبية")</f>
        <v>معمل التحاليل الطبية</v>
      </c>
      <c r="G1477" s="5" t="str">
        <f ca="1">IFERROR(__xludf.DUMMYFUNCTION("""COMPUTED_VALUE"""),"معامل ترست")</f>
        <v>معامل ترست</v>
      </c>
      <c r="H1477" s="5" t="str">
        <f ca="1">IFERROR(__xludf.DUMMYFUNCTION("""COMPUTED_VALUE"""),"43 الحي السادس عشر - المجاورة الاولي - زايد مول")</f>
        <v>43 الحي السادس عشر - المجاورة الاولي - زايد مول</v>
      </c>
      <c r="I1477" s="6" t="str">
        <f ca="1">IFERROR(__xludf.DUMMYFUNCTION("""COMPUTED_VALUE"""),"01207838650")</f>
        <v>01207838650</v>
      </c>
      <c r="J1477" s="6" t="str">
        <f ca="1">IFERROR(__xludf.DUMMYFUNCTION("""COMPUTED_VALUE"""),"16183")</f>
        <v>16183</v>
      </c>
      <c r="K1477" s="6" t="str">
        <f ca="1">IFERROR(__xludf.DUMMYFUNCTION("""COMPUTED_VALUE"""),"خصم 30% علي الاسعار المعلنة")</f>
        <v>خصم 30% علي الاسعار المعلنة</v>
      </c>
    </row>
    <row r="1478" spans="1:11" x14ac:dyDescent="0.25">
      <c r="A1478" s="4" t="str">
        <f ca="1">IFERROR(__xludf.DUMMYFUNCTION("""COMPUTED_VALUE"""),"104199-B")</f>
        <v>104199-B</v>
      </c>
      <c r="B1478" s="5" t="str">
        <f ca="1">IFERROR(__xludf.DUMMYFUNCTION("""COMPUTED_VALUE"""),"الجيزة")</f>
        <v>الجيزة</v>
      </c>
      <c r="C1478" s="5" t="str">
        <f ca="1">IFERROR(__xludf.DUMMYFUNCTION("""COMPUTED_VALUE"""),"امبابة")</f>
        <v>امبابة</v>
      </c>
      <c r="D1478" s="5" t="str">
        <f ca="1">IFERROR(__xludf.DUMMYFUNCTION("""COMPUTED_VALUE"""),"معمل")</f>
        <v>معمل</v>
      </c>
      <c r="E1478" s="5" t="str">
        <f ca="1">IFERROR(__xludf.DUMMYFUNCTION("""COMPUTED_VALUE"""),"معمل")</f>
        <v>معمل</v>
      </c>
      <c r="F1478" s="5" t="str">
        <f ca="1">IFERROR(__xludf.DUMMYFUNCTION("""COMPUTED_VALUE"""),"معمل التحاليل الطبية")</f>
        <v>معمل التحاليل الطبية</v>
      </c>
      <c r="G1478" s="5" t="str">
        <f ca="1">IFERROR(__xludf.DUMMYFUNCTION("""COMPUTED_VALUE"""),"معامل ترست")</f>
        <v>معامل ترست</v>
      </c>
      <c r="H1478" s="5" t="str">
        <f ca="1">IFERROR(__xludf.DUMMYFUNCTION("""COMPUTED_VALUE"""),"89 ش الوحدة بجوار ارض الجمعية")</f>
        <v>89 ش الوحدة بجوار ارض الجمعية</v>
      </c>
      <c r="I1478" s="6" t="str">
        <f ca="1">IFERROR(__xludf.DUMMYFUNCTION("""COMPUTED_VALUE"""),"01275626665")</f>
        <v>01275626665</v>
      </c>
      <c r="J1478" s="6" t="str">
        <f ca="1">IFERROR(__xludf.DUMMYFUNCTION("""COMPUTED_VALUE"""),"16183")</f>
        <v>16183</v>
      </c>
      <c r="K1478" s="6" t="str">
        <f ca="1">IFERROR(__xludf.DUMMYFUNCTION("""COMPUTED_VALUE"""),"خصم 30% علي الاسعار المعلنة")</f>
        <v>خصم 30% علي الاسعار المعلنة</v>
      </c>
    </row>
    <row r="1479" spans="1:11" x14ac:dyDescent="0.25">
      <c r="A1479" s="4" t="str">
        <f ca="1">IFERROR(__xludf.DUMMYFUNCTION("""COMPUTED_VALUE"""),"104199-B")</f>
        <v>104199-B</v>
      </c>
      <c r="B1479" s="5" t="str">
        <f ca="1">IFERROR(__xludf.DUMMYFUNCTION("""COMPUTED_VALUE"""),"جنوب سيناء")</f>
        <v>جنوب سيناء</v>
      </c>
      <c r="C1479" s="5" t="str">
        <f ca="1">IFERROR(__xludf.DUMMYFUNCTION("""COMPUTED_VALUE"""),"شرم الشيخ")</f>
        <v>شرم الشيخ</v>
      </c>
      <c r="D1479" s="5" t="str">
        <f ca="1">IFERROR(__xludf.DUMMYFUNCTION("""COMPUTED_VALUE"""),"معمل")</f>
        <v>معمل</v>
      </c>
      <c r="E1479" s="5" t="str">
        <f ca="1">IFERROR(__xludf.DUMMYFUNCTION("""COMPUTED_VALUE"""),"معمل")</f>
        <v>معمل</v>
      </c>
      <c r="F1479" s="5" t="str">
        <f ca="1">IFERROR(__xludf.DUMMYFUNCTION("""COMPUTED_VALUE"""),"معمل التحاليل الطبية")</f>
        <v>معمل التحاليل الطبية</v>
      </c>
      <c r="G1479" s="5" t="str">
        <f ca="1">IFERROR(__xludf.DUMMYFUNCTION("""COMPUTED_VALUE"""),"معامل ترست")</f>
        <v>معامل ترست</v>
      </c>
      <c r="H1479" s="5" t="str">
        <f ca="1">IFERROR(__xludf.DUMMYFUNCTION("""COMPUTED_VALUE"""),"ريكسوس بريميم سي جيت - خليخ نبق")</f>
        <v>ريكسوس بريميم سي جيت - خليخ نبق</v>
      </c>
      <c r="I1479" s="6"/>
      <c r="J1479" s="6" t="str">
        <f ca="1">IFERROR(__xludf.DUMMYFUNCTION("""COMPUTED_VALUE"""),"16183")</f>
        <v>16183</v>
      </c>
      <c r="K1479" s="6" t="str">
        <f ca="1">IFERROR(__xludf.DUMMYFUNCTION("""COMPUTED_VALUE"""),"خصم 30% علي الاسعار المعلنة")</f>
        <v>خصم 30% علي الاسعار المعلنة</v>
      </c>
    </row>
    <row r="1480" spans="1:11" x14ac:dyDescent="0.25">
      <c r="A1480" s="4" t="str">
        <f ca="1">IFERROR(__xludf.DUMMYFUNCTION("""COMPUTED_VALUE"""),"104199-B")</f>
        <v>104199-B</v>
      </c>
      <c r="B1480" s="5" t="str">
        <f ca="1">IFERROR(__xludf.DUMMYFUNCTION("""COMPUTED_VALUE"""),"جنوب سيناء")</f>
        <v>جنوب سيناء</v>
      </c>
      <c r="C1480" s="5" t="str">
        <f ca="1">IFERROR(__xludf.DUMMYFUNCTION("""COMPUTED_VALUE"""),"شرم الشيخ")</f>
        <v>شرم الشيخ</v>
      </c>
      <c r="D1480" s="5" t="str">
        <f ca="1">IFERROR(__xludf.DUMMYFUNCTION("""COMPUTED_VALUE"""),"معمل")</f>
        <v>معمل</v>
      </c>
      <c r="E1480" s="5" t="str">
        <f ca="1">IFERROR(__xludf.DUMMYFUNCTION("""COMPUTED_VALUE"""),"معمل")</f>
        <v>معمل</v>
      </c>
      <c r="F1480" s="5" t="str">
        <f ca="1">IFERROR(__xludf.DUMMYFUNCTION("""COMPUTED_VALUE"""),"معمل التحاليل الطبية")</f>
        <v>معمل التحاليل الطبية</v>
      </c>
      <c r="G1480" s="5" t="str">
        <f ca="1">IFERROR(__xludf.DUMMYFUNCTION("""COMPUTED_VALUE"""),"معامل ترست")</f>
        <v>معامل ترست</v>
      </c>
      <c r="H1480" s="5" t="str">
        <f ca="1">IFERROR(__xludf.DUMMYFUNCTION("""COMPUTED_VALUE"""),"حي النور - سنتر الشروق")</f>
        <v>حي النور - سنتر الشروق</v>
      </c>
      <c r="I1480" s="6"/>
      <c r="J1480" s="6" t="str">
        <f ca="1">IFERROR(__xludf.DUMMYFUNCTION("""COMPUTED_VALUE"""),"16183")</f>
        <v>16183</v>
      </c>
      <c r="K1480" s="6" t="str">
        <f ca="1">IFERROR(__xludf.DUMMYFUNCTION("""COMPUTED_VALUE"""),"خصم 30% علي الاسعار المعلنة")</f>
        <v>خصم 30% علي الاسعار المعلنة</v>
      </c>
    </row>
    <row r="1481" spans="1:11" x14ac:dyDescent="0.25">
      <c r="A1481" s="4" t="str">
        <f ca="1">IFERROR(__xludf.DUMMYFUNCTION("""COMPUTED_VALUE"""),"104199-B")</f>
        <v>104199-B</v>
      </c>
      <c r="B1481" s="5" t="str">
        <f ca="1">IFERROR(__xludf.DUMMYFUNCTION("""COMPUTED_VALUE"""),"القاهرة")</f>
        <v>القاهرة</v>
      </c>
      <c r="C1481" s="5" t="str">
        <f ca="1">IFERROR(__xludf.DUMMYFUNCTION("""COMPUTED_VALUE"""),"شبرا")</f>
        <v>شبرا</v>
      </c>
      <c r="D1481" s="5" t="str">
        <f ca="1">IFERROR(__xludf.DUMMYFUNCTION("""COMPUTED_VALUE"""),"معمل")</f>
        <v>معمل</v>
      </c>
      <c r="E1481" s="5" t="str">
        <f ca="1">IFERROR(__xludf.DUMMYFUNCTION("""COMPUTED_VALUE"""),"معمل")</f>
        <v>معمل</v>
      </c>
      <c r="F1481" s="5" t="str">
        <f ca="1">IFERROR(__xludf.DUMMYFUNCTION("""COMPUTED_VALUE"""),"معمل التحاليل الطبية")</f>
        <v>معمل التحاليل الطبية</v>
      </c>
      <c r="G1481" s="5" t="str">
        <f ca="1">IFERROR(__xludf.DUMMYFUNCTION("""COMPUTED_VALUE"""),"معامل ترست")</f>
        <v>معامل ترست</v>
      </c>
      <c r="H1481" s="5" t="str">
        <f ca="1">IFERROR(__xludf.DUMMYFUNCTION("""COMPUTED_VALUE"""),"90 ش دوران شبرا - روض الفرج")</f>
        <v>90 ش دوران شبرا - روض الفرج</v>
      </c>
      <c r="I1481" s="6" t="str">
        <f ca="1">IFERROR(__xludf.DUMMYFUNCTION("""COMPUTED_VALUE"""),"01284439091")</f>
        <v>01284439091</v>
      </c>
      <c r="J1481" s="6" t="str">
        <f ca="1">IFERROR(__xludf.DUMMYFUNCTION("""COMPUTED_VALUE"""),"16183")</f>
        <v>16183</v>
      </c>
      <c r="K1481" s="6" t="str">
        <f ca="1">IFERROR(__xludf.DUMMYFUNCTION("""COMPUTED_VALUE"""),"خصم 30% علي الاسعار المعلنة")</f>
        <v>خصم 30% علي الاسعار المعلنة</v>
      </c>
    </row>
    <row r="1482" spans="1:11" x14ac:dyDescent="0.25">
      <c r="A1482" s="4" t="str">
        <f ca="1">IFERROR(__xludf.DUMMYFUNCTION("""COMPUTED_VALUE"""),"104199-B")</f>
        <v>104199-B</v>
      </c>
      <c r="B1482" s="5" t="str">
        <f ca="1">IFERROR(__xludf.DUMMYFUNCTION("""COMPUTED_VALUE"""),"الفيوم")</f>
        <v>الفيوم</v>
      </c>
      <c r="C1482" s="5" t="str">
        <f ca="1">IFERROR(__xludf.DUMMYFUNCTION("""COMPUTED_VALUE"""),"الفيوم")</f>
        <v>الفيوم</v>
      </c>
      <c r="D1482" s="5" t="str">
        <f ca="1">IFERROR(__xludf.DUMMYFUNCTION("""COMPUTED_VALUE"""),"معمل")</f>
        <v>معمل</v>
      </c>
      <c r="E1482" s="5" t="str">
        <f ca="1">IFERROR(__xludf.DUMMYFUNCTION("""COMPUTED_VALUE"""),"معمل")</f>
        <v>معمل</v>
      </c>
      <c r="F1482" s="5" t="str">
        <f ca="1">IFERROR(__xludf.DUMMYFUNCTION("""COMPUTED_VALUE"""),"معمل التحاليل الطبية")</f>
        <v>معمل التحاليل الطبية</v>
      </c>
      <c r="G1482" s="5" t="str">
        <f ca="1">IFERROR(__xludf.DUMMYFUNCTION("""COMPUTED_VALUE"""),"معامل ترست")</f>
        <v>معامل ترست</v>
      </c>
      <c r="H1482" s="5" t="str">
        <f ca="1">IFERROR(__xludf.DUMMYFUNCTION("""COMPUTED_VALUE"""),"4 برج ابو خلف المسعود - ميدان المسلة الفيوم")</f>
        <v>4 برج ابو خلف المسعود - ميدان المسلة الفيوم</v>
      </c>
      <c r="I1482" s="6" t="str">
        <f ca="1">IFERROR(__xludf.DUMMYFUNCTION("""COMPUTED_VALUE"""),"842145141")</f>
        <v>842145141</v>
      </c>
      <c r="J1482" s="6" t="str">
        <f ca="1">IFERROR(__xludf.DUMMYFUNCTION("""COMPUTED_VALUE"""),"16183")</f>
        <v>16183</v>
      </c>
      <c r="K1482" s="6" t="str">
        <f ca="1">IFERROR(__xludf.DUMMYFUNCTION("""COMPUTED_VALUE"""),"خصم 30% علي الاسعار المعلنة")</f>
        <v>خصم 30% علي الاسعار المعلنة</v>
      </c>
    </row>
    <row r="1483" spans="1:11" x14ac:dyDescent="0.25">
      <c r="A1483" s="4" t="str">
        <f ca="1">IFERROR(__xludf.DUMMYFUNCTION("""COMPUTED_VALUE"""),"105837")</f>
        <v>105837</v>
      </c>
      <c r="B1483" s="5" t="str">
        <f ca="1">IFERROR(__xludf.DUMMYFUNCTION("""COMPUTED_VALUE"""),"الجيزة")</f>
        <v>الجيزة</v>
      </c>
      <c r="C1483" s="5" t="str">
        <f ca="1">IFERROR(__xludf.DUMMYFUNCTION("""COMPUTED_VALUE"""),"الشيخ زايد")</f>
        <v>الشيخ زايد</v>
      </c>
      <c r="D1483" s="5" t="str">
        <f ca="1">IFERROR(__xludf.DUMMYFUNCTION("""COMPUTED_VALUE"""),"مستشفى")</f>
        <v>مستشفى</v>
      </c>
      <c r="E1483" s="5" t="str">
        <f ca="1">IFERROR(__xludf.DUMMYFUNCTION("""COMPUTED_VALUE"""),"مستشفي طبي متكامل")</f>
        <v>مستشفي طبي متكامل</v>
      </c>
      <c r="F1483" s="5" t="str">
        <f ca="1">IFERROR(__xludf.DUMMYFUNCTION("""COMPUTED_VALUE"""),"جميع التخصصات الطبية")</f>
        <v>جميع التخصصات الطبية</v>
      </c>
      <c r="G1483" s="5" t="str">
        <f ca="1">IFERROR(__xludf.DUMMYFUNCTION("""COMPUTED_VALUE"""),"مستشفي الروفيده لصحه المراه والطفل")</f>
        <v>مستشفي الروفيده لصحه المراه والطفل</v>
      </c>
      <c r="H1483" s="5" t="str">
        <f ca="1">IFERROR(__xludf.DUMMYFUNCTION("""COMPUTED_VALUE"""),"27 محور 26 يوليو - الشيخ زايد - الجيزه")</f>
        <v>27 محور 26 يوليو - الشيخ زايد - الجيزه</v>
      </c>
      <c r="I1483" s="6" t="str">
        <f ca="1">IFERROR(__xludf.DUMMYFUNCTION("""COMPUTED_VALUE"""),"0237963131")</f>
        <v>0237963131</v>
      </c>
      <c r="J1483" s="6"/>
      <c r="K1483" s="6" t="str">
        <f ca="1">IFERROR(__xludf.DUMMYFUNCTION("""COMPUTED_VALUE"""),"30% على الكشف ,15% على باقى الخدمات")</f>
        <v>30% على الكشف ,15% على باقى الخدمات</v>
      </c>
    </row>
    <row r="1484" spans="1:11" x14ac:dyDescent="0.25">
      <c r="A1484" s="4" t="str">
        <f ca="1">IFERROR(__xludf.DUMMYFUNCTION("""COMPUTED_VALUE"""),"105148-B")</f>
        <v>105148-B</v>
      </c>
      <c r="B1484" s="5" t="str">
        <f ca="1">IFERROR(__xludf.DUMMYFUNCTION("""COMPUTED_VALUE"""),"القاهرة")</f>
        <v>القاهرة</v>
      </c>
      <c r="C1484" s="5" t="str">
        <f ca="1">IFERROR(__xludf.DUMMYFUNCTION("""COMPUTED_VALUE"""),"شبرا")</f>
        <v>شبرا</v>
      </c>
      <c r="D1484" s="5" t="str">
        <f ca="1">IFERROR(__xludf.DUMMYFUNCTION("""COMPUTED_VALUE"""),"مركز أشعة")</f>
        <v>مركز أشعة</v>
      </c>
      <c r="E1484" s="5" t="str">
        <f ca="1">IFERROR(__xludf.DUMMYFUNCTION("""COMPUTED_VALUE"""),"مركز أشعة")</f>
        <v>مركز أشعة</v>
      </c>
      <c r="F1484" s="5" t="str">
        <f ca="1">IFERROR(__xludf.DUMMYFUNCTION("""COMPUTED_VALUE"""),"مركز الأشعة التشخيصية")</f>
        <v>مركز الأشعة التشخيصية</v>
      </c>
      <c r="G1484" s="5" t="str">
        <f ca="1">IFERROR(__xludf.DUMMYFUNCTION("""COMPUTED_VALUE"""),"البرج سكان ( معامل البرج)")</f>
        <v>البرج سكان ( معامل البرج)</v>
      </c>
      <c r="H1484" s="5" t="str">
        <f ca="1">IFERROR(__xludf.DUMMYFUNCTION("""COMPUTED_VALUE"""),"٥٩ شارع شبرا")</f>
        <v>٥٩ شارع شبرا</v>
      </c>
      <c r="I1484" s="6"/>
      <c r="J1484" s="6" t="str">
        <f ca="1">IFERROR(__xludf.DUMMYFUNCTION("""COMPUTED_VALUE"""),"19911")</f>
        <v>19911</v>
      </c>
      <c r="K1484" s="6" t="str">
        <f ca="1">IFERROR(__xludf.DUMMYFUNCTION("""COMPUTED_VALUE"""),"30% علي الأسعار النقدي المعلنة")</f>
        <v>30% علي الأسعار النقدي المعلنة</v>
      </c>
    </row>
    <row r="1485" spans="1:11" x14ac:dyDescent="0.25">
      <c r="A1485" s="4" t="str">
        <f ca="1">IFERROR(__xludf.DUMMYFUNCTION("""COMPUTED_VALUE"""),"105838")</f>
        <v>105838</v>
      </c>
      <c r="B1485" s="5" t="str">
        <f ca="1">IFERROR(__xludf.DUMMYFUNCTION("""COMPUTED_VALUE"""),"كفر الشيخ")</f>
        <v>كفر الشيخ</v>
      </c>
      <c r="C1485" s="5" t="str">
        <f ca="1">IFERROR(__xludf.DUMMYFUNCTION("""COMPUTED_VALUE"""),"كفر الشيخ")</f>
        <v>كفر الشيخ</v>
      </c>
      <c r="D1485" s="5" t="str">
        <f ca="1">IFERROR(__xludf.DUMMYFUNCTION("""COMPUTED_VALUE"""),"مستشفى")</f>
        <v>مستشفى</v>
      </c>
      <c r="E1485" s="5" t="str">
        <f ca="1">IFERROR(__xludf.DUMMYFUNCTION("""COMPUTED_VALUE"""),"مستشفي طبي متكامل")</f>
        <v>مستشفي طبي متكامل</v>
      </c>
      <c r="F1485" s="5" t="str">
        <f ca="1">IFERROR(__xludf.DUMMYFUNCTION("""COMPUTED_VALUE"""),"جميع التخصصات الطبية")</f>
        <v>جميع التخصصات الطبية</v>
      </c>
      <c r="G1485" s="5" t="str">
        <f ca="1">IFERROR(__xludf.DUMMYFUNCTION("""COMPUTED_VALUE"""),"الرحمه لاقامه وتشغيل المستشفيات")</f>
        <v>الرحمه لاقامه وتشغيل المستشفيات</v>
      </c>
      <c r="H1485" s="5" t="str">
        <f ca="1">IFERROR(__xludf.DUMMYFUNCTION("""COMPUTED_VALUE"""),"شارع مسجد الرحمه - كفر الشيخ")</f>
        <v>شارع مسجد الرحمه - كفر الشيخ</v>
      </c>
      <c r="I1485" s="6" t="str">
        <f ca="1">IFERROR(__xludf.DUMMYFUNCTION("""COMPUTED_VALUE"""),"0473158646")</f>
        <v>0473158646</v>
      </c>
      <c r="J1485" s="6"/>
      <c r="K1485" s="6" t="str">
        <f ca="1">IFERROR(__xludf.DUMMYFUNCTION("""COMPUTED_VALUE"""),"نسبة الخصم 10%")</f>
        <v>نسبة الخصم 10%</v>
      </c>
    </row>
    <row r="1486" spans="1:11" x14ac:dyDescent="0.25">
      <c r="A1486" s="4" t="str">
        <f ca="1">IFERROR(__xludf.DUMMYFUNCTION("""COMPUTED_VALUE"""),"105840")</f>
        <v>105840</v>
      </c>
      <c r="B1486" s="5" t="str">
        <f ca="1">IFERROR(__xludf.DUMMYFUNCTION("""COMPUTED_VALUE"""),"شمال سيناء")</f>
        <v>شمال سيناء</v>
      </c>
      <c r="C1486" s="5" t="str">
        <f ca="1">IFERROR(__xludf.DUMMYFUNCTION("""COMPUTED_VALUE"""),"العريش")</f>
        <v>العريش</v>
      </c>
      <c r="D1486" s="5" t="str">
        <f ca="1">IFERROR(__xludf.DUMMYFUNCTION("""COMPUTED_VALUE"""),"هيئة الأطباء")</f>
        <v>هيئة الأطباء</v>
      </c>
      <c r="E1486" s="5" t="str">
        <f ca="1">IFERROR(__xludf.DUMMYFUNCTION("""COMPUTED_VALUE"""),"اسنان")</f>
        <v>اسنان</v>
      </c>
      <c r="F1486" s="5" t="str">
        <f ca="1">IFERROR(__xludf.DUMMYFUNCTION("""COMPUTED_VALUE"""),"جراحة الفم والأسنان")</f>
        <v>جراحة الفم والأسنان</v>
      </c>
      <c r="G1486" s="5" t="str">
        <f ca="1">IFERROR(__xludf.DUMMYFUNCTION("""COMPUTED_VALUE"""),"د/ شريف عبدالفتاح شاهين منسي")</f>
        <v>د/ شريف عبدالفتاح شاهين منسي</v>
      </c>
      <c r="H1486" s="5" t="str">
        <f ca="1">IFERROR(__xludf.DUMMYFUNCTION("""COMPUTED_VALUE"""),"شارع 23 يوليو - بجوار البنك العقاري- العريش - شمال سيناء")</f>
        <v>شارع 23 يوليو - بجوار البنك العقاري- العريش - شمال سيناء</v>
      </c>
      <c r="I1486" s="6" t="str">
        <f ca="1">IFERROR(__xludf.DUMMYFUNCTION("""COMPUTED_VALUE"""),"01200377830")</f>
        <v>01200377830</v>
      </c>
      <c r="J1486" s="6"/>
      <c r="K1486" s="6" t="str">
        <f ca="1">IFERROR(__xludf.DUMMYFUNCTION("""COMPUTED_VALUE"""),"الكشف : 70 , نقابه .2017")</f>
        <v>الكشف : 70 , نقابه .2017</v>
      </c>
    </row>
    <row r="1487" spans="1:11" x14ac:dyDescent="0.25">
      <c r="A1487" s="4" t="str">
        <f ca="1">IFERROR(__xludf.DUMMYFUNCTION("""COMPUTED_VALUE"""),"105841")</f>
        <v>105841</v>
      </c>
      <c r="B1487" s="5" t="str">
        <f ca="1">IFERROR(__xludf.DUMMYFUNCTION("""COMPUTED_VALUE"""),"دمياط")</f>
        <v>دمياط</v>
      </c>
      <c r="C1487" s="5" t="str">
        <f ca="1">IFERROR(__xludf.DUMMYFUNCTION("""COMPUTED_VALUE"""),"الزرقا")</f>
        <v>الزرقا</v>
      </c>
      <c r="D1487" s="5" t="str">
        <f ca="1">IFERROR(__xludf.DUMMYFUNCTION("""COMPUTED_VALUE"""),"مركز علاج طبيعي")</f>
        <v>مركز علاج طبيعي</v>
      </c>
      <c r="E1487" s="5" t="str">
        <f ca="1">IFERROR(__xludf.DUMMYFUNCTION("""COMPUTED_VALUE"""),"علاج طبيعي")</f>
        <v>علاج طبيعي</v>
      </c>
      <c r="F1487" s="5" t="str">
        <f ca="1">IFERROR(__xludf.DUMMYFUNCTION("""COMPUTED_VALUE"""),"جلسات العلاج الطبيعي")</f>
        <v>جلسات العلاج الطبيعي</v>
      </c>
      <c r="G1487" s="5" t="str">
        <f ca="1">IFERROR(__xludf.DUMMYFUNCTION("""COMPUTED_VALUE"""),"د/ محمد عبدالفتاح زكريا عبده الدمياطي ( مركز الدمياطي الجديد للعلاج الطبيعي )")</f>
        <v>د/ محمد عبدالفتاح زكريا عبده الدمياطي ( مركز الدمياطي الجديد للعلاج الطبيعي )</v>
      </c>
      <c r="H1487" s="5" t="str">
        <f ca="1">IFERROR(__xludf.DUMMYFUNCTION("""COMPUTED_VALUE"""),"ميت الخولي عبدالله- بجوار مسجد الشيخ عبالله - الزرقا - دمياط")</f>
        <v>ميت الخولي عبدالله- بجوار مسجد الشيخ عبالله - الزرقا - دمياط</v>
      </c>
      <c r="I1487" s="6" t="str">
        <f ca="1">IFERROR(__xludf.DUMMYFUNCTION("""COMPUTED_VALUE"""),"01205894724")</f>
        <v>01205894724</v>
      </c>
      <c r="J1487" s="6"/>
      <c r="K1487" s="6" t="str">
        <f ca="1">IFERROR(__xludf.DUMMYFUNCTION("""COMPUTED_VALUE"""),"عضو واحد: 50 , عضوين: 70 , اكثر من عضوين: 90")</f>
        <v>عضو واحد: 50 , عضوين: 70 , اكثر من عضوين: 90</v>
      </c>
    </row>
    <row r="1488" spans="1:11" x14ac:dyDescent="0.25">
      <c r="A1488" s="4" t="str">
        <f ca="1">IFERROR(__xludf.DUMMYFUNCTION("""COMPUTED_VALUE"""),"105843")</f>
        <v>105843</v>
      </c>
      <c r="B1488" s="5" t="str">
        <f ca="1">IFERROR(__xludf.DUMMYFUNCTION("""COMPUTED_VALUE"""),"الدقهلية")</f>
        <v>الدقهلية</v>
      </c>
      <c r="C1488" s="5" t="str">
        <f ca="1">IFERROR(__xludf.DUMMYFUNCTION("""COMPUTED_VALUE"""),"بلقاس")</f>
        <v>بلقاس</v>
      </c>
      <c r="D1488" s="5" t="str">
        <f ca="1">IFERROR(__xludf.DUMMYFUNCTION("""COMPUTED_VALUE"""),"مجمع عيادات")</f>
        <v>مجمع عيادات</v>
      </c>
      <c r="E1488" s="5" t="str">
        <f ca="1">IFERROR(__xludf.DUMMYFUNCTION("""COMPUTED_VALUE"""),"جميع التخصصات")</f>
        <v>جميع التخصصات</v>
      </c>
      <c r="F1488" s="5" t="str">
        <f ca="1">IFERROR(__xludf.DUMMYFUNCTION("""COMPUTED_VALUE"""),"جميع التخصصات الطبية")</f>
        <v>جميع التخصصات الطبية</v>
      </c>
      <c r="G1488" s="5" t="str">
        <f ca="1">IFERROR(__xludf.DUMMYFUNCTION("""COMPUTED_VALUE"""),"د/ مها مجدي متولي السيد ( عيادات طعيمه التخصصيه )")</f>
        <v>د/ مها مجدي متولي السيد ( عيادات طعيمه التخصصيه )</v>
      </c>
      <c r="H1488" s="5" t="str">
        <f ca="1">IFERROR(__xludf.DUMMYFUNCTION("""COMPUTED_VALUE"""),"برج الجوهره - ميدان اولاد عمر - بلقاس - الدقهليه")</f>
        <v>برج الجوهره - ميدان اولاد عمر - بلقاس - الدقهليه</v>
      </c>
      <c r="I1488" s="6" t="str">
        <f ca="1">IFERROR(__xludf.DUMMYFUNCTION("""COMPUTED_VALUE"""),"01550370003")</f>
        <v>01550370003</v>
      </c>
      <c r="J1488" s="6"/>
      <c r="K1488" s="6" t="str">
        <f ca="1">IFERROR(__xludf.DUMMYFUNCTION("""COMPUTED_VALUE"""),"Cons:40 LE , other services CCO.2017")</f>
        <v>Cons:40 LE , other services CCO.2017</v>
      </c>
    </row>
    <row r="1489" spans="1:11" x14ac:dyDescent="0.25">
      <c r="A1489" s="4" t="str">
        <f ca="1">IFERROR(__xludf.DUMMYFUNCTION("""COMPUTED_VALUE"""),"105844")</f>
        <v>105844</v>
      </c>
      <c r="B1489" s="5" t="str">
        <f ca="1">IFERROR(__xludf.DUMMYFUNCTION("""COMPUTED_VALUE"""),"بني سويف")</f>
        <v>بني سويف</v>
      </c>
      <c r="C1489" s="5" t="str">
        <f ca="1">IFERROR(__xludf.DUMMYFUNCTION("""COMPUTED_VALUE"""),"بني سويف")</f>
        <v>بني سويف</v>
      </c>
      <c r="D1489" s="5" t="str">
        <f ca="1">IFERROR(__xludf.DUMMYFUNCTION("""COMPUTED_VALUE"""),"هيئة الأطباء")</f>
        <v>هيئة الأطباء</v>
      </c>
      <c r="E1489" s="5" t="str">
        <f ca="1">IFERROR(__xludf.DUMMYFUNCTION("""COMPUTED_VALUE"""),"جراحة")</f>
        <v>جراحة</v>
      </c>
      <c r="F1489" s="5" t="str">
        <f ca="1">IFERROR(__xludf.DUMMYFUNCTION("""COMPUTED_VALUE"""),"جراحة مسالك بولية وتناسلية")</f>
        <v>جراحة مسالك بولية وتناسلية</v>
      </c>
      <c r="G1489" s="5" t="str">
        <f ca="1">IFERROR(__xludf.DUMMYFUNCTION("""COMPUTED_VALUE"""),"د/ اسامه محمود محمد عبدالله")</f>
        <v>د/ اسامه محمود محمد عبدالله</v>
      </c>
      <c r="H1489" s="5" t="str">
        <f ca="1">IFERROR(__xludf.DUMMYFUNCTION("""COMPUTED_VALUE"""),"شارع عبدالسلام عارف - برج ماكدونالز - بني سويف")</f>
        <v>شارع عبدالسلام عارف - برج ماكدونالز - بني سويف</v>
      </c>
      <c r="I1489" s="6" t="str">
        <f ca="1">IFERROR(__xludf.DUMMYFUNCTION("""COMPUTED_VALUE"""),"01150970548")</f>
        <v>01150970548</v>
      </c>
      <c r="J1489" s="6"/>
      <c r="K1489" s="6" t="str">
        <f ca="1">IFERROR(__xludf.DUMMYFUNCTION("""COMPUTED_VALUE"""),"Cons: 90 LE, other services MS.2017")</f>
        <v>Cons: 90 LE, other services MS.2017</v>
      </c>
    </row>
    <row r="1490" spans="1:11" x14ac:dyDescent="0.25">
      <c r="A1490" s="4" t="str">
        <f ca="1">IFERROR(__xludf.DUMMYFUNCTION("""COMPUTED_VALUE"""),"105845")</f>
        <v>105845</v>
      </c>
      <c r="B1490" s="5" t="str">
        <f ca="1">IFERROR(__xludf.DUMMYFUNCTION("""COMPUTED_VALUE"""),"الغربية")</f>
        <v>الغربية</v>
      </c>
      <c r="C1490" s="5" t="str">
        <f ca="1">IFERROR(__xludf.DUMMYFUNCTION("""COMPUTED_VALUE"""),"طنطا")</f>
        <v>طنطا</v>
      </c>
      <c r="D1490" s="5" t="str">
        <f ca="1">IFERROR(__xludf.DUMMYFUNCTION("""COMPUTED_VALUE"""),"مجمع عيادات")</f>
        <v>مجمع عيادات</v>
      </c>
      <c r="E1490" s="5" t="str">
        <f ca="1">IFERROR(__xludf.DUMMYFUNCTION("""COMPUTED_VALUE"""),"جميع التخصصات")</f>
        <v>جميع التخصصات</v>
      </c>
      <c r="F1490" s="5" t="str">
        <f ca="1">IFERROR(__xludf.DUMMYFUNCTION("""COMPUTED_VALUE"""),"جميع التخصصات الطبية")</f>
        <v>جميع التخصصات الطبية</v>
      </c>
      <c r="G1490" s="5" t="str">
        <f ca="1">IFERROR(__xludf.DUMMYFUNCTION("""COMPUTED_VALUE"""),"د/ محمد علي اسماعيل الشرقاوي وشركاه ( عيادات ميديكيت التخصصيه )")</f>
        <v>د/ محمد علي اسماعيل الشرقاوي وشركاه ( عيادات ميديكيت التخصصيه )</v>
      </c>
      <c r="H1490" s="5" t="str">
        <f ca="1">IFERROR(__xludf.DUMMYFUNCTION("""COMPUTED_VALUE"""),"9 تقاطع شارع المعتصم مع حسان بن ثابت - طنطا - الغربيه")</f>
        <v>9 تقاطع شارع المعتصم مع حسان بن ثابت - طنطا - الغربيه</v>
      </c>
      <c r="I1490" s="6" t="str">
        <f ca="1">IFERROR(__xludf.DUMMYFUNCTION("""COMPUTED_VALUE"""),"01226777710")</f>
        <v>01226777710</v>
      </c>
      <c r="J1490" s="6"/>
      <c r="K1490" s="6" t="str">
        <f ca="1">IFERROR(__xludf.DUMMYFUNCTION("""COMPUTED_VALUE"""),"الكشف : 75 , المؤسسه العلاجيه.2017")</f>
        <v>الكشف : 75 , المؤسسه العلاجيه.2017</v>
      </c>
    </row>
    <row r="1491" spans="1:11" x14ac:dyDescent="0.25">
      <c r="A1491" s="4" t="str">
        <f ca="1">IFERROR(__xludf.DUMMYFUNCTION("""COMPUTED_VALUE"""),"105848")</f>
        <v>105848</v>
      </c>
      <c r="B1491" s="5" t="str">
        <f ca="1">IFERROR(__xludf.DUMMYFUNCTION("""COMPUTED_VALUE"""),"قنا")</f>
        <v>قنا</v>
      </c>
      <c r="C1491" s="5" t="str">
        <f ca="1">IFERROR(__xludf.DUMMYFUNCTION("""COMPUTED_VALUE"""),"نقادة")</f>
        <v>نقادة</v>
      </c>
      <c r="D1491" s="5" t="str">
        <f ca="1">IFERROR(__xludf.DUMMYFUNCTION("""COMPUTED_VALUE"""),"هيئة الأطباء")</f>
        <v>هيئة الأطباء</v>
      </c>
      <c r="E1491" s="5" t="str">
        <f ca="1">IFERROR(__xludf.DUMMYFUNCTION("""COMPUTED_VALUE"""),"باطنة")</f>
        <v>باطنة</v>
      </c>
      <c r="F1491" s="5" t="str">
        <f ca="1">IFERROR(__xludf.DUMMYFUNCTION("""COMPUTED_VALUE"""),"قلب واوعية دموية")</f>
        <v>قلب واوعية دموية</v>
      </c>
      <c r="G1491" s="5" t="str">
        <f ca="1">IFERROR(__xludf.DUMMYFUNCTION("""COMPUTED_VALUE"""),"د/ ايليا هرفي مكسيموس عبيد")</f>
        <v>د/ ايليا هرفي مكسيموس عبيد</v>
      </c>
      <c r="H1491" s="5" t="str">
        <f ca="1">IFERROR(__xludf.DUMMYFUNCTION("""COMPUTED_VALUE"""),"شارع عرابي - نقاده - قنا ")</f>
        <v xml:space="preserve">شارع عرابي - نقاده - قنا </v>
      </c>
      <c r="I1491" s="6" t="str">
        <f ca="1">IFERROR(__xludf.DUMMYFUNCTION("""COMPUTED_VALUE"""),"01017270655")</f>
        <v>01017270655</v>
      </c>
      <c r="J1491" s="6"/>
      <c r="K1491" s="6" t="str">
        <f ca="1">IFERROR(__xludf.DUMMYFUNCTION("""COMPUTED_VALUE"""),"الكشف.40 , رسم قلب 20 جنية")</f>
        <v>الكشف.40 , رسم قلب 20 جنية</v>
      </c>
    </row>
    <row r="1492" spans="1:11" x14ac:dyDescent="0.25">
      <c r="A1492" s="4" t="str">
        <f ca="1">IFERROR(__xludf.DUMMYFUNCTION("""COMPUTED_VALUE"""),"105850")</f>
        <v>105850</v>
      </c>
      <c r="B1492" s="5" t="str">
        <f ca="1">IFERROR(__xludf.DUMMYFUNCTION("""COMPUTED_VALUE"""),"المنيا")</f>
        <v>المنيا</v>
      </c>
      <c r="C1492" s="5" t="str">
        <f ca="1">IFERROR(__xludf.DUMMYFUNCTION("""COMPUTED_VALUE"""),"المنيا")</f>
        <v>المنيا</v>
      </c>
      <c r="D1492" s="5" t="str">
        <f ca="1">IFERROR(__xludf.DUMMYFUNCTION("""COMPUTED_VALUE"""),"مركز علاج طبيعي")</f>
        <v>مركز علاج طبيعي</v>
      </c>
      <c r="E1492" s="5" t="str">
        <f ca="1">IFERROR(__xludf.DUMMYFUNCTION("""COMPUTED_VALUE"""),"علاج طبيعي")</f>
        <v>علاج طبيعي</v>
      </c>
      <c r="F1492" s="5" t="str">
        <f ca="1">IFERROR(__xludf.DUMMYFUNCTION("""COMPUTED_VALUE"""),"جلسات العلاج الطبيعي")</f>
        <v>جلسات العلاج الطبيعي</v>
      </c>
      <c r="G1492" s="5" t="str">
        <f ca="1">IFERROR(__xludf.DUMMYFUNCTION("""COMPUTED_VALUE"""),"د/ احمد عارف احمد حسين ( مركز نور الصباح للعلاج الطبيعي )")</f>
        <v>د/ احمد عارف احمد حسين ( مركز نور الصباح للعلاج الطبيعي )</v>
      </c>
      <c r="H1492" s="5" t="str">
        <f ca="1">IFERROR(__xludf.DUMMYFUNCTION("""COMPUTED_VALUE"""),"84 شارع عدنان المالكي - بجوار شركه المياه - ارض سلطان - المنيا")</f>
        <v>84 شارع عدنان المالكي - بجوار شركه المياه - ارض سلطان - المنيا</v>
      </c>
      <c r="I1492" s="6" t="str">
        <f ca="1">IFERROR(__xludf.DUMMYFUNCTION("""COMPUTED_VALUE"""),"01004034947")</f>
        <v>01004034947</v>
      </c>
      <c r="J1492" s="6"/>
      <c r="K1492" s="6" t="str">
        <f ca="1">IFERROR(__xludf.DUMMYFUNCTION("""COMPUTED_VALUE"""),"عضو واحد: 50 , عضوين: 70 , اكثر من عضوين: 90")</f>
        <v>عضو واحد: 50 , عضوين: 70 , اكثر من عضوين: 90</v>
      </c>
    </row>
    <row r="1493" spans="1:11" x14ac:dyDescent="0.25">
      <c r="A1493" s="4" t="str">
        <f ca="1">IFERROR(__xludf.DUMMYFUNCTION("""COMPUTED_VALUE"""),"105350")</f>
        <v>105350</v>
      </c>
      <c r="B1493" s="5" t="str">
        <f ca="1">IFERROR(__xludf.DUMMYFUNCTION("""COMPUTED_VALUE"""),"القاهرة")</f>
        <v>القاهرة</v>
      </c>
      <c r="C1493" s="5" t="str">
        <f ca="1">IFERROR(__xludf.DUMMYFUNCTION("""COMPUTED_VALUE"""),"المنيل")</f>
        <v>المنيل</v>
      </c>
      <c r="D1493" s="5" t="str">
        <f ca="1">IFERROR(__xludf.DUMMYFUNCTION("""COMPUTED_VALUE"""),"صيدلية")</f>
        <v>صيدلية</v>
      </c>
      <c r="E1493" s="5" t="str">
        <f ca="1">IFERROR(__xludf.DUMMYFUNCTION("""COMPUTED_VALUE"""),"صيدلية")</f>
        <v>صيدلية</v>
      </c>
      <c r="F1493" s="5" t="str">
        <f ca="1">IFERROR(__xludf.DUMMYFUNCTION("""COMPUTED_VALUE"""),"صيدلية (أدوية ومستلزمات طبية)")</f>
        <v>صيدلية (أدوية ومستلزمات طبية)</v>
      </c>
      <c r="G1493" s="5" t="str">
        <f ca="1">IFERROR(__xludf.DUMMYFUNCTION("""COMPUTED_VALUE"""),"صيدليات صحة أهل مصر")</f>
        <v>صيدليات صحة أهل مصر</v>
      </c>
      <c r="H1493" s="5" t="str">
        <f ca="1">IFERROR(__xludf.DUMMYFUNCTION("""COMPUTED_VALUE"""),"٢٧ شارع قلعة الروضة المنيل")</f>
        <v>٢٧ شارع قلعة الروضة المنيل</v>
      </c>
      <c r="I1493" s="6" t="str">
        <f ca="1">IFERROR(__xludf.DUMMYFUNCTION("""COMPUTED_VALUE"""),"223644931")</f>
        <v>223644931</v>
      </c>
      <c r="J1493" s="6"/>
      <c r="K1493" s="6" t="str">
        <f ca="1">IFERROR(__xludf.DUMMYFUNCTION("""COMPUTED_VALUE"""),"10% على المحلى ,5% على المسورد")</f>
        <v>10% على المحلى ,5% على المسورد</v>
      </c>
    </row>
    <row r="1494" spans="1:11" x14ac:dyDescent="0.25">
      <c r="A1494" s="4" t="str">
        <f ca="1">IFERROR(__xludf.DUMMYFUNCTION("""COMPUTED_VALUE"""),"105852")</f>
        <v>105852</v>
      </c>
      <c r="B1494" s="5" t="str">
        <f ca="1">IFERROR(__xludf.DUMMYFUNCTION("""COMPUTED_VALUE"""),"المنيا")</f>
        <v>المنيا</v>
      </c>
      <c r="C1494" s="5" t="str">
        <f ca="1">IFERROR(__xludf.DUMMYFUNCTION("""COMPUTED_VALUE"""),"سمالوط")</f>
        <v>سمالوط</v>
      </c>
      <c r="D1494" s="5" t="str">
        <f ca="1">IFERROR(__xludf.DUMMYFUNCTION("""COMPUTED_VALUE"""),"هيئة الأطباء")</f>
        <v>هيئة الأطباء</v>
      </c>
      <c r="E1494" s="5" t="str">
        <f ca="1">IFERROR(__xludf.DUMMYFUNCTION("""COMPUTED_VALUE"""),"اسنان")</f>
        <v>اسنان</v>
      </c>
      <c r="F1494" s="5" t="str">
        <f ca="1">IFERROR(__xludf.DUMMYFUNCTION("""COMPUTED_VALUE"""),"جراحة الفم والأسنان")</f>
        <v>جراحة الفم والأسنان</v>
      </c>
      <c r="G1494" s="5" t="str">
        <f ca="1">IFERROR(__xludf.DUMMYFUNCTION("""COMPUTED_VALUE"""),"د/ احمد ناجي ابراهيم محمد")</f>
        <v>د/ احمد ناجي ابراهيم محمد</v>
      </c>
      <c r="H1494" s="5" t="str">
        <f ca="1">IFERROR(__xludf.DUMMYFUNCTION("""COMPUTED_VALUE"""),"شارع ناصر - بجوار مسجد  ابو رجب - معصره سمالوط - المنيا")</f>
        <v>شارع ناصر - بجوار مسجد  ابو رجب - معصره سمالوط - المنيا</v>
      </c>
      <c r="I1494" s="6" t="str">
        <f ca="1">IFERROR(__xludf.DUMMYFUNCTION("""COMPUTED_VALUE"""),"01020103121")</f>
        <v>01020103121</v>
      </c>
      <c r="J1494" s="6"/>
      <c r="K1494" s="6" t="str">
        <f ca="1">IFERROR(__xludf.DUMMYFUNCTION("""COMPUTED_VALUE"""),"الكشف : 40 , نقابه .2017")</f>
        <v>الكشف : 40 , نقابه .2017</v>
      </c>
    </row>
    <row r="1495" spans="1:11" x14ac:dyDescent="0.25">
      <c r="A1495" s="4" t="str">
        <f ca="1">IFERROR(__xludf.DUMMYFUNCTION("""COMPUTED_VALUE"""),"105853")</f>
        <v>105853</v>
      </c>
      <c r="B1495" s="5" t="str">
        <f ca="1">IFERROR(__xludf.DUMMYFUNCTION("""COMPUTED_VALUE"""),"القاهرة")</f>
        <v>القاهرة</v>
      </c>
      <c r="C1495" s="5" t="str">
        <f ca="1">IFERROR(__xludf.DUMMYFUNCTION("""COMPUTED_VALUE"""),"المعادى")</f>
        <v>المعادى</v>
      </c>
      <c r="D1495" s="5" t="str">
        <f ca="1">IFERROR(__xludf.DUMMYFUNCTION("""COMPUTED_VALUE"""),"هيئة الأطباء")</f>
        <v>هيئة الأطباء</v>
      </c>
      <c r="E1495" s="5" t="str">
        <f ca="1">IFERROR(__xludf.DUMMYFUNCTION("""COMPUTED_VALUE"""),"باطنة")</f>
        <v>باطنة</v>
      </c>
      <c r="F1495" s="5" t="str">
        <f ca="1">IFERROR(__xludf.DUMMYFUNCTION("""COMPUTED_VALUE"""),"قلب واوعية دموية")</f>
        <v>قلب واوعية دموية</v>
      </c>
      <c r="G1495" s="5" t="str">
        <f ca="1">IFERROR(__xludf.DUMMYFUNCTION("""COMPUTED_VALUE"""),"د/ عمرو محمد امام محمد")</f>
        <v>د/ عمرو محمد امام محمد</v>
      </c>
      <c r="H1495" s="5" t="str">
        <f ca="1">IFERROR(__xludf.DUMMYFUNCTION("""COMPUTED_VALUE"""),"61 شارع المحطه عماره زهران - شارع 9 المعادي")</f>
        <v>61 شارع المحطه عماره زهران - شارع 9 المعادي</v>
      </c>
      <c r="I1495" s="6" t="str">
        <f ca="1">IFERROR(__xludf.DUMMYFUNCTION("""COMPUTED_VALUE"""),"01146121244")</f>
        <v>01146121244</v>
      </c>
      <c r="J1495" s="6"/>
      <c r="K1495" s="6" t="str">
        <f ca="1">IFERROR(__xludf.DUMMYFUNCTION("""COMPUTED_VALUE"""),"Cons: 70 LE, other services MS.2017")</f>
        <v>Cons: 70 LE, other services MS.2017</v>
      </c>
    </row>
    <row r="1496" spans="1:11" x14ac:dyDescent="0.25">
      <c r="A1496" s="4" t="str">
        <f ca="1">IFERROR(__xludf.DUMMYFUNCTION("""COMPUTED_VALUE"""),"105919")</f>
        <v>105919</v>
      </c>
      <c r="B1496" s="5" t="str">
        <f ca="1">IFERROR(__xludf.DUMMYFUNCTION("""COMPUTED_VALUE"""),"البحيرة")</f>
        <v>البحيرة</v>
      </c>
      <c r="C1496" s="5" t="str">
        <f ca="1">IFERROR(__xludf.DUMMYFUNCTION("""COMPUTED_VALUE"""),"كوم حمادة")</f>
        <v>كوم حمادة</v>
      </c>
      <c r="D1496" s="5" t="str">
        <f ca="1">IFERROR(__xludf.DUMMYFUNCTION("""COMPUTED_VALUE"""),"هيئة الأطباء")</f>
        <v>هيئة الأطباء</v>
      </c>
      <c r="E1496" s="5" t="str">
        <f ca="1">IFERROR(__xludf.DUMMYFUNCTION("""COMPUTED_VALUE"""),"اسنان")</f>
        <v>اسنان</v>
      </c>
      <c r="F1496" s="5" t="str">
        <f ca="1">IFERROR(__xludf.DUMMYFUNCTION("""COMPUTED_VALUE"""),"جراحة الفم والأسنان")</f>
        <v>جراحة الفم والأسنان</v>
      </c>
      <c r="G1496" s="5" t="str">
        <f ca="1">IFERROR(__xludf.DUMMYFUNCTION("""COMPUTED_VALUE"""),"د/ اسلام احمد محمود رشوان")</f>
        <v>د/ اسلام احمد محمود رشوان</v>
      </c>
      <c r="H1496" s="5" t="str">
        <f ca="1">IFERROR(__xludf.DUMMYFUNCTION("""COMPUTED_VALUE"""),"شارع الخلفاء الراشدين - بجوار مستشفي المواساه - كوم حماده - البحيره")</f>
        <v>شارع الخلفاء الراشدين - بجوار مستشفي المواساه - كوم حماده - البحيره</v>
      </c>
      <c r="I1496" s="6" t="str">
        <f ca="1">IFERROR(__xludf.DUMMYFUNCTION("""COMPUTED_VALUE"""),"01002289792")</f>
        <v>01002289792</v>
      </c>
      <c r="J1496" s="6"/>
      <c r="K1496" s="6" t="str">
        <f ca="1">IFERROR(__xludf.DUMMYFUNCTION("""COMPUTED_VALUE"""),"خصم 30%علي الأسعار النقدي المعلنة")</f>
        <v>خصم 30%علي الأسعار النقدي المعلنة</v>
      </c>
    </row>
    <row r="1497" spans="1:11" x14ac:dyDescent="0.25">
      <c r="A1497" s="4" t="str">
        <f ca="1">IFERROR(__xludf.DUMMYFUNCTION("""COMPUTED_VALUE"""),"105920")</f>
        <v>105920</v>
      </c>
      <c r="B1497" s="5" t="str">
        <f ca="1">IFERROR(__xludf.DUMMYFUNCTION("""COMPUTED_VALUE"""),"الإسماعيلية")</f>
        <v>الإسماعيلية</v>
      </c>
      <c r="C1497" s="5" t="str">
        <f ca="1">IFERROR(__xludf.DUMMYFUNCTION("""COMPUTED_VALUE"""),"الإسماعيلية")</f>
        <v>الإسماعيلية</v>
      </c>
      <c r="D1497" s="5" t="str">
        <f ca="1">IFERROR(__xludf.DUMMYFUNCTION("""COMPUTED_VALUE"""),"مستشفى")</f>
        <v>مستشفى</v>
      </c>
      <c r="E1497" s="5" t="str">
        <f ca="1">IFERROR(__xludf.DUMMYFUNCTION("""COMPUTED_VALUE"""),"مستشفي طبي متكامل")</f>
        <v>مستشفي طبي متكامل</v>
      </c>
      <c r="F1497" s="5" t="str">
        <f ca="1">IFERROR(__xludf.DUMMYFUNCTION("""COMPUTED_VALUE"""),"جميع التخصصات الطبية")</f>
        <v>جميع التخصصات الطبية</v>
      </c>
      <c r="G1497" s="5" t="str">
        <f ca="1">IFERROR(__xludf.DUMMYFUNCTION("""COMPUTED_VALUE"""),"مركز الاسماعليه للاصابات والجراحات التخصصيه ( مستشفي هاله ابو زيد )")</f>
        <v>مركز الاسماعليه للاصابات والجراحات التخصصيه ( مستشفي هاله ابو زيد )</v>
      </c>
      <c r="H1497" s="5" t="str">
        <f ca="1">IFERROR(__xludf.DUMMYFUNCTION("""COMPUTED_VALUE"""),"امام مستشفي الجامعه - بجوار مدرسه التكنولوجيا - الشيخ زايد - الاسماعليه")</f>
        <v>امام مستشفي الجامعه - بجوار مدرسه التكنولوجيا - الشيخ زايد - الاسماعليه</v>
      </c>
      <c r="I1497" s="6" t="str">
        <f ca="1">IFERROR(__xludf.DUMMYFUNCTION("""COMPUTED_VALUE"""),"0643206400")</f>
        <v>0643206400</v>
      </c>
      <c r="J1497" s="6"/>
      <c r="K1497" s="6" t="str">
        <f ca="1">IFERROR(__xludf.DUMMYFUNCTION("""COMPUTED_VALUE"""),"خصم 25% علي الكشوفات ، 15% علي العيادات الداخليه والخارجيه والعمليات ، ماعد الادويه والمستلزمات والمناظير واجر الجراح والتخدير و ايجارات الاجهزه ، علي الاسعار النقدي المعلنه 
")</f>
        <v xml:space="preserve">خصم 25% علي الكشوفات ، 15% علي العيادات الداخليه والخارجيه والعمليات ، ماعد الادويه والمستلزمات والمناظير واجر الجراح والتخدير و ايجارات الاجهزه ، علي الاسعار النقدي المعلنه 
</v>
      </c>
    </row>
    <row r="1498" spans="1:11" x14ac:dyDescent="0.25">
      <c r="A1498" s="4" t="str">
        <f ca="1">IFERROR(__xludf.DUMMYFUNCTION("""COMPUTED_VALUE"""),"105923")</f>
        <v>105923</v>
      </c>
      <c r="B1498" s="5" t="str">
        <f ca="1">IFERROR(__xludf.DUMMYFUNCTION("""COMPUTED_VALUE"""),"أسوان")</f>
        <v>أسوان</v>
      </c>
      <c r="C1498" s="5" t="str">
        <f ca="1">IFERROR(__xludf.DUMMYFUNCTION("""COMPUTED_VALUE"""),"أسوان")</f>
        <v>أسوان</v>
      </c>
      <c r="D1498" s="5" t="str">
        <f ca="1">IFERROR(__xludf.DUMMYFUNCTION("""COMPUTED_VALUE"""),"مركز علاج طبيعي")</f>
        <v>مركز علاج طبيعي</v>
      </c>
      <c r="E1498" s="5" t="str">
        <f ca="1">IFERROR(__xludf.DUMMYFUNCTION("""COMPUTED_VALUE"""),"علاج طبيعي")</f>
        <v>علاج طبيعي</v>
      </c>
      <c r="F1498" s="5" t="str">
        <f ca="1">IFERROR(__xludf.DUMMYFUNCTION("""COMPUTED_VALUE"""),"جلسات العلاج الطبيعي")</f>
        <v>جلسات العلاج الطبيعي</v>
      </c>
      <c r="G1498" s="5" t="str">
        <f ca="1">IFERROR(__xludf.DUMMYFUNCTION("""COMPUTED_VALUE"""),"د/ انجي ميخائيل ديمتري ميخائيل ( مركز دار الراعي للعلاج الطبيعي )")</f>
        <v>د/ انجي ميخائيل ديمتري ميخائيل ( مركز دار الراعي للعلاج الطبيعي )</v>
      </c>
      <c r="H1498" s="5" t="str">
        <f ca="1">IFERROR(__xludf.DUMMYFUNCTION("""COMPUTED_VALUE"""),"طريق السادات - خلف المساهمه وبزار الرفاعي القديم - اسوان")</f>
        <v>طريق السادات - خلف المساهمه وبزار الرفاعي القديم - اسوان</v>
      </c>
      <c r="I1498" s="6" t="str">
        <f ca="1">IFERROR(__xludf.DUMMYFUNCTION("""COMPUTED_VALUE"""),"01229824987")</f>
        <v>01229824987</v>
      </c>
      <c r="J1498" s="6"/>
      <c r="K1498" s="6" t="str">
        <f ca="1">IFERROR(__xludf.DUMMYFUNCTION("""COMPUTED_VALUE"""),"15% علي كل الخدمات")</f>
        <v>15% علي كل الخدمات</v>
      </c>
    </row>
    <row r="1499" spans="1:11" x14ac:dyDescent="0.25">
      <c r="A1499" s="4" t="str">
        <f ca="1">IFERROR(__xludf.DUMMYFUNCTION("""COMPUTED_VALUE"""),"105924")</f>
        <v>105924</v>
      </c>
      <c r="B1499" s="5" t="str">
        <f ca="1">IFERROR(__xludf.DUMMYFUNCTION("""COMPUTED_VALUE"""),"بني سويف")</f>
        <v>بني سويف</v>
      </c>
      <c r="C1499" s="5" t="str">
        <f ca="1">IFERROR(__xludf.DUMMYFUNCTION("""COMPUTED_VALUE"""),"بني سويف")</f>
        <v>بني سويف</v>
      </c>
      <c r="D1499" s="5" t="str">
        <f ca="1">IFERROR(__xludf.DUMMYFUNCTION("""COMPUTED_VALUE"""),"هيئة الأطباء")</f>
        <v>هيئة الأطباء</v>
      </c>
      <c r="E1499" s="5" t="str">
        <f ca="1">IFERROR(__xludf.DUMMYFUNCTION("""COMPUTED_VALUE"""),"اسنان")</f>
        <v>اسنان</v>
      </c>
      <c r="F1499" s="5" t="str">
        <f ca="1">IFERROR(__xludf.DUMMYFUNCTION("""COMPUTED_VALUE"""),"جراحة الفم والأسنان")</f>
        <v>جراحة الفم والأسنان</v>
      </c>
      <c r="G1499" s="5" t="str">
        <f ca="1">IFERROR(__xludf.DUMMYFUNCTION("""COMPUTED_VALUE"""),"د/ احمد عمر رمضان منصور")</f>
        <v>د/ احمد عمر رمضان منصور</v>
      </c>
      <c r="H1499" s="5" t="str">
        <f ca="1">IFERROR(__xludf.DUMMYFUNCTION("""COMPUTED_VALUE"""),"شارع احمد عرابي بجوار ابو الدهب - امام شركه الولاء- بني سويف")</f>
        <v>شارع احمد عرابي بجوار ابو الدهب - امام شركه الولاء- بني سويف</v>
      </c>
      <c r="I1499" s="6" t="str">
        <f ca="1">IFERROR(__xludf.DUMMYFUNCTION("""COMPUTED_VALUE"""),"01118708996")</f>
        <v>01118708996</v>
      </c>
      <c r="J1499" s="6"/>
      <c r="K1499" s="6" t="str">
        <f ca="1">IFERROR(__xludf.DUMMYFUNCTION("""COMPUTED_VALUE"""),"Cons 35 EGP,Other services M.S 2016")</f>
        <v>Cons 35 EGP,Other services M.S 2016</v>
      </c>
    </row>
    <row r="1500" spans="1:11" x14ac:dyDescent="0.25">
      <c r="A1500" s="4" t="str">
        <f ca="1">IFERROR(__xludf.DUMMYFUNCTION("""COMPUTED_VALUE"""),"105926")</f>
        <v>105926</v>
      </c>
      <c r="B1500" s="5" t="str">
        <f ca="1">IFERROR(__xludf.DUMMYFUNCTION("""COMPUTED_VALUE"""),"الغربية")</f>
        <v>الغربية</v>
      </c>
      <c r="C1500" s="5" t="str">
        <f ca="1">IFERROR(__xludf.DUMMYFUNCTION("""COMPUTED_VALUE"""),"المحلة الكبرى")</f>
        <v>المحلة الكبرى</v>
      </c>
      <c r="D1500" s="5" t="str">
        <f ca="1">IFERROR(__xludf.DUMMYFUNCTION("""COMPUTED_VALUE"""),"مركز علاج طبيعي")</f>
        <v>مركز علاج طبيعي</v>
      </c>
      <c r="E1500" s="5" t="str">
        <f ca="1">IFERROR(__xludf.DUMMYFUNCTION("""COMPUTED_VALUE"""),"علاج طبيعي")</f>
        <v>علاج طبيعي</v>
      </c>
      <c r="F1500" s="5" t="str">
        <f ca="1">IFERROR(__xludf.DUMMYFUNCTION("""COMPUTED_VALUE"""),"جلسات العلاج الطبيعي")</f>
        <v>جلسات العلاج الطبيعي</v>
      </c>
      <c r="G1500" s="5" t="str">
        <f ca="1">IFERROR(__xludf.DUMMYFUNCTION("""COMPUTED_VALUE"""),"د/ ابراهيم محمد ابراهيم حموده ( المركز المصري للعلاج الطبيعي )")</f>
        <v>د/ ابراهيم محمد ابراهيم حموده ( المركز المصري للعلاج الطبيعي )</v>
      </c>
      <c r="H1500" s="5" t="str">
        <f ca="1">IFERROR(__xludf.DUMMYFUNCTION("""COMPUTED_VALUE"""),"ميدان الشون - برج دعوه - بجوار بنزينه السياجي - المحله الكبري - الغربيه")</f>
        <v>ميدان الشون - برج دعوه - بجوار بنزينه السياجي - المحله الكبري - الغربيه</v>
      </c>
      <c r="I1500" s="6" t="str">
        <f ca="1">IFERROR(__xludf.DUMMYFUNCTION("""COMPUTED_VALUE"""),"01111138758")</f>
        <v>01111138758</v>
      </c>
      <c r="J1500" s="6"/>
      <c r="K1500" s="6" t="str">
        <f ca="1">IFERROR(__xludf.DUMMYFUNCTION("""COMPUTED_VALUE"""),"One organ:50 LE , Two organ : 70 LE , three organ : 90 LE")</f>
        <v>One organ:50 LE , Two organ : 70 LE , three organ : 90 LE</v>
      </c>
    </row>
    <row r="1501" spans="1:11" x14ac:dyDescent="0.25">
      <c r="A1501" s="4" t="str">
        <f ca="1">IFERROR(__xludf.DUMMYFUNCTION("""COMPUTED_VALUE"""),"105927")</f>
        <v>105927</v>
      </c>
      <c r="B1501" s="5" t="str">
        <f ca="1">IFERROR(__xludf.DUMMYFUNCTION("""COMPUTED_VALUE"""),"الإسماعيلية")</f>
        <v>الإسماعيلية</v>
      </c>
      <c r="C1501" s="5" t="str">
        <f ca="1">IFERROR(__xludf.DUMMYFUNCTION("""COMPUTED_VALUE"""),"الإسماعيلية")</f>
        <v>الإسماعيلية</v>
      </c>
      <c r="D1501" s="5" t="str">
        <f ca="1">IFERROR(__xludf.DUMMYFUNCTION("""COMPUTED_VALUE"""),"مركز أشعة")</f>
        <v>مركز أشعة</v>
      </c>
      <c r="E1501" s="5" t="str">
        <f ca="1">IFERROR(__xludf.DUMMYFUNCTION("""COMPUTED_VALUE"""),"مركز أشعة")</f>
        <v>مركز أشعة</v>
      </c>
      <c r="F1501" s="5" t="str">
        <f ca="1">IFERROR(__xludf.DUMMYFUNCTION("""COMPUTED_VALUE"""),"مركز الأشعة التشخيصية")</f>
        <v>مركز الأشعة التشخيصية</v>
      </c>
      <c r="G1501" s="5" t="str">
        <f ca="1">IFERROR(__xludf.DUMMYFUNCTION("""COMPUTED_VALUE"""),"مركز الماسه للاشعه")</f>
        <v>مركز الماسه للاشعه</v>
      </c>
      <c r="H1501" s="5" t="str">
        <f ca="1">IFERROR(__xludf.DUMMYFUNCTION("""COMPUTED_VALUE"""),"105 شارع التحرير وحسين حجازي - خلف البنك العقاري - الاسماعليه")</f>
        <v>105 شارع التحرير وحسين حجازي - خلف البنك العقاري - الاسماعليه</v>
      </c>
      <c r="I1501" s="6" t="str">
        <f ca="1">IFERROR(__xludf.DUMMYFUNCTION("""COMPUTED_VALUE"""),"01002915573")</f>
        <v>01002915573</v>
      </c>
      <c r="J1501" s="6"/>
      <c r="K1501" s="6" t="str">
        <f ca="1">IFERROR(__xludf.DUMMYFUNCTION("""COMPUTED_VALUE"""),"خصم 20% علي جميع الخدمات ، ماعدا الصبغه والتخدير وباقي المستلزمات ، علي الاسعار النقدي المعلنه 
")</f>
        <v xml:space="preserve">خصم 20% علي جميع الخدمات ، ماعدا الصبغه والتخدير وباقي المستلزمات ، علي الاسعار النقدي المعلنه 
</v>
      </c>
    </row>
    <row r="1502" spans="1:11" x14ac:dyDescent="0.25">
      <c r="A1502" s="4" t="str">
        <f ca="1">IFERROR(__xludf.DUMMYFUNCTION("""COMPUTED_VALUE"""),"3666-B")</f>
        <v>3666-B</v>
      </c>
      <c r="B1502" s="5" t="str">
        <f ca="1">IFERROR(__xludf.DUMMYFUNCTION("""COMPUTED_VALUE"""),"الجيزة")</f>
        <v>الجيزة</v>
      </c>
      <c r="C1502" s="5" t="str">
        <f ca="1">IFERROR(__xludf.DUMMYFUNCTION("""COMPUTED_VALUE"""),"منشيه القناطر")</f>
        <v>منشيه القناطر</v>
      </c>
      <c r="D1502" s="5" t="str">
        <f ca="1">IFERROR(__xludf.DUMMYFUNCTION("""COMPUTED_VALUE"""),"مركز علاج طبيعي")</f>
        <v>مركز علاج طبيعي</v>
      </c>
      <c r="E1502" s="5" t="str">
        <f ca="1">IFERROR(__xludf.DUMMYFUNCTION("""COMPUTED_VALUE"""),"علاج طبيعي")</f>
        <v>علاج طبيعي</v>
      </c>
      <c r="F1502" s="5" t="str">
        <f ca="1">IFERROR(__xludf.DUMMYFUNCTION("""COMPUTED_VALUE"""),"جلسات العلاج الطبيعي")</f>
        <v>جلسات العلاج الطبيعي</v>
      </c>
      <c r="G1502" s="5" t="str">
        <f ca="1">IFERROR(__xludf.DUMMYFUNCTION("""COMPUTED_VALUE"""),"د/ ايهاب عبد الرؤف")</f>
        <v>د/ ايهاب عبد الرؤف</v>
      </c>
      <c r="H1502" s="5" t="str">
        <f ca="1">IFERROR(__xludf.DUMMYFUNCTION("""COMPUTED_VALUE"""),"شارع محطة المياة - أمام محطة المياة الجديدة")</f>
        <v>شارع محطة المياة - أمام محطة المياة الجديدة</v>
      </c>
      <c r="I1502" s="6" t="str">
        <f ca="1">IFERROR(__xludf.DUMMYFUNCTION("""COMPUTED_VALUE"""),"201001549146")</f>
        <v>201001549146</v>
      </c>
      <c r="J1502" s="6"/>
      <c r="K1502" s="6" t="str">
        <f ca="1">IFERROR(__xludf.DUMMYFUNCTION("""COMPUTED_VALUE"""),"20% على جميع الخدمات ")</f>
        <v xml:space="preserve">20% على جميع الخدمات </v>
      </c>
    </row>
    <row r="1503" spans="1:11" x14ac:dyDescent="0.25">
      <c r="A1503" s="4" t="str">
        <f ca="1">IFERROR(__xludf.DUMMYFUNCTION("""COMPUTED_VALUE"""),"105944")</f>
        <v>105944</v>
      </c>
      <c r="B1503" s="5" t="str">
        <f ca="1">IFERROR(__xludf.DUMMYFUNCTION("""COMPUTED_VALUE"""),"الجيزة")</f>
        <v>الجيزة</v>
      </c>
      <c r="C1503" s="5" t="str">
        <f ca="1">IFERROR(__xludf.DUMMYFUNCTION("""COMPUTED_VALUE"""),"البدرشين")</f>
        <v>البدرشين</v>
      </c>
      <c r="D1503" s="5" t="str">
        <f ca="1">IFERROR(__xludf.DUMMYFUNCTION("""COMPUTED_VALUE"""),"صيدلية")</f>
        <v>صيدلية</v>
      </c>
      <c r="E1503" s="5" t="str">
        <f ca="1">IFERROR(__xludf.DUMMYFUNCTION("""COMPUTED_VALUE"""),"صيدلية")</f>
        <v>صيدلية</v>
      </c>
      <c r="F1503" s="5" t="str">
        <f ca="1">IFERROR(__xludf.DUMMYFUNCTION("""COMPUTED_VALUE"""),"صيدلية (أدوية ومستلزمات طبية)")</f>
        <v>صيدلية (أدوية ومستلزمات طبية)</v>
      </c>
      <c r="G1503" s="5" t="str">
        <f ca="1">IFERROR(__xludf.DUMMYFUNCTION("""COMPUTED_VALUE"""),"د/ احمد شكري عيد ابراهيم ( صيدليه د/ احمد شكري الحديثه )")</f>
        <v>د/ احمد شكري عيد ابراهيم ( صيدليه د/ احمد شكري الحديثه )</v>
      </c>
      <c r="H1503" s="5" t="str">
        <f ca="1">IFERROR(__xludf.DUMMYFUNCTION("""COMPUTED_VALUE"""),"طريق مصر اسيوط السريع - البدرشين - الجيزه")</f>
        <v>طريق مصر اسيوط السريع - البدرشين - الجيزه</v>
      </c>
      <c r="I1503" s="6" t="str">
        <f ca="1">IFERROR(__xludf.DUMMYFUNCTION("""COMPUTED_VALUE"""),"01211441156")</f>
        <v>01211441156</v>
      </c>
      <c r="J1503" s="6"/>
      <c r="K1503" s="6" t="str">
        <f ca="1">IFERROR(__xludf.DUMMYFUNCTION("""COMPUTED_VALUE"""),"خصم 6% على المحلى ، 12% على المستورد")</f>
        <v>خصم 6% على المحلى ، 12% على المستورد</v>
      </c>
    </row>
    <row r="1504" spans="1:11" x14ac:dyDescent="0.25">
      <c r="A1504" s="4" t="str">
        <f ca="1">IFERROR(__xludf.DUMMYFUNCTION("""COMPUTED_VALUE"""),"105945")</f>
        <v>105945</v>
      </c>
      <c r="B1504" s="5" t="str">
        <f ca="1">IFERROR(__xludf.DUMMYFUNCTION("""COMPUTED_VALUE"""),"الجيزة")</f>
        <v>الجيزة</v>
      </c>
      <c r="C1504" s="5" t="str">
        <f ca="1">IFERROR(__xludf.DUMMYFUNCTION("""COMPUTED_VALUE"""),"السادس من اكتوبر")</f>
        <v>السادس من اكتوبر</v>
      </c>
      <c r="D1504" s="5" t="str">
        <f ca="1">IFERROR(__xludf.DUMMYFUNCTION("""COMPUTED_VALUE"""),"مجمع عيادات")</f>
        <v>مجمع عيادات</v>
      </c>
      <c r="E1504" s="5" t="str">
        <f ca="1">IFERROR(__xludf.DUMMYFUNCTION("""COMPUTED_VALUE"""),"جميع التخصصات")</f>
        <v>جميع التخصصات</v>
      </c>
      <c r="F1504" s="5" t="str">
        <f ca="1">IFERROR(__xludf.DUMMYFUNCTION("""COMPUTED_VALUE"""),"جميع التخصصات الطبية")</f>
        <v>جميع التخصصات الطبية</v>
      </c>
      <c r="G1504" s="5" t="str">
        <f ca="1">IFERROR(__xludf.DUMMYFUNCTION("""COMPUTED_VALUE"""),"د/ شريف عبداللاه محمود نصيب ( عيادات نصيب التخصصيه )")</f>
        <v>د/ شريف عبداللاه محمود نصيب ( عيادات نصيب التخصصيه )</v>
      </c>
      <c r="H1504" s="5" t="str">
        <f ca="1">IFERROR(__xludf.DUMMYFUNCTION("""COMPUTED_VALUE"""),"عماره رقم 121 - الحي الثالث - محور الكفراوي - 6 اكتوبر - الجيزه")</f>
        <v>عماره رقم 121 - الحي الثالث - محور الكفراوي - 6 اكتوبر - الجيزه</v>
      </c>
      <c r="I1504" s="6" t="str">
        <f ca="1">IFERROR(__xludf.DUMMYFUNCTION("""COMPUTED_VALUE"""),"38361177")</f>
        <v>38361177</v>
      </c>
      <c r="J1504" s="6"/>
      <c r="K1504" s="6" t="str">
        <f ca="1">IFERROR(__xludf.DUMMYFUNCTION("""COMPUTED_VALUE"""),"خصم 40% علي الأسعار النقدي المعلنه")</f>
        <v>خصم 40% علي الأسعار النقدي المعلنه</v>
      </c>
    </row>
    <row r="1505" spans="1:11" x14ac:dyDescent="0.25">
      <c r="A1505" s="4" t="str">
        <f ca="1">IFERROR(__xludf.DUMMYFUNCTION("""COMPUTED_VALUE"""),"105947")</f>
        <v>105947</v>
      </c>
      <c r="B1505" s="5" t="str">
        <f ca="1">IFERROR(__xludf.DUMMYFUNCTION("""COMPUTED_VALUE"""),"الجيزة")</f>
        <v>الجيزة</v>
      </c>
      <c r="C1505" s="5" t="str">
        <f ca="1">IFERROR(__xludf.DUMMYFUNCTION("""COMPUTED_VALUE"""),"الدقي")</f>
        <v>الدقي</v>
      </c>
      <c r="D1505" s="5" t="str">
        <f ca="1">IFERROR(__xludf.DUMMYFUNCTION("""COMPUTED_VALUE"""),"مستشفى")</f>
        <v>مستشفى</v>
      </c>
      <c r="E1505" s="5" t="str">
        <f ca="1">IFERROR(__xludf.DUMMYFUNCTION("""COMPUTED_VALUE"""),"مستشفي طبي متخصص")</f>
        <v>مستشفي طبي متخصص</v>
      </c>
      <c r="F1505" s="5" t="str">
        <f ca="1">IFERROR(__xludf.DUMMYFUNCTION("""COMPUTED_VALUE"""),"قلب واوعية دموية")</f>
        <v>قلب واوعية دموية</v>
      </c>
      <c r="G1505" s="5" t="str">
        <f ca="1">IFERROR(__xludf.DUMMYFUNCTION("""COMPUTED_VALUE"""),"شركه خدمات لاداره المستشفيات ( مركز الحياه الطبي التخصصي للقلب )")</f>
        <v>شركه خدمات لاداره المستشفيات ( مركز الحياه الطبي التخصصي للقلب )</v>
      </c>
      <c r="H1505" s="5" t="str">
        <f ca="1">IFERROR(__xludf.DUMMYFUNCTION("""COMPUTED_VALUE"""),"6 شارع نبيل الوقاد - من شارع التحرير - الدقي - الجيزه")</f>
        <v>6 شارع نبيل الوقاد - من شارع التحرير - الدقي - الجيزه</v>
      </c>
      <c r="I1505" s="6" t="str">
        <f ca="1">IFERROR(__xludf.DUMMYFUNCTION("""COMPUTED_VALUE"""),"37602207")</f>
        <v>37602207</v>
      </c>
      <c r="J1505" s="6"/>
      <c r="K1505" s="6" t="str">
        <f ca="1">IFERROR(__xludf.DUMMYFUNCTION("""COMPUTED_VALUE"""),"خصم 20%علي الكشف , 10% على باقي الخدمات ماعدا البكدجات الشاملة")</f>
        <v>خصم 20%علي الكشف , 10% على باقي الخدمات ماعدا البكدجات الشاملة</v>
      </c>
    </row>
    <row r="1506" spans="1:11" x14ac:dyDescent="0.25">
      <c r="A1506" s="4" t="str">
        <f ca="1">IFERROR(__xludf.DUMMYFUNCTION("""COMPUTED_VALUE"""),"103462-B")</f>
        <v>103462-B</v>
      </c>
      <c r="B1506" s="5" t="str">
        <f ca="1">IFERROR(__xludf.DUMMYFUNCTION("""COMPUTED_VALUE"""),"دمياط")</f>
        <v>دمياط</v>
      </c>
      <c r="C1506" s="5" t="str">
        <f ca="1">IFERROR(__xludf.DUMMYFUNCTION("""COMPUTED_VALUE"""),"دمياط الجديدة")</f>
        <v>دمياط الجديدة</v>
      </c>
      <c r="D1506" s="5" t="str">
        <f ca="1">IFERROR(__xludf.DUMMYFUNCTION("""COMPUTED_VALUE"""),"مركز علاج طبيعي")</f>
        <v>مركز علاج طبيعي</v>
      </c>
      <c r="E1506" s="5" t="str">
        <f ca="1">IFERROR(__xludf.DUMMYFUNCTION("""COMPUTED_VALUE"""),"علاج طبيعي")</f>
        <v>علاج طبيعي</v>
      </c>
      <c r="F1506" s="5" t="str">
        <f ca="1">IFERROR(__xludf.DUMMYFUNCTION("""COMPUTED_VALUE"""),"جلسات العلاج الطبيعي")</f>
        <v>جلسات العلاج الطبيعي</v>
      </c>
      <c r="G1506" s="5" t="str">
        <f ca="1">IFERROR(__xludf.DUMMYFUNCTION("""COMPUTED_VALUE"""),"مركز الفيروز لجراحة الاسنان والعلاج الطبيعي")</f>
        <v>مركز الفيروز لجراحة الاسنان والعلاج الطبيعي</v>
      </c>
      <c r="H1506" s="5" t="str">
        <f ca="1">IFERROR(__xludf.DUMMYFUNCTION("""COMPUTED_VALUE"""),"دمياط الجديدة - المركزية (أ) خلف البنك الأهلي القديم - أمام المجمع الاسلامي ")</f>
        <v xml:space="preserve">دمياط الجديدة - المركزية (أ) خلف البنك الأهلي القديم - أمام المجمع الاسلامي </v>
      </c>
      <c r="I1506" s="6" t="str">
        <f ca="1">IFERROR(__xludf.DUMMYFUNCTION("""COMPUTED_VALUE"""),"01288550228")</f>
        <v>01288550228</v>
      </c>
      <c r="J1506" s="6"/>
      <c r="K1506" s="6" t="str">
        <f ca="1">IFERROR(__xludf.DUMMYFUNCTION("""COMPUTED_VALUE"""),"الكشف 40 ,عضو واحد 70, اكثر من عضو 90, الاسنان نقابه 2018")</f>
        <v>الكشف 40 ,عضو واحد 70, اكثر من عضو 90, الاسنان نقابه 2018</v>
      </c>
    </row>
    <row r="1507" spans="1:11" x14ac:dyDescent="0.25">
      <c r="A1507" s="4" t="str">
        <f ca="1">IFERROR(__xludf.DUMMYFUNCTION("""COMPUTED_VALUE"""),"105148-B")</f>
        <v>105148-B</v>
      </c>
      <c r="B1507" s="5" t="str">
        <f ca="1">IFERROR(__xludf.DUMMYFUNCTION("""COMPUTED_VALUE"""),"الجيزة")</f>
        <v>الجيزة</v>
      </c>
      <c r="C1507" s="5" t="str">
        <f ca="1">IFERROR(__xludf.DUMMYFUNCTION("""COMPUTED_VALUE"""),"فيصل")</f>
        <v>فيصل</v>
      </c>
      <c r="D1507" s="5" t="str">
        <f ca="1">IFERROR(__xludf.DUMMYFUNCTION("""COMPUTED_VALUE"""),"مركز أشعة")</f>
        <v>مركز أشعة</v>
      </c>
      <c r="E1507" s="5" t="str">
        <f ca="1">IFERROR(__xludf.DUMMYFUNCTION("""COMPUTED_VALUE"""),"مركز أشعة")</f>
        <v>مركز أشعة</v>
      </c>
      <c r="F1507" s="5" t="str">
        <f ca="1">IFERROR(__xludf.DUMMYFUNCTION("""COMPUTED_VALUE"""),"مركز الأشعة التشخيصية")</f>
        <v>مركز الأشعة التشخيصية</v>
      </c>
      <c r="G1507" s="5" t="str">
        <f ca="1">IFERROR(__xludf.DUMMYFUNCTION("""COMPUTED_VALUE"""),"البرج سكان ( معامل البرج)")</f>
        <v>البرج سكان ( معامل البرج)</v>
      </c>
      <c r="H1507" s="5" t="str">
        <f ca="1">IFERROR(__xludf.DUMMYFUNCTION("""COMPUTED_VALUE"""),"١ شارع مسجد التوحيد محطة التعاون فيصل")</f>
        <v>١ شارع مسجد التوحيد محطة التعاون فيصل</v>
      </c>
      <c r="I1507" s="6"/>
      <c r="J1507" s="6" t="str">
        <f ca="1">IFERROR(__xludf.DUMMYFUNCTION("""COMPUTED_VALUE"""),"19911")</f>
        <v>19911</v>
      </c>
      <c r="K1507" s="6" t="str">
        <f ca="1">IFERROR(__xludf.DUMMYFUNCTION("""COMPUTED_VALUE"""),"30% علي الأسعار النقدي المعلنة")</f>
        <v>30% علي الأسعار النقدي المعلنة</v>
      </c>
    </row>
    <row r="1508" spans="1:11" x14ac:dyDescent="0.25">
      <c r="A1508" s="4" t="str">
        <f ca="1">IFERROR(__xludf.DUMMYFUNCTION("""COMPUTED_VALUE"""),"105951")</f>
        <v>105951</v>
      </c>
      <c r="B1508" s="5" t="str">
        <f ca="1">IFERROR(__xludf.DUMMYFUNCTION("""COMPUTED_VALUE"""),"المنيا")</f>
        <v>المنيا</v>
      </c>
      <c r="C1508" s="5" t="str">
        <f ca="1">IFERROR(__xludf.DUMMYFUNCTION("""COMPUTED_VALUE"""),"المنيا")</f>
        <v>المنيا</v>
      </c>
      <c r="D1508" s="5" t="str">
        <f ca="1">IFERROR(__xludf.DUMMYFUNCTION("""COMPUTED_VALUE"""),"مستشفى")</f>
        <v>مستشفى</v>
      </c>
      <c r="E1508" s="5" t="str">
        <f ca="1">IFERROR(__xludf.DUMMYFUNCTION("""COMPUTED_VALUE"""),"مستشفي طبي متكامل")</f>
        <v>مستشفي طبي متكامل</v>
      </c>
      <c r="F1508" s="5" t="str">
        <f ca="1">IFERROR(__xludf.DUMMYFUNCTION("""COMPUTED_VALUE"""),"جميع التخصصات الطبية")</f>
        <v>جميع التخصصات الطبية</v>
      </c>
      <c r="G1508" s="5" t="str">
        <f ca="1">IFERROR(__xludf.DUMMYFUNCTION("""COMPUTED_VALUE"""),"د/ احمد عمر عبدالعزيز عواد ( مركز المنيا للجراحه العامه والمناظير )")</f>
        <v>د/ احمد عمر عبدالعزيز عواد ( مركز المنيا للجراحه العامه والمناظير )</v>
      </c>
      <c r="H1508" s="5" t="str">
        <f ca="1">IFERROR(__xludf.DUMMYFUNCTION("""COMPUTED_VALUE"""),"امتداد كوبري النيل - ابراج السكريه - ابو فليو - الكوبري القديم - المنيا ")</f>
        <v xml:space="preserve">امتداد كوبري النيل - ابراج السكريه - ابو فليو - الكوبري القديم - المنيا </v>
      </c>
      <c r="I1508" s="6" t="str">
        <f ca="1">IFERROR(__xludf.DUMMYFUNCTION("""COMPUTED_VALUE"""),"01006868829")</f>
        <v>01006868829</v>
      </c>
      <c r="J1508" s="6"/>
      <c r="K1508" s="6" t="str">
        <f ca="1">IFERROR(__xludf.DUMMYFUNCTION("""COMPUTED_VALUE"""),"المؤسسه العلاجيه 2017")</f>
        <v>المؤسسه العلاجيه 2017</v>
      </c>
    </row>
    <row r="1509" spans="1:11" x14ac:dyDescent="0.25">
      <c r="A1509" s="4" t="str">
        <f ca="1">IFERROR(__xludf.DUMMYFUNCTION("""COMPUTED_VALUE"""),"2273-B")</f>
        <v>2273-B</v>
      </c>
      <c r="B1509" s="5" t="str">
        <f ca="1">IFERROR(__xludf.DUMMYFUNCTION("""COMPUTED_VALUE"""),"الجيزة")</f>
        <v>الجيزة</v>
      </c>
      <c r="C1509" s="5" t="str">
        <f ca="1">IFERROR(__xludf.DUMMYFUNCTION("""COMPUTED_VALUE"""),"السادس من اكتوبر")</f>
        <v>السادس من اكتوبر</v>
      </c>
      <c r="D1509" s="5" t="str">
        <f ca="1">IFERROR(__xludf.DUMMYFUNCTION("""COMPUTED_VALUE"""),"مركز أشعة")</f>
        <v>مركز أشعة</v>
      </c>
      <c r="E1509" s="5" t="str">
        <f ca="1">IFERROR(__xludf.DUMMYFUNCTION("""COMPUTED_VALUE"""),"مركز أشعة")</f>
        <v>مركز أشعة</v>
      </c>
      <c r="F1509" s="5" t="str">
        <f ca="1">IFERROR(__xludf.DUMMYFUNCTION("""COMPUTED_VALUE"""),"مركز الأشعة التشخيصية")</f>
        <v>مركز الأشعة التشخيصية</v>
      </c>
      <c r="G1509" s="5" t="str">
        <f ca="1">IFERROR(__xludf.DUMMYFUNCTION("""COMPUTED_VALUE"""),"تكنوسكان")</f>
        <v>تكنوسكان</v>
      </c>
      <c r="H1509" s="5" t="str">
        <f ca="1">IFERROR(__xludf.DUMMYFUNCTION("""COMPUTED_VALUE"""),"سيلا مول - الحي الرابع بجوار بي تك - ميدان النجدة")</f>
        <v>سيلا مول - الحي الرابع بجوار بي تك - ميدان النجدة</v>
      </c>
      <c r="I1509" s="6"/>
      <c r="J1509" s="6" t="str">
        <f ca="1">IFERROR(__xludf.DUMMYFUNCTION("""COMPUTED_VALUE"""),"19989")</f>
        <v>19989</v>
      </c>
      <c r="K1509" s="6" t="str">
        <f ca="1">IFERROR(__xludf.DUMMYFUNCTION("""COMPUTED_VALUE"""),"29% على جميع الخدمات")</f>
        <v>29% على جميع الخدمات</v>
      </c>
    </row>
    <row r="1510" spans="1:11" x14ac:dyDescent="0.25">
      <c r="A1510" s="4" t="str">
        <f ca="1">IFERROR(__xludf.DUMMYFUNCTION("""COMPUTED_VALUE"""),"104270-B")</f>
        <v>104270-B</v>
      </c>
      <c r="B1510" s="5" t="str">
        <f ca="1">IFERROR(__xludf.DUMMYFUNCTION("""COMPUTED_VALUE"""),"القليوبية")</f>
        <v>القليوبية</v>
      </c>
      <c r="C1510" s="5" t="str">
        <f ca="1">IFERROR(__xludf.DUMMYFUNCTION("""COMPUTED_VALUE"""),"قليوب")</f>
        <v>قليوب</v>
      </c>
      <c r="D1510" s="5" t="str">
        <f ca="1">IFERROR(__xludf.DUMMYFUNCTION("""COMPUTED_VALUE"""),"مركز أشعة")</f>
        <v>مركز أشعة</v>
      </c>
      <c r="E1510" s="5" t="str">
        <f ca="1">IFERROR(__xludf.DUMMYFUNCTION("""COMPUTED_VALUE"""),"مركز أشعة")</f>
        <v>مركز أشعة</v>
      </c>
      <c r="F1510" s="5" t="str">
        <f ca="1">IFERROR(__xludf.DUMMYFUNCTION("""COMPUTED_VALUE"""),"مركز الأشعة التشخيصية")</f>
        <v>مركز الأشعة التشخيصية</v>
      </c>
      <c r="G1510" s="5" t="str">
        <f ca="1">IFERROR(__xludf.DUMMYFUNCTION("""COMPUTED_VALUE"""),"مركز سما للأشعة التشخيصية")</f>
        <v>مركز سما للأشعة التشخيصية</v>
      </c>
      <c r="H1510" s="5" t="str">
        <f ca="1">IFERROR(__xludf.DUMMYFUNCTION("""COMPUTED_VALUE"""),"قليوب البلد - شارع العاشر من رمضان بجوار فودافون - أعلي بنك مصر")</f>
        <v>قليوب البلد - شارع العاشر من رمضان بجوار فودافون - أعلي بنك مصر</v>
      </c>
      <c r="I1510" s="6" t="str">
        <f ca="1">IFERROR(__xludf.DUMMYFUNCTION("""COMPUTED_VALUE"""),"01278975277")</f>
        <v>01278975277</v>
      </c>
      <c r="J1510" s="6"/>
      <c r="K1510" s="6" t="str">
        <f ca="1">IFERROR(__xludf.DUMMYFUNCTION("""COMPUTED_VALUE"""),"15% على جميع الخدمات")</f>
        <v>15% على جميع الخدمات</v>
      </c>
    </row>
    <row r="1511" spans="1:11" x14ac:dyDescent="0.25">
      <c r="A1511" s="4" t="str">
        <f ca="1">IFERROR(__xludf.DUMMYFUNCTION("""COMPUTED_VALUE"""),"105952")</f>
        <v>105952</v>
      </c>
      <c r="B1511" s="5" t="str">
        <f ca="1">IFERROR(__xludf.DUMMYFUNCTION("""COMPUTED_VALUE"""),"الاسكندرية")</f>
        <v>الاسكندرية</v>
      </c>
      <c r="C1511" s="5" t="str">
        <f ca="1">IFERROR(__xludf.DUMMYFUNCTION("""COMPUTED_VALUE"""),"محطة الرمل")</f>
        <v>محطة الرمل</v>
      </c>
      <c r="D1511" s="5" t="str">
        <f ca="1">IFERROR(__xludf.DUMMYFUNCTION("""COMPUTED_VALUE"""),"مستشفى")</f>
        <v>مستشفى</v>
      </c>
      <c r="E1511" s="5" t="str">
        <f ca="1">IFERROR(__xludf.DUMMYFUNCTION("""COMPUTED_VALUE"""),"مستشفي طبي متخصص")</f>
        <v>مستشفي طبي متخصص</v>
      </c>
      <c r="F1511" s="5" t="str">
        <f ca="1">IFERROR(__xludf.DUMMYFUNCTION("""COMPUTED_VALUE"""),"مركز أورام")</f>
        <v>مركز أورام</v>
      </c>
      <c r="G1511" s="5" t="str">
        <f ca="1">IFERROR(__xludf.DUMMYFUNCTION("""COMPUTED_VALUE"""),"المركز الطبي المتكامل لعلاج الاورام")</f>
        <v>المركز الطبي المتكامل لعلاج الاورام</v>
      </c>
      <c r="H1511" s="5" t="str">
        <f ca="1">IFERROR(__xludf.DUMMYFUNCTION("""COMPUTED_VALUE"""),"644 طريق الحريه جناكليس شقه 2 دور 1 علوي - الرمل - الاسكندريه")</f>
        <v>644 طريق الحريه جناكليس شقه 2 دور 1 علوي - الرمل - الاسكندريه</v>
      </c>
      <c r="I1511" s="6" t="str">
        <f ca="1">IFERROR(__xludf.DUMMYFUNCTION("""COMPUTED_VALUE"""),"01120800011")</f>
        <v>01120800011</v>
      </c>
      <c r="J1511" s="6"/>
      <c r="K1511" s="6" t="str">
        <f ca="1">IFERROR(__xludf.DUMMYFUNCTION("""COMPUTED_VALUE"""),"50 % على الكشف فى العيادات الخارجية - 25% الاجرائات الداخلى و العلاج الكماوى - 15 % على العلاج الاشعاعى")</f>
        <v>50 % على الكشف فى العيادات الخارجية - 25% الاجرائات الداخلى و العلاج الكماوى - 15 % على العلاج الاشعاعى</v>
      </c>
    </row>
    <row r="1512" spans="1:11" x14ac:dyDescent="0.25">
      <c r="A1512" s="4" t="str">
        <f ca="1">IFERROR(__xludf.DUMMYFUNCTION("""COMPUTED_VALUE"""),"3179-B")</f>
        <v>3179-B</v>
      </c>
      <c r="B1512" s="5" t="str">
        <f ca="1">IFERROR(__xludf.DUMMYFUNCTION("""COMPUTED_VALUE"""),"سوهاج")</f>
        <v>سوهاج</v>
      </c>
      <c r="C1512" s="5" t="str">
        <f ca="1">IFERROR(__xludf.DUMMYFUNCTION("""COMPUTED_VALUE"""),"المراغة")</f>
        <v>المراغة</v>
      </c>
      <c r="D1512" s="5" t="str">
        <f ca="1">IFERROR(__xludf.DUMMYFUNCTION("""COMPUTED_VALUE"""),"هيئة الأطباء")</f>
        <v>هيئة الأطباء</v>
      </c>
      <c r="E1512" s="5" t="str">
        <f ca="1">IFERROR(__xludf.DUMMYFUNCTION("""COMPUTED_VALUE"""),"باطنة")</f>
        <v>باطنة</v>
      </c>
      <c r="F1512" s="5" t="str">
        <f ca="1">IFERROR(__xludf.DUMMYFUNCTION("""COMPUTED_VALUE"""),"قلب واوعية دموية")</f>
        <v>قلب واوعية دموية</v>
      </c>
      <c r="G1512" s="5" t="str">
        <f ca="1">IFERROR(__xludf.DUMMYFUNCTION("""COMPUTED_VALUE"""),"د/ رفيق رمسيس عوض")</f>
        <v>د/ رفيق رمسيس عوض</v>
      </c>
      <c r="H1512" s="5" t="str">
        <f ca="1">IFERROR(__xludf.DUMMYFUNCTION("""COMPUTED_VALUE"""),"سوهاج شارع ١٦ بجوار بيت الرحمة ومحلات براند برج ناجى بشارة دور اول علوي")</f>
        <v>سوهاج شارع ١٦ بجوار بيت الرحمة ومحلات براند برج ناجى بشارة دور اول علوي</v>
      </c>
      <c r="I1512" s="6" t="str">
        <f ca="1">IFERROR(__xludf.DUMMYFUNCTION("""COMPUTED_VALUE"""),"093-2531621")</f>
        <v>093-2531621</v>
      </c>
      <c r="J1512" s="6"/>
      <c r="K1512" s="6" t="str">
        <f ca="1">IFERROR(__xludf.DUMMYFUNCTION("""COMPUTED_VALUE"""),"الكشف :70جنية")</f>
        <v>الكشف :70جنية</v>
      </c>
    </row>
    <row r="1513" spans="1:11" x14ac:dyDescent="0.25">
      <c r="A1513" s="4" t="str">
        <f ca="1">IFERROR(__xludf.DUMMYFUNCTION("""COMPUTED_VALUE"""),"105955")</f>
        <v>105955</v>
      </c>
      <c r="B1513" s="5" t="str">
        <f ca="1">IFERROR(__xludf.DUMMYFUNCTION("""COMPUTED_VALUE"""),"الإسماعيلية")</f>
        <v>الإسماعيلية</v>
      </c>
      <c r="C1513" s="5" t="str">
        <f ca="1">IFERROR(__xludf.DUMMYFUNCTION("""COMPUTED_VALUE"""),"الإسماعيلية")</f>
        <v>الإسماعيلية</v>
      </c>
      <c r="D1513" s="5" t="str">
        <f ca="1">IFERROR(__xludf.DUMMYFUNCTION("""COMPUTED_VALUE"""),"هيئة الأطباء")</f>
        <v>هيئة الأطباء</v>
      </c>
      <c r="E1513" s="5" t="str">
        <f ca="1">IFERROR(__xludf.DUMMYFUNCTION("""COMPUTED_VALUE"""),"اسنان")</f>
        <v>اسنان</v>
      </c>
      <c r="F1513" s="5" t="str">
        <f ca="1">IFERROR(__xludf.DUMMYFUNCTION("""COMPUTED_VALUE"""),"جراحة الفم والأسنان")</f>
        <v>جراحة الفم والأسنان</v>
      </c>
      <c r="G1513" s="5" t="str">
        <f ca="1">IFERROR(__xludf.DUMMYFUNCTION("""COMPUTED_VALUE"""),"د/ ابراهيم ابو طالب ابراهيم عبد الحافظ ( عياده كلينيكا للاسنان )")</f>
        <v>د/ ابراهيم ابو طالب ابراهيم عبد الحافظ ( عياده كلينيكا للاسنان )</v>
      </c>
      <c r="H1513" s="5" t="str">
        <f ca="1">IFERROR(__xludf.DUMMYFUNCTION("""COMPUTED_VALUE"""),"48 شارع المستشفي - اعلي ستوديو فوتو كلر - حي السلام - الاسماعليه")</f>
        <v>48 شارع المستشفي - اعلي ستوديو فوتو كلر - حي السلام - الاسماعليه</v>
      </c>
      <c r="I1513" s="6" t="str">
        <f ca="1">IFERROR(__xludf.DUMMYFUNCTION("""COMPUTED_VALUE"""),"01010184804")</f>
        <v>01010184804</v>
      </c>
      <c r="J1513" s="6"/>
      <c r="K1513" s="6" t="str">
        <f ca="1">IFERROR(__xludf.DUMMYFUNCTION("""COMPUTED_VALUE"""),"25% على جميع الخدمات")</f>
        <v>25% على جميع الخدمات</v>
      </c>
    </row>
    <row r="1514" spans="1:11" x14ac:dyDescent="0.25">
      <c r="A1514" s="4" t="str">
        <f ca="1">IFERROR(__xludf.DUMMYFUNCTION("""COMPUTED_VALUE"""),"104199-B")</f>
        <v>104199-B</v>
      </c>
      <c r="B1514" s="5" t="str">
        <f ca="1">IFERROR(__xludf.DUMMYFUNCTION("""COMPUTED_VALUE"""),"القاهرة")</f>
        <v>القاهرة</v>
      </c>
      <c r="C1514" s="5" t="str">
        <f ca="1">IFERROR(__xludf.DUMMYFUNCTION("""COMPUTED_VALUE"""),"المعادى")</f>
        <v>المعادى</v>
      </c>
      <c r="D1514" s="5" t="str">
        <f ca="1">IFERROR(__xludf.DUMMYFUNCTION("""COMPUTED_VALUE"""),"معمل")</f>
        <v>معمل</v>
      </c>
      <c r="E1514" s="5" t="str">
        <f ca="1">IFERROR(__xludf.DUMMYFUNCTION("""COMPUTED_VALUE"""),"معمل")</f>
        <v>معمل</v>
      </c>
      <c r="F1514" s="5" t="str">
        <f ca="1">IFERROR(__xludf.DUMMYFUNCTION("""COMPUTED_VALUE"""),"معمل التحاليل الطبية")</f>
        <v>معمل التحاليل الطبية</v>
      </c>
      <c r="G1514" s="5" t="str">
        <f ca="1">IFERROR(__xludf.DUMMYFUNCTION("""COMPUTED_VALUE"""),"معامل ترست")</f>
        <v>معامل ترست</v>
      </c>
      <c r="H1514" s="5" t="str">
        <f ca="1">IFERROR(__xludf.DUMMYFUNCTION("""COMPUTED_VALUE"""),"معادى كلينك - كورنيش النيل")</f>
        <v>معادى كلينك - كورنيش النيل</v>
      </c>
      <c r="I1514" s="6" t="str">
        <f ca="1">IFERROR(__xludf.DUMMYFUNCTION("""COMPUTED_VALUE"""),"01061995555")</f>
        <v>01061995555</v>
      </c>
      <c r="J1514" s="6" t="str">
        <f ca="1">IFERROR(__xludf.DUMMYFUNCTION("""COMPUTED_VALUE"""),"16183")</f>
        <v>16183</v>
      </c>
      <c r="K1514" s="6" t="str">
        <f ca="1">IFERROR(__xludf.DUMMYFUNCTION("""COMPUTED_VALUE"""),"خصم 30% علي الاسعار المعلنة")</f>
        <v>خصم 30% علي الاسعار المعلنة</v>
      </c>
    </row>
    <row r="1515" spans="1:11" x14ac:dyDescent="0.25">
      <c r="A1515" s="4" t="str">
        <f ca="1">IFERROR(__xludf.DUMMYFUNCTION("""COMPUTED_VALUE"""),"105958")</f>
        <v>105958</v>
      </c>
      <c r="B1515" s="5" t="str">
        <f ca="1">IFERROR(__xludf.DUMMYFUNCTION("""COMPUTED_VALUE"""),"القاهرة")</f>
        <v>القاهرة</v>
      </c>
      <c r="C1515" s="5" t="str">
        <f ca="1">IFERROR(__xludf.DUMMYFUNCTION("""COMPUTED_VALUE"""),"مصر الجديدة")</f>
        <v>مصر الجديدة</v>
      </c>
      <c r="D1515" s="5" t="str">
        <f ca="1">IFERROR(__xludf.DUMMYFUNCTION("""COMPUTED_VALUE"""),"شركة")</f>
        <v>شركة</v>
      </c>
      <c r="E1515" s="5" t="str">
        <f ca="1">IFERROR(__xludf.DUMMYFUNCTION("""COMPUTED_VALUE"""),"شركة اجهزة طبية")</f>
        <v>شركة اجهزة طبية</v>
      </c>
      <c r="F1515" s="5" t="str">
        <f ca="1">IFERROR(__xludf.DUMMYFUNCTION("""COMPUTED_VALUE"""),"مستلزمات واجهزة طبية")</f>
        <v>مستلزمات واجهزة طبية</v>
      </c>
      <c r="G1515" s="5" t="str">
        <f ca="1">IFERROR(__xludf.DUMMYFUNCTION("""COMPUTED_VALUE"""),"شركه اوبرا انترناشيونال جروب")</f>
        <v>شركه اوبرا انترناشيونال جروب</v>
      </c>
      <c r="H1515" s="5" t="str">
        <f ca="1">IFERROR(__xludf.DUMMYFUNCTION("""COMPUTED_VALUE"""),"14 شارع العباسيين - ميدان سفير - مصر الجديده")</f>
        <v>14 شارع العباسيين - ميدان سفير - مصر الجديده</v>
      </c>
      <c r="I1515" s="6" t="str">
        <f ca="1">IFERROR(__xludf.DUMMYFUNCTION("""COMPUTED_VALUE"""),"0222406044")</f>
        <v>0222406044</v>
      </c>
      <c r="J1515" s="6"/>
      <c r="K1515" s="6" t="str">
        <f ca="1">IFERROR(__xludf.DUMMYFUNCTION("""COMPUTED_VALUE"""),"25% على السماعات.5% على المستلزمات ")</f>
        <v>25% على السماعات.5% على المستلزمات </v>
      </c>
    </row>
    <row r="1516" spans="1:11" x14ac:dyDescent="0.25">
      <c r="A1516" s="4" t="str">
        <f ca="1">IFERROR(__xludf.DUMMYFUNCTION("""COMPUTED_VALUE"""),"105962")</f>
        <v>105962</v>
      </c>
      <c r="B1516" s="5" t="str">
        <f ca="1">IFERROR(__xludf.DUMMYFUNCTION("""COMPUTED_VALUE"""),"القاهرة")</f>
        <v>القاهرة</v>
      </c>
      <c r="C1516" s="5" t="str">
        <f ca="1">IFERROR(__xludf.DUMMYFUNCTION("""COMPUTED_VALUE"""),"شبرا")</f>
        <v>شبرا</v>
      </c>
      <c r="D1516" s="5" t="str">
        <f ca="1">IFERROR(__xludf.DUMMYFUNCTION("""COMPUTED_VALUE"""),"هيئة الأطباء")</f>
        <v>هيئة الأطباء</v>
      </c>
      <c r="E1516" s="5" t="str">
        <f ca="1">IFERROR(__xludf.DUMMYFUNCTION("""COMPUTED_VALUE"""),"نساء وتوليد")</f>
        <v>نساء وتوليد</v>
      </c>
      <c r="F1516" s="5" t="str">
        <f ca="1">IFERROR(__xludf.DUMMYFUNCTION("""COMPUTED_VALUE"""),"نساء وتوليد")</f>
        <v>نساء وتوليد</v>
      </c>
      <c r="G1516" s="5" t="str">
        <f ca="1">IFERROR(__xludf.DUMMYFUNCTION("""COMPUTED_VALUE"""),"د/ بهجت لمعي جرجس غالي")</f>
        <v>د/ بهجت لمعي جرجس غالي</v>
      </c>
      <c r="H1516" s="5" t="str">
        <f ca="1">IFERROR(__xludf.DUMMYFUNCTION("""COMPUTED_VALUE"""),"136 شارع شبرا - اعلي حلواني العبد - شبرا - القاهره")</f>
        <v>136 شارع شبرا - اعلي حلواني العبد - شبرا - القاهره</v>
      </c>
      <c r="I1516" s="6" t="str">
        <f ca="1">IFERROR(__xludf.DUMMYFUNCTION("""COMPUTED_VALUE"""),"01033200022")</f>
        <v>01033200022</v>
      </c>
      <c r="J1516" s="6"/>
      <c r="K1516" s="6" t="str">
        <f ca="1">IFERROR(__xludf.DUMMYFUNCTION("""COMPUTED_VALUE"""),"الكشف: 80 و نقابه 2017")</f>
        <v>الكشف: 80 و نقابه 2017</v>
      </c>
    </row>
    <row r="1517" spans="1:11" x14ac:dyDescent="0.25">
      <c r="A1517" s="4" t="str">
        <f ca="1">IFERROR(__xludf.DUMMYFUNCTION("""COMPUTED_VALUE"""),"105966")</f>
        <v>105966</v>
      </c>
      <c r="B1517" s="5" t="str">
        <f ca="1">IFERROR(__xludf.DUMMYFUNCTION("""COMPUTED_VALUE"""),"الفيوم")</f>
        <v>الفيوم</v>
      </c>
      <c r="C1517" s="5" t="str">
        <f ca="1">IFERROR(__xludf.DUMMYFUNCTION("""COMPUTED_VALUE"""),"الفيوم")</f>
        <v>الفيوم</v>
      </c>
      <c r="D1517" s="5" t="str">
        <f ca="1">IFERROR(__xludf.DUMMYFUNCTION("""COMPUTED_VALUE"""),"مستشفى")</f>
        <v>مستشفى</v>
      </c>
      <c r="E1517" s="5" t="str">
        <f ca="1">IFERROR(__xludf.DUMMYFUNCTION("""COMPUTED_VALUE"""),"مستشفي طبي متكامل")</f>
        <v>مستشفي طبي متكامل</v>
      </c>
      <c r="F1517" s="5" t="str">
        <f ca="1">IFERROR(__xludf.DUMMYFUNCTION("""COMPUTED_VALUE"""),"جميع التخصصات الطبية")</f>
        <v>جميع التخصصات الطبية</v>
      </c>
      <c r="G1517" s="5" t="str">
        <f ca="1">IFERROR(__xludf.DUMMYFUNCTION("""COMPUTED_VALUE""")," مستشفي السلام التخصصي")</f>
        <v xml:space="preserve"> مستشفي السلام التخصصي</v>
      </c>
      <c r="H1517" s="5" t="str">
        <f ca="1">IFERROR(__xludf.DUMMYFUNCTION("""COMPUTED_VALUE"""),"شارع المعهد الديني - حي الفوال - الفيوم")</f>
        <v>شارع المعهد الديني - حي الفوال - الفيوم</v>
      </c>
      <c r="I1517" s="6" t="str">
        <f ca="1">IFERROR(__xludf.DUMMYFUNCTION("""COMPUTED_VALUE"""),"0842035563")</f>
        <v>0842035563</v>
      </c>
      <c r="J1517" s="6"/>
      <c r="K1517" s="6" t="str">
        <f ca="1">IFERROR(__xludf.DUMMYFUNCTION("""COMPUTED_VALUE"""),"20% علي الأسعار النقدي المعلنة")</f>
        <v>20% علي الأسعار النقدي المعلنة</v>
      </c>
    </row>
    <row r="1518" spans="1:11" x14ac:dyDescent="0.25">
      <c r="A1518" s="4" t="str">
        <f ca="1">IFERROR(__xludf.DUMMYFUNCTION("""COMPUTED_VALUE"""),"105968")</f>
        <v>105968</v>
      </c>
      <c r="B1518" s="5" t="str">
        <f ca="1">IFERROR(__xludf.DUMMYFUNCTION("""COMPUTED_VALUE"""),"المنيا")</f>
        <v>المنيا</v>
      </c>
      <c r="C1518" s="5" t="str">
        <f ca="1">IFERROR(__xludf.DUMMYFUNCTION("""COMPUTED_VALUE"""),"مطاى")</f>
        <v>مطاى</v>
      </c>
      <c r="D1518" s="5" t="str">
        <f ca="1">IFERROR(__xludf.DUMMYFUNCTION("""COMPUTED_VALUE"""),"صيدلية")</f>
        <v>صيدلية</v>
      </c>
      <c r="E1518" s="5" t="str">
        <f ca="1">IFERROR(__xludf.DUMMYFUNCTION("""COMPUTED_VALUE"""),"صيدلية")</f>
        <v>صيدلية</v>
      </c>
      <c r="F1518" s="5" t="str">
        <f ca="1">IFERROR(__xludf.DUMMYFUNCTION("""COMPUTED_VALUE"""),"صيدلية (أدوية ومستلزمات طبية)")</f>
        <v>صيدلية (أدوية ومستلزمات طبية)</v>
      </c>
      <c r="G1518" s="5" t="str">
        <f ca="1">IFERROR(__xludf.DUMMYFUNCTION("""COMPUTED_VALUE"""),"د/ هيثم اسامه عبدالقوي احمد ( صيدليه د/ هيثم اسامه عبدالقوي )")</f>
        <v>د/ هيثم اسامه عبدالقوي احمد ( صيدليه د/ هيثم اسامه عبدالقوي )</v>
      </c>
      <c r="H1518" s="5" t="str">
        <f ca="1">IFERROR(__xludf.DUMMYFUNCTION("""COMPUTED_VALUE"""),"منشيه مطاي - تقسيم اولاد عبدالقوي - مركز مطاي - المنيا ")</f>
        <v xml:space="preserve">منشيه مطاي - تقسيم اولاد عبدالقوي - مركز مطاي - المنيا </v>
      </c>
      <c r="I1518" s="6" t="str">
        <f ca="1">IFERROR(__xludf.DUMMYFUNCTION("""COMPUTED_VALUE"""),"01090152048")</f>
        <v>01090152048</v>
      </c>
      <c r="J1518" s="6"/>
      <c r="K1518" s="6" t="str">
        <f ca="1">IFERROR(__xludf.DUMMYFUNCTION("""COMPUTED_VALUE"""),"14% علي المحلي , 7% علي المستورد")</f>
        <v>14% علي المحلي , 7% علي المستورد</v>
      </c>
    </row>
    <row r="1519" spans="1:11" x14ac:dyDescent="0.25">
      <c r="A1519" s="4" t="str">
        <f ca="1">IFERROR(__xludf.DUMMYFUNCTION("""COMPUTED_VALUE"""),"105969")</f>
        <v>105969</v>
      </c>
      <c r="B1519" s="5" t="str">
        <f ca="1">IFERROR(__xludf.DUMMYFUNCTION("""COMPUTED_VALUE"""),"القاهرة")</f>
        <v>القاهرة</v>
      </c>
      <c r="C1519" s="5" t="str">
        <f ca="1">IFERROR(__xludf.DUMMYFUNCTION("""COMPUTED_VALUE"""),"السيدة زينب")</f>
        <v>السيدة زينب</v>
      </c>
      <c r="D1519" s="5" t="str">
        <f ca="1">IFERROR(__xludf.DUMMYFUNCTION("""COMPUTED_VALUE"""),"هيئة الأطباء")</f>
        <v>هيئة الأطباء</v>
      </c>
      <c r="E1519" s="5" t="str">
        <f ca="1">IFERROR(__xludf.DUMMYFUNCTION("""COMPUTED_VALUE"""),"اسنان")</f>
        <v>اسنان</v>
      </c>
      <c r="F1519" s="5" t="str">
        <f ca="1">IFERROR(__xludf.DUMMYFUNCTION("""COMPUTED_VALUE"""),"جراحة الفم والأسنان")</f>
        <v>جراحة الفم والأسنان</v>
      </c>
      <c r="G1519" s="5" t="str">
        <f ca="1">IFERROR(__xludf.DUMMYFUNCTION("""COMPUTED_VALUE"""),"د/ ياسر عرفات حسنين امين ابراهيم ( د/ ياسر عرفات )")</f>
        <v>د/ ياسر عرفات حسنين امين ابراهيم ( د/ ياسر عرفات )</v>
      </c>
      <c r="H1519" s="5" t="str">
        <f ca="1">IFERROR(__xludf.DUMMYFUNCTION("""COMPUTED_VALUE"""),"269 شارع بورسعيد - برج لؤلؤه الخليج - السيده زينب - القاهره")</f>
        <v>269 شارع بورسعيد - برج لؤلؤه الخليج - السيده زينب - القاهره</v>
      </c>
      <c r="I1519" s="6" t="str">
        <f ca="1">IFERROR(__xludf.DUMMYFUNCTION("""COMPUTED_VALUE"""),"23907863")</f>
        <v>23907863</v>
      </c>
      <c r="J1519" s="6"/>
      <c r="K1519" s="6" t="str">
        <f ca="1">IFERROR(__xludf.DUMMYFUNCTION("""COMPUTED_VALUE"""),"الكشف: 50 و نقابه 2017")</f>
        <v>الكشف: 50 و نقابه 2017</v>
      </c>
    </row>
    <row r="1520" spans="1:11" x14ac:dyDescent="0.25">
      <c r="A1520" s="4" t="str">
        <f ca="1">IFERROR(__xludf.DUMMYFUNCTION("""COMPUTED_VALUE"""),"105971")</f>
        <v>105971</v>
      </c>
      <c r="B1520" s="5" t="str">
        <f ca="1">IFERROR(__xludf.DUMMYFUNCTION("""COMPUTED_VALUE"""),"الجيزة")</f>
        <v>الجيزة</v>
      </c>
      <c r="C1520" s="5" t="str">
        <f ca="1">IFERROR(__xludf.DUMMYFUNCTION("""COMPUTED_VALUE"""),"الهرم")</f>
        <v>الهرم</v>
      </c>
      <c r="D1520" s="5" t="str">
        <f ca="1">IFERROR(__xludf.DUMMYFUNCTION("""COMPUTED_VALUE"""),"هيئة الأطباء")</f>
        <v>هيئة الأطباء</v>
      </c>
      <c r="E1520" s="5" t="str">
        <f ca="1">IFERROR(__xludf.DUMMYFUNCTION("""COMPUTED_VALUE"""),"جراحة")</f>
        <v>جراحة</v>
      </c>
      <c r="F1520" s="5" t="str">
        <f ca="1">IFERROR(__xludf.DUMMYFUNCTION("""COMPUTED_VALUE"""),"جراحة عامة")</f>
        <v>جراحة عامة</v>
      </c>
      <c r="G1520" s="5" t="str">
        <f ca="1">IFERROR(__xludf.DUMMYFUNCTION("""COMPUTED_VALUE"""),"د/ اشرف الخولي احمد محمد")</f>
        <v>د/ اشرف الخولي احمد محمد</v>
      </c>
      <c r="H1520" s="5" t="str">
        <f ca="1">IFERROR(__xludf.DUMMYFUNCTION("""COMPUTED_VALUE"""),"44 شارع الهرم الرئيسي - محطه الوفاء والامل - الهرم - الجيزه")</f>
        <v>44 شارع الهرم الرئيسي - محطه الوفاء والامل - الهرم - الجيزه</v>
      </c>
      <c r="I1520" s="6" t="str">
        <f ca="1">IFERROR(__xludf.DUMMYFUNCTION("""COMPUTED_VALUE"""),"33827077")</f>
        <v>33827077</v>
      </c>
      <c r="J1520" s="6"/>
      <c r="K1520" s="6" t="str">
        <f ca="1">IFERROR(__xludf.DUMMYFUNCTION("""COMPUTED_VALUE"""),"50% علي الكشف و 25% علي باقي الخدمات")</f>
        <v>50% علي الكشف و 25% علي باقي الخدمات</v>
      </c>
    </row>
    <row r="1521" spans="1:11" x14ac:dyDescent="0.25">
      <c r="A1521" s="4" t="str">
        <f ca="1">IFERROR(__xludf.DUMMYFUNCTION("""COMPUTED_VALUE"""),"105972")</f>
        <v>105972</v>
      </c>
      <c r="B1521" s="5" t="str">
        <f ca="1">IFERROR(__xludf.DUMMYFUNCTION("""COMPUTED_VALUE"""),"قنا")</f>
        <v>قنا</v>
      </c>
      <c r="C1521" s="5" t="str">
        <f ca="1">IFERROR(__xludf.DUMMYFUNCTION("""COMPUTED_VALUE"""),"قنا")</f>
        <v>قنا</v>
      </c>
      <c r="D1521" s="5" t="str">
        <f ca="1">IFERROR(__xludf.DUMMYFUNCTION("""COMPUTED_VALUE"""),"معمل")</f>
        <v>معمل</v>
      </c>
      <c r="E1521" s="5" t="str">
        <f ca="1">IFERROR(__xludf.DUMMYFUNCTION("""COMPUTED_VALUE"""),"معمل")</f>
        <v>معمل</v>
      </c>
      <c r="F1521" s="5" t="str">
        <f ca="1">IFERROR(__xludf.DUMMYFUNCTION("""COMPUTED_VALUE"""),"معمل التحاليل الطبية")</f>
        <v>معمل التحاليل الطبية</v>
      </c>
      <c r="G1521" s="5" t="str">
        <f ca="1">IFERROR(__xludf.DUMMYFUNCTION("""COMPUTED_VALUE"""),"د/ احمد عبدالماجد محمد محمد وشريكه ( معامل ابن سينا للتحاليل الطبيه )")</f>
        <v>د/ احمد عبدالماجد محمد محمد وشريكه ( معامل ابن سينا للتحاليل الطبيه )</v>
      </c>
      <c r="H1521" s="5" t="str">
        <f ca="1">IFERROR(__xludf.DUMMYFUNCTION("""COMPUTED_VALUE"""),"شارع الجمهوريه - برج الجمهوريه - قنا")</f>
        <v>شارع الجمهوريه - برج الجمهوريه - قنا</v>
      </c>
      <c r="I1521" s="6" t="str">
        <f ca="1">IFERROR(__xludf.DUMMYFUNCTION("""COMPUTED_VALUE"""),"01011954499")</f>
        <v>01011954499</v>
      </c>
      <c r="J1521" s="6"/>
      <c r="K1521" s="6" t="str">
        <f ca="1">IFERROR(__xludf.DUMMYFUNCTION("""COMPUTED_VALUE"""),"خصم 40% علي الأسعار النقدي المعلنة")</f>
        <v>خصم 40% علي الأسعار النقدي المعلنة</v>
      </c>
    </row>
    <row r="1522" spans="1:11" x14ac:dyDescent="0.25">
      <c r="A1522" s="4" t="str">
        <f ca="1">IFERROR(__xludf.DUMMYFUNCTION("""COMPUTED_VALUE"""),"105350-B")</f>
        <v>105350-B</v>
      </c>
      <c r="B1522" s="5" t="str">
        <f ca="1">IFERROR(__xludf.DUMMYFUNCTION("""COMPUTED_VALUE"""),"القاهرة")</f>
        <v>القاهرة</v>
      </c>
      <c r="C1522" s="5" t="str">
        <f ca="1">IFERROR(__xludf.DUMMYFUNCTION("""COMPUTED_VALUE"""),"مدينة نصر")</f>
        <v>مدينة نصر</v>
      </c>
      <c r="D1522" s="5" t="str">
        <f ca="1">IFERROR(__xludf.DUMMYFUNCTION("""COMPUTED_VALUE"""),"صيدلية")</f>
        <v>صيدلية</v>
      </c>
      <c r="E1522" s="5" t="str">
        <f ca="1">IFERROR(__xludf.DUMMYFUNCTION("""COMPUTED_VALUE"""),"صيدلية")</f>
        <v>صيدلية</v>
      </c>
      <c r="F1522" s="5" t="str">
        <f ca="1">IFERROR(__xludf.DUMMYFUNCTION("""COMPUTED_VALUE"""),"صيدلية (أدوية ومستلزمات طبية)")</f>
        <v>صيدلية (أدوية ومستلزمات طبية)</v>
      </c>
      <c r="G1522" s="5" t="str">
        <f ca="1">IFERROR(__xludf.DUMMYFUNCTION("""COMPUTED_VALUE"""),"صيدليات صحة أهل مصر")</f>
        <v>صيدليات صحة أهل مصر</v>
      </c>
      <c r="H1522" s="5" t="str">
        <f ca="1">IFERROR(__xludf.DUMMYFUNCTION("""COMPUTED_VALUE"""),"2 عمارات اول مايو - شارع النصر - مدينه نصر")</f>
        <v>2 عمارات اول مايو - شارع النصر - مدينه نصر</v>
      </c>
      <c r="I1522" s="6" t="str">
        <f ca="1">IFERROR(__xludf.DUMMYFUNCTION("""COMPUTED_VALUE"""),"01022000523")</f>
        <v>01022000523</v>
      </c>
      <c r="J1522" s="6"/>
      <c r="K1522" s="6" t="str">
        <f ca="1">IFERROR(__xludf.DUMMYFUNCTION("""COMPUTED_VALUE"""),"10% على المحلى ,5% على المسورد")</f>
        <v>10% على المحلى ,5% على المسورد</v>
      </c>
    </row>
    <row r="1523" spans="1:11" x14ac:dyDescent="0.25">
      <c r="A1523" s="4" t="str">
        <f ca="1">IFERROR(__xludf.DUMMYFUNCTION("""COMPUTED_VALUE"""),"105978")</f>
        <v>105978</v>
      </c>
      <c r="B1523" s="5" t="str">
        <f ca="1">IFERROR(__xludf.DUMMYFUNCTION("""COMPUTED_VALUE"""),"الدقهلية")</f>
        <v>الدقهلية</v>
      </c>
      <c r="C1523" s="5" t="str">
        <f ca="1">IFERROR(__xludf.DUMMYFUNCTION("""COMPUTED_VALUE"""),"المنزلة")</f>
        <v>المنزلة</v>
      </c>
      <c r="D1523" s="5" t="str">
        <f ca="1">IFERROR(__xludf.DUMMYFUNCTION("""COMPUTED_VALUE"""),"صيدلية")</f>
        <v>صيدلية</v>
      </c>
      <c r="E1523" s="5" t="str">
        <f ca="1">IFERROR(__xludf.DUMMYFUNCTION("""COMPUTED_VALUE"""),"صيدلية")</f>
        <v>صيدلية</v>
      </c>
      <c r="F1523" s="5" t="str">
        <f ca="1">IFERROR(__xludf.DUMMYFUNCTION("""COMPUTED_VALUE"""),"صيدلية (أدوية ومستلزمات طبية)")</f>
        <v>صيدلية (أدوية ومستلزمات طبية)</v>
      </c>
      <c r="G1523" s="5" t="str">
        <f ca="1">IFERROR(__xludf.DUMMYFUNCTION("""COMPUTED_VALUE"""),"صيدليه د. سامح محمد نصر الدين سعده")</f>
        <v>صيدليه د. سامح محمد نصر الدين سعده</v>
      </c>
      <c r="H1523" s="5" t="str">
        <f ca="1">IFERROR(__xludf.DUMMYFUNCTION("""COMPUTED_VALUE"""),"حي السلام - العصافره - المطريه - الدقهليه ")</f>
        <v xml:space="preserve">حي السلام - العصافره - المطريه - الدقهليه </v>
      </c>
      <c r="I1523" s="6" t="str">
        <f ca="1">IFERROR(__xludf.DUMMYFUNCTION("""COMPUTED_VALUE"""),"01022223767")</f>
        <v>01022223767</v>
      </c>
      <c r="J1523" s="6"/>
      <c r="K1523" s="6" t="str">
        <f ca="1">IFERROR(__xludf.DUMMYFUNCTION("""COMPUTED_VALUE"""),"15% علي المحلي 10% علي المستورد")</f>
        <v>15% علي المحلي 10% علي المستورد</v>
      </c>
    </row>
    <row r="1524" spans="1:11" x14ac:dyDescent="0.25">
      <c r="A1524" s="4" t="str">
        <f ca="1">IFERROR(__xludf.DUMMYFUNCTION("""COMPUTED_VALUE"""),"3625-B")</f>
        <v>3625-B</v>
      </c>
      <c r="B1524" s="5" t="str">
        <f ca="1">IFERROR(__xludf.DUMMYFUNCTION("""COMPUTED_VALUE"""),"القاهرة")</f>
        <v>القاهرة</v>
      </c>
      <c r="C1524" s="5" t="str">
        <f ca="1">IFERROR(__xludf.DUMMYFUNCTION("""COMPUTED_VALUE"""),"حلمية الزيتون")</f>
        <v>حلمية الزيتون</v>
      </c>
      <c r="D1524" s="5" t="str">
        <f ca="1">IFERROR(__xludf.DUMMYFUNCTION("""COMPUTED_VALUE"""),"مركز أشعة")</f>
        <v>مركز أشعة</v>
      </c>
      <c r="E1524" s="5" t="str">
        <f ca="1">IFERROR(__xludf.DUMMYFUNCTION("""COMPUTED_VALUE"""),"مركز أشعة")</f>
        <v>مركز أشعة</v>
      </c>
      <c r="F1524" s="5" t="str">
        <f ca="1">IFERROR(__xludf.DUMMYFUNCTION("""COMPUTED_VALUE"""),"مركز الأشعة التشخيصية")</f>
        <v>مركز الأشعة التشخيصية</v>
      </c>
      <c r="G1524" s="5" t="str">
        <f ca="1">IFERROR(__xludf.DUMMYFUNCTION("""COMPUTED_VALUE"""),"مركز سيتي سكان للأشعة")</f>
        <v>مركز سيتي سكان للأشعة</v>
      </c>
      <c r="H1524" s="5" t="str">
        <f ca="1">IFERROR(__xludf.DUMMYFUNCTION("""COMPUTED_VALUE"""),"86 شارع سليم الاول- امام مستشفى الحلميه العسكرى - حلميه الزيتون")</f>
        <v>86 شارع سليم الاول- امام مستشفى الحلميه العسكرى - حلميه الزيتون</v>
      </c>
      <c r="I1524" s="6" t="str">
        <f ca="1">IFERROR(__xludf.DUMMYFUNCTION("""COMPUTED_VALUE"""),"20226435460")</f>
        <v>20226435460</v>
      </c>
      <c r="J1524" s="6"/>
      <c r="K1524" s="6" t="str">
        <f ca="1">IFERROR(__xludf.DUMMYFUNCTION("""COMPUTED_VALUE"""),"20% على الاشعة المقطعية ,30% على اشعة الرنين ,50% على اشعة السونار ,قمية الاشعة العادية 100, ما عدا صبغة الرنين المغناطيسى")</f>
        <v>20% على الاشعة المقطعية ,30% على اشعة الرنين ,50% على اشعة السونار ,قمية الاشعة العادية 100, ما عدا صبغة الرنين المغناطيسى</v>
      </c>
    </row>
    <row r="1525" spans="1:11" x14ac:dyDescent="0.25">
      <c r="A1525" s="4" t="str">
        <f ca="1">IFERROR(__xludf.DUMMYFUNCTION("""COMPUTED_VALUE"""),"1816-B")</f>
        <v>1816-B</v>
      </c>
      <c r="B1525" s="5" t="str">
        <f ca="1">IFERROR(__xludf.DUMMYFUNCTION("""COMPUTED_VALUE"""),"القاهرة")</f>
        <v>القاهرة</v>
      </c>
      <c r="C1525" s="5" t="str">
        <f ca="1">IFERROR(__xludf.DUMMYFUNCTION("""COMPUTED_VALUE"""),"مدينة نصر")</f>
        <v>مدينة نصر</v>
      </c>
      <c r="D1525" s="5" t="str">
        <f ca="1">IFERROR(__xludf.DUMMYFUNCTION("""COMPUTED_VALUE"""),"معمل")</f>
        <v>معمل</v>
      </c>
      <c r="E1525" s="5" t="str">
        <f ca="1">IFERROR(__xludf.DUMMYFUNCTION("""COMPUTED_VALUE"""),"معمل")</f>
        <v>معمل</v>
      </c>
      <c r="F1525" s="5" t="str">
        <f ca="1">IFERROR(__xludf.DUMMYFUNCTION("""COMPUTED_VALUE"""),"معمل التحاليل الطبية")</f>
        <v>معمل التحاليل الطبية</v>
      </c>
      <c r="G1525" s="5" t="str">
        <f ca="1">IFERROR(__xludf.DUMMYFUNCTION("""COMPUTED_VALUE"""),"معامل ميترا")</f>
        <v>معامل ميترا</v>
      </c>
      <c r="H1525" s="5" t="str">
        <f ca="1">IFERROR(__xludf.DUMMYFUNCTION("""COMPUTED_VALUE"""),"6شارع محمد مهدي عرفه متفرع من شارع أحمد الزمر - الحي العاشر -مدينه نصر -
")</f>
        <v xml:space="preserve">6شارع محمد مهدي عرفه متفرع من شارع أحمد الزمر - الحي العاشر -مدينه نصر -
</v>
      </c>
      <c r="I1525" s="6" t="str">
        <f ca="1">IFERROR(__xludf.DUMMYFUNCTION("""COMPUTED_VALUE"""),"1050407150")</f>
        <v>1050407150</v>
      </c>
      <c r="J1525" s="6"/>
      <c r="K1525" s="6" t="str">
        <f ca="1">IFERROR(__xludf.DUMMYFUNCTION("""COMPUTED_VALUE"""),"خصم 40% علي الاسعار النقدي")</f>
        <v>خصم 40% علي الاسعار النقدي</v>
      </c>
    </row>
    <row r="1526" spans="1:11" x14ac:dyDescent="0.25">
      <c r="A1526" s="4" t="str">
        <f ca="1">IFERROR(__xludf.DUMMYFUNCTION("""COMPUTED_VALUE"""),"1816-B")</f>
        <v>1816-B</v>
      </c>
      <c r="B1526" s="5" t="str">
        <f ca="1">IFERROR(__xludf.DUMMYFUNCTION("""COMPUTED_VALUE"""),"الجيزة")</f>
        <v>الجيزة</v>
      </c>
      <c r="C1526" s="5" t="str">
        <f ca="1">IFERROR(__xludf.DUMMYFUNCTION("""COMPUTED_VALUE"""),"الدقي")</f>
        <v>الدقي</v>
      </c>
      <c r="D1526" s="5" t="str">
        <f ca="1">IFERROR(__xludf.DUMMYFUNCTION("""COMPUTED_VALUE"""),"معمل")</f>
        <v>معمل</v>
      </c>
      <c r="E1526" s="5" t="str">
        <f ca="1">IFERROR(__xludf.DUMMYFUNCTION("""COMPUTED_VALUE"""),"معمل")</f>
        <v>معمل</v>
      </c>
      <c r="F1526" s="5" t="str">
        <f ca="1">IFERROR(__xludf.DUMMYFUNCTION("""COMPUTED_VALUE"""),"معمل التحاليل الطبية")</f>
        <v>معمل التحاليل الطبية</v>
      </c>
      <c r="G1526" s="5" t="str">
        <f ca="1">IFERROR(__xludf.DUMMYFUNCTION("""COMPUTED_VALUE"""),"معامل ميترا")</f>
        <v>معامل ميترا</v>
      </c>
      <c r="H1526" s="5" t="str">
        <f ca="1">IFERROR(__xludf.DUMMYFUNCTION("""COMPUTED_VALUE"""),"شارع التحرير الدقي – عقار 131 الدور الثاني – أعلي بنك الاسكندريه 
")</f>
        <v xml:space="preserve">شارع التحرير الدقي – عقار 131 الدور الثاني – أعلي بنك الاسكندريه 
</v>
      </c>
      <c r="I1526" s="6" t="str">
        <f ca="1">IFERROR(__xludf.DUMMYFUNCTION("""COMPUTED_VALUE"""),"1030863330")</f>
        <v>1030863330</v>
      </c>
      <c r="J1526" s="6" t="str">
        <f ca="1">IFERROR(__xludf.DUMMYFUNCTION("""COMPUTED_VALUE"""),"15232")</f>
        <v>15232</v>
      </c>
      <c r="K1526" s="6" t="str">
        <f ca="1">IFERROR(__xludf.DUMMYFUNCTION("""COMPUTED_VALUE"""),"خصم 40% علي الاسعار النقدي")</f>
        <v>خصم 40% علي الاسعار النقدي</v>
      </c>
    </row>
    <row r="1527" spans="1:11" x14ac:dyDescent="0.25">
      <c r="A1527" s="4" t="str">
        <f ca="1">IFERROR(__xludf.DUMMYFUNCTION("""COMPUTED_VALUE"""),"1816-B")</f>
        <v>1816-B</v>
      </c>
      <c r="B1527" s="5" t="str">
        <f ca="1">IFERROR(__xludf.DUMMYFUNCTION("""COMPUTED_VALUE"""),"الجيزة")</f>
        <v>الجيزة</v>
      </c>
      <c r="C1527" s="5" t="str">
        <f ca="1">IFERROR(__xludf.DUMMYFUNCTION("""COMPUTED_VALUE"""),"السادس من اكتوبر")</f>
        <v>السادس من اكتوبر</v>
      </c>
      <c r="D1527" s="5" t="str">
        <f ca="1">IFERROR(__xludf.DUMMYFUNCTION("""COMPUTED_VALUE"""),"معمل")</f>
        <v>معمل</v>
      </c>
      <c r="E1527" s="5" t="str">
        <f ca="1">IFERROR(__xludf.DUMMYFUNCTION("""COMPUTED_VALUE"""),"معمل")</f>
        <v>معمل</v>
      </c>
      <c r="F1527" s="5" t="str">
        <f ca="1">IFERROR(__xludf.DUMMYFUNCTION("""COMPUTED_VALUE"""),"معمل التحاليل الطبية")</f>
        <v>معمل التحاليل الطبية</v>
      </c>
      <c r="G1527" s="5" t="str">
        <f ca="1">IFERROR(__xludf.DUMMYFUNCTION("""COMPUTED_VALUE"""),"معامل ميترا")</f>
        <v>معامل ميترا</v>
      </c>
      <c r="H1527" s="5" t="str">
        <f ca="1">IFERROR(__xludf.DUMMYFUNCTION("""COMPUTED_VALUE"""),"مدينة 6 أكتوبر - بجوار مسجد الحصري - برج رقم 2 ابراج برعي بلازا - شقه رقم 10
")</f>
        <v xml:space="preserve">مدينة 6 أكتوبر - بجوار مسجد الحصري - برج رقم 2 ابراج برعي بلازا - شقه رقم 10
</v>
      </c>
      <c r="I1527" s="6" t="str">
        <f ca="1">IFERROR(__xludf.DUMMYFUNCTION("""COMPUTED_VALUE"""),"1050407152")</f>
        <v>1050407152</v>
      </c>
      <c r="J1527" s="6"/>
      <c r="K1527" s="6" t="str">
        <f ca="1">IFERROR(__xludf.DUMMYFUNCTION("""COMPUTED_VALUE"""),"خصم 40% علي الاسعار النقدي")</f>
        <v>خصم 40% علي الاسعار النقدي</v>
      </c>
    </row>
    <row r="1528" spans="1:11" x14ac:dyDescent="0.25">
      <c r="A1528" s="4" t="str">
        <f ca="1">IFERROR(__xludf.DUMMYFUNCTION("""COMPUTED_VALUE"""),"1816-B")</f>
        <v>1816-B</v>
      </c>
      <c r="B1528" s="5" t="str">
        <f ca="1">IFERROR(__xludf.DUMMYFUNCTION("""COMPUTED_VALUE"""),"القاهرة")</f>
        <v>القاهرة</v>
      </c>
      <c r="C1528" s="5" t="str">
        <f ca="1">IFERROR(__xludf.DUMMYFUNCTION("""COMPUTED_VALUE"""),"عين شمس")</f>
        <v>عين شمس</v>
      </c>
      <c r="D1528" s="5" t="str">
        <f ca="1">IFERROR(__xludf.DUMMYFUNCTION("""COMPUTED_VALUE"""),"معمل")</f>
        <v>معمل</v>
      </c>
      <c r="E1528" s="5" t="str">
        <f ca="1">IFERROR(__xludf.DUMMYFUNCTION("""COMPUTED_VALUE"""),"معمل")</f>
        <v>معمل</v>
      </c>
      <c r="F1528" s="5" t="str">
        <f ca="1">IFERROR(__xludf.DUMMYFUNCTION("""COMPUTED_VALUE"""),"معمل التحاليل الطبية")</f>
        <v>معمل التحاليل الطبية</v>
      </c>
      <c r="G1528" s="5" t="str">
        <f ca="1">IFERROR(__xludf.DUMMYFUNCTION("""COMPUTED_VALUE"""),"معامل ميترا")</f>
        <v>معامل ميترا</v>
      </c>
      <c r="H1528" s="5" t="str">
        <f ca="1">IFERROR(__xludf.DUMMYFUNCTION("""COMPUTED_VALUE"""),"عقار رقم 116 أ الدور التاني شارع جسر السويس – ميدان الف مسكن  - قسم عين شمس
")</f>
        <v xml:space="preserve">عقار رقم 116 أ الدور التاني شارع جسر السويس – ميدان الف مسكن  - قسم عين شمس
</v>
      </c>
      <c r="I1528" s="6" t="str">
        <f ca="1">IFERROR(__xludf.DUMMYFUNCTION("""COMPUTED_VALUE"""),"201000172408")</f>
        <v>201000172408</v>
      </c>
      <c r="J1528" s="6"/>
      <c r="K1528" s="6" t="str">
        <f ca="1">IFERROR(__xludf.DUMMYFUNCTION("""COMPUTED_VALUE"""),"خصم 40% علي الاسعار النقدي")</f>
        <v>خصم 40% علي الاسعار النقدي</v>
      </c>
    </row>
    <row r="1529" spans="1:11" x14ac:dyDescent="0.25">
      <c r="A1529" s="4" t="str">
        <f ca="1">IFERROR(__xludf.DUMMYFUNCTION("""COMPUTED_VALUE"""),"1816-B")</f>
        <v>1816-B</v>
      </c>
      <c r="B1529" s="5" t="str">
        <f ca="1">IFERROR(__xludf.DUMMYFUNCTION("""COMPUTED_VALUE"""),"الاسكندرية")</f>
        <v>الاسكندرية</v>
      </c>
      <c r="C1529" s="5" t="str">
        <f ca="1">IFERROR(__xludf.DUMMYFUNCTION("""COMPUTED_VALUE"""),"ميامي")</f>
        <v>ميامي</v>
      </c>
      <c r="D1529" s="5" t="str">
        <f ca="1">IFERROR(__xludf.DUMMYFUNCTION("""COMPUTED_VALUE"""),"معمل")</f>
        <v>معمل</v>
      </c>
      <c r="E1529" s="5" t="str">
        <f ca="1">IFERROR(__xludf.DUMMYFUNCTION("""COMPUTED_VALUE"""),"معمل")</f>
        <v>معمل</v>
      </c>
      <c r="F1529" s="5" t="str">
        <f ca="1">IFERROR(__xludf.DUMMYFUNCTION("""COMPUTED_VALUE"""),"معمل التحاليل الطبية")</f>
        <v>معمل التحاليل الطبية</v>
      </c>
      <c r="G1529" s="5" t="str">
        <f ca="1">IFERROR(__xludf.DUMMYFUNCTION("""COMPUTED_VALUE"""),"معامل ميترا")</f>
        <v>معامل ميترا</v>
      </c>
      <c r="H1529" s="5" t="str">
        <f ca="1">IFERROR(__xludf.DUMMYFUNCTION("""COMPUTED_VALUE"""),"شارع جمال عبد الناصر دوران جيهان – بجوار مستشفي المدينه المنوره – برج الصفوه
")</f>
        <v xml:space="preserve">شارع جمال عبد الناصر دوران جيهان – بجوار مستشفي المدينه المنوره – برج الصفوه
</v>
      </c>
      <c r="I1529" s="6" t="str">
        <f ca="1">IFERROR(__xludf.DUMMYFUNCTION("""COMPUTED_VALUE"""),"1050407161")</f>
        <v>1050407161</v>
      </c>
      <c r="J1529" s="6" t="str">
        <f ca="1">IFERROR(__xludf.DUMMYFUNCTION("""COMPUTED_VALUE"""),"15232")</f>
        <v>15232</v>
      </c>
      <c r="K1529" s="6" t="str">
        <f ca="1">IFERROR(__xludf.DUMMYFUNCTION("""COMPUTED_VALUE"""),"خصم 40% علي الاسعار النقدي")</f>
        <v>خصم 40% علي الاسعار النقدي</v>
      </c>
    </row>
    <row r="1530" spans="1:11" x14ac:dyDescent="0.25">
      <c r="A1530" s="4" t="str">
        <f ca="1">IFERROR(__xludf.DUMMYFUNCTION("""COMPUTED_VALUE"""),"1816-B")</f>
        <v>1816-B</v>
      </c>
      <c r="B1530" s="5" t="str">
        <f ca="1">IFERROR(__xludf.DUMMYFUNCTION("""COMPUTED_VALUE"""),"الدقهلية")</f>
        <v>الدقهلية</v>
      </c>
      <c r="C1530" s="5" t="str">
        <f ca="1">IFERROR(__xludf.DUMMYFUNCTION("""COMPUTED_VALUE"""),"المنصورة")</f>
        <v>المنصورة</v>
      </c>
      <c r="D1530" s="5" t="str">
        <f ca="1">IFERROR(__xludf.DUMMYFUNCTION("""COMPUTED_VALUE"""),"معمل")</f>
        <v>معمل</v>
      </c>
      <c r="E1530" s="5" t="str">
        <f ca="1">IFERROR(__xludf.DUMMYFUNCTION("""COMPUTED_VALUE"""),"معمل")</f>
        <v>معمل</v>
      </c>
      <c r="F1530" s="5" t="str">
        <f ca="1">IFERROR(__xludf.DUMMYFUNCTION("""COMPUTED_VALUE"""),"معمل التحاليل الطبية")</f>
        <v>معمل التحاليل الطبية</v>
      </c>
      <c r="G1530" s="5" t="str">
        <f ca="1">IFERROR(__xludf.DUMMYFUNCTION("""COMPUTED_VALUE"""),"معامل ميترا")</f>
        <v>معامل ميترا</v>
      </c>
      <c r="H1530" s="5" t="str">
        <f ca="1">IFERROR(__xludf.DUMMYFUNCTION("""COMPUTED_VALUE"""),"شارع بنك مصر تقاطع شارع صيام برج الراضى - الدورالاول علوي
")</f>
        <v xml:space="preserve">شارع بنك مصر تقاطع شارع صيام برج الراضى - الدورالاول علوي
</v>
      </c>
      <c r="I1530" s="6" t="str">
        <f ca="1">IFERROR(__xludf.DUMMYFUNCTION("""COMPUTED_VALUE"""),"1006679499")</f>
        <v>1006679499</v>
      </c>
      <c r="J1530" s="6" t="str">
        <f ca="1">IFERROR(__xludf.DUMMYFUNCTION("""COMPUTED_VALUE"""),"15232")</f>
        <v>15232</v>
      </c>
      <c r="K1530" s="6" t="str">
        <f ca="1">IFERROR(__xludf.DUMMYFUNCTION("""COMPUTED_VALUE"""),"خصم 40% علي الاسعار النقدي")</f>
        <v>خصم 40% علي الاسعار النقدي</v>
      </c>
    </row>
    <row r="1531" spans="1:11" x14ac:dyDescent="0.25">
      <c r="A1531" s="4" t="str">
        <f ca="1">IFERROR(__xludf.DUMMYFUNCTION("""COMPUTED_VALUE"""),"1816-B")</f>
        <v>1816-B</v>
      </c>
      <c r="B1531" s="5" t="str">
        <f ca="1">IFERROR(__xludf.DUMMYFUNCTION("""COMPUTED_VALUE"""),"دمياط")</f>
        <v>دمياط</v>
      </c>
      <c r="C1531" s="5" t="str">
        <f ca="1">IFERROR(__xludf.DUMMYFUNCTION("""COMPUTED_VALUE"""),"دمياط")</f>
        <v>دمياط</v>
      </c>
      <c r="D1531" s="5" t="str">
        <f ca="1">IFERROR(__xludf.DUMMYFUNCTION("""COMPUTED_VALUE"""),"معمل")</f>
        <v>معمل</v>
      </c>
      <c r="E1531" s="5" t="str">
        <f ca="1">IFERROR(__xludf.DUMMYFUNCTION("""COMPUTED_VALUE"""),"معمل")</f>
        <v>معمل</v>
      </c>
      <c r="F1531" s="5" t="str">
        <f ca="1">IFERROR(__xludf.DUMMYFUNCTION("""COMPUTED_VALUE"""),"معمل التحاليل الطبية")</f>
        <v>معمل التحاليل الطبية</v>
      </c>
      <c r="G1531" s="5" t="str">
        <f ca="1">IFERROR(__xludf.DUMMYFUNCTION("""COMPUTED_VALUE"""),"معامل ميترا")</f>
        <v>معامل ميترا</v>
      </c>
      <c r="H1531" s="5" t="str">
        <f ca="1">IFERROR(__xludf.DUMMYFUNCTION("""COMPUTED_VALUE"""),"شارع هلالي أمام برتخ للأدوات الكهربائيه")</f>
        <v>شارع هلالي أمام برتخ للأدوات الكهربائيه</v>
      </c>
      <c r="I1531" s="6" t="str">
        <f ca="1">IFERROR(__xludf.DUMMYFUNCTION("""COMPUTED_VALUE"""),"573455162")</f>
        <v>573455162</v>
      </c>
      <c r="J1531" s="6" t="str">
        <f ca="1">IFERROR(__xludf.DUMMYFUNCTION("""COMPUTED_VALUE"""),"15232")</f>
        <v>15232</v>
      </c>
      <c r="K1531" s="6" t="str">
        <f ca="1">IFERROR(__xludf.DUMMYFUNCTION("""COMPUTED_VALUE"""),"خصم 40% علي الاسعار النقدي")</f>
        <v>خصم 40% علي الاسعار النقدي</v>
      </c>
    </row>
    <row r="1532" spans="1:11" x14ac:dyDescent="0.25">
      <c r="A1532" s="4" t="str">
        <f ca="1">IFERROR(__xludf.DUMMYFUNCTION("""COMPUTED_VALUE"""),"1816-B")</f>
        <v>1816-B</v>
      </c>
      <c r="B1532" s="5" t="str">
        <f ca="1">IFERROR(__xludf.DUMMYFUNCTION("""COMPUTED_VALUE"""),"البحر الاحمر")</f>
        <v>البحر الاحمر</v>
      </c>
      <c r="C1532" s="5" t="str">
        <f ca="1">IFERROR(__xludf.DUMMYFUNCTION("""COMPUTED_VALUE"""),"الغردقة")</f>
        <v>الغردقة</v>
      </c>
      <c r="D1532" s="5" t="str">
        <f ca="1">IFERROR(__xludf.DUMMYFUNCTION("""COMPUTED_VALUE"""),"معمل")</f>
        <v>معمل</v>
      </c>
      <c r="E1532" s="5" t="str">
        <f ca="1">IFERROR(__xludf.DUMMYFUNCTION("""COMPUTED_VALUE"""),"معمل")</f>
        <v>معمل</v>
      </c>
      <c r="F1532" s="5" t="str">
        <f ca="1">IFERROR(__xludf.DUMMYFUNCTION("""COMPUTED_VALUE"""),"معمل التحاليل الطبية")</f>
        <v>معمل التحاليل الطبية</v>
      </c>
      <c r="G1532" s="5" t="str">
        <f ca="1">IFERROR(__xludf.DUMMYFUNCTION("""COMPUTED_VALUE"""),"معامل ميترا")</f>
        <v>معامل ميترا</v>
      </c>
      <c r="H1532" s="5" t="str">
        <f ca="1">IFERROR(__xludf.DUMMYFUNCTION("""COMPUTED_VALUE"""),"16 منطقه الدهار- شارع النصر أمام مجمع المحاكم ")</f>
        <v xml:space="preserve">16 منطقه الدهار- شارع النصر أمام مجمع المحاكم </v>
      </c>
      <c r="I1532" s="6" t="str">
        <f ca="1">IFERROR(__xludf.DUMMYFUNCTION("""COMPUTED_VALUE"""),"1050407150")</f>
        <v>1050407150</v>
      </c>
      <c r="J1532" s="6" t="str">
        <f ca="1">IFERROR(__xludf.DUMMYFUNCTION("""COMPUTED_VALUE"""),"15232")</f>
        <v>15232</v>
      </c>
      <c r="K1532" s="6" t="str">
        <f ca="1">IFERROR(__xludf.DUMMYFUNCTION("""COMPUTED_VALUE"""),"خصم 40% علي الاسعار النقدي")</f>
        <v>خصم 40% علي الاسعار النقدي</v>
      </c>
    </row>
    <row r="1533" spans="1:11" x14ac:dyDescent="0.25">
      <c r="A1533" s="4" t="str">
        <f ca="1">IFERROR(__xludf.DUMMYFUNCTION("""COMPUTED_VALUE"""),"1816-B")</f>
        <v>1816-B</v>
      </c>
      <c r="B1533" s="5" t="str">
        <f ca="1">IFERROR(__xludf.DUMMYFUNCTION("""COMPUTED_VALUE"""),"الشرقية")</f>
        <v>الشرقية</v>
      </c>
      <c r="C1533" s="5" t="str">
        <f ca="1">IFERROR(__xludf.DUMMYFUNCTION("""COMPUTED_VALUE"""),"الزقازيق")</f>
        <v>الزقازيق</v>
      </c>
      <c r="D1533" s="5" t="str">
        <f ca="1">IFERROR(__xludf.DUMMYFUNCTION("""COMPUTED_VALUE"""),"معمل")</f>
        <v>معمل</v>
      </c>
      <c r="E1533" s="5" t="str">
        <f ca="1">IFERROR(__xludf.DUMMYFUNCTION("""COMPUTED_VALUE"""),"معمل")</f>
        <v>معمل</v>
      </c>
      <c r="F1533" s="5" t="str">
        <f ca="1">IFERROR(__xludf.DUMMYFUNCTION("""COMPUTED_VALUE"""),"معمل التحاليل الطبية")</f>
        <v>معمل التحاليل الطبية</v>
      </c>
      <c r="G1533" s="5" t="str">
        <f ca="1">IFERROR(__xludf.DUMMYFUNCTION("""COMPUTED_VALUE"""),"معامل ميترا")</f>
        <v>معامل ميترا</v>
      </c>
      <c r="H1533" s="5" t="str">
        <f ca="1">IFERROR(__xludf.DUMMYFUNCTION("""COMPUTED_VALUE"""),"شارع موقف المنصوره أمام مستشفي حمدي السيد")</f>
        <v>شارع موقف المنصوره أمام مستشفي حمدي السيد</v>
      </c>
      <c r="I1533" s="6" t="str">
        <f ca="1">IFERROR(__xludf.DUMMYFUNCTION("""COMPUTED_VALUE"""),"1000197560")</f>
        <v>1000197560</v>
      </c>
      <c r="J1533" s="6"/>
      <c r="K1533" s="6" t="str">
        <f ca="1">IFERROR(__xludf.DUMMYFUNCTION("""COMPUTED_VALUE"""),"خصم 40% علي الاسعار النقدي")</f>
        <v>خصم 40% علي الاسعار النقدي</v>
      </c>
    </row>
    <row r="1534" spans="1:11" x14ac:dyDescent="0.25">
      <c r="A1534" s="4" t="str">
        <f ca="1">IFERROR(__xludf.DUMMYFUNCTION("""COMPUTED_VALUE"""),"1816-B")</f>
        <v>1816-B</v>
      </c>
      <c r="B1534" s="5" t="str">
        <f ca="1">IFERROR(__xludf.DUMMYFUNCTION("""COMPUTED_VALUE"""),"قنا")</f>
        <v>قنا</v>
      </c>
      <c r="C1534" s="5" t="str">
        <f ca="1">IFERROR(__xludf.DUMMYFUNCTION("""COMPUTED_VALUE"""),"قنا")</f>
        <v>قنا</v>
      </c>
      <c r="D1534" s="5" t="str">
        <f ca="1">IFERROR(__xludf.DUMMYFUNCTION("""COMPUTED_VALUE"""),"معمل")</f>
        <v>معمل</v>
      </c>
      <c r="E1534" s="5" t="str">
        <f ca="1">IFERROR(__xludf.DUMMYFUNCTION("""COMPUTED_VALUE"""),"معمل")</f>
        <v>معمل</v>
      </c>
      <c r="F1534" s="5" t="str">
        <f ca="1">IFERROR(__xludf.DUMMYFUNCTION("""COMPUTED_VALUE"""),"معمل التحاليل الطبية")</f>
        <v>معمل التحاليل الطبية</v>
      </c>
      <c r="G1534" s="5" t="str">
        <f ca="1">IFERROR(__xludf.DUMMYFUNCTION("""COMPUTED_VALUE"""),"معامل ميترا")</f>
        <v>معامل ميترا</v>
      </c>
      <c r="H1534" s="5" t="str">
        <f ca="1">IFERROR(__xludf.DUMMYFUNCTION("""COMPUTED_VALUE"""),"شارع كوبري دندره عماره ابن الهيثم أعلي توكيل ملابس ليوناردو  بعد المستشفي العام بقنا ")</f>
        <v xml:space="preserve">شارع كوبري دندره عماره ابن الهيثم أعلي توكيل ملابس ليوناردو  بعد المستشفي العام بقنا </v>
      </c>
      <c r="I1534" s="6"/>
      <c r="J1534" s="6" t="str">
        <f ca="1">IFERROR(__xludf.DUMMYFUNCTION("""COMPUTED_VALUE"""),"15232")</f>
        <v>15232</v>
      </c>
      <c r="K1534" s="6" t="str">
        <f ca="1">IFERROR(__xludf.DUMMYFUNCTION("""COMPUTED_VALUE"""),"خصم 40% علي الاسعار النقدي")</f>
        <v>خصم 40% علي الاسعار النقدي</v>
      </c>
    </row>
    <row r="1535" spans="1:11" x14ac:dyDescent="0.25">
      <c r="A1535" s="4" t="str">
        <f ca="1">IFERROR(__xludf.DUMMYFUNCTION("""COMPUTED_VALUE"""),"1816-B")</f>
        <v>1816-B</v>
      </c>
      <c r="B1535" s="5" t="str">
        <f ca="1">IFERROR(__xludf.DUMMYFUNCTION("""COMPUTED_VALUE"""),"بني سويف")</f>
        <v>بني سويف</v>
      </c>
      <c r="C1535" s="5" t="str">
        <f ca="1">IFERROR(__xludf.DUMMYFUNCTION("""COMPUTED_VALUE"""),"بني سويف")</f>
        <v>بني سويف</v>
      </c>
      <c r="D1535" s="5" t="str">
        <f ca="1">IFERROR(__xludf.DUMMYFUNCTION("""COMPUTED_VALUE"""),"معمل")</f>
        <v>معمل</v>
      </c>
      <c r="E1535" s="5" t="str">
        <f ca="1">IFERROR(__xludf.DUMMYFUNCTION("""COMPUTED_VALUE"""),"معمل")</f>
        <v>معمل</v>
      </c>
      <c r="F1535" s="5" t="str">
        <f ca="1">IFERROR(__xludf.DUMMYFUNCTION("""COMPUTED_VALUE"""),"معمل التحاليل الطبية")</f>
        <v>معمل التحاليل الطبية</v>
      </c>
      <c r="G1535" s="5" t="str">
        <f ca="1">IFERROR(__xludf.DUMMYFUNCTION("""COMPUTED_VALUE"""),"معامل ميترا")</f>
        <v>معامل ميترا</v>
      </c>
      <c r="H1535" s="5" t="str">
        <f ca="1">IFERROR(__xludf.DUMMYFUNCTION("""COMPUTED_VALUE"""),"الدور الاول علوي – شارع محمد حميده مع تقاطع شارع حافظ بندر بني سويف أمام بنك ناصر الاجتماعي ")</f>
        <v xml:space="preserve">الدور الاول علوي – شارع محمد حميده مع تقاطع شارع حافظ بندر بني سويف أمام بنك ناصر الاجتماعي </v>
      </c>
      <c r="I1535" s="6"/>
      <c r="J1535" s="6" t="str">
        <f ca="1">IFERROR(__xludf.DUMMYFUNCTION("""COMPUTED_VALUE"""),"15232")</f>
        <v>15232</v>
      </c>
      <c r="K1535" s="6" t="str">
        <f ca="1">IFERROR(__xludf.DUMMYFUNCTION("""COMPUTED_VALUE"""),"خصم 40% علي الاسعار النقدي")</f>
        <v>خصم 40% علي الاسعار النقدي</v>
      </c>
    </row>
    <row r="1536" spans="1:11" x14ac:dyDescent="0.25">
      <c r="A1536" s="4" t="str">
        <f ca="1">IFERROR(__xludf.DUMMYFUNCTION("""COMPUTED_VALUE"""),"2273-B")</f>
        <v>2273-B</v>
      </c>
      <c r="B1536" s="5" t="str">
        <f ca="1">IFERROR(__xludf.DUMMYFUNCTION("""COMPUTED_VALUE"""),"المنوفية")</f>
        <v>المنوفية</v>
      </c>
      <c r="C1536" s="5" t="str">
        <f ca="1">IFERROR(__xludf.DUMMYFUNCTION("""COMPUTED_VALUE"""),"شبين الكوم")</f>
        <v>شبين الكوم</v>
      </c>
      <c r="D1536" s="5" t="str">
        <f ca="1">IFERROR(__xludf.DUMMYFUNCTION("""COMPUTED_VALUE"""),"مركز أشعة")</f>
        <v>مركز أشعة</v>
      </c>
      <c r="E1536" s="5" t="str">
        <f ca="1">IFERROR(__xludf.DUMMYFUNCTION("""COMPUTED_VALUE"""),"مركز أشعة")</f>
        <v>مركز أشعة</v>
      </c>
      <c r="F1536" s="5" t="str">
        <f ca="1">IFERROR(__xludf.DUMMYFUNCTION("""COMPUTED_VALUE"""),"مركز الأشعة التشخيصية")</f>
        <v>مركز الأشعة التشخيصية</v>
      </c>
      <c r="G1536" s="5" t="str">
        <f ca="1">IFERROR(__xludf.DUMMYFUNCTION("""COMPUTED_VALUE"""),"تكنوسكان")</f>
        <v>تكنوسكان</v>
      </c>
      <c r="H1536" s="5" t="str">
        <f ca="1">IFERROR(__xludf.DUMMYFUNCTION("""COMPUTED_VALUE"""),"شارع طلعت حرب أمام المدرسة اليابانية أسفل مستشفى موده للعيون شبين الكوم")</f>
        <v>شارع طلعت حرب أمام المدرسة اليابانية أسفل مستشفى موده للعيون شبين الكوم</v>
      </c>
      <c r="I1536" s="6"/>
      <c r="J1536" s="6" t="str">
        <f ca="1">IFERROR(__xludf.DUMMYFUNCTION("""COMPUTED_VALUE"""),"19989")</f>
        <v>19989</v>
      </c>
      <c r="K1536" s="6" t="str">
        <f ca="1">IFERROR(__xludf.DUMMYFUNCTION("""COMPUTED_VALUE"""),"29% على جميع الخدمات")</f>
        <v>29% على جميع الخدمات</v>
      </c>
    </row>
    <row r="1537" spans="1:11" x14ac:dyDescent="0.25">
      <c r="A1537" s="4" t="str">
        <f ca="1">IFERROR(__xludf.DUMMYFUNCTION("""COMPUTED_VALUE"""),"105241-B")</f>
        <v>105241-B</v>
      </c>
      <c r="B1537" s="5" t="str">
        <f ca="1">IFERROR(__xludf.DUMMYFUNCTION("""COMPUTED_VALUE"""),"الجيزة")</f>
        <v>الجيزة</v>
      </c>
      <c r="C1537" s="5" t="str">
        <f ca="1">IFERROR(__xludf.DUMMYFUNCTION("""COMPUTED_VALUE"""),"البدرشين")</f>
        <v>البدرشين</v>
      </c>
      <c r="D1537" s="5" t="str">
        <f ca="1">IFERROR(__xludf.DUMMYFUNCTION("""COMPUTED_VALUE"""),"مركز أشعة")</f>
        <v>مركز أشعة</v>
      </c>
      <c r="E1537" s="5" t="str">
        <f ca="1">IFERROR(__xludf.DUMMYFUNCTION("""COMPUTED_VALUE"""),"مركز أشعة")</f>
        <v>مركز أشعة</v>
      </c>
      <c r="F1537" s="5" t="str">
        <f ca="1">IFERROR(__xludf.DUMMYFUNCTION("""COMPUTED_VALUE"""),"مركز الأشعة التشخيصية")</f>
        <v>مركز الأشعة التشخيصية</v>
      </c>
      <c r="G1537" s="5" t="str">
        <f ca="1">IFERROR(__xludf.DUMMYFUNCTION("""COMPUTED_VALUE"""),"شركة البوشى لادارة وتشغيل المراكز الطبية(مركز البوشى سكان للاشعة)")</f>
        <v>شركة البوشى لادارة وتشغيل المراكز الطبية(مركز البوشى سكان للاشعة)</v>
      </c>
      <c r="H1537" s="5" t="str">
        <f ca="1">IFERROR(__xludf.DUMMYFUNCTION("""COMPUTED_VALUE"""),"شارع النيل السعيد امام الموقف الاول")</f>
        <v>شارع النيل السعيد امام الموقف الاول</v>
      </c>
      <c r="I1537" s="6" t="str">
        <f ca="1">IFERROR(__xludf.DUMMYFUNCTION("""COMPUTED_VALUE"""),"01114449378")</f>
        <v>01114449378</v>
      </c>
      <c r="J1537" s="6"/>
      <c r="K1537" s="6" t="str">
        <f ca="1">IFERROR(__xludf.DUMMYFUNCTION("""COMPUTED_VALUE"""),"30% على كل الخدمات")</f>
        <v>30% على كل الخدمات</v>
      </c>
    </row>
    <row r="1538" spans="1:11" x14ac:dyDescent="0.25">
      <c r="A1538" s="4" t="str">
        <f ca="1">IFERROR(__xludf.DUMMYFUNCTION("""COMPUTED_VALUE"""),"104270-B")</f>
        <v>104270-B</v>
      </c>
      <c r="B1538" s="5" t="str">
        <f ca="1">IFERROR(__xludf.DUMMYFUNCTION("""COMPUTED_VALUE"""),"القليوبية")</f>
        <v>القليوبية</v>
      </c>
      <c r="C1538" s="5" t="str">
        <f ca="1">IFERROR(__xludf.DUMMYFUNCTION("""COMPUTED_VALUE"""),"بنها")</f>
        <v>بنها</v>
      </c>
      <c r="D1538" s="5" t="str">
        <f ca="1">IFERROR(__xludf.DUMMYFUNCTION("""COMPUTED_VALUE"""),"مركز أشعة")</f>
        <v>مركز أشعة</v>
      </c>
      <c r="E1538" s="5" t="str">
        <f ca="1">IFERROR(__xludf.DUMMYFUNCTION("""COMPUTED_VALUE"""),"مركز أشعة")</f>
        <v>مركز أشعة</v>
      </c>
      <c r="F1538" s="5" t="str">
        <f ca="1">IFERROR(__xludf.DUMMYFUNCTION("""COMPUTED_VALUE"""),"مركز الأشعة التشخيصية")</f>
        <v>مركز الأشعة التشخيصية</v>
      </c>
      <c r="G1538" s="5" t="str">
        <f ca="1">IFERROR(__xludf.DUMMYFUNCTION("""COMPUTED_VALUE"""),"مركز سما للأشعة التشخيصية")</f>
        <v>مركز سما للأشعة التشخيصية</v>
      </c>
      <c r="H1538" s="5" t="str">
        <f ca="1">IFERROR(__xludf.DUMMYFUNCTION("""COMPUTED_VALUE"""),"شارع سعد زغلول - بنها - 29 ش العدلى")</f>
        <v>شارع سعد زغلول - بنها - 29 ش العدلى</v>
      </c>
      <c r="I1538" s="6" t="str">
        <f ca="1">IFERROR(__xludf.DUMMYFUNCTION("""COMPUTED_VALUE"""),"133251325")</f>
        <v>133251325</v>
      </c>
      <c r="J1538" s="6"/>
      <c r="K1538" s="6" t="str">
        <f ca="1">IFERROR(__xludf.DUMMYFUNCTION("""COMPUTED_VALUE"""),"15% على جميع الخدمات")</f>
        <v>15% على جميع الخدمات</v>
      </c>
    </row>
    <row r="1539" spans="1:11" x14ac:dyDescent="0.25">
      <c r="A1539" s="4" t="str">
        <f ca="1">IFERROR(__xludf.DUMMYFUNCTION("""COMPUTED_VALUE"""),"104270-B")</f>
        <v>104270-B</v>
      </c>
      <c r="B1539" s="5" t="str">
        <f ca="1">IFERROR(__xludf.DUMMYFUNCTION("""COMPUTED_VALUE"""),"الغربية")</f>
        <v>الغربية</v>
      </c>
      <c r="C1539" s="5" t="str">
        <f ca="1">IFERROR(__xludf.DUMMYFUNCTION("""COMPUTED_VALUE"""),"طنطا")</f>
        <v>طنطا</v>
      </c>
      <c r="D1539" s="5" t="str">
        <f ca="1">IFERROR(__xludf.DUMMYFUNCTION("""COMPUTED_VALUE"""),"مركز أشعة")</f>
        <v>مركز أشعة</v>
      </c>
      <c r="E1539" s="5" t="str">
        <f ca="1">IFERROR(__xludf.DUMMYFUNCTION("""COMPUTED_VALUE"""),"مركز أشعة")</f>
        <v>مركز أشعة</v>
      </c>
      <c r="F1539" s="5" t="str">
        <f ca="1">IFERROR(__xludf.DUMMYFUNCTION("""COMPUTED_VALUE"""),"مركز الأشعة التشخيصية")</f>
        <v>مركز الأشعة التشخيصية</v>
      </c>
      <c r="G1539" s="5" t="str">
        <f ca="1">IFERROR(__xludf.DUMMYFUNCTION("""COMPUTED_VALUE"""),"مركز سما للأشعة التشخيصية")</f>
        <v>مركز سما للأشعة التشخيصية</v>
      </c>
      <c r="H1539" s="5" t="str">
        <f ca="1">IFERROR(__xludf.DUMMYFUNCTION("""COMPUTED_VALUE"""),"شارع عثمان محمد - متفرع من شارع المديرية - طنطا
")</f>
        <v xml:space="preserve">شارع عثمان محمد - متفرع من شارع المديرية - طنطا
</v>
      </c>
      <c r="I1539" s="6" t="str">
        <f ca="1">IFERROR(__xludf.DUMMYFUNCTION("""COMPUTED_VALUE"""),"20403349990")</f>
        <v>20403349990</v>
      </c>
      <c r="J1539" s="6"/>
      <c r="K1539" s="6" t="str">
        <f ca="1">IFERROR(__xludf.DUMMYFUNCTION("""COMPUTED_VALUE"""),"15% على جميع الخدمات")</f>
        <v>15% على جميع الخدمات</v>
      </c>
    </row>
    <row r="1540" spans="1:11" x14ac:dyDescent="0.25">
      <c r="A1540" s="4" t="str">
        <f ca="1">IFERROR(__xludf.DUMMYFUNCTION("""COMPUTED_VALUE"""),"104270-B")</f>
        <v>104270-B</v>
      </c>
      <c r="B1540" s="5" t="str">
        <f ca="1">IFERROR(__xludf.DUMMYFUNCTION("""COMPUTED_VALUE"""),"الغربية")</f>
        <v>الغربية</v>
      </c>
      <c r="C1540" s="5" t="str">
        <f ca="1">IFERROR(__xludf.DUMMYFUNCTION("""COMPUTED_VALUE"""),"زفتى")</f>
        <v>زفتى</v>
      </c>
      <c r="D1540" s="5" t="str">
        <f ca="1">IFERROR(__xludf.DUMMYFUNCTION("""COMPUTED_VALUE"""),"مركز أشعة")</f>
        <v>مركز أشعة</v>
      </c>
      <c r="E1540" s="5" t="str">
        <f ca="1">IFERROR(__xludf.DUMMYFUNCTION("""COMPUTED_VALUE"""),"مركز أشعة")</f>
        <v>مركز أشعة</v>
      </c>
      <c r="F1540" s="5" t="str">
        <f ca="1">IFERROR(__xludf.DUMMYFUNCTION("""COMPUTED_VALUE"""),"مركز الأشعة التشخيصية")</f>
        <v>مركز الأشعة التشخيصية</v>
      </c>
      <c r="G1540" s="5" t="str">
        <f ca="1">IFERROR(__xludf.DUMMYFUNCTION("""COMPUTED_VALUE"""),"مركز سما للأشعة التشخيصية")</f>
        <v>مركز سما للأشعة التشخيصية</v>
      </c>
      <c r="H1540" s="5" t="str">
        <f ca="1">IFERROR(__xludf.DUMMYFUNCTION("""COMPUTED_VALUE"""),"طريق -سند بسط - امام مستشفى زفتى العام 
")</f>
        <v xml:space="preserve">طريق -سند بسط - امام مستشفى زفتى العام 
</v>
      </c>
      <c r="I1540" s="6" t="str">
        <f ca="1">IFERROR(__xludf.DUMMYFUNCTION("""COMPUTED_VALUE"""),"20404729221")</f>
        <v>20404729221</v>
      </c>
      <c r="J1540" s="6"/>
      <c r="K1540" s="6" t="str">
        <f ca="1">IFERROR(__xludf.DUMMYFUNCTION("""COMPUTED_VALUE"""),"15% على جميع الخدمات")</f>
        <v>15% على جميع الخدمات</v>
      </c>
    </row>
    <row r="1541" spans="1:11" x14ac:dyDescent="0.25">
      <c r="A1541" s="4" t="str">
        <f ca="1">IFERROR(__xludf.DUMMYFUNCTION("""COMPUTED_VALUE"""),"3798-B")</f>
        <v>3798-B</v>
      </c>
      <c r="B1541" s="5" t="str">
        <f ca="1">IFERROR(__xludf.DUMMYFUNCTION("""COMPUTED_VALUE"""),"الاسكندرية")</f>
        <v>الاسكندرية</v>
      </c>
      <c r="C1541" s="5" t="str">
        <f ca="1">IFERROR(__xludf.DUMMYFUNCTION("""COMPUTED_VALUE"""),"محطة الرمل")</f>
        <v>محطة الرمل</v>
      </c>
      <c r="D1541" s="5" t="str">
        <f ca="1">IFERROR(__xludf.DUMMYFUNCTION("""COMPUTED_VALUE"""),"معمل")</f>
        <v>معمل</v>
      </c>
      <c r="E1541" s="5" t="str">
        <f ca="1">IFERROR(__xludf.DUMMYFUNCTION("""COMPUTED_VALUE"""),"معمل")</f>
        <v>معمل</v>
      </c>
      <c r="F1541" s="5" t="str">
        <f ca="1">IFERROR(__xludf.DUMMYFUNCTION("""COMPUTED_VALUE"""),"معمل التحاليل الطبية")</f>
        <v>معمل التحاليل الطبية</v>
      </c>
      <c r="G1541" s="5" t="str">
        <f ca="1">IFERROR(__xludf.DUMMYFUNCTION("""COMPUTED_VALUE"""),"معمل الدكتورة/ أمينة حساب")</f>
        <v>معمل الدكتورة/ أمينة حساب</v>
      </c>
      <c r="H1541" s="5" t="str">
        <f ca="1">IFERROR(__xludf.DUMMYFUNCTION("""COMPUTED_VALUE"""),"7 شارع مسجد الهدايا - أمام صيدلية البيسى
")</f>
        <v xml:space="preserve">7 شارع مسجد الهدايا - أمام صيدلية البيسى
</v>
      </c>
      <c r="I1541" s="6"/>
      <c r="J1541" s="6" t="str">
        <f ca="1">IFERROR(__xludf.DUMMYFUNCTION("""COMPUTED_VALUE"""),"16987")</f>
        <v>16987</v>
      </c>
      <c r="K1541" s="6" t="str">
        <f ca="1">IFERROR(__xludf.DUMMYFUNCTION("""COMPUTED_VALUE"""),"30% على جميع الخدمات         ")</f>
        <v xml:space="preserve">30% على جميع الخدمات         </v>
      </c>
    </row>
    <row r="1542" spans="1:11" x14ac:dyDescent="0.25">
      <c r="A1542" s="4" t="str">
        <f ca="1">IFERROR(__xludf.DUMMYFUNCTION("""COMPUTED_VALUE"""),"3798-B")</f>
        <v>3798-B</v>
      </c>
      <c r="B1542" s="5" t="str">
        <f ca="1">IFERROR(__xludf.DUMMYFUNCTION("""COMPUTED_VALUE"""),"الاسكندرية")</f>
        <v>الاسكندرية</v>
      </c>
      <c r="C1542" s="5" t="str">
        <f ca="1">IFERROR(__xludf.DUMMYFUNCTION("""COMPUTED_VALUE"""),"جليم")</f>
        <v>جليم</v>
      </c>
      <c r="D1542" s="5" t="str">
        <f ca="1">IFERROR(__xludf.DUMMYFUNCTION("""COMPUTED_VALUE"""),"معمل")</f>
        <v>معمل</v>
      </c>
      <c r="E1542" s="5" t="str">
        <f ca="1">IFERROR(__xludf.DUMMYFUNCTION("""COMPUTED_VALUE"""),"معمل")</f>
        <v>معمل</v>
      </c>
      <c r="F1542" s="5" t="str">
        <f ca="1">IFERROR(__xludf.DUMMYFUNCTION("""COMPUTED_VALUE"""),"معمل التحاليل الطبية")</f>
        <v>معمل التحاليل الطبية</v>
      </c>
      <c r="G1542" s="5" t="str">
        <f ca="1">IFERROR(__xludf.DUMMYFUNCTION("""COMPUTED_VALUE"""),"معمل الدكتورة/ أمينة حساب")</f>
        <v>معمل الدكتورة/ أمينة حساب</v>
      </c>
      <c r="H1542" s="5" t="str">
        <f ca="1">IFERROR(__xludf.DUMMYFUNCTION("""COMPUTED_VALUE"""),"13 ش قصر راس التين – عمارة كازبلانكا - على البحر مباشرة – فوق صيدلية كازبلانكا – الدور الأول")</f>
        <v>13 ش قصر راس التين – عمارة كازبلانكا - على البحر مباشرة – فوق صيدلية كازبلانكا – الدور الأول</v>
      </c>
      <c r="I1542" s="6"/>
      <c r="J1542" s="6" t="str">
        <f ca="1">IFERROR(__xludf.DUMMYFUNCTION("""COMPUTED_VALUE"""),"16987")</f>
        <v>16987</v>
      </c>
      <c r="K1542" s="6" t="str">
        <f ca="1">IFERROR(__xludf.DUMMYFUNCTION("""COMPUTED_VALUE"""),"30% على جميع الخدمات         ")</f>
        <v xml:space="preserve">30% على جميع الخدمات         </v>
      </c>
    </row>
    <row r="1543" spans="1:11" x14ac:dyDescent="0.25">
      <c r="A1543" s="4" t="str">
        <f ca="1">IFERROR(__xludf.DUMMYFUNCTION("""COMPUTED_VALUE"""),"3798-B")</f>
        <v>3798-B</v>
      </c>
      <c r="B1543" s="5" t="str">
        <f ca="1">IFERROR(__xludf.DUMMYFUNCTION("""COMPUTED_VALUE"""),"الاسكندرية")</f>
        <v>الاسكندرية</v>
      </c>
      <c r="C1543" s="5" t="str">
        <f ca="1">IFERROR(__xludf.DUMMYFUNCTION("""COMPUTED_VALUE"""),"العصافرة")</f>
        <v>العصافرة</v>
      </c>
      <c r="D1543" s="5" t="str">
        <f ca="1">IFERROR(__xludf.DUMMYFUNCTION("""COMPUTED_VALUE"""),"معمل")</f>
        <v>معمل</v>
      </c>
      <c r="E1543" s="5" t="str">
        <f ca="1">IFERROR(__xludf.DUMMYFUNCTION("""COMPUTED_VALUE"""),"معمل")</f>
        <v>معمل</v>
      </c>
      <c r="F1543" s="5" t="str">
        <f ca="1">IFERROR(__xludf.DUMMYFUNCTION("""COMPUTED_VALUE"""),"معمل التحاليل الطبية")</f>
        <v>معمل التحاليل الطبية</v>
      </c>
      <c r="G1543" s="5" t="str">
        <f ca="1">IFERROR(__xludf.DUMMYFUNCTION("""COMPUTED_VALUE"""),"معمل الدكتورة/ أمينة حساب")</f>
        <v>معمل الدكتورة/ أمينة حساب</v>
      </c>
      <c r="H1543" s="5" t="str">
        <f ca="1">IFERROR(__xludf.DUMMYFUNCTION("""COMPUTED_VALUE"""),"ش 45 – ناصية ش 21 – العصافرة قبلى 
")</f>
        <v xml:space="preserve">ش 45 – ناصية ش 21 – العصافرة قبلى 
</v>
      </c>
      <c r="I1543" s="6"/>
      <c r="J1543" s="6" t="str">
        <f ca="1">IFERROR(__xludf.DUMMYFUNCTION("""COMPUTED_VALUE"""),"16987")</f>
        <v>16987</v>
      </c>
      <c r="K1543" s="6" t="str">
        <f ca="1">IFERROR(__xludf.DUMMYFUNCTION("""COMPUTED_VALUE"""),"30% على جميع الخدمات         ")</f>
        <v xml:space="preserve">30% على جميع الخدمات         </v>
      </c>
    </row>
    <row r="1544" spans="1:11" x14ac:dyDescent="0.25">
      <c r="A1544" s="4" t="str">
        <f ca="1">IFERROR(__xludf.DUMMYFUNCTION("""COMPUTED_VALUE"""),"3798-B")</f>
        <v>3798-B</v>
      </c>
      <c r="B1544" s="5" t="str">
        <f ca="1">IFERROR(__xludf.DUMMYFUNCTION("""COMPUTED_VALUE"""),"الاسكندرية")</f>
        <v>الاسكندرية</v>
      </c>
      <c r="C1544" s="5" t="str">
        <f ca="1">IFERROR(__xludf.DUMMYFUNCTION("""COMPUTED_VALUE"""),"العامرية")</f>
        <v>العامرية</v>
      </c>
      <c r="D1544" s="5" t="str">
        <f ca="1">IFERROR(__xludf.DUMMYFUNCTION("""COMPUTED_VALUE"""),"معمل")</f>
        <v>معمل</v>
      </c>
      <c r="E1544" s="5" t="str">
        <f ca="1">IFERROR(__xludf.DUMMYFUNCTION("""COMPUTED_VALUE"""),"معمل")</f>
        <v>معمل</v>
      </c>
      <c r="F1544" s="5" t="str">
        <f ca="1">IFERROR(__xludf.DUMMYFUNCTION("""COMPUTED_VALUE"""),"معمل التحاليل الطبية")</f>
        <v>معمل التحاليل الطبية</v>
      </c>
      <c r="G1544" s="5" t="str">
        <f ca="1">IFERROR(__xludf.DUMMYFUNCTION("""COMPUTED_VALUE"""),"معمل الدكتورة/ أمينة حساب")</f>
        <v>معمل الدكتورة/ أمينة حساب</v>
      </c>
      <c r="H1544" s="5" t="str">
        <f ca="1">IFERROR(__xludf.DUMMYFUNCTION("""COMPUTED_VALUE"""),"عزبة التمير - العامرية - أمام المستشفى العام.")</f>
        <v>عزبة التمير - العامرية - أمام المستشفى العام.</v>
      </c>
      <c r="I1544" s="6"/>
      <c r="J1544" s="6" t="str">
        <f ca="1">IFERROR(__xludf.DUMMYFUNCTION("""COMPUTED_VALUE"""),"16987")</f>
        <v>16987</v>
      </c>
      <c r="K1544" s="6" t="str">
        <f ca="1">IFERROR(__xludf.DUMMYFUNCTION("""COMPUTED_VALUE"""),"30% على جميع الخدمات         ")</f>
        <v xml:space="preserve">30% على جميع الخدمات         </v>
      </c>
    </row>
    <row r="1545" spans="1:11" x14ac:dyDescent="0.25">
      <c r="A1545" s="4" t="str">
        <f ca="1">IFERROR(__xludf.DUMMYFUNCTION("""COMPUTED_VALUE"""),"3798-B")</f>
        <v>3798-B</v>
      </c>
      <c r="B1545" s="5" t="str">
        <f ca="1">IFERROR(__xludf.DUMMYFUNCTION("""COMPUTED_VALUE"""),"الاسكندرية")</f>
        <v>الاسكندرية</v>
      </c>
      <c r="C1545" s="5" t="str">
        <f ca="1">IFERROR(__xludf.DUMMYFUNCTION("""COMPUTED_VALUE"""),"محرم بيك")</f>
        <v>محرم بيك</v>
      </c>
      <c r="D1545" s="5" t="str">
        <f ca="1">IFERROR(__xludf.DUMMYFUNCTION("""COMPUTED_VALUE"""),"معمل")</f>
        <v>معمل</v>
      </c>
      <c r="E1545" s="5" t="str">
        <f ca="1">IFERROR(__xludf.DUMMYFUNCTION("""COMPUTED_VALUE"""),"معمل")</f>
        <v>معمل</v>
      </c>
      <c r="F1545" s="5" t="str">
        <f ca="1">IFERROR(__xludf.DUMMYFUNCTION("""COMPUTED_VALUE"""),"معمل التحاليل الطبية")</f>
        <v>معمل التحاليل الطبية</v>
      </c>
      <c r="G1545" s="5" t="str">
        <f ca="1">IFERROR(__xludf.DUMMYFUNCTION("""COMPUTED_VALUE"""),"معمل الدكتورة/ أمينة حساب")</f>
        <v>معمل الدكتورة/ أمينة حساب</v>
      </c>
      <c r="H1545" s="5" t="str">
        <f ca="1">IFERROR(__xludf.DUMMYFUNCTION("""COMPUTED_VALUE"""),"86 ش الاقفال – الورديان - تقاطع شارع خفاجى مع ش الامان
")</f>
        <v xml:space="preserve">86 ش الاقفال – الورديان - تقاطع شارع خفاجى مع ش الامان
</v>
      </c>
      <c r="I1545" s="6"/>
      <c r="J1545" s="6" t="str">
        <f ca="1">IFERROR(__xludf.DUMMYFUNCTION("""COMPUTED_VALUE"""),"16987")</f>
        <v>16987</v>
      </c>
      <c r="K1545" s="6" t="str">
        <f ca="1">IFERROR(__xludf.DUMMYFUNCTION("""COMPUTED_VALUE"""),"30% على جميع الخدمات         ")</f>
        <v xml:space="preserve">30% على جميع الخدمات         </v>
      </c>
    </row>
    <row r="1546" spans="1:11" x14ac:dyDescent="0.25">
      <c r="A1546" s="4" t="str">
        <f ca="1">IFERROR(__xludf.DUMMYFUNCTION("""COMPUTED_VALUE"""),"3798-B")</f>
        <v>3798-B</v>
      </c>
      <c r="B1546" s="5" t="str">
        <f ca="1">IFERROR(__xludf.DUMMYFUNCTION("""COMPUTED_VALUE"""),"الاسكندرية")</f>
        <v>الاسكندرية</v>
      </c>
      <c r="C1546" s="5" t="str">
        <f ca="1">IFERROR(__xludf.DUMMYFUNCTION("""COMPUTED_VALUE"""),"البيطاش")</f>
        <v>البيطاش</v>
      </c>
      <c r="D1546" s="5" t="str">
        <f ca="1">IFERROR(__xludf.DUMMYFUNCTION("""COMPUTED_VALUE"""),"معمل")</f>
        <v>معمل</v>
      </c>
      <c r="E1546" s="5" t="str">
        <f ca="1">IFERROR(__xludf.DUMMYFUNCTION("""COMPUTED_VALUE"""),"معمل")</f>
        <v>معمل</v>
      </c>
      <c r="F1546" s="5" t="str">
        <f ca="1">IFERROR(__xludf.DUMMYFUNCTION("""COMPUTED_VALUE"""),"معمل التحاليل الطبية")</f>
        <v>معمل التحاليل الطبية</v>
      </c>
      <c r="G1546" s="5" t="str">
        <f ca="1">IFERROR(__xludf.DUMMYFUNCTION("""COMPUTED_VALUE"""),"معمل الدكتورة/ أمينة حساب")</f>
        <v>معمل الدكتورة/ أمينة حساب</v>
      </c>
      <c r="H1546" s="5" t="str">
        <f ca="1">IFERROR(__xludf.DUMMYFUNCTION("""COMPUTED_VALUE"""),"35 ش البيطاش الرئيسي - عمارة  بي تك ")</f>
        <v xml:space="preserve">35 ش البيطاش الرئيسي - عمارة  بي تك </v>
      </c>
      <c r="I1546" s="6"/>
      <c r="J1546" s="6" t="str">
        <f ca="1">IFERROR(__xludf.DUMMYFUNCTION("""COMPUTED_VALUE"""),"16987")</f>
        <v>16987</v>
      </c>
      <c r="K1546" s="6" t="str">
        <f ca="1">IFERROR(__xludf.DUMMYFUNCTION("""COMPUTED_VALUE"""),"30% على جميع الخدمات         ")</f>
        <v xml:space="preserve">30% على جميع الخدمات         </v>
      </c>
    </row>
    <row r="1547" spans="1:11" x14ac:dyDescent="0.25">
      <c r="A1547" s="4" t="str">
        <f ca="1">IFERROR(__xludf.DUMMYFUNCTION("""COMPUTED_VALUE"""),"3798-B")</f>
        <v>3798-B</v>
      </c>
      <c r="B1547" s="5" t="str">
        <f ca="1">IFERROR(__xludf.DUMMYFUNCTION("""COMPUTED_VALUE"""),"الاسكندرية")</f>
        <v>الاسكندرية</v>
      </c>
      <c r="C1547" s="5" t="str">
        <f ca="1">IFERROR(__xludf.DUMMYFUNCTION("""COMPUTED_VALUE"""),"الابراهيمية")</f>
        <v>الابراهيمية</v>
      </c>
      <c r="D1547" s="5" t="str">
        <f ca="1">IFERROR(__xludf.DUMMYFUNCTION("""COMPUTED_VALUE"""),"معمل")</f>
        <v>معمل</v>
      </c>
      <c r="E1547" s="5" t="str">
        <f ca="1">IFERROR(__xludf.DUMMYFUNCTION("""COMPUTED_VALUE"""),"معمل")</f>
        <v>معمل</v>
      </c>
      <c r="F1547" s="5" t="str">
        <f ca="1">IFERROR(__xludf.DUMMYFUNCTION("""COMPUTED_VALUE"""),"معمل التحاليل الطبية")</f>
        <v>معمل التحاليل الطبية</v>
      </c>
      <c r="G1547" s="5" t="str">
        <f ca="1">IFERROR(__xludf.DUMMYFUNCTION("""COMPUTED_VALUE"""),"معمل الدكتورة/ أمينة حساب")</f>
        <v>معمل الدكتورة/ أمينة حساب</v>
      </c>
      <c r="H1547" s="5" t="str">
        <f ca="1">IFERROR(__xludf.DUMMYFUNCTION("""COMPUTED_VALUE"""),"164 طريق الحرية – دور 2 – امام معهد البحوث – بجوار شركة الكهرباء –فوق اورنج")</f>
        <v>164 طريق الحرية – دور 2 – امام معهد البحوث – بجوار شركة الكهرباء –فوق اورنج</v>
      </c>
      <c r="I1547" s="6"/>
      <c r="J1547" s="6" t="str">
        <f ca="1">IFERROR(__xludf.DUMMYFUNCTION("""COMPUTED_VALUE"""),"16987")</f>
        <v>16987</v>
      </c>
      <c r="K1547" s="6" t="str">
        <f ca="1">IFERROR(__xludf.DUMMYFUNCTION("""COMPUTED_VALUE"""),"30% على جميع الخدمات         ")</f>
        <v xml:space="preserve">30% على جميع الخدمات         </v>
      </c>
    </row>
    <row r="1548" spans="1:11" x14ac:dyDescent="0.25">
      <c r="A1548" s="4" t="str">
        <f ca="1">IFERROR(__xludf.DUMMYFUNCTION("""COMPUTED_VALUE"""),"3798-B")</f>
        <v>3798-B</v>
      </c>
      <c r="B1548" s="5" t="str">
        <f ca="1">IFERROR(__xludf.DUMMYFUNCTION("""COMPUTED_VALUE"""),"البحيرة")</f>
        <v>البحيرة</v>
      </c>
      <c r="C1548" s="5" t="str">
        <f ca="1">IFERROR(__xludf.DUMMYFUNCTION("""COMPUTED_VALUE"""),"كوم حمادة")</f>
        <v>كوم حمادة</v>
      </c>
      <c r="D1548" s="5" t="str">
        <f ca="1">IFERROR(__xludf.DUMMYFUNCTION("""COMPUTED_VALUE"""),"معمل")</f>
        <v>معمل</v>
      </c>
      <c r="E1548" s="5" t="str">
        <f ca="1">IFERROR(__xludf.DUMMYFUNCTION("""COMPUTED_VALUE"""),"معمل")</f>
        <v>معمل</v>
      </c>
      <c r="F1548" s="5" t="str">
        <f ca="1">IFERROR(__xludf.DUMMYFUNCTION("""COMPUTED_VALUE"""),"معمل التحاليل الطبية")</f>
        <v>معمل التحاليل الطبية</v>
      </c>
      <c r="G1548" s="5" t="str">
        <f ca="1">IFERROR(__xludf.DUMMYFUNCTION("""COMPUTED_VALUE"""),"معمل الدكتورة/ أمينة حساب")</f>
        <v>معمل الدكتورة/ أمينة حساب</v>
      </c>
      <c r="H1548" s="5" t="str">
        <f ca="1">IFERROR(__xludf.DUMMYFUNCTION("""COMPUTED_VALUE"""),"شارع التحرير -امام استراحه مجلس المدينة")</f>
        <v>شارع التحرير -امام استراحه مجلس المدينة</v>
      </c>
      <c r="I1548" s="6"/>
      <c r="J1548" s="6" t="str">
        <f ca="1">IFERROR(__xludf.DUMMYFUNCTION("""COMPUTED_VALUE"""),"16987")</f>
        <v>16987</v>
      </c>
      <c r="K1548" s="6" t="str">
        <f ca="1">IFERROR(__xludf.DUMMYFUNCTION("""COMPUTED_VALUE"""),"30% على جميع الخدمات         ")</f>
        <v xml:space="preserve">30% على جميع الخدمات         </v>
      </c>
    </row>
    <row r="1549" spans="1:11" x14ac:dyDescent="0.25">
      <c r="A1549" s="4" t="str">
        <f ca="1">IFERROR(__xludf.DUMMYFUNCTION("""COMPUTED_VALUE"""),"3798-B")</f>
        <v>3798-B</v>
      </c>
      <c r="B1549" s="5" t="str">
        <f ca="1">IFERROR(__xludf.DUMMYFUNCTION("""COMPUTED_VALUE"""),"الدقهلية")</f>
        <v>الدقهلية</v>
      </c>
      <c r="C1549" s="5" t="str">
        <f ca="1">IFERROR(__xludf.DUMMYFUNCTION("""COMPUTED_VALUE"""),"المنصورة")</f>
        <v>المنصورة</v>
      </c>
      <c r="D1549" s="5" t="str">
        <f ca="1">IFERROR(__xludf.DUMMYFUNCTION("""COMPUTED_VALUE"""),"معمل")</f>
        <v>معمل</v>
      </c>
      <c r="E1549" s="5" t="str">
        <f ca="1">IFERROR(__xludf.DUMMYFUNCTION("""COMPUTED_VALUE"""),"معمل")</f>
        <v>معمل</v>
      </c>
      <c r="F1549" s="5" t="str">
        <f ca="1">IFERROR(__xludf.DUMMYFUNCTION("""COMPUTED_VALUE"""),"معمل التحاليل الطبية")</f>
        <v>معمل التحاليل الطبية</v>
      </c>
      <c r="G1549" s="5" t="str">
        <f ca="1">IFERROR(__xludf.DUMMYFUNCTION("""COMPUTED_VALUE"""),"معمل الدكتورة/ أمينة حساب")</f>
        <v>معمل الدكتورة/ أمينة حساب</v>
      </c>
      <c r="H1549" s="5" t="str">
        <f ca="1">IFERROR(__xludf.DUMMYFUNCTION("""COMPUTED_VALUE"""),"برج اللؤلؤة ميدان المحطة -بجوار مسجد سيدى سعد")</f>
        <v>برج اللؤلؤة ميدان المحطة -بجوار مسجد سيدى سعد</v>
      </c>
      <c r="I1549" s="6"/>
      <c r="J1549" s="6" t="str">
        <f ca="1">IFERROR(__xludf.DUMMYFUNCTION("""COMPUTED_VALUE"""),"16987")</f>
        <v>16987</v>
      </c>
      <c r="K1549" s="6" t="str">
        <f ca="1">IFERROR(__xludf.DUMMYFUNCTION("""COMPUTED_VALUE"""),"30% على جميع الخدمات         ")</f>
        <v xml:space="preserve">30% على جميع الخدمات         </v>
      </c>
    </row>
    <row r="1550" spans="1:11" x14ac:dyDescent="0.25">
      <c r="A1550" s="4" t="str">
        <f ca="1">IFERROR(__xludf.DUMMYFUNCTION("""COMPUTED_VALUE"""),"3798-B")</f>
        <v>3798-B</v>
      </c>
      <c r="B1550" s="5" t="str">
        <f ca="1">IFERROR(__xludf.DUMMYFUNCTION("""COMPUTED_VALUE"""),"الغربية")</f>
        <v>الغربية</v>
      </c>
      <c r="C1550" s="5" t="str">
        <f ca="1">IFERROR(__xludf.DUMMYFUNCTION("""COMPUTED_VALUE"""),"طنطا")</f>
        <v>طنطا</v>
      </c>
      <c r="D1550" s="5" t="str">
        <f ca="1">IFERROR(__xludf.DUMMYFUNCTION("""COMPUTED_VALUE"""),"معمل")</f>
        <v>معمل</v>
      </c>
      <c r="E1550" s="5" t="str">
        <f ca="1">IFERROR(__xludf.DUMMYFUNCTION("""COMPUTED_VALUE"""),"معمل")</f>
        <v>معمل</v>
      </c>
      <c r="F1550" s="5" t="str">
        <f ca="1">IFERROR(__xludf.DUMMYFUNCTION("""COMPUTED_VALUE"""),"معمل التحاليل الطبية")</f>
        <v>معمل التحاليل الطبية</v>
      </c>
      <c r="G1550" s="5" t="str">
        <f ca="1">IFERROR(__xludf.DUMMYFUNCTION("""COMPUTED_VALUE"""),"معمل الدكتورة/ أمينة حساب")</f>
        <v>معمل الدكتورة/ أمينة حساب</v>
      </c>
      <c r="H1550" s="5" t="str">
        <f ca="1">IFERROR(__xludf.DUMMYFUNCTION("""COMPUTED_VALUE"""),"شارع البحر – أمام مستشفى الأورام - اول شارع عمر بن عبد العزيز -قبل مديريه الزراعه")</f>
        <v>شارع البحر – أمام مستشفى الأورام - اول شارع عمر بن عبد العزيز -قبل مديريه الزراعه</v>
      </c>
      <c r="I1550" s="6"/>
      <c r="J1550" s="6" t="str">
        <f ca="1">IFERROR(__xludf.DUMMYFUNCTION("""COMPUTED_VALUE"""),"16987")</f>
        <v>16987</v>
      </c>
      <c r="K1550" s="6" t="str">
        <f ca="1">IFERROR(__xludf.DUMMYFUNCTION("""COMPUTED_VALUE"""),"30% على جميع الخدمات         ")</f>
        <v xml:space="preserve">30% على جميع الخدمات         </v>
      </c>
    </row>
    <row r="1551" spans="1:11" x14ac:dyDescent="0.25">
      <c r="A1551" s="4" t="str">
        <f ca="1">IFERROR(__xludf.DUMMYFUNCTION("""COMPUTED_VALUE"""),"3798-B")</f>
        <v>3798-B</v>
      </c>
      <c r="B1551" s="5" t="str">
        <f ca="1">IFERROR(__xludf.DUMMYFUNCTION("""COMPUTED_VALUE"""),"الغربية")</f>
        <v>الغربية</v>
      </c>
      <c r="C1551" s="5" t="str">
        <f ca="1">IFERROR(__xludf.DUMMYFUNCTION("""COMPUTED_VALUE"""),"كفر الزيات")</f>
        <v>كفر الزيات</v>
      </c>
      <c r="D1551" s="5" t="str">
        <f ca="1">IFERROR(__xludf.DUMMYFUNCTION("""COMPUTED_VALUE"""),"معمل")</f>
        <v>معمل</v>
      </c>
      <c r="E1551" s="5" t="str">
        <f ca="1">IFERROR(__xludf.DUMMYFUNCTION("""COMPUTED_VALUE"""),"معمل")</f>
        <v>معمل</v>
      </c>
      <c r="F1551" s="5" t="str">
        <f ca="1">IFERROR(__xludf.DUMMYFUNCTION("""COMPUTED_VALUE"""),"معمل التحاليل الطبية")</f>
        <v>معمل التحاليل الطبية</v>
      </c>
      <c r="G1551" s="5" t="str">
        <f ca="1">IFERROR(__xludf.DUMMYFUNCTION("""COMPUTED_VALUE"""),"معمل الدكتورة/ أمينة حساب")</f>
        <v>معمل الدكتورة/ أمينة حساب</v>
      </c>
      <c r="H1551" s="5" t="str">
        <f ca="1">IFERROR(__xludf.DUMMYFUNCTION("""COMPUTED_VALUE"""),"ميدان التحرير برج اوسكار")</f>
        <v>ميدان التحرير برج اوسكار</v>
      </c>
      <c r="I1551" s="6"/>
      <c r="J1551" s="6" t="str">
        <f ca="1">IFERROR(__xludf.DUMMYFUNCTION("""COMPUTED_VALUE"""),"16987")</f>
        <v>16987</v>
      </c>
      <c r="K1551" s="6" t="str">
        <f ca="1">IFERROR(__xludf.DUMMYFUNCTION("""COMPUTED_VALUE"""),"30% على جميع الخدمات         ")</f>
        <v xml:space="preserve">30% على جميع الخدمات         </v>
      </c>
    </row>
    <row r="1552" spans="1:11" x14ac:dyDescent="0.25">
      <c r="A1552" s="4" t="str">
        <f ca="1">IFERROR(__xludf.DUMMYFUNCTION("""COMPUTED_VALUE"""),"3798-B")</f>
        <v>3798-B</v>
      </c>
      <c r="B1552" s="5" t="str">
        <f ca="1">IFERROR(__xludf.DUMMYFUNCTION("""COMPUTED_VALUE"""),"القليوبية")</f>
        <v>القليوبية</v>
      </c>
      <c r="C1552" s="5" t="str">
        <f ca="1">IFERROR(__xludf.DUMMYFUNCTION("""COMPUTED_VALUE"""),"بنها")</f>
        <v>بنها</v>
      </c>
      <c r="D1552" s="5" t="str">
        <f ca="1">IFERROR(__xludf.DUMMYFUNCTION("""COMPUTED_VALUE"""),"معمل")</f>
        <v>معمل</v>
      </c>
      <c r="E1552" s="5" t="str">
        <f ca="1">IFERROR(__xludf.DUMMYFUNCTION("""COMPUTED_VALUE"""),"معمل")</f>
        <v>معمل</v>
      </c>
      <c r="F1552" s="5" t="str">
        <f ca="1">IFERROR(__xludf.DUMMYFUNCTION("""COMPUTED_VALUE"""),"معمل التحاليل الطبية")</f>
        <v>معمل التحاليل الطبية</v>
      </c>
      <c r="G1552" s="5" t="str">
        <f ca="1">IFERROR(__xludf.DUMMYFUNCTION("""COMPUTED_VALUE"""),"معمل الدكتورة/ أمينة حساب")</f>
        <v>معمل الدكتورة/ أمينة حساب</v>
      </c>
      <c r="H1552" s="5" t="str">
        <f ca="1">IFERROR(__xludf.DUMMYFUNCTION("""COMPUTED_VALUE"""),"مول الصيرفى الطبى و الادارى ش المحكمة أمام الجلاء 3 للسلاح ")</f>
        <v xml:space="preserve">مول الصيرفى الطبى و الادارى ش المحكمة أمام الجلاء 3 للسلاح </v>
      </c>
      <c r="I1552" s="6"/>
      <c r="J1552" s="6" t="str">
        <f ca="1">IFERROR(__xludf.DUMMYFUNCTION("""COMPUTED_VALUE"""),"16987")</f>
        <v>16987</v>
      </c>
      <c r="K1552" s="6" t="str">
        <f ca="1">IFERROR(__xludf.DUMMYFUNCTION("""COMPUTED_VALUE"""),"30% على جميع الخدمات         ")</f>
        <v xml:space="preserve">30% على جميع الخدمات         </v>
      </c>
    </row>
    <row r="1553" spans="1:11" x14ac:dyDescent="0.25">
      <c r="A1553" s="4" t="str">
        <f ca="1">IFERROR(__xludf.DUMMYFUNCTION("""COMPUTED_VALUE"""),"3798-B")</f>
        <v>3798-B</v>
      </c>
      <c r="B1553" s="5" t="str">
        <f ca="1">IFERROR(__xludf.DUMMYFUNCTION("""COMPUTED_VALUE"""),"المنوفية")</f>
        <v>المنوفية</v>
      </c>
      <c r="C1553" s="5" t="str">
        <f ca="1">IFERROR(__xludf.DUMMYFUNCTION("""COMPUTED_VALUE"""),"قويسنا")</f>
        <v>قويسنا</v>
      </c>
      <c r="D1553" s="5" t="str">
        <f ca="1">IFERROR(__xludf.DUMMYFUNCTION("""COMPUTED_VALUE"""),"معمل")</f>
        <v>معمل</v>
      </c>
      <c r="E1553" s="5" t="str">
        <f ca="1">IFERROR(__xludf.DUMMYFUNCTION("""COMPUTED_VALUE"""),"معمل")</f>
        <v>معمل</v>
      </c>
      <c r="F1553" s="5" t="str">
        <f ca="1">IFERROR(__xludf.DUMMYFUNCTION("""COMPUTED_VALUE"""),"معمل التحاليل الطبية")</f>
        <v>معمل التحاليل الطبية</v>
      </c>
      <c r="G1553" s="5" t="str">
        <f ca="1">IFERROR(__xludf.DUMMYFUNCTION("""COMPUTED_VALUE"""),"معمل الدكتورة/ أمينة حساب")</f>
        <v>معمل الدكتورة/ أمينة حساب</v>
      </c>
      <c r="H1553" s="5" t="str">
        <f ca="1">IFERROR(__xludf.DUMMYFUNCTION("""COMPUTED_VALUE"""),"شارع الجيش فوق صيدلية النجاح")</f>
        <v>شارع الجيش فوق صيدلية النجاح</v>
      </c>
      <c r="I1553" s="6"/>
      <c r="J1553" s="6" t="str">
        <f ca="1">IFERROR(__xludf.DUMMYFUNCTION("""COMPUTED_VALUE"""),"16987")</f>
        <v>16987</v>
      </c>
      <c r="K1553" s="6" t="str">
        <f ca="1">IFERROR(__xludf.DUMMYFUNCTION("""COMPUTED_VALUE"""),"30% على جميع الخدمات         ")</f>
        <v xml:space="preserve">30% على جميع الخدمات         </v>
      </c>
    </row>
    <row r="1554" spans="1:11" x14ac:dyDescent="0.25">
      <c r="A1554" s="4" t="str">
        <f ca="1">IFERROR(__xludf.DUMMYFUNCTION("""COMPUTED_VALUE"""),"104780-B")</f>
        <v>104780-B</v>
      </c>
      <c r="B1554" s="5" t="str">
        <f ca="1">IFERROR(__xludf.DUMMYFUNCTION("""COMPUTED_VALUE"""),"بني سويف")</f>
        <v>بني سويف</v>
      </c>
      <c r="C1554" s="5" t="str">
        <f ca="1">IFERROR(__xludf.DUMMYFUNCTION("""COMPUTED_VALUE"""),"بني سويف")</f>
        <v>بني سويف</v>
      </c>
      <c r="D1554" s="5" t="str">
        <f ca="1">IFERROR(__xludf.DUMMYFUNCTION("""COMPUTED_VALUE"""),"مركز أشعة")</f>
        <v>مركز أشعة</v>
      </c>
      <c r="E1554" s="5" t="str">
        <f ca="1">IFERROR(__xludf.DUMMYFUNCTION("""COMPUTED_VALUE"""),"مركز أشعة")</f>
        <v>مركز أشعة</v>
      </c>
      <c r="F1554" s="5" t="str">
        <f ca="1">IFERROR(__xludf.DUMMYFUNCTION("""COMPUTED_VALUE"""),"مركز الأشعة التشخيصية")</f>
        <v>مركز الأشعة التشخيصية</v>
      </c>
      <c r="G1554" s="5" t="str">
        <f ca="1">IFERROR(__xludf.DUMMYFUNCTION("""COMPUTED_VALUE"""),"مركز جاما للأشعة والموجات الصوتية")</f>
        <v>مركز جاما للأشعة والموجات الصوتية</v>
      </c>
      <c r="H1554" s="5" t="str">
        <f ca="1">IFERROR(__xludf.DUMMYFUNCTION("""COMPUTED_VALUE"""),"صلاح سالم - برج حديث المدينة بجوار البنك الاهلي بني سويف")</f>
        <v>صلاح سالم - برج حديث المدينة بجوار البنك الاهلي بني سويف</v>
      </c>
      <c r="I1554" s="6" t="str">
        <f ca="1">IFERROR(__xludf.DUMMYFUNCTION("""COMPUTED_VALUE"""),"201022433383")</f>
        <v>201022433383</v>
      </c>
      <c r="J1554" s="6"/>
      <c r="K1554" s="6" t="str">
        <f ca="1">IFERROR(__xludf.DUMMYFUNCTION("""COMPUTED_VALUE"""),"خصم 25% علي جميع الأشعة و خصم 15% علي الأشعة بالصبغة")</f>
        <v>خصم 25% علي جميع الأشعة و خصم 15% علي الأشعة بالصبغة</v>
      </c>
    </row>
    <row r="1555" spans="1:11" x14ac:dyDescent="0.25">
      <c r="A1555" s="4" t="str">
        <f ca="1">IFERROR(__xludf.DUMMYFUNCTION("""COMPUTED_VALUE"""),"104780-B")</f>
        <v>104780-B</v>
      </c>
      <c r="B1555" s="5" t="str">
        <f ca="1">IFERROR(__xludf.DUMMYFUNCTION("""COMPUTED_VALUE"""),"بني سويف")</f>
        <v>بني سويف</v>
      </c>
      <c r="C1555" s="5" t="str">
        <f ca="1">IFERROR(__xludf.DUMMYFUNCTION("""COMPUTED_VALUE"""),"الفشن")</f>
        <v>الفشن</v>
      </c>
      <c r="D1555" s="5" t="str">
        <f ca="1">IFERROR(__xludf.DUMMYFUNCTION("""COMPUTED_VALUE"""),"مركز أشعة")</f>
        <v>مركز أشعة</v>
      </c>
      <c r="E1555" s="5" t="str">
        <f ca="1">IFERROR(__xludf.DUMMYFUNCTION("""COMPUTED_VALUE"""),"مركز أشعة")</f>
        <v>مركز أشعة</v>
      </c>
      <c r="F1555" s="5" t="str">
        <f ca="1">IFERROR(__xludf.DUMMYFUNCTION("""COMPUTED_VALUE"""),"مركز الأشعة التشخيصية")</f>
        <v>مركز الأشعة التشخيصية</v>
      </c>
      <c r="G1555" s="5" t="str">
        <f ca="1">IFERROR(__xludf.DUMMYFUNCTION("""COMPUTED_VALUE"""),"مركز جاما للأشعة والموجات الصوتية")</f>
        <v>مركز جاما للأشعة والموجات الصوتية</v>
      </c>
      <c r="H1555" s="5" t="str">
        <f ca="1">IFERROR(__xludf.DUMMYFUNCTION("""COMPUTED_VALUE"""),"ش البنك الاهلي القديم - برج ابو المعاطي")</f>
        <v>ش البنك الاهلي القديم - برج ابو المعاطي</v>
      </c>
      <c r="I1555" s="6" t="str">
        <f ca="1">IFERROR(__xludf.DUMMYFUNCTION("""COMPUTED_VALUE"""),"01012995222")</f>
        <v>01012995222</v>
      </c>
      <c r="J1555" s="6"/>
      <c r="K1555" s="6" t="str">
        <f ca="1">IFERROR(__xludf.DUMMYFUNCTION("""COMPUTED_VALUE"""),"خصم 25% علي جميع الأشعة و خصم 15% علي الأشعة بالصبغة")</f>
        <v>خصم 25% علي جميع الأشعة و خصم 15% علي الأشعة بالصبغة</v>
      </c>
    </row>
    <row r="1556" spans="1:11" x14ac:dyDescent="0.25">
      <c r="A1556" s="4" t="str">
        <f ca="1">IFERROR(__xludf.DUMMYFUNCTION("""COMPUTED_VALUE"""),"106006")</f>
        <v>106006</v>
      </c>
      <c r="B1556" s="5" t="str">
        <f ca="1">IFERROR(__xludf.DUMMYFUNCTION("""COMPUTED_VALUE"""),"سوهاج")</f>
        <v>سوهاج</v>
      </c>
      <c r="C1556" s="5" t="str">
        <f ca="1">IFERROR(__xludf.DUMMYFUNCTION("""COMPUTED_VALUE"""),"بلينا")</f>
        <v>بلينا</v>
      </c>
      <c r="D1556" s="5" t="str">
        <f ca="1">IFERROR(__xludf.DUMMYFUNCTION("""COMPUTED_VALUE"""),"مركز علاج طبيعي")</f>
        <v>مركز علاج طبيعي</v>
      </c>
      <c r="E1556" s="5" t="str">
        <f ca="1">IFERROR(__xludf.DUMMYFUNCTION("""COMPUTED_VALUE"""),"علاج طبيعي")</f>
        <v>علاج طبيعي</v>
      </c>
      <c r="F1556" s="5" t="str">
        <f ca="1">IFERROR(__xludf.DUMMYFUNCTION("""COMPUTED_VALUE"""),"علاج طبيعي و تأهيل المسنين")</f>
        <v>علاج طبيعي و تأهيل المسنين</v>
      </c>
      <c r="G1556" s="5" t="str">
        <f ca="1">IFERROR(__xludf.DUMMYFUNCTION("""COMPUTED_VALUE"""),"د/ مينا انيس تاوضروس منقريوس ( مركز السلام للعلاج الطبيعي )")</f>
        <v>د/ مينا انيس تاوضروس منقريوس ( مركز السلام للعلاج الطبيعي )</v>
      </c>
      <c r="H1556" s="5" t="str">
        <f ca="1">IFERROR(__xludf.DUMMYFUNCTION("""COMPUTED_VALUE"""),"شارع الجمهوريه - البلينا - سوهاج ")</f>
        <v xml:space="preserve">شارع الجمهوريه - البلينا - سوهاج </v>
      </c>
      <c r="I1556" s="6" t="str">
        <f ca="1">IFERROR(__xludf.DUMMYFUNCTION("""COMPUTED_VALUE"""),"01015320059")</f>
        <v>01015320059</v>
      </c>
      <c r="J1556" s="6"/>
      <c r="K1556" s="6" t="str">
        <f ca="1">IFERROR(__xludf.DUMMYFUNCTION("""COMPUTED_VALUE"""),"25% علي جميع الخدمات علي الاسعار النقدي")</f>
        <v>25% علي جميع الخدمات علي الاسعار النقدي</v>
      </c>
    </row>
    <row r="1557" spans="1:11" x14ac:dyDescent="0.25">
      <c r="A1557" s="4" t="str">
        <f ca="1">IFERROR(__xludf.DUMMYFUNCTION("""COMPUTED_VALUE"""),"106007")</f>
        <v>106007</v>
      </c>
      <c r="B1557" s="5" t="str">
        <f ca="1">IFERROR(__xludf.DUMMYFUNCTION("""COMPUTED_VALUE"""),"المنوفية")</f>
        <v>المنوفية</v>
      </c>
      <c r="C1557" s="5" t="str">
        <f ca="1">IFERROR(__xludf.DUMMYFUNCTION("""COMPUTED_VALUE"""),"قويسنا")</f>
        <v>قويسنا</v>
      </c>
      <c r="D1557" s="5" t="str">
        <f ca="1">IFERROR(__xludf.DUMMYFUNCTION("""COMPUTED_VALUE"""),"مركز أشعة و تحاليل")</f>
        <v>مركز أشعة و تحاليل</v>
      </c>
      <c r="E1557" s="5" t="str">
        <f ca="1">IFERROR(__xludf.DUMMYFUNCTION("""COMPUTED_VALUE""")," أشعة و تحاليل")</f>
        <v xml:space="preserve"> أشعة و تحاليل</v>
      </c>
      <c r="F1557" s="5" t="str">
        <f ca="1">IFERROR(__xludf.DUMMYFUNCTION("""COMPUTED_VALUE""")," أشعة و تحاليل")</f>
        <v xml:space="preserve"> أشعة و تحاليل</v>
      </c>
      <c r="G1557" s="5" t="str">
        <f ca="1">IFERROR(__xludf.DUMMYFUNCTION("""COMPUTED_VALUE"""),"د/ عبدالرحمن هاشم عبدالخالق مسعد ( عيادات الرحمه التخصصيه للاشعه والتحاليل )")</f>
        <v>د/ عبدالرحمن هاشم عبدالخالق مسعد ( عيادات الرحمه التخصصيه للاشعه والتحاليل )</v>
      </c>
      <c r="H1557" s="5" t="str">
        <f ca="1">IFERROR(__xludf.DUMMYFUNCTION("""COMPUTED_VALUE"""),"24 شارع غراب - امام مطعم السلكاوي - اعلي الفلاح جمله - قويسنا - المنوفيه ")</f>
        <v xml:space="preserve">24 شارع غراب - امام مطعم السلكاوي - اعلي الفلاح جمله - قويسنا - المنوفيه </v>
      </c>
      <c r="I1557" s="6" t="str">
        <f ca="1">IFERROR(__xludf.DUMMYFUNCTION("""COMPUTED_VALUE"""),"01010992667")</f>
        <v>01010992667</v>
      </c>
      <c r="J1557" s="6"/>
      <c r="K1557" s="6" t="str">
        <f ca="1">IFERROR(__xludf.DUMMYFUNCTION("""COMPUTED_VALUE"""),"25% على جميع الخدمات")</f>
        <v>25% على جميع الخدمات</v>
      </c>
    </row>
    <row r="1558" spans="1:11" x14ac:dyDescent="0.25">
      <c r="A1558" s="4" t="str">
        <f ca="1">IFERROR(__xludf.DUMMYFUNCTION("""COMPUTED_VALUE"""),"106009")</f>
        <v>106009</v>
      </c>
      <c r="B1558" s="5" t="str">
        <f ca="1">IFERROR(__xludf.DUMMYFUNCTION("""COMPUTED_VALUE"""),"المنوفية")</f>
        <v>المنوفية</v>
      </c>
      <c r="C1558" s="5" t="str">
        <f ca="1">IFERROR(__xludf.DUMMYFUNCTION("""COMPUTED_VALUE"""),"منوف")</f>
        <v>منوف</v>
      </c>
      <c r="D1558" s="5" t="str">
        <f ca="1">IFERROR(__xludf.DUMMYFUNCTION("""COMPUTED_VALUE"""),"مستشفى")</f>
        <v>مستشفى</v>
      </c>
      <c r="E1558" s="5" t="str">
        <f ca="1">IFERROR(__xludf.DUMMYFUNCTION("""COMPUTED_VALUE"""),"مستشفي طبي متكامل")</f>
        <v>مستشفي طبي متكامل</v>
      </c>
      <c r="F1558" s="5" t="str">
        <f ca="1">IFERROR(__xludf.DUMMYFUNCTION("""COMPUTED_VALUE"""),"جميع التخصصات الطبية")</f>
        <v>جميع التخصصات الطبية</v>
      </c>
      <c r="G1558" s="5" t="str">
        <f ca="1">IFERROR(__xludf.DUMMYFUNCTION("""COMPUTED_VALUE"""),"مستشفي الرواد التخصصي الجديده")</f>
        <v>مستشفي الرواد التخصصي الجديده</v>
      </c>
      <c r="H1558" s="5" t="str">
        <f ca="1">IFERROR(__xludf.DUMMYFUNCTION("""COMPUTED_VALUE"""),"شارع بورسعيد بجوار مجلس المدينه - منوف - المنوفيه")</f>
        <v>شارع بورسعيد بجوار مجلس المدينه - منوف - المنوفيه</v>
      </c>
      <c r="I1558" s="6" t="str">
        <f ca="1">IFERROR(__xludf.DUMMYFUNCTION("""COMPUTED_VALUE"""),"0483655507")</f>
        <v>0483655507</v>
      </c>
      <c r="J1558" s="6"/>
      <c r="K1558" s="6" t="str">
        <f ca="1">IFERROR(__xludf.DUMMYFUNCTION("""COMPUTED_VALUE"""),"خصم 35% علي الاسعار النقدي المعلنة")</f>
        <v>خصم 35% علي الاسعار النقدي المعلنة</v>
      </c>
    </row>
    <row r="1559" spans="1:11" x14ac:dyDescent="0.25">
      <c r="A1559" s="4" t="str">
        <f ca="1">IFERROR(__xludf.DUMMYFUNCTION("""COMPUTED_VALUE"""),"105148-B")</f>
        <v>105148-B</v>
      </c>
      <c r="B1559" s="5" t="str">
        <f ca="1">IFERROR(__xludf.DUMMYFUNCTION("""COMPUTED_VALUE"""),"الجيزة")</f>
        <v>الجيزة</v>
      </c>
      <c r="C1559" s="5" t="str">
        <f ca="1">IFERROR(__xludf.DUMMYFUNCTION("""COMPUTED_VALUE"""),"الشيخ زايد")</f>
        <v>الشيخ زايد</v>
      </c>
      <c r="D1559" s="5" t="str">
        <f ca="1">IFERROR(__xludf.DUMMYFUNCTION("""COMPUTED_VALUE"""),"مركز أشعة")</f>
        <v>مركز أشعة</v>
      </c>
      <c r="E1559" s="5" t="str">
        <f ca="1">IFERROR(__xludf.DUMMYFUNCTION("""COMPUTED_VALUE"""),"مركز أشعة")</f>
        <v>مركز أشعة</v>
      </c>
      <c r="F1559" s="5" t="str">
        <f ca="1">IFERROR(__xludf.DUMMYFUNCTION("""COMPUTED_VALUE"""),"مركز الأشعة التشخيصية")</f>
        <v>مركز الأشعة التشخيصية</v>
      </c>
      <c r="G1559" s="5" t="str">
        <f ca="1">IFERROR(__xludf.DUMMYFUNCTION("""COMPUTED_VALUE"""),"البرج سكان ( معامل البرج)")</f>
        <v>البرج سكان ( معامل البرج)</v>
      </c>
      <c r="H1559" s="5" t="str">
        <f ca="1">IFERROR(__xludf.DUMMYFUNCTION("""COMPUTED_VALUE"""),"الشيخ زايد - كابيتال بيزنس بارك - B5
")</f>
        <v xml:space="preserve">الشيخ زايد - كابيتال بيزنس بارك - B5
</v>
      </c>
      <c r="I1559" s="6"/>
      <c r="J1559" s="6" t="str">
        <f ca="1">IFERROR(__xludf.DUMMYFUNCTION("""COMPUTED_VALUE"""),"19911")</f>
        <v>19911</v>
      </c>
      <c r="K1559" s="6" t="str">
        <f ca="1">IFERROR(__xludf.DUMMYFUNCTION("""COMPUTED_VALUE"""),"30% علي الأسعار النقدي المعلنة")</f>
        <v>30% علي الأسعار النقدي المعلنة</v>
      </c>
    </row>
    <row r="1560" spans="1:11" x14ac:dyDescent="0.25">
      <c r="A1560" s="4" t="str">
        <f ca="1">IFERROR(__xludf.DUMMYFUNCTION("""COMPUTED_VALUE"""),"105221-B")</f>
        <v>105221-B</v>
      </c>
      <c r="B1560" s="5" t="str">
        <f ca="1">IFERROR(__xludf.DUMMYFUNCTION("""COMPUTED_VALUE"""),"القاهرة")</f>
        <v>القاهرة</v>
      </c>
      <c r="C1560" s="5" t="str">
        <f ca="1">IFERROR(__xludf.DUMMYFUNCTION("""COMPUTED_VALUE"""),"القاهرة الجديدة")</f>
        <v>القاهرة الجديدة</v>
      </c>
      <c r="D1560" s="5" t="str">
        <f ca="1">IFERROR(__xludf.DUMMYFUNCTION("""COMPUTED_VALUE"""),"شركة")</f>
        <v>شركة</v>
      </c>
      <c r="E1560" s="5" t="str">
        <f ca="1">IFERROR(__xludf.DUMMYFUNCTION("""COMPUTED_VALUE"""),"شركة اجهزة طبية")</f>
        <v>شركة اجهزة طبية</v>
      </c>
      <c r="F1560" s="5" t="str">
        <f ca="1">IFERROR(__xludf.DUMMYFUNCTION("""COMPUTED_VALUE"""),"مركز بصريات")</f>
        <v>مركز بصريات</v>
      </c>
      <c r="G1560" s="5" t="str">
        <f ca="1">IFERROR(__xludf.DUMMYFUNCTION("""COMPUTED_VALUE"""),"محمود عزت إبراهيم المتولى(عزت إبراهيم للبصريات)")</f>
        <v>محمود عزت إبراهيم المتولى(عزت إبراهيم للبصريات)</v>
      </c>
      <c r="H1560" s="5" t="str">
        <f ca="1">IFERROR(__xludf.DUMMYFUNCTION("""COMPUTED_VALUE"""),"1 مكرر شارع السيد زكريا وجاد الحق- القاهرة")</f>
        <v>1 مكرر شارع السيد زكريا وجاد الحق- القاهرة</v>
      </c>
      <c r="I1560" s="6" t="str">
        <f ca="1">IFERROR(__xludf.DUMMYFUNCTION("""COMPUTED_VALUE"""),"201273862997")</f>
        <v>201273862997</v>
      </c>
      <c r="J1560" s="6"/>
      <c r="K1560" s="6" t="str">
        <f ca="1">IFERROR(__xludf.DUMMYFUNCTION("""COMPUTED_VALUE"""),"30% علي النظارات الطبية والشمسية")</f>
        <v>30% علي النظارات الطبية والشمسية</v>
      </c>
    </row>
    <row r="1561" spans="1:11" x14ac:dyDescent="0.25">
      <c r="A1561" s="4" t="str">
        <f ca="1">IFERROR(__xludf.DUMMYFUNCTION("""COMPUTED_VALUE"""),"105221-B")</f>
        <v>105221-B</v>
      </c>
      <c r="B1561" s="5" t="str">
        <f ca="1">IFERROR(__xludf.DUMMYFUNCTION("""COMPUTED_VALUE"""),"القاهرة")</f>
        <v>القاهرة</v>
      </c>
      <c r="C1561" s="5" t="str">
        <f ca="1">IFERROR(__xludf.DUMMYFUNCTION("""COMPUTED_VALUE"""),"مدينة نصر")</f>
        <v>مدينة نصر</v>
      </c>
      <c r="D1561" s="5" t="str">
        <f ca="1">IFERROR(__xludf.DUMMYFUNCTION("""COMPUTED_VALUE"""),"شركة")</f>
        <v>شركة</v>
      </c>
      <c r="E1561" s="5" t="str">
        <f ca="1">IFERROR(__xludf.DUMMYFUNCTION("""COMPUTED_VALUE"""),"شركة اجهزة طبية")</f>
        <v>شركة اجهزة طبية</v>
      </c>
      <c r="F1561" s="5" t="str">
        <f ca="1">IFERROR(__xludf.DUMMYFUNCTION("""COMPUTED_VALUE"""),"مركز بصريات")</f>
        <v>مركز بصريات</v>
      </c>
      <c r="G1561" s="5" t="str">
        <f ca="1">IFERROR(__xludf.DUMMYFUNCTION("""COMPUTED_VALUE"""),"محمود عزت إبراهيم المتولى(عزت إبراهيم للبصريات)")</f>
        <v>محمود عزت إبراهيم المتولى(عزت إبراهيم للبصريات)</v>
      </c>
      <c r="H1561" s="5" t="str">
        <f ca="1">IFERROR(__xludf.DUMMYFUNCTION("""COMPUTED_VALUE"""),"ميدان الساعة بجوار مطعم اخر ساعه - القاهرة")</f>
        <v>ميدان الساعة بجوار مطعم اخر ساعه - القاهرة</v>
      </c>
      <c r="I1561" s="6" t="str">
        <f ca="1">IFERROR(__xludf.DUMMYFUNCTION("""COMPUTED_VALUE"""),"201201015353")</f>
        <v>201201015353</v>
      </c>
      <c r="J1561" s="6"/>
      <c r="K1561" s="6" t="str">
        <f ca="1">IFERROR(__xludf.DUMMYFUNCTION("""COMPUTED_VALUE"""),"30% علي النظارات الطبية والشمسية")</f>
        <v>30% علي النظارات الطبية والشمسية</v>
      </c>
    </row>
    <row r="1562" spans="1:11" x14ac:dyDescent="0.25">
      <c r="A1562" s="4" t="str">
        <f ca="1">IFERROR(__xludf.DUMMYFUNCTION("""COMPUTED_VALUE"""),"3676")</f>
        <v>3676</v>
      </c>
      <c r="B1562" s="5" t="str">
        <f ca="1">IFERROR(__xludf.DUMMYFUNCTION("""COMPUTED_VALUE"""),"القاهرة")</f>
        <v>القاهرة</v>
      </c>
      <c r="C1562" s="5" t="str">
        <f ca="1">IFERROR(__xludf.DUMMYFUNCTION("""COMPUTED_VALUE"""),"مصر الجديدة")</f>
        <v>مصر الجديدة</v>
      </c>
      <c r="D1562" s="5" t="str">
        <f ca="1">IFERROR(__xludf.DUMMYFUNCTION("""COMPUTED_VALUE"""),"مستشفى")</f>
        <v>مستشفى</v>
      </c>
      <c r="E1562" s="5" t="str">
        <f ca="1">IFERROR(__xludf.DUMMYFUNCTION("""COMPUTED_VALUE"""),"مستشفي طبي متخصص")</f>
        <v>مستشفي طبي متخصص</v>
      </c>
      <c r="F1562" s="5" t="str">
        <f ca="1">IFERROR(__xludf.DUMMYFUNCTION("""COMPUTED_VALUE"""),"كُلي و مسالك بولية")</f>
        <v>كُلي و مسالك بولية</v>
      </c>
      <c r="G1562" s="5" t="str">
        <f ca="1">IFERROR(__xludf.DUMMYFUNCTION("""COMPUTED_VALUE"""),"مجموعة ميدسيتي الأستشارية (وحدة الغسيل الكلوي داخل مستشفى الخلفاء الراشدين)")</f>
        <v>مجموعة ميدسيتي الأستشارية (وحدة الغسيل الكلوي داخل مستشفى الخلفاء الراشدين)</v>
      </c>
      <c r="H1562" s="5" t="str">
        <f ca="1">IFERROR(__xludf.DUMMYFUNCTION("""COMPUTED_VALUE"""),"1 شارع السباق -مصر الجديدة داخل مستشفى الخلفاء الراشدين")</f>
        <v>1 شارع السباق -مصر الجديدة داخل مستشفى الخلفاء الراشدين</v>
      </c>
      <c r="I1562" s="6" t="str">
        <f ca="1">IFERROR(__xludf.DUMMYFUNCTION("""COMPUTED_VALUE"""),"20222919881")</f>
        <v>20222919881</v>
      </c>
      <c r="J1562" s="6"/>
      <c r="K1562" s="6" t="str">
        <f ca="1">IFERROR(__xludf.DUMMYFUNCTION("""COMPUTED_VALUE"""),"خصم 10% علي الاسعار النقدي")</f>
        <v>خصم 10% علي الاسعار النقدي</v>
      </c>
    </row>
    <row r="1563" spans="1:11" x14ac:dyDescent="0.25">
      <c r="A1563" s="4" t="str">
        <f ca="1">IFERROR(__xludf.DUMMYFUNCTION("""COMPUTED_VALUE"""),"105179-B")</f>
        <v>105179-B</v>
      </c>
      <c r="B1563" s="5" t="str">
        <f ca="1">IFERROR(__xludf.DUMMYFUNCTION("""COMPUTED_VALUE"""),"الغربية")</f>
        <v>الغربية</v>
      </c>
      <c r="C1563" s="5" t="str">
        <f ca="1">IFERROR(__xludf.DUMMYFUNCTION("""COMPUTED_VALUE"""),"طنطا")</f>
        <v>طنطا</v>
      </c>
      <c r="D1563" s="5" t="str">
        <f ca="1">IFERROR(__xludf.DUMMYFUNCTION("""COMPUTED_VALUE"""),"صيدلية")</f>
        <v>صيدلية</v>
      </c>
      <c r="E1563" s="5" t="str">
        <f ca="1">IFERROR(__xludf.DUMMYFUNCTION("""COMPUTED_VALUE"""),"صيدلية")</f>
        <v>صيدلية</v>
      </c>
      <c r="F1563" s="5" t="str">
        <f ca="1">IFERROR(__xludf.DUMMYFUNCTION("""COMPUTED_VALUE"""),"صيدلية (أدوية ومستلزمات طبية)")</f>
        <v>صيدلية (أدوية ومستلزمات طبية)</v>
      </c>
      <c r="G1563" s="5" t="str">
        <f ca="1">IFERROR(__xludf.DUMMYFUNCTION("""COMPUTED_VALUE"""),"صيدلية د. تامر علي سيف الدين ( د.نيازى عبدالغفار)")</f>
        <v>صيدلية د. تامر علي سيف الدين ( د.نيازى عبدالغفار)</v>
      </c>
      <c r="H1563" s="5" t="str">
        <f ca="1">IFERROR(__xludf.DUMMYFUNCTION("""COMPUTED_VALUE"""),"شارع عمرسعفان من شارع المدرية برج المصرية - طنطا")</f>
        <v>شارع عمرسعفان من شارع المدرية برج المصرية - طنطا</v>
      </c>
      <c r="I1563" s="6" t="str">
        <f ca="1">IFERROR(__xludf.DUMMYFUNCTION("""COMPUTED_VALUE"""),"403401888")</f>
        <v>403401888</v>
      </c>
      <c r="J1563" s="6"/>
      <c r="K1563" s="6" t="str">
        <f ca="1">IFERROR(__xludf.DUMMYFUNCTION("""COMPUTED_VALUE"""),"خصم 12% علي المحلي و 6% علي المستورد")</f>
        <v>خصم 12% علي المحلي و 6% علي المستورد</v>
      </c>
    </row>
    <row r="1564" spans="1:11" x14ac:dyDescent="0.25">
      <c r="A1564" s="4" t="str">
        <f ca="1">IFERROR(__xludf.DUMMYFUNCTION("""COMPUTED_VALUE"""),"104024-B")</f>
        <v>104024-B</v>
      </c>
      <c r="B1564" s="5" t="str">
        <f ca="1">IFERROR(__xludf.DUMMYFUNCTION("""COMPUTED_VALUE"""),"المنوفية")</f>
        <v>المنوفية</v>
      </c>
      <c r="C1564" s="5" t="str">
        <f ca="1">IFERROR(__xludf.DUMMYFUNCTION("""COMPUTED_VALUE"""),"منوف")</f>
        <v>منوف</v>
      </c>
      <c r="D1564" s="5" t="str">
        <f ca="1">IFERROR(__xludf.DUMMYFUNCTION("""COMPUTED_VALUE"""),"مركز أشعة")</f>
        <v>مركز أشعة</v>
      </c>
      <c r="E1564" s="5" t="str">
        <f ca="1">IFERROR(__xludf.DUMMYFUNCTION("""COMPUTED_VALUE"""),"مركز أشعة")</f>
        <v>مركز أشعة</v>
      </c>
      <c r="F1564" s="5" t="str">
        <f ca="1">IFERROR(__xludf.DUMMYFUNCTION("""COMPUTED_VALUE"""),"مركز الأشعة التشخيصية")</f>
        <v>مركز الأشعة التشخيصية</v>
      </c>
      <c r="G1564" s="5" t="str">
        <f ca="1">IFERROR(__xludf.DUMMYFUNCTION("""COMPUTED_VALUE"""),"مركز النخبة للأشعة والتحاليل")</f>
        <v>مركز النخبة للأشعة والتحاليل</v>
      </c>
      <c r="H1564" s="5" t="str">
        <f ca="1">IFERROR(__xludf.DUMMYFUNCTION("""COMPUTED_VALUE"""),"برج مناع الطبى بجوار موقف مصرو فرع فودافون - منوف")</f>
        <v>برج مناع الطبى بجوار موقف مصرو فرع فودافون - منوف</v>
      </c>
      <c r="I1564" s="6" t="str">
        <f ca="1">IFERROR(__xludf.DUMMYFUNCTION("""COMPUTED_VALUE"""),"20483661508")</f>
        <v>20483661508</v>
      </c>
      <c r="J1564" s="6"/>
      <c r="K1564" s="6" t="str">
        <f ca="1">IFERROR(__xludf.DUMMYFUNCTION("""COMPUTED_VALUE"""),"خصم 25%علي الاسعار النقدي")</f>
        <v>خصم 25%علي الاسعار النقدي</v>
      </c>
    </row>
    <row r="1565" spans="1:11" x14ac:dyDescent="0.25">
      <c r="A1565" s="4" t="str">
        <f ca="1">IFERROR(__xludf.DUMMYFUNCTION("""COMPUTED_VALUE"""),"106016")</f>
        <v>106016</v>
      </c>
      <c r="B1565" s="5" t="str">
        <f ca="1">IFERROR(__xludf.DUMMYFUNCTION("""COMPUTED_VALUE"""),"القليوبية")</f>
        <v>القليوبية</v>
      </c>
      <c r="C1565" s="5" t="str">
        <f ca="1">IFERROR(__xludf.DUMMYFUNCTION("""COMPUTED_VALUE"""),"قليوب")</f>
        <v>قليوب</v>
      </c>
      <c r="D1565" s="5" t="str">
        <f ca="1">IFERROR(__xludf.DUMMYFUNCTION("""COMPUTED_VALUE"""),"مستشفى")</f>
        <v>مستشفى</v>
      </c>
      <c r="E1565" s="5" t="str">
        <f ca="1">IFERROR(__xludf.DUMMYFUNCTION("""COMPUTED_VALUE"""),"مستشفي طبي متكامل")</f>
        <v>مستشفي طبي متكامل</v>
      </c>
      <c r="F1565" s="5" t="str">
        <f ca="1">IFERROR(__xludf.DUMMYFUNCTION("""COMPUTED_VALUE"""),"جميع التخصصات الطبية")</f>
        <v>جميع التخصصات الطبية</v>
      </c>
      <c r="G1565" s="5" t="str">
        <f ca="1">IFERROR(__xludf.DUMMYFUNCTION("""COMPUTED_VALUE"""),"شركه ايات محمد عبدالسلام توفيق حسين و شريكها ( مركز الحكمه كلينيك الطبي )")</f>
        <v>شركه ايات محمد عبدالسلام توفيق حسين و شريكها ( مركز الحكمه كلينيك الطبي )</v>
      </c>
      <c r="H1565" s="5" t="str">
        <f ca="1">IFERROR(__xludf.DUMMYFUNCTION("""COMPUTED_VALUE"""),"46 شارع العاشر من رمضان امام محكمه قليوب- حوض الحبشي - قليوب البلد")</f>
        <v>46 شارع العاشر من رمضان امام محكمه قليوب- حوض الحبشي - قليوب البلد</v>
      </c>
      <c r="I1565" s="6" t="str">
        <f ca="1">IFERROR(__xludf.DUMMYFUNCTION("""COMPUTED_VALUE"""),"0242157075")</f>
        <v>0242157075</v>
      </c>
      <c r="J1565" s="6"/>
      <c r="K1565" s="6" t="str">
        <f ca="1">IFERROR(__xludf.DUMMYFUNCTION("""COMPUTED_VALUE"""),"خصم 20% علي الاسعار النقدي")</f>
        <v>خصم 20% علي الاسعار النقدي</v>
      </c>
    </row>
    <row r="1566" spans="1:11" x14ac:dyDescent="0.25">
      <c r="A1566" s="4" t="str">
        <f ca="1">IFERROR(__xludf.DUMMYFUNCTION("""COMPUTED_VALUE"""),"106021")</f>
        <v>106021</v>
      </c>
      <c r="B1566" s="5" t="str">
        <f ca="1">IFERROR(__xludf.DUMMYFUNCTION("""COMPUTED_VALUE"""),"القاهرة")</f>
        <v>القاهرة</v>
      </c>
      <c r="C1566" s="5" t="str">
        <f ca="1">IFERROR(__xludf.DUMMYFUNCTION("""COMPUTED_VALUE"""),"المرج")</f>
        <v>المرج</v>
      </c>
      <c r="D1566" s="5" t="str">
        <f ca="1">IFERROR(__xludf.DUMMYFUNCTION("""COMPUTED_VALUE"""),"هيئة الأطباء")</f>
        <v>هيئة الأطباء</v>
      </c>
      <c r="E1566" s="5" t="str">
        <f ca="1">IFERROR(__xludf.DUMMYFUNCTION("""COMPUTED_VALUE"""),"جراحة")</f>
        <v>جراحة</v>
      </c>
      <c r="F1566" s="5" t="str">
        <f ca="1">IFERROR(__xludf.DUMMYFUNCTION("""COMPUTED_VALUE"""),"جراحة عظام")</f>
        <v>جراحة عظام</v>
      </c>
      <c r="G1566" s="5" t="str">
        <f ca="1">IFERROR(__xludf.DUMMYFUNCTION("""COMPUTED_VALUE"""),"دكتور محمد علي عبدربه عطوة بركات ")</f>
        <v xml:space="preserve">دكتور محمد علي عبدربه عطوة بركات </v>
      </c>
      <c r="H1566" s="5" t="str">
        <f ca="1">IFERROR(__xludf.DUMMYFUNCTION("""COMPUTED_VALUE"""),"٤ شارع عبدالله رفاعي من شارع مؤسسة الزكاة المرج ")</f>
        <v xml:space="preserve">٤ شارع عبدالله رفاعي من شارع مؤسسة الزكاة المرج </v>
      </c>
      <c r="I1566" s="6" t="str">
        <f ca="1">IFERROR(__xludf.DUMMYFUNCTION("""COMPUTED_VALUE"""),"01064302450")</f>
        <v>01064302450</v>
      </c>
      <c r="J1566" s="6"/>
      <c r="K1566" s="6" t="str">
        <f ca="1">IFERROR(__xludf.DUMMYFUNCTION("""COMPUTED_VALUE"""),"كشف 80 ج ونقابة 2018")</f>
        <v>كشف 80 ج ونقابة 2018</v>
      </c>
    </row>
    <row r="1567" spans="1:11" x14ac:dyDescent="0.25">
      <c r="A1567" s="4" t="str">
        <f ca="1">IFERROR(__xludf.DUMMYFUNCTION("""COMPUTED_VALUE"""),"106022")</f>
        <v>106022</v>
      </c>
      <c r="B1567" s="5" t="str">
        <f ca="1">IFERROR(__xludf.DUMMYFUNCTION("""COMPUTED_VALUE"""),"الجيزة")</f>
        <v>الجيزة</v>
      </c>
      <c r="C1567" s="5" t="str">
        <f ca="1">IFERROR(__xludf.DUMMYFUNCTION("""COMPUTED_VALUE"""),"المهندسين")</f>
        <v>المهندسين</v>
      </c>
      <c r="D1567" s="5" t="str">
        <f ca="1">IFERROR(__xludf.DUMMYFUNCTION("""COMPUTED_VALUE"""),"هيئة الأطباء")</f>
        <v>هيئة الأطباء</v>
      </c>
      <c r="E1567" s="5" t="str">
        <f ca="1">IFERROR(__xludf.DUMMYFUNCTION("""COMPUTED_VALUE"""),"أنف وأذن وحنجرة")</f>
        <v>أنف وأذن وحنجرة</v>
      </c>
      <c r="F1567" s="5" t="str">
        <f ca="1">IFERROR(__xludf.DUMMYFUNCTION("""COMPUTED_VALUE"""),"أنف وأذن وحنجرة")</f>
        <v>أنف وأذن وحنجرة</v>
      </c>
      <c r="G1567" s="5" t="str">
        <f ca="1">IFERROR(__xludf.DUMMYFUNCTION("""COMPUTED_VALUE"""),"دكتور هشام محمد نجم")</f>
        <v>دكتور هشام محمد نجم</v>
      </c>
      <c r="H1567" s="5" t="str">
        <f ca="1">IFERROR(__xludf.DUMMYFUNCTION("""COMPUTED_VALUE"""),"٣٥ شارع عدن-المهندسين-الجيزة ")</f>
        <v xml:space="preserve">٣٥ شارع عدن-المهندسين-الجيزة </v>
      </c>
      <c r="I1567" s="6" t="str">
        <f ca="1">IFERROR(__xludf.DUMMYFUNCTION("""COMPUTED_VALUE"""),"33380813")</f>
        <v>33380813</v>
      </c>
      <c r="J1567" s="6"/>
      <c r="K1567" s="6" t="str">
        <f ca="1">IFERROR(__xludf.DUMMYFUNCTION("""COMPUTED_VALUE"""),"كشف 150ج ونقابة 2019")</f>
        <v>كشف 150ج ونقابة 2019</v>
      </c>
    </row>
    <row r="1568" spans="1:11" x14ac:dyDescent="0.25">
      <c r="A1568" s="4" t="str">
        <f ca="1">IFERROR(__xludf.DUMMYFUNCTION("""COMPUTED_VALUE"""),"106026")</f>
        <v>106026</v>
      </c>
      <c r="B1568" s="5" t="str">
        <f ca="1">IFERROR(__xludf.DUMMYFUNCTION("""COMPUTED_VALUE"""),"القاهرة")</f>
        <v>القاهرة</v>
      </c>
      <c r="C1568" s="5" t="str">
        <f ca="1">IFERROR(__xludf.DUMMYFUNCTION("""COMPUTED_VALUE"""),"مصر الجديدة")</f>
        <v>مصر الجديدة</v>
      </c>
      <c r="D1568" s="5" t="str">
        <f ca="1">IFERROR(__xludf.DUMMYFUNCTION("""COMPUTED_VALUE"""),"هيئة الأطباء")</f>
        <v>هيئة الأطباء</v>
      </c>
      <c r="E1568" s="5" t="str">
        <f ca="1">IFERROR(__xludf.DUMMYFUNCTION("""COMPUTED_VALUE"""),"اسنان")</f>
        <v>اسنان</v>
      </c>
      <c r="F1568" s="5" t="str">
        <f ca="1">IFERROR(__xludf.DUMMYFUNCTION("""COMPUTED_VALUE"""),"جراحة الفم والأسنان")</f>
        <v>جراحة الفم والأسنان</v>
      </c>
      <c r="G1568" s="5" t="str">
        <f ca="1">IFERROR(__xludf.DUMMYFUNCTION("""COMPUTED_VALUE"""),"د.أحمد محمد رشدي سيد محمد ابو النجا")</f>
        <v>د.أحمد محمد رشدي سيد محمد ابو النجا</v>
      </c>
      <c r="H1568" s="5" t="str">
        <f ca="1">IFERROR(__xludf.DUMMYFUNCTION("""COMPUTED_VALUE"""),"٧٣ شارع عمر بن الخطاب السبع عمارات مصر الجديدة")</f>
        <v>٧٣ شارع عمر بن الخطاب السبع عمارات مصر الجديدة</v>
      </c>
      <c r="I1568" s="6" t="str">
        <f ca="1">IFERROR(__xludf.DUMMYFUNCTION("""COMPUTED_VALUE"""),"01093888153")</f>
        <v>01093888153</v>
      </c>
      <c r="J1568" s="6"/>
      <c r="K1568" s="6" t="str">
        <f ca="1">IFERROR(__xludf.DUMMYFUNCTION("""COMPUTED_VALUE"""),"20% على الكشف ,10% على الزراعات ,10% على التركيبات")</f>
        <v>20% على الكشف ,10% على الزراعات ,10% على التركيبات</v>
      </c>
    </row>
    <row r="1569" spans="1:11" x14ac:dyDescent="0.25">
      <c r="A1569" s="4" t="str">
        <f ca="1">IFERROR(__xludf.DUMMYFUNCTION("""COMPUTED_VALUE"""),"106027")</f>
        <v>106027</v>
      </c>
      <c r="B1569" s="5" t="str">
        <f ca="1">IFERROR(__xludf.DUMMYFUNCTION("""COMPUTED_VALUE"""),"الجيزة")</f>
        <v>الجيزة</v>
      </c>
      <c r="C1569" s="5" t="str">
        <f ca="1">IFERROR(__xludf.DUMMYFUNCTION("""COMPUTED_VALUE"""),"البدرشين")</f>
        <v>البدرشين</v>
      </c>
      <c r="D1569" s="5" t="str">
        <f ca="1">IFERROR(__xludf.DUMMYFUNCTION("""COMPUTED_VALUE"""),"مستشفى")</f>
        <v>مستشفى</v>
      </c>
      <c r="E1569" s="5" t="str">
        <f ca="1">IFERROR(__xludf.DUMMYFUNCTION("""COMPUTED_VALUE"""),"مستشفي طبي متكامل")</f>
        <v>مستشفي طبي متكامل</v>
      </c>
      <c r="F1569" s="5" t="str">
        <f ca="1">IFERROR(__xludf.DUMMYFUNCTION("""COMPUTED_VALUE"""),"جميع التخصصات الطبية")</f>
        <v>جميع التخصصات الطبية</v>
      </c>
      <c r="G1569" s="5" t="str">
        <f ca="1">IFERROR(__xludf.DUMMYFUNCTION("""COMPUTED_VALUE"""),"نيوفيجين للخدمات الطبية (مستشفي الرعاية الاسلامية)")</f>
        <v>نيوفيجين للخدمات الطبية (مستشفي الرعاية الاسلامية)</v>
      </c>
      <c r="H1569" s="5" t="str">
        <f ca="1">IFERROR(__xludf.DUMMYFUNCTION("""COMPUTED_VALUE"""),"شارع الرعاية الاسلامية خلف مركز البدرشين - البدرشين ")</f>
        <v xml:space="preserve">شارع الرعاية الاسلامية خلف مركز البدرشين - البدرشين </v>
      </c>
      <c r="I1569" s="6" t="str">
        <f ca="1">IFERROR(__xludf.DUMMYFUNCTION("""COMPUTED_VALUE"""),"01005554855")</f>
        <v>01005554855</v>
      </c>
      <c r="J1569" s="6"/>
      <c r="K1569" s="6" t="str">
        <f ca="1">IFERROR(__xludf.DUMMYFUNCTION("""COMPUTED_VALUE"""),"25% على جميع الخدمات")</f>
        <v>25% على جميع الخدمات</v>
      </c>
    </row>
    <row r="1570" spans="1:11" x14ac:dyDescent="0.25">
      <c r="A1570" s="4" t="str">
        <f ca="1">IFERROR(__xludf.DUMMYFUNCTION("""COMPUTED_VALUE"""),"106028")</f>
        <v>106028</v>
      </c>
      <c r="B1570" s="5" t="str">
        <f ca="1">IFERROR(__xludf.DUMMYFUNCTION("""COMPUTED_VALUE"""),"القاهرة")</f>
        <v>القاهرة</v>
      </c>
      <c r="C1570" s="5" t="str">
        <f ca="1">IFERROR(__xludf.DUMMYFUNCTION("""COMPUTED_VALUE"""),"حلمية الزيتون")</f>
        <v>حلمية الزيتون</v>
      </c>
      <c r="D1570" s="5" t="str">
        <f ca="1">IFERROR(__xludf.DUMMYFUNCTION("""COMPUTED_VALUE"""),"هيئة الأطباء")</f>
        <v>هيئة الأطباء</v>
      </c>
      <c r="E1570" s="5" t="str">
        <f ca="1">IFERROR(__xludf.DUMMYFUNCTION("""COMPUTED_VALUE"""),"اسنان")</f>
        <v>اسنان</v>
      </c>
      <c r="F1570" s="5" t="str">
        <f ca="1">IFERROR(__xludf.DUMMYFUNCTION("""COMPUTED_VALUE"""),"جراحة الفم والأسنان")</f>
        <v>جراحة الفم والأسنان</v>
      </c>
      <c r="G1570" s="5" t="str">
        <f ca="1">IFERROR(__xludf.DUMMYFUNCTION("""COMPUTED_VALUE"""),"د/أمنية طارق محمود ")</f>
        <v xml:space="preserve">د/أمنية طارق محمود </v>
      </c>
      <c r="H1570" s="5" t="str">
        <f ca="1">IFERROR(__xludf.DUMMYFUNCTION("""COMPUTED_VALUE"""),"١١ شارع المطرية العمومي- أبراج التعمير- حلمية الزيتون-القاهرة")</f>
        <v>١١ شارع المطرية العمومي- أبراج التعمير- حلمية الزيتون-القاهرة</v>
      </c>
      <c r="I1570" s="6" t="str">
        <f ca="1">IFERROR(__xludf.DUMMYFUNCTION("""COMPUTED_VALUE"""),"01025505034")</f>
        <v>01025505034</v>
      </c>
      <c r="J1570" s="6"/>
      <c r="K1570" s="6" t="str">
        <f ca="1">IFERROR(__xludf.DUMMYFUNCTION("""COMPUTED_VALUE"""),"كشف 50 ج ونقابة 2019")</f>
        <v>كشف 50 ج ونقابة 2019</v>
      </c>
    </row>
    <row r="1571" spans="1:11" x14ac:dyDescent="0.25">
      <c r="A1571" s="4" t="str">
        <f ca="1">IFERROR(__xludf.DUMMYFUNCTION("""COMPUTED_VALUE"""),"106029")</f>
        <v>106029</v>
      </c>
      <c r="B1571" s="5" t="str">
        <f ca="1">IFERROR(__xludf.DUMMYFUNCTION("""COMPUTED_VALUE"""),"القاهرة")</f>
        <v>القاهرة</v>
      </c>
      <c r="C1571" s="5" t="str">
        <f ca="1">IFERROR(__xludf.DUMMYFUNCTION("""COMPUTED_VALUE"""),"المرج")</f>
        <v>المرج</v>
      </c>
      <c r="D1571" s="5" t="str">
        <f ca="1">IFERROR(__xludf.DUMMYFUNCTION("""COMPUTED_VALUE"""),"هيئة الأطباء")</f>
        <v>هيئة الأطباء</v>
      </c>
      <c r="E1571" s="5" t="str">
        <f ca="1">IFERROR(__xludf.DUMMYFUNCTION("""COMPUTED_VALUE"""),"اسنان")</f>
        <v>اسنان</v>
      </c>
      <c r="F1571" s="5" t="str">
        <f ca="1">IFERROR(__xludf.DUMMYFUNCTION("""COMPUTED_VALUE"""),"جراحة الفم والأسنان")</f>
        <v>جراحة الفم والأسنان</v>
      </c>
      <c r="G1571" s="5" t="str">
        <f ca="1">IFERROR(__xludf.DUMMYFUNCTION("""COMPUTED_VALUE"""),"د.محمد أحمد محمد أحمد سالم")</f>
        <v>د.محمد أحمد محمد أحمد سالم</v>
      </c>
      <c r="H1571" s="5" t="str">
        <f ca="1">IFERROR(__xludf.DUMMYFUNCTION("""COMPUTED_VALUE"""),"5 شارع عطا سليمان م الأندلس عزبة النخل المرج ")</f>
        <v xml:space="preserve">5 شارع عطا سليمان م الأندلس عزبة النخل المرج </v>
      </c>
      <c r="I1571" s="6" t="str">
        <f ca="1">IFERROR(__xludf.DUMMYFUNCTION("""COMPUTED_VALUE"""),"01095785084")</f>
        <v>01095785084</v>
      </c>
      <c r="J1571" s="6"/>
      <c r="K1571" s="6" t="str">
        <f ca="1">IFERROR(__xludf.DUMMYFUNCTION("""COMPUTED_VALUE"""),"نقابة 2017")</f>
        <v>نقابة 2017</v>
      </c>
    </row>
    <row r="1572" spans="1:11" x14ac:dyDescent="0.25">
      <c r="A1572" s="4" t="str">
        <f ca="1">IFERROR(__xludf.DUMMYFUNCTION("""COMPUTED_VALUE"""),"106029-B")</f>
        <v>106029-B</v>
      </c>
      <c r="B1572" s="5" t="str">
        <f ca="1">IFERROR(__xludf.DUMMYFUNCTION("""COMPUTED_VALUE"""),"الأقصر")</f>
        <v>الأقصر</v>
      </c>
      <c r="C1572" s="5" t="str">
        <f ca="1">IFERROR(__xludf.DUMMYFUNCTION("""COMPUTED_VALUE"""),"الأقصر")</f>
        <v>الأقصر</v>
      </c>
      <c r="D1572" s="5" t="str">
        <f ca="1">IFERROR(__xludf.DUMMYFUNCTION("""COMPUTED_VALUE"""),"هيئة الأطباء")</f>
        <v>هيئة الأطباء</v>
      </c>
      <c r="E1572" s="5" t="str">
        <f ca="1">IFERROR(__xludf.DUMMYFUNCTION("""COMPUTED_VALUE"""),"اسنان")</f>
        <v>اسنان</v>
      </c>
      <c r="F1572" s="5" t="str">
        <f ca="1">IFERROR(__xludf.DUMMYFUNCTION("""COMPUTED_VALUE"""),"جراحة الفم والأسنان")</f>
        <v>جراحة الفم والأسنان</v>
      </c>
      <c r="G1572" s="5" t="str">
        <f ca="1">IFERROR(__xludf.DUMMYFUNCTION("""COMPUTED_VALUE"""),"د.محمد أحمد محمد أحمد سالم")</f>
        <v>د.محمد أحمد محمد أحمد سالم</v>
      </c>
      <c r="H1572" s="5" t="str">
        <f ca="1">IFERROR(__xludf.DUMMYFUNCTION("""COMPUTED_VALUE"""),"شارع التلفزيون بجوار مدرسة الحرية (مبارك سابقا)  اعلي البان الهنا وحلواني ابوغلاب")</f>
        <v>شارع التلفزيون بجوار مدرسة الحرية (مبارك سابقا)  اعلي البان الهنا وحلواني ابوغلاب</v>
      </c>
      <c r="I1572" s="6" t="str">
        <f ca="1">IFERROR(__xludf.DUMMYFUNCTION("""COMPUTED_VALUE"""),"01141311993")</f>
        <v>01141311993</v>
      </c>
      <c r="J1572" s="6"/>
      <c r="K1572" s="6" t="str">
        <f ca="1">IFERROR(__xludf.DUMMYFUNCTION("""COMPUTED_VALUE"""),"نقابة 2017")</f>
        <v>نقابة 2017</v>
      </c>
    </row>
    <row r="1573" spans="1:11" x14ac:dyDescent="0.25">
      <c r="A1573" s="4" t="str">
        <f ca="1">IFERROR(__xludf.DUMMYFUNCTION("""COMPUTED_VALUE"""),"106029-B")</f>
        <v>106029-B</v>
      </c>
      <c r="B1573" s="5" t="str">
        <f ca="1">IFERROR(__xludf.DUMMYFUNCTION("""COMPUTED_VALUE"""),"القاهرة")</f>
        <v>القاهرة</v>
      </c>
      <c r="C1573" s="5" t="str">
        <f ca="1">IFERROR(__xludf.DUMMYFUNCTION("""COMPUTED_VALUE"""),"حلمية الزيتون")</f>
        <v>حلمية الزيتون</v>
      </c>
      <c r="D1573" s="5" t="str">
        <f ca="1">IFERROR(__xludf.DUMMYFUNCTION("""COMPUTED_VALUE"""),"هيئة الأطباء")</f>
        <v>هيئة الأطباء</v>
      </c>
      <c r="E1573" s="5" t="str">
        <f ca="1">IFERROR(__xludf.DUMMYFUNCTION("""COMPUTED_VALUE"""),"اسنان")</f>
        <v>اسنان</v>
      </c>
      <c r="F1573" s="5" t="str">
        <f ca="1">IFERROR(__xludf.DUMMYFUNCTION("""COMPUTED_VALUE"""),"جراحة الفم والأسنان")</f>
        <v>جراحة الفم والأسنان</v>
      </c>
      <c r="G1573" s="5" t="str">
        <f ca="1">IFERROR(__xludf.DUMMYFUNCTION("""COMPUTED_VALUE"""),"د.محمد أحمد محمد أحمد سالم")</f>
        <v>د.محمد أحمد محمد أحمد سالم</v>
      </c>
      <c r="H1573" s="5" t="str">
        <f ca="1">IFERROR(__xludf.DUMMYFUNCTION("""COMPUTED_VALUE"""),"ناصيه ش العزيز بالله تقاطع مع سليم ...برج الصفوة الدور الرابع بجوار مدرسه الجمهوريه الخاصه")</f>
        <v>ناصيه ش العزيز بالله تقاطع مع سليم ...برج الصفوة الدور الرابع بجوار مدرسه الجمهوريه الخاصه</v>
      </c>
      <c r="I1573" s="6"/>
      <c r="J1573" s="6"/>
      <c r="K1573" s="6" t="str">
        <f ca="1">IFERROR(__xludf.DUMMYFUNCTION("""COMPUTED_VALUE"""),"نقابة 2017")</f>
        <v>نقابة 2017</v>
      </c>
    </row>
    <row r="1574" spans="1:11" x14ac:dyDescent="0.25">
      <c r="A1574" s="4" t="str">
        <f ca="1">IFERROR(__xludf.DUMMYFUNCTION("""COMPUTED_VALUE"""),"106029-B")</f>
        <v>106029-B</v>
      </c>
      <c r="B1574" s="5" t="str">
        <f ca="1">IFERROR(__xludf.DUMMYFUNCTION("""COMPUTED_VALUE"""),"سوهاج")</f>
        <v>سوهاج</v>
      </c>
      <c r="C1574" s="5" t="str">
        <f ca="1">IFERROR(__xludf.DUMMYFUNCTION("""COMPUTED_VALUE"""),"سوهاج")</f>
        <v>سوهاج</v>
      </c>
      <c r="D1574" s="5" t="str">
        <f ca="1">IFERROR(__xludf.DUMMYFUNCTION("""COMPUTED_VALUE"""),"هيئة الأطباء")</f>
        <v>هيئة الأطباء</v>
      </c>
      <c r="E1574" s="5" t="str">
        <f ca="1">IFERROR(__xludf.DUMMYFUNCTION("""COMPUTED_VALUE"""),"اسنان")</f>
        <v>اسنان</v>
      </c>
      <c r="F1574" s="5" t="str">
        <f ca="1">IFERROR(__xludf.DUMMYFUNCTION("""COMPUTED_VALUE"""),"جراحة الفم والأسنان")</f>
        <v>جراحة الفم والأسنان</v>
      </c>
      <c r="G1574" s="5" t="str">
        <f ca="1">IFERROR(__xludf.DUMMYFUNCTION("""COMPUTED_VALUE"""),"د.محمد أحمد محمد أحمد سالم")</f>
        <v>د.محمد أحمد محمد أحمد سالم</v>
      </c>
      <c r="H1574" s="5" t="str">
        <f ca="1">IFERROR(__xludf.DUMMYFUNCTION("""COMPUTED_VALUE"""),"ش المحطه _أمام الجمعيه الاستهلاكية للمحطه ش سينما النصر الدور الرابع")</f>
        <v>ش المحطه _أمام الجمعيه الاستهلاكية للمحطه ش سينما النصر الدور الرابع</v>
      </c>
      <c r="I1574" s="6"/>
      <c r="J1574" s="6"/>
      <c r="K1574" s="6" t="str">
        <f ca="1">IFERROR(__xludf.DUMMYFUNCTION("""COMPUTED_VALUE"""),"نقابة 2017")</f>
        <v>نقابة 2017</v>
      </c>
    </row>
    <row r="1575" spans="1:11" x14ac:dyDescent="0.25">
      <c r="A1575" s="4" t="str">
        <f ca="1">IFERROR(__xludf.DUMMYFUNCTION("""COMPUTED_VALUE"""),"106029-B")</f>
        <v>106029-B</v>
      </c>
      <c r="B1575" s="5" t="str">
        <f ca="1">IFERROR(__xludf.DUMMYFUNCTION("""COMPUTED_VALUE"""),"القليوبية")</f>
        <v>القليوبية</v>
      </c>
      <c r="C1575" s="5" t="str">
        <f ca="1">IFERROR(__xludf.DUMMYFUNCTION("""COMPUTED_VALUE"""),"مدينة العبور")</f>
        <v>مدينة العبور</v>
      </c>
      <c r="D1575" s="5" t="str">
        <f ca="1">IFERROR(__xludf.DUMMYFUNCTION("""COMPUTED_VALUE"""),"هيئة الأطباء")</f>
        <v>هيئة الأطباء</v>
      </c>
      <c r="E1575" s="5" t="str">
        <f ca="1">IFERROR(__xludf.DUMMYFUNCTION("""COMPUTED_VALUE"""),"اسنان")</f>
        <v>اسنان</v>
      </c>
      <c r="F1575" s="5" t="str">
        <f ca="1">IFERROR(__xludf.DUMMYFUNCTION("""COMPUTED_VALUE"""),"جراحة الفم والأسنان")</f>
        <v>جراحة الفم والأسنان</v>
      </c>
      <c r="G1575" s="5" t="str">
        <f ca="1">IFERROR(__xludf.DUMMYFUNCTION("""COMPUTED_VALUE"""),"د.محمد أحمد محمد أحمد سالم")</f>
        <v>د.محمد أحمد محمد أحمد سالم</v>
      </c>
      <c r="H1575" s="5" t="str">
        <f ca="1">IFERROR(__xludf.DUMMYFUNCTION("""COMPUTED_VALUE"""),"وحدة 7بالدور الثاني علوي-مشروع المدينة مول رقم 1 بمركز الحي العائلي 7 د محافظة القليوبية - مدينة العبور")</f>
        <v>وحدة 7بالدور الثاني علوي-مشروع المدينة مول رقم 1 بمركز الحي العائلي 7 د محافظة القليوبية - مدينة العبور</v>
      </c>
      <c r="I1575" s="6"/>
      <c r="J1575" s="6"/>
      <c r="K1575" s="6" t="str">
        <f ca="1">IFERROR(__xludf.DUMMYFUNCTION("""COMPUTED_VALUE"""),"نقابة 2017")</f>
        <v>نقابة 2017</v>
      </c>
    </row>
    <row r="1576" spans="1:11" x14ac:dyDescent="0.25">
      <c r="A1576" s="4" t="str">
        <f ca="1">IFERROR(__xludf.DUMMYFUNCTION("""COMPUTED_VALUE"""),"106029-B")</f>
        <v>106029-B</v>
      </c>
      <c r="B1576" s="5" t="str">
        <f ca="1">IFERROR(__xludf.DUMMYFUNCTION("""COMPUTED_VALUE"""),"أسيوط")</f>
        <v>أسيوط</v>
      </c>
      <c r="C1576" s="5" t="str">
        <f ca="1">IFERROR(__xludf.DUMMYFUNCTION("""COMPUTED_VALUE"""),"أسيوط")</f>
        <v>أسيوط</v>
      </c>
      <c r="D1576" s="5" t="str">
        <f ca="1">IFERROR(__xludf.DUMMYFUNCTION("""COMPUTED_VALUE"""),"هيئة الأطباء")</f>
        <v>هيئة الأطباء</v>
      </c>
      <c r="E1576" s="5" t="str">
        <f ca="1">IFERROR(__xludf.DUMMYFUNCTION("""COMPUTED_VALUE"""),"اسنان")</f>
        <v>اسنان</v>
      </c>
      <c r="F1576" s="5" t="str">
        <f ca="1">IFERROR(__xludf.DUMMYFUNCTION("""COMPUTED_VALUE"""),"جراحة الفم والأسنان")</f>
        <v>جراحة الفم والأسنان</v>
      </c>
      <c r="G1576" s="5" t="str">
        <f ca="1">IFERROR(__xludf.DUMMYFUNCTION("""COMPUTED_VALUE"""),"د.محمد أحمد محمد أحمد سالم")</f>
        <v>د.محمد أحمد محمد أحمد سالم</v>
      </c>
      <c r="H1576" s="5" t="str">
        <f ca="1">IFERROR(__xludf.DUMMYFUNCTION("""COMPUTED_VALUE"""),"أسيوط شارع الجمهورية.   أمام محكمة الاستئناف برج سرايا الحمد. الدور الخامس علوي شقة 4")</f>
        <v>أسيوط شارع الجمهورية.   أمام محكمة الاستئناف برج سرايا الحمد. الدور الخامس علوي شقة 4</v>
      </c>
      <c r="I1576" s="6" t="str">
        <f ca="1">IFERROR(__xludf.DUMMYFUNCTION("""COMPUTED_VALUE"""),"2283767")</f>
        <v>2283767</v>
      </c>
      <c r="J1576" s="6"/>
      <c r="K1576" s="6" t="str">
        <f ca="1">IFERROR(__xludf.DUMMYFUNCTION("""COMPUTED_VALUE"""),"نقابة 2017")</f>
        <v>نقابة 2017</v>
      </c>
    </row>
    <row r="1577" spans="1:11" x14ac:dyDescent="0.25">
      <c r="A1577" s="4" t="str">
        <f ca="1">IFERROR(__xludf.DUMMYFUNCTION("""COMPUTED_VALUE"""),"106029-B")</f>
        <v>106029-B</v>
      </c>
      <c r="B1577" s="5" t="str">
        <f ca="1">IFERROR(__xludf.DUMMYFUNCTION("""COMPUTED_VALUE"""),"أسوان")</f>
        <v>أسوان</v>
      </c>
      <c r="C1577" s="5" t="str">
        <f ca="1">IFERROR(__xludf.DUMMYFUNCTION("""COMPUTED_VALUE"""),"أسوان")</f>
        <v>أسوان</v>
      </c>
      <c r="D1577" s="5" t="str">
        <f ca="1">IFERROR(__xludf.DUMMYFUNCTION("""COMPUTED_VALUE"""),"هيئة الأطباء")</f>
        <v>هيئة الأطباء</v>
      </c>
      <c r="E1577" s="5" t="str">
        <f ca="1">IFERROR(__xludf.DUMMYFUNCTION("""COMPUTED_VALUE"""),"اسنان")</f>
        <v>اسنان</v>
      </c>
      <c r="F1577" s="5" t="str">
        <f ca="1">IFERROR(__xludf.DUMMYFUNCTION("""COMPUTED_VALUE"""),"جراحة الفم والأسنان")</f>
        <v>جراحة الفم والأسنان</v>
      </c>
      <c r="G1577" s="5" t="str">
        <f ca="1">IFERROR(__xludf.DUMMYFUNCTION("""COMPUTED_VALUE"""),"د.محمد أحمد محمد أحمد سالم")</f>
        <v>د.محمد أحمد محمد أحمد سالم</v>
      </c>
      <c r="H1577" s="5" t="str">
        <f ca="1">IFERROR(__xludf.DUMMYFUNCTION("""COMPUTED_VALUE""")," 4 شارع البركه عمارة الحج عبدالصبور القوصي الدور الثاني فوق شركه اليمامه للكمبيوتر")</f>
        <v xml:space="preserve"> 4 شارع البركه عمارة الحج عبدالصبور القوصي الدور الثاني فوق شركه اليمامه للكمبيوتر</v>
      </c>
      <c r="I1577" s="6"/>
      <c r="J1577" s="6"/>
      <c r="K1577" s="6" t="str">
        <f ca="1">IFERROR(__xludf.DUMMYFUNCTION("""COMPUTED_VALUE"""),"نقابة 2017")</f>
        <v>نقابة 2017</v>
      </c>
    </row>
    <row r="1578" spans="1:11" x14ac:dyDescent="0.25">
      <c r="A1578" s="4" t="str">
        <f ca="1">IFERROR(__xludf.DUMMYFUNCTION("""COMPUTED_VALUE"""),"106029-B")</f>
        <v>106029-B</v>
      </c>
      <c r="B1578" s="5" t="str">
        <f ca="1">IFERROR(__xludf.DUMMYFUNCTION("""COMPUTED_VALUE"""),"البحر الاحمر")</f>
        <v>البحر الاحمر</v>
      </c>
      <c r="C1578" s="5" t="str">
        <f ca="1">IFERROR(__xludf.DUMMYFUNCTION("""COMPUTED_VALUE"""),"الغردقة")</f>
        <v>الغردقة</v>
      </c>
      <c r="D1578" s="5" t="str">
        <f ca="1">IFERROR(__xludf.DUMMYFUNCTION("""COMPUTED_VALUE"""),"هيئة الأطباء")</f>
        <v>هيئة الأطباء</v>
      </c>
      <c r="E1578" s="5" t="str">
        <f ca="1">IFERROR(__xludf.DUMMYFUNCTION("""COMPUTED_VALUE"""),"اسنان")</f>
        <v>اسنان</v>
      </c>
      <c r="F1578" s="5" t="str">
        <f ca="1">IFERROR(__xludf.DUMMYFUNCTION("""COMPUTED_VALUE"""),"جراحة الفم والأسنان")</f>
        <v>جراحة الفم والأسنان</v>
      </c>
      <c r="G1578" s="5" t="str">
        <f ca="1">IFERROR(__xludf.DUMMYFUNCTION("""COMPUTED_VALUE"""),"د.محمد أحمد محمد أحمد سالم")</f>
        <v>د.محمد أحمد محمد أحمد سالم</v>
      </c>
      <c r="H1578" s="5" t="str">
        <f ca="1">IFERROR(__xludf.DUMMYFUNCTION("""COMPUTED_VALUE"""),"تقسيم ش البحر أمام قريه الجيسون الدور الاول امام الشاطئ العام")</f>
        <v>تقسيم ش البحر أمام قريه الجيسون الدور الاول امام الشاطئ العام</v>
      </c>
      <c r="I1578" s="6"/>
      <c r="J1578" s="6"/>
      <c r="K1578" s="6" t="str">
        <f ca="1">IFERROR(__xludf.DUMMYFUNCTION("""COMPUTED_VALUE"""),"نقابة 2017")</f>
        <v>نقابة 2017</v>
      </c>
    </row>
    <row r="1579" spans="1:11" x14ac:dyDescent="0.25">
      <c r="A1579" s="4" t="str">
        <f ca="1">IFERROR(__xludf.DUMMYFUNCTION("""COMPUTED_VALUE"""),"105426-B")</f>
        <v>105426-B</v>
      </c>
      <c r="B1579" s="5" t="str">
        <f ca="1">IFERROR(__xludf.DUMMYFUNCTION("""COMPUTED_VALUE"""),"الاسكندرية")</f>
        <v>الاسكندرية</v>
      </c>
      <c r="C1579" s="5" t="str">
        <f ca="1">IFERROR(__xludf.DUMMYFUNCTION("""COMPUTED_VALUE"""),"سموحة")</f>
        <v>سموحة</v>
      </c>
      <c r="D1579" s="5" t="str">
        <f ca="1">IFERROR(__xludf.DUMMYFUNCTION("""COMPUTED_VALUE"""),"هيئة الأطباء")</f>
        <v>هيئة الأطباء</v>
      </c>
      <c r="E1579" s="5" t="str">
        <f ca="1">IFERROR(__xludf.DUMMYFUNCTION("""COMPUTED_VALUE"""),"اسنان")</f>
        <v>اسنان</v>
      </c>
      <c r="F1579" s="5" t="str">
        <f ca="1">IFERROR(__xludf.DUMMYFUNCTION("""COMPUTED_VALUE"""),"جراحة الفم والأسنان")</f>
        <v>جراحة الفم والأسنان</v>
      </c>
      <c r="G1579" s="5" t="str">
        <f ca="1">IFERROR(__xludf.DUMMYFUNCTION("""COMPUTED_VALUE"""),"د/ عمرو سعد محمد محمد احمد فرج(لوران دنتال كير)")</f>
        <v>د/ عمرو سعد محمد محمد احمد فرج(لوران دنتال كير)</v>
      </c>
      <c r="H1579" s="5" t="str">
        <f ca="1">IFERROR(__xludf.DUMMYFUNCTION("""COMPUTED_VALUE"""),"74 شارع الثرايا ش فوزي معاذ - سموحة")</f>
        <v>74 شارع الثرايا ش فوزي معاذ - سموحة</v>
      </c>
      <c r="I1579" s="6" t="str">
        <f ca="1">IFERROR(__xludf.DUMMYFUNCTION("""COMPUTED_VALUE"""),"201278564678")</f>
        <v>201278564678</v>
      </c>
      <c r="J1579" s="6" t="str">
        <f ca="1">IFERROR(__xludf.DUMMYFUNCTION("""COMPUTED_VALUE"""),"16752")</f>
        <v>16752</v>
      </c>
      <c r="K1579" s="6" t="str">
        <f ca="1">IFERROR(__xludf.DUMMYFUNCTION("""COMPUTED_VALUE"""),"50% علي الكشف , 25% علي التركيبات و 30% علي باقي الخدمات")</f>
        <v>50% علي الكشف , 25% علي التركيبات و 30% علي باقي الخدمات</v>
      </c>
    </row>
    <row r="1580" spans="1:11" x14ac:dyDescent="0.25">
      <c r="A1580" s="4" t="str">
        <f ca="1">IFERROR(__xludf.DUMMYFUNCTION("""COMPUTED_VALUE"""),"105426-B")</f>
        <v>105426-B</v>
      </c>
      <c r="B1580" s="5" t="str">
        <f ca="1">IFERROR(__xludf.DUMMYFUNCTION("""COMPUTED_VALUE"""),"القاهرة")</f>
        <v>القاهرة</v>
      </c>
      <c r="C1580" s="5" t="str">
        <f ca="1">IFERROR(__xludf.DUMMYFUNCTION("""COMPUTED_VALUE"""),"مصر الجديدة")</f>
        <v>مصر الجديدة</v>
      </c>
      <c r="D1580" s="5" t="str">
        <f ca="1">IFERROR(__xludf.DUMMYFUNCTION("""COMPUTED_VALUE"""),"هيئة الأطباء")</f>
        <v>هيئة الأطباء</v>
      </c>
      <c r="E1580" s="5" t="str">
        <f ca="1">IFERROR(__xludf.DUMMYFUNCTION("""COMPUTED_VALUE"""),"اسنان")</f>
        <v>اسنان</v>
      </c>
      <c r="F1580" s="5" t="str">
        <f ca="1">IFERROR(__xludf.DUMMYFUNCTION("""COMPUTED_VALUE"""),"جراحة الفم والأسنان")</f>
        <v>جراحة الفم والأسنان</v>
      </c>
      <c r="G1580" s="5" t="str">
        <f ca="1">IFERROR(__xludf.DUMMYFUNCTION("""COMPUTED_VALUE"""),"د/ عمرو سعد محمد محمد احمد فرج(لوران دنتال كير)")</f>
        <v>د/ عمرو سعد محمد محمد احمد فرج(لوران دنتال كير)</v>
      </c>
      <c r="H1580" s="5" t="str">
        <f ca="1">IFERROR(__xludf.DUMMYFUNCTION("""COMPUTED_VALUE"""),"16 أ عمارات العبور - صلاح سالم ")</f>
        <v xml:space="preserve">16 أ عمارات العبور - صلاح سالم </v>
      </c>
      <c r="I1580" s="6" t="str">
        <f ca="1">IFERROR(__xludf.DUMMYFUNCTION("""COMPUTED_VALUE"""),"201278564678")</f>
        <v>201278564678</v>
      </c>
      <c r="J1580" s="6" t="str">
        <f ca="1">IFERROR(__xludf.DUMMYFUNCTION("""COMPUTED_VALUE"""),"16752")</f>
        <v>16752</v>
      </c>
      <c r="K1580" s="6" t="str">
        <f ca="1">IFERROR(__xludf.DUMMYFUNCTION("""COMPUTED_VALUE"""),"50% علي الكشف , 25% علي التركيبات و 30% علي باقي الخدمات")</f>
        <v>50% علي الكشف , 25% علي التركيبات و 30% علي باقي الخدمات</v>
      </c>
    </row>
    <row r="1581" spans="1:11" x14ac:dyDescent="0.25">
      <c r="A1581" s="4" t="str">
        <f ca="1">IFERROR(__xludf.DUMMYFUNCTION("""COMPUTED_VALUE"""),"105426-B")</f>
        <v>105426-B</v>
      </c>
      <c r="B1581" s="5" t="str">
        <f ca="1">IFERROR(__xludf.DUMMYFUNCTION("""COMPUTED_VALUE"""),"الجيزة")</f>
        <v>الجيزة</v>
      </c>
      <c r="C1581" s="5" t="str">
        <f ca="1">IFERROR(__xludf.DUMMYFUNCTION("""COMPUTED_VALUE"""),"المهندسين")</f>
        <v>المهندسين</v>
      </c>
      <c r="D1581" s="5" t="str">
        <f ca="1">IFERROR(__xludf.DUMMYFUNCTION("""COMPUTED_VALUE"""),"هيئة الأطباء")</f>
        <v>هيئة الأطباء</v>
      </c>
      <c r="E1581" s="5" t="str">
        <f ca="1">IFERROR(__xludf.DUMMYFUNCTION("""COMPUTED_VALUE"""),"اسنان")</f>
        <v>اسنان</v>
      </c>
      <c r="F1581" s="5" t="str">
        <f ca="1">IFERROR(__xludf.DUMMYFUNCTION("""COMPUTED_VALUE"""),"جراحة الفم والأسنان")</f>
        <v>جراحة الفم والأسنان</v>
      </c>
      <c r="G1581" s="5" t="str">
        <f ca="1">IFERROR(__xludf.DUMMYFUNCTION("""COMPUTED_VALUE"""),"د/ عمرو سعد محمد محمد احمد فرج(لوران دنتال كير)")</f>
        <v>د/ عمرو سعد محمد محمد احمد فرج(لوران دنتال كير)</v>
      </c>
      <c r="H1581" s="5" t="str">
        <f ca="1">IFERROR(__xludf.DUMMYFUNCTION("""COMPUTED_VALUE"""),"87 شارع عبدالمنعم رياض - المهندسين")</f>
        <v>87 شارع عبدالمنعم رياض - المهندسين</v>
      </c>
      <c r="I1581" s="6" t="str">
        <f ca="1">IFERROR(__xludf.DUMMYFUNCTION("""COMPUTED_VALUE"""),"201278564678")</f>
        <v>201278564678</v>
      </c>
      <c r="J1581" s="6" t="str">
        <f ca="1">IFERROR(__xludf.DUMMYFUNCTION("""COMPUTED_VALUE"""),"16752")</f>
        <v>16752</v>
      </c>
      <c r="K1581" s="6" t="str">
        <f ca="1">IFERROR(__xludf.DUMMYFUNCTION("""COMPUTED_VALUE"""),"50% علي الكشف , 25% علي التركيبات و 30% علي باقي الخدمات")</f>
        <v>50% علي الكشف , 25% علي التركيبات و 30% علي باقي الخدمات</v>
      </c>
    </row>
    <row r="1582" spans="1:11" x14ac:dyDescent="0.25">
      <c r="A1582" s="4" t="str">
        <f ca="1">IFERROR(__xludf.DUMMYFUNCTION("""COMPUTED_VALUE"""),"105586")</f>
        <v>105586</v>
      </c>
      <c r="B1582" s="5" t="str">
        <f ca="1">IFERROR(__xludf.DUMMYFUNCTION("""COMPUTED_VALUE"""),"الجيزة")</f>
        <v>الجيزة</v>
      </c>
      <c r="C1582" s="5" t="str">
        <f ca="1">IFERROR(__xludf.DUMMYFUNCTION("""COMPUTED_VALUE"""),"الدقي")</f>
        <v>الدقي</v>
      </c>
      <c r="D1582" s="5" t="str">
        <f ca="1">IFERROR(__xludf.DUMMYFUNCTION("""COMPUTED_VALUE"""),"مستشفى")</f>
        <v>مستشفى</v>
      </c>
      <c r="E1582" s="5" t="str">
        <f ca="1">IFERROR(__xludf.DUMMYFUNCTION("""COMPUTED_VALUE"""),"مستشفي طبي متكامل")</f>
        <v>مستشفي طبي متكامل</v>
      </c>
      <c r="F1582" s="5" t="str">
        <f ca="1">IFERROR(__xludf.DUMMYFUNCTION("""COMPUTED_VALUE"""),"جميع التخصصات الطبية")</f>
        <v>جميع التخصصات الطبية</v>
      </c>
      <c r="G1582" s="5" t="str">
        <f ca="1">IFERROR(__xludf.DUMMYFUNCTION("""COMPUTED_VALUE"""),"مستشفى الكاتب")</f>
        <v>مستشفى الكاتب</v>
      </c>
      <c r="H1582" s="5" t="str">
        <f ca="1">IFERROR(__xludf.DUMMYFUNCTION("""COMPUTED_VALUE"""),"17 شارع عبد الله الكاتب ميدان فيني-الدقى- الجيزة")</f>
        <v>17 شارع عبد الله الكاتب ميدان فيني-الدقى- الجيزة</v>
      </c>
      <c r="I1582" s="6" t="str">
        <f ca="1">IFERROR(__xludf.DUMMYFUNCTION("""COMPUTED_VALUE"""),"01111435336")</f>
        <v>01111435336</v>
      </c>
      <c r="J1582" s="6" t="str">
        <f ca="1">IFERROR(__xludf.DUMMYFUNCTION("""COMPUTED_VALUE"""),"19668")</f>
        <v>19668</v>
      </c>
      <c r="K1582" s="6" t="str">
        <f ca="1">IFERROR(__xludf.DUMMYFUNCTION("""COMPUTED_VALUE"""),"40% على خدمات العيادات الخارجية و الطوارئ،45% علي الأشعة والتحاليل للقسم الخارجي فقط و35% علي خدمات  العلاج الطبيعي و 40% علي القسم الداخلي و45% علي الاقامات و اتعاب الاطباء,لا يتم تطبيق نسبة الخصم علي الادوية و المستلزمات ، الاجهزة الطبيه و الغازات ، وحد"&amp;"ه الكلي الصناعي، وحده العلاج الاشعاعي - الاتفقيات الشاملة ، المناظير، الدمغه و القسطرة المخية و القلبية ، خدمات بنك الدم ، معمل الانسجه، الاسعاف، و الخدمات التي تؤدي خارج المستشفي ، 15% خدمه)")</f>
        <v>40% على خدمات العيادات الخارجية و الطوارئ،45% علي الأشعة والتحاليل للقسم الخارجي فقط و35% علي خدمات  العلاج الطبيعي و 40% علي القسم الداخلي و45% علي الاقامات و اتعاب الاطباء,لا يتم تطبيق نسبة الخصم علي الادوية و المستلزمات ، الاجهزة الطبيه و الغازات ، وحده الكلي الصناعي، وحده العلاج الاشعاعي - الاتفقيات الشاملة ، المناظير، الدمغه و القسطرة المخية و القلبية ، خدمات بنك الدم ، معمل الانسجه، الاسعاف، و الخدمات التي تؤدي خارج المستشفي ، 15% خدمه)</v>
      </c>
    </row>
    <row r="1583" spans="1:11" x14ac:dyDescent="0.25">
      <c r="A1583" s="4" t="str">
        <f ca="1">IFERROR(__xludf.DUMMYFUNCTION("""COMPUTED_VALUE"""),"105426-B")</f>
        <v>105426-B</v>
      </c>
      <c r="B1583" s="5" t="str">
        <f ca="1">IFERROR(__xludf.DUMMYFUNCTION("""COMPUTED_VALUE"""),"القاهرة")</f>
        <v>القاهرة</v>
      </c>
      <c r="C1583" s="5" t="str">
        <f ca="1">IFERROR(__xludf.DUMMYFUNCTION("""COMPUTED_VALUE"""),"الرحاب")</f>
        <v>الرحاب</v>
      </c>
      <c r="D1583" s="5" t="str">
        <f ca="1">IFERROR(__xludf.DUMMYFUNCTION("""COMPUTED_VALUE"""),"هيئة الأطباء")</f>
        <v>هيئة الأطباء</v>
      </c>
      <c r="E1583" s="5" t="str">
        <f ca="1">IFERROR(__xludf.DUMMYFUNCTION("""COMPUTED_VALUE"""),"اسنان")</f>
        <v>اسنان</v>
      </c>
      <c r="F1583" s="5" t="str">
        <f ca="1">IFERROR(__xludf.DUMMYFUNCTION("""COMPUTED_VALUE"""),"جراحة الفم والأسنان")</f>
        <v>جراحة الفم والأسنان</v>
      </c>
      <c r="G1583" s="5" t="str">
        <f ca="1">IFERROR(__xludf.DUMMYFUNCTION("""COMPUTED_VALUE"""),"د/ عمرو سعد محمد محمد احمد فرج(لوران دنتال كير)")</f>
        <v>د/ عمرو سعد محمد محمد احمد فرج(لوران دنتال كير)</v>
      </c>
      <c r="H1583" s="5" t="str">
        <f ca="1">IFERROR(__xludf.DUMMYFUNCTION("""COMPUTED_VALUE"""),"التجمع الخامس - مدينة الرحاب - بوابة 5 - ميديكال بارك ايليت")</f>
        <v>التجمع الخامس - مدينة الرحاب - بوابة 5 - ميديكال بارك ايليت</v>
      </c>
      <c r="I1583" s="6" t="str">
        <f ca="1">IFERROR(__xludf.DUMMYFUNCTION("""COMPUTED_VALUE"""),"201278564678")</f>
        <v>201278564678</v>
      </c>
      <c r="J1583" s="6" t="str">
        <f ca="1">IFERROR(__xludf.DUMMYFUNCTION("""COMPUTED_VALUE"""),"16752")</f>
        <v>16752</v>
      </c>
      <c r="K1583" s="6" t="str">
        <f ca="1">IFERROR(__xludf.DUMMYFUNCTION("""COMPUTED_VALUE"""),"50% علي الكشف , 25% علي التركيبات و 30% علي باقي الخدمات")</f>
        <v>50% علي الكشف , 25% علي التركيبات و 30% علي باقي الخدمات</v>
      </c>
    </row>
    <row r="1584" spans="1:11" x14ac:dyDescent="0.25">
      <c r="A1584" s="4" t="str">
        <f ca="1">IFERROR(__xludf.DUMMYFUNCTION("""COMPUTED_VALUE"""),"106028-B")</f>
        <v>106028-B</v>
      </c>
      <c r="B1584" s="5" t="str">
        <f ca="1">IFERROR(__xludf.DUMMYFUNCTION("""COMPUTED_VALUE"""),"القاهرة")</f>
        <v>القاهرة</v>
      </c>
      <c r="C1584" s="5" t="str">
        <f ca="1">IFERROR(__xludf.DUMMYFUNCTION("""COMPUTED_VALUE"""),"مدينة الشروق")</f>
        <v>مدينة الشروق</v>
      </c>
      <c r="D1584" s="5" t="str">
        <f ca="1">IFERROR(__xludf.DUMMYFUNCTION("""COMPUTED_VALUE"""),"هيئة الأطباء")</f>
        <v>هيئة الأطباء</v>
      </c>
      <c r="E1584" s="5" t="str">
        <f ca="1">IFERROR(__xludf.DUMMYFUNCTION("""COMPUTED_VALUE"""),"اسنان")</f>
        <v>اسنان</v>
      </c>
      <c r="F1584" s="5" t="str">
        <f ca="1">IFERROR(__xludf.DUMMYFUNCTION("""COMPUTED_VALUE"""),"جراحة الفم والأسنان")</f>
        <v>جراحة الفم والأسنان</v>
      </c>
      <c r="G1584" s="5" t="str">
        <f ca="1">IFERROR(__xludf.DUMMYFUNCTION("""COMPUTED_VALUE"""),"د/أمنية طارق محمود ")</f>
        <v xml:space="preserve">د/أمنية طارق محمود </v>
      </c>
      <c r="H1584" s="5" t="str">
        <f ca="1">IFERROR(__xludf.DUMMYFUNCTION("""COMPUTED_VALUE"""),"جراند مول - قطعه 34 المدينه الترفيهيه - شمال مدينة الشروق - شقه 18")</f>
        <v>جراند مول - قطعه 34 المدينه الترفيهيه - شمال مدينة الشروق - شقه 18</v>
      </c>
      <c r="I1584" s="6" t="str">
        <f ca="1">IFERROR(__xludf.DUMMYFUNCTION("""COMPUTED_VALUE"""),"01064649193")</f>
        <v>01064649193</v>
      </c>
      <c r="J1584" s="6"/>
      <c r="K1584" s="6" t="str">
        <f ca="1">IFERROR(__xludf.DUMMYFUNCTION("""COMPUTED_VALUE"""),"كشف 50 ج ونقابة 2019")</f>
        <v>كشف 50 ج ونقابة 2019</v>
      </c>
    </row>
    <row r="1585" spans="1:11" x14ac:dyDescent="0.25">
      <c r="A1585" s="4" t="str">
        <f ca="1">IFERROR(__xludf.DUMMYFUNCTION("""COMPUTED_VALUE"""),"103307-B")</f>
        <v>103307-B</v>
      </c>
      <c r="B1585" s="5" t="str">
        <f ca="1">IFERROR(__xludf.DUMMYFUNCTION("""COMPUTED_VALUE"""),"الجيزة")</f>
        <v>الجيزة</v>
      </c>
      <c r="C1585" s="5" t="str">
        <f ca="1">IFERROR(__xludf.DUMMYFUNCTION("""COMPUTED_VALUE"""),"الهرم")</f>
        <v>الهرم</v>
      </c>
      <c r="D1585" s="5" t="str">
        <f ca="1">IFERROR(__xludf.DUMMYFUNCTION("""COMPUTED_VALUE"""),"مركز أشعة و تحاليل")</f>
        <v>مركز أشعة و تحاليل</v>
      </c>
      <c r="E1585" s="5" t="str">
        <f ca="1">IFERROR(__xludf.DUMMYFUNCTION("""COMPUTED_VALUE""")," أشعة و تحاليل")</f>
        <v xml:space="preserve"> أشعة و تحاليل</v>
      </c>
      <c r="F1585" s="5" t="str">
        <f ca="1">IFERROR(__xludf.DUMMYFUNCTION("""COMPUTED_VALUE""")," أشعة و تحاليل")</f>
        <v xml:space="preserve"> أشعة و تحاليل</v>
      </c>
      <c r="G1585" s="5" t="str">
        <f ca="1">IFERROR(__xludf.DUMMYFUNCTION("""COMPUTED_VALUE"""),"مركز القاهرة للأشعة (كايرو سكان)")</f>
        <v>مركز القاهرة للأشعة (كايرو سكان)</v>
      </c>
      <c r="H1585" s="5" t="str">
        <f ca="1">IFERROR(__xludf.DUMMYFUNCTION("""COMPUTED_VALUE"""),"97 شارع الهرم بجوار بنك ال cib")</f>
        <v>97 شارع الهرم بجوار بنك ال cib</v>
      </c>
      <c r="I1585" s="6" t="str">
        <f ca="1">IFERROR(__xludf.DUMMYFUNCTION("""COMPUTED_VALUE"""),"01211929659")</f>
        <v>01211929659</v>
      </c>
      <c r="J1585" s="6" t="str">
        <f ca="1">IFERROR(__xludf.DUMMYFUNCTION("""COMPUTED_VALUE"""),"19144")</f>
        <v>19144</v>
      </c>
      <c r="K1585" s="6" t="str">
        <f ca="1">IFERROR(__xludf.DUMMYFUNCTION("""COMPUTED_VALUE"""),"29% على جميع الخدمات")</f>
        <v>29% على جميع الخدمات</v>
      </c>
    </row>
    <row r="1586" spans="1:11" x14ac:dyDescent="0.25">
      <c r="A1586" s="4" t="str">
        <f ca="1">IFERROR(__xludf.DUMMYFUNCTION("""COMPUTED_VALUE"""),"106054")</f>
        <v>106054</v>
      </c>
      <c r="B1586" s="5" t="str">
        <f ca="1">IFERROR(__xludf.DUMMYFUNCTION("""COMPUTED_VALUE"""),"الجيزة")</f>
        <v>الجيزة</v>
      </c>
      <c r="C1586" s="5" t="str">
        <f ca="1">IFERROR(__xludf.DUMMYFUNCTION("""COMPUTED_VALUE"""),"الدقي")</f>
        <v>الدقي</v>
      </c>
      <c r="D1586" s="5" t="str">
        <f ca="1">IFERROR(__xludf.DUMMYFUNCTION("""COMPUTED_VALUE"""),"هيئة الأطباء")</f>
        <v>هيئة الأطباء</v>
      </c>
      <c r="E1586" s="5" t="str">
        <f ca="1">IFERROR(__xludf.DUMMYFUNCTION("""COMPUTED_VALUE"""),"جراحة")</f>
        <v>جراحة</v>
      </c>
      <c r="F1586" s="5" t="str">
        <f ca="1">IFERROR(__xludf.DUMMYFUNCTION("""COMPUTED_VALUE"""),"جراحة القلب والصدر")</f>
        <v>جراحة القلب والصدر</v>
      </c>
      <c r="G1586" s="5" t="str">
        <f ca="1">IFERROR(__xludf.DUMMYFUNCTION("""COMPUTED_VALUE"""),"د/عماد الدين محمود محمد الصراوي")</f>
        <v>د/عماد الدين محمود محمد الصراوي</v>
      </c>
      <c r="H1586" s="5" t="str">
        <f ca="1">IFERROR(__xludf.DUMMYFUNCTION("""COMPUTED_VALUE"""),"96 شارع التحرير ميدان الدقي -الدور التاسع-الجيزة")</f>
        <v>96 شارع التحرير ميدان الدقي -الدور التاسع-الجيزة</v>
      </c>
      <c r="I1586" s="6" t="str">
        <f ca="1">IFERROR(__xludf.DUMMYFUNCTION("""COMPUTED_VALUE"""),"01273047555")</f>
        <v>01273047555</v>
      </c>
      <c r="J1586" s="6"/>
      <c r="K1586" s="6" t="str">
        <f ca="1">IFERROR(__xludf.DUMMYFUNCTION("""COMPUTED_VALUE"""),"خصم 35% علي الاسعار النقدي")</f>
        <v>خصم 35% علي الاسعار النقدي</v>
      </c>
    </row>
    <row r="1587" spans="1:11" x14ac:dyDescent="0.25">
      <c r="A1587" s="4" t="str">
        <f ca="1">IFERROR(__xludf.DUMMYFUNCTION("""COMPUTED_VALUE"""),"106055")</f>
        <v>106055</v>
      </c>
      <c r="B1587" s="5" t="str">
        <f ca="1">IFERROR(__xludf.DUMMYFUNCTION("""COMPUTED_VALUE"""),"القاهرة")</f>
        <v>القاهرة</v>
      </c>
      <c r="C1587" s="5" t="str">
        <f ca="1">IFERROR(__xludf.DUMMYFUNCTION("""COMPUTED_VALUE"""),"مدينة نصر")</f>
        <v>مدينة نصر</v>
      </c>
      <c r="D1587" s="5" t="str">
        <f ca="1">IFERROR(__xludf.DUMMYFUNCTION("""COMPUTED_VALUE"""),"هيئة الأطباء")</f>
        <v>هيئة الأطباء</v>
      </c>
      <c r="E1587" s="5" t="str">
        <f ca="1">IFERROR(__xludf.DUMMYFUNCTION("""COMPUTED_VALUE"""),"اسنان")</f>
        <v>اسنان</v>
      </c>
      <c r="F1587" s="5" t="str">
        <f ca="1">IFERROR(__xludf.DUMMYFUNCTION("""COMPUTED_VALUE"""),"جراحة الفم والأسنان")</f>
        <v>جراحة الفم والأسنان</v>
      </c>
      <c r="G1587" s="5" t="str">
        <f ca="1">IFERROR(__xludf.DUMMYFUNCTION("""COMPUTED_VALUE"""),"د.هشام اسامة محمد محمد سبع (Well Ness)")</f>
        <v>د.هشام اسامة محمد محمد سبع (Well Ness)</v>
      </c>
      <c r="H1587" s="5" t="str">
        <f ca="1">IFERROR(__xludf.DUMMYFUNCTION("""COMPUTED_VALUE"""),"82 مصطفي النحاس الدور التاني شقة 8-مدينة نصر")</f>
        <v>82 مصطفي النحاس الدور التاني شقة 8-مدينة نصر</v>
      </c>
      <c r="I1587" s="6" t="str">
        <f ca="1">IFERROR(__xludf.DUMMYFUNCTION("""COMPUTED_VALUE"""),"01006218282")</f>
        <v>01006218282</v>
      </c>
      <c r="J1587" s="6"/>
      <c r="K1587" s="6" t="str">
        <f ca="1">IFERROR(__xludf.DUMMYFUNCTION("""COMPUTED_VALUE"""),"50% على الكشوفات ,30% على الإجراءات ,20%على التركيبات ,10% على الزراعات")</f>
        <v>50% على الكشوفات ,30% على الإجراءات ,20%على التركيبات ,10% على الزراعات</v>
      </c>
    </row>
    <row r="1588" spans="1:11" x14ac:dyDescent="0.25">
      <c r="A1588" s="4" t="str">
        <f ca="1">IFERROR(__xludf.DUMMYFUNCTION("""COMPUTED_VALUE"""),"106057")</f>
        <v>106057</v>
      </c>
      <c r="B1588" s="5" t="str">
        <f ca="1">IFERROR(__xludf.DUMMYFUNCTION("""COMPUTED_VALUE"""),"القاهرة")</f>
        <v>القاهرة</v>
      </c>
      <c r="C1588" s="5" t="str">
        <f ca="1">IFERROR(__xludf.DUMMYFUNCTION("""COMPUTED_VALUE"""),"مدينة نصر")</f>
        <v>مدينة نصر</v>
      </c>
      <c r="D1588" s="5" t="str">
        <f ca="1">IFERROR(__xludf.DUMMYFUNCTION("""COMPUTED_VALUE"""),"هيئة الأطباء")</f>
        <v>هيئة الأطباء</v>
      </c>
      <c r="E1588" s="5" t="str">
        <f ca="1">IFERROR(__xludf.DUMMYFUNCTION("""COMPUTED_VALUE"""),"أنف وأذن وحنجرة")</f>
        <v>أنف وأذن وحنجرة</v>
      </c>
      <c r="F1588" s="5" t="str">
        <f ca="1">IFERROR(__xludf.DUMMYFUNCTION("""COMPUTED_VALUE"""),"أنف وأذن وحنجرة")</f>
        <v>أنف وأذن وحنجرة</v>
      </c>
      <c r="G1588" s="5" t="str">
        <f ca="1">IFERROR(__xludf.DUMMYFUNCTION("""COMPUTED_VALUE"""),"د/طارق محمد جمال الدين حسن عبدالله عشماوي")</f>
        <v>د/طارق محمد جمال الدين حسن عبدالله عشماوي</v>
      </c>
      <c r="H1588" s="5" t="str">
        <f ca="1">IFERROR(__xludf.DUMMYFUNCTION("""COMPUTED_VALUE"""),"10 شارع الجهاد -المنطقه الاولي-مدينة نصر-القاهرة")</f>
        <v>10 شارع الجهاد -المنطقه الاولي-مدينة نصر-القاهرة</v>
      </c>
      <c r="I1588" s="6" t="str">
        <f ca="1">IFERROR(__xludf.DUMMYFUNCTION("""COMPUTED_VALUE"""),"01100782803")</f>
        <v>01100782803</v>
      </c>
      <c r="J1588" s="6"/>
      <c r="K1588" s="6" t="str">
        <f ca="1">IFERROR(__xludf.DUMMYFUNCTION("""COMPUTED_VALUE"""),"خصم 40% علي الاسعار النقدي")</f>
        <v>خصم 40% علي الاسعار النقدي</v>
      </c>
    </row>
    <row r="1589" spans="1:11" x14ac:dyDescent="0.25">
      <c r="A1589" s="4" t="str">
        <f ca="1">IFERROR(__xludf.DUMMYFUNCTION("""COMPUTED_VALUE"""),"106058")</f>
        <v>106058</v>
      </c>
      <c r="B1589" s="5" t="str">
        <f ca="1">IFERROR(__xludf.DUMMYFUNCTION("""COMPUTED_VALUE"""),"الجيزة")</f>
        <v>الجيزة</v>
      </c>
      <c r="C1589" s="5" t="str">
        <f ca="1">IFERROR(__xludf.DUMMYFUNCTION("""COMPUTED_VALUE"""),"الهرم")</f>
        <v>الهرم</v>
      </c>
      <c r="D1589" s="5" t="str">
        <f ca="1">IFERROR(__xludf.DUMMYFUNCTION("""COMPUTED_VALUE"""),"مستشفى")</f>
        <v>مستشفى</v>
      </c>
      <c r="E1589" s="5" t="str">
        <f ca="1">IFERROR(__xludf.DUMMYFUNCTION("""COMPUTED_VALUE"""),"مستشفي طبي متكامل")</f>
        <v>مستشفي طبي متكامل</v>
      </c>
      <c r="F1589" s="5" t="str">
        <f ca="1">IFERROR(__xludf.DUMMYFUNCTION("""COMPUTED_VALUE"""),"جميع التخصصات الطبية")</f>
        <v>جميع التخصصات الطبية</v>
      </c>
      <c r="G1589" s="5" t="str">
        <f ca="1">IFERROR(__xludf.DUMMYFUNCTION("""COMPUTED_VALUE"""),"مستشفي سفنكس التخصصي")</f>
        <v>مستشفي سفنكس التخصصي</v>
      </c>
      <c r="H1589" s="5" t="str">
        <f ca="1">IFERROR(__xludf.DUMMYFUNCTION("""COMPUTED_VALUE"""),"3 شارع الزهور متفرع من ش ابو الهول السياحي الهرم")</f>
        <v>3 شارع الزهور متفرع من ش ابو الهول السياحي الهرم</v>
      </c>
      <c r="I1589" s="6" t="str">
        <f ca="1">IFERROR(__xludf.DUMMYFUNCTION("""COMPUTED_VALUE"""),"01145142917")</f>
        <v>01145142917</v>
      </c>
      <c r="J1589" s="6"/>
      <c r="K1589" s="6" t="str">
        <f ca="1">IFERROR(__xludf.DUMMYFUNCTION("""COMPUTED_VALUE"""),"خصم 30% علي الكشف والطوارئ ، 20% علي الداخلي ماعد المستلزمات الطبيه")</f>
        <v>خصم 30% علي الكشف والطوارئ ، 20% علي الداخلي ماعد المستلزمات الطبيه</v>
      </c>
    </row>
    <row r="1590" spans="1:11" x14ac:dyDescent="0.25">
      <c r="A1590" s="4" t="str">
        <f ca="1">IFERROR(__xludf.DUMMYFUNCTION("""COMPUTED_VALUE"""),"106060")</f>
        <v>106060</v>
      </c>
      <c r="B1590" s="5" t="str">
        <f ca="1">IFERROR(__xludf.DUMMYFUNCTION("""COMPUTED_VALUE"""),"الدقهلية")</f>
        <v>الدقهلية</v>
      </c>
      <c r="C1590" s="5" t="str">
        <f ca="1">IFERROR(__xludf.DUMMYFUNCTION("""COMPUTED_VALUE"""),"ميت غمر")</f>
        <v>ميت غمر</v>
      </c>
      <c r="D1590" s="5" t="str">
        <f ca="1">IFERROR(__xludf.DUMMYFUNCTION("""COMPUTED_VALUE"""),"مركز علاج طبيعي")</f>
        <v>مركز علاج طبيعي</v>
      </c>
      <c r="E1590" s="5" t="str">
        <f ca="1">IFERROR(__xludf.DUMMYFUNCTION("""COMPUTED_VALUE"""),"علاج طبيعي")</f>
        <v>علاج طبيعي</v>
      </c>
      <c r="F1590" s="5" t="str">
        <f ca="1">IFERROR(__xludf.DUMMYFUNCTION("""COMPUTED_VALUE"""),"جلسات العلاج الطبيعي")</f>
        <v>جلسات العلاج الطبيعي</v>
      </c>
      <c r="G1590" s="5" t="str">
        <f ca="1">IFERROR(__xludf.DUMMYFUNCTION("""COMPUTED_VALUE"""),"د/سامي أحمد عبده زاهر (مركز د.سامي زاهر للسمنه والنحافه والعلاج الطبيعي)")</f>
        <v>د/سامي أحمد عبده زاهر (مركز د.سامي زاهر للسمنه والنحافه والعلاج الطبيعي)</v>
      </c>
      <c r="H1590" s="5" t="str">
        <f ca="1">IFERROR(__xludf.DUMMYFUNCTION("""COMPUTED_VALUE"""),"شارع الجيش و26 يوليو خلف صيدلية وجيه واعلي توكيل Ds للملابس -ميت غمر")</f>
        <v>شارع الجيش و26 يوليو خلف صيدلية وجيه واعلي توكيل Ds للملابس -ميت غمر</v>
      </c>
      <c r="I1590" s="6" t="str">
        <f ca="1">IFERROR(__xludf.DUMMYFUNCTION("""COMPUTED_VALUE"""),"01273738249")</f>
        <v>01273738249</v>
      </c>
      <c r="J1590" s="6"/>
      <c r="K1590" s="6" t="str">
        <f ca="1">IFERROR(__xludf.DUMMYFUNCTION("""COMPUTED_VALUE"""),"20% على الكشف,25%على باكدج 6 جلسات,30% على باكدج 12 جلسة
")</f>
        <v xml:space="preserve">20% على الكشف,25%على باكدج 6 جلسات,30% على باكدج 12 جلسة
</v>
      </c>
    </row>
    <row r="1591" spans="1:11" x14ac:dyDescent="0.25">
      <c r="A1591" s="4" t="str">
        <f ca="1">IFERROR(__xludf.DUMMYFUNCTION("""COMPUTED_VALUE"""),"106062")</f>
        <v>106062</v>
      </c>
      <c r="B1591" s="5" t="str">
        <f ca="1">IFERROR(__xludf.DUMMYFUNCTION("""COMPUTED_VALUE"""),"المنيا")</f>
        <v>المنيا</v>
      </c>
      <c r="C1591" s="5" t="str">
        <f ca="1">IFERROR(__xludf.DUMMYFUNCTION("""COMPUTED_VALUE"""),"بني مزار")</f>
        <v>بني مزار</v>
      </c>
      <c r="D1591" s="5" t="str">
        <f ca="1">IFERROR(__xludf.DUMMYFUNCTION("""COMPUTED_VALUE"""),"هيئة الأطباء")</f>
        <v>هيئة الأطباء</v>
      </c>
      <c r="E1591" s="5" t="str">
        <f ca="1">IFERROR(__xludf.DUMMYFUNCTION("""COMPUTED_VALUE"""),"باطنة")</f>
        <v>باطنة</v>
      </c>
      <c r="F1591" s="5" t="str">
        <f ca="1">IFERROR(__xludf.DUMMYFUNCTION("""COMPUTED_VALUE"""),"كبد وجهاز هضمي")</f>
        <v>كبد وجهاز هضمي</v>
      </c>
      <c r="G1591" s="5" t="str">
        <f ca="1">IFERROR(__xludf.DUMMYFUNCTION("""COMPUTED_VALUE"""),"د.ريمون رأفت كامل بساليوس")</f>
        <v>د.ريمون رأفت كامل بساليوس</v>
      </c>
      <c r="H1591" s="5" t="str">
        <f ca="1">IFERROR(__xludf.DUMMYFUNCTION("""COMPUTED_VALUE"""),"شارع طريق البحر الدور الاول علوي-بني مزار-المنيا")</f>
        <v>شارع طريق البحر الدور الاول علوي-بني مزار-المنيا</v>
      </c>
      <c r="I1591" s="6" t="str">
        <f ca="1">IFERROR(__xludf.DUMMYFUNCTION("""COMPUTED_VALUE"""),"01227391823")</f>
        <v>01227391823</v>
      </c>
      <c r="J1591" s="6"/>
      <c r="K1591" s="6" t="str">
        <f ca="1">IFERROR(__xludf.DUMMYFUNCTION("""COMPUTED_VALUE"""),"45% علي الاسعار النقدي المعلنه")</f>
        <v>45% علي الاسعار النقدي المعلنه</v>
      </c>
    </row>
    <row r="1592" spans="1:11" x14ac:dyDescent="0.25">
      <c r="A1592" s="4" t="str">
        <f ca="1">IFERROR(__xludf.DUMMYFUNCTION("""COMPUTED_VALUE"""),"106063")</f>
        <v>106063</v>
      </c>
      <c r="B1592" s="5" t="str">
        <f ca="1">IFERROR(__xludf.DUMMYFUNCTION("""COMPUTED_VALUE"""),"المنوفية")</f>
        <v>المنوفية</v>
      </c>
      <c r="C1592" s="5" t="str">
        <f ca="1">IFERROR(__xludf.DUMMYFUNCTION("""COMPUTED_VALUE"""),"شبين الكوم")</f>
        <v>شبين الكوم</v>
      </c>
      <c r="D1592" s="5" t="str">
        <f ca="1">IFERROR(__xludf.DUMMYFUNCTION("""COMPUTED_VALUE"""),"مستشفى")</f>
        <v>مستشفى</v>
      </c>
      <c r="E1592" s="5" t="str">
        <f ca="1">IFERROR(__xludf.DUMMYFUNCTION("""COMPUTED_VALUE"""),"مستشفي طبي متخصص")</f>
        <v>مستشفي طبي متخصص</v>
      </c>
      <c r="F1592" s="5" t="str">
        <f ca="1">IFERROR(__xludf.DUMMYFUNCTION("""COMPUTED_VALUE"""),"رمد (جراحة عيون)")</f>
        <v>رمد (جراحة عيون)</v>
      </c>
      <c r="G1592" s="5" t="str">
        <f ca="1">IFERROR(__xludf.DUMMYFUNCTION("""COMPUTED_VALUE"""),"ايه ان الحكمة للعيون والليزك")</f>
        <v>ايه ان الحكمة للعيون والليزك</v>
      </c>
      <c r="H1592" s="5" t="str">
        <f ca="1">IFERROR(__xludf.DUMMYFUNCTION("""COMPUTED_VALUE"""),"برج المدينة المنورة امتداد شارع طلعت حرب شبين الكوم")</f>
        <v>برج المدينة المنورة امتداد شارع طلعت حرب شبين الكوم</v>
      </c>
      <c r="I1592" s="6" t="str">
        <f ca="1">IFERROR(__xludf.DUMMYFUNCTION("""COMPUTED_VALUE"""),"01016240190")</f>
        <v>01016240190</v>
      </c>
      <c r="J1592" s="6"/>
      <c r="K1592" s="6" t="str">
        <f ca="1">IFERROR(__xludf.DUMMYFUNCTION("""COMPUTED_VALUE"""),"خصم 20% علي خدمات القسم الداخلي، خصم 30%علي خدمات القسم الخارجي")</f>
        <v>خصم 20% علي خدمات القسم الداخلي، خصم 30%علي خدمات القسم الخارجي</v>
      </c>
    </row>
    <row r="1593" spans="1:11" x14ac:dyDescent="0.25">
      <c r="A1593" s="4" t="str">
        <f ca="1">IFERROR(__xludf.DUMMYFUNCTION("""COMPUTED_VALUE"""),"106069")</f>
        <v>106069</v>
      </c>
      <c r="B1593" s="5" t="str">
        <f ca="1">IFERROR(__xludf.DUMMYFUNCTION("""COMPUTED_VALUE"""),"الاسكندرية")</f>
        <v>الاسكندرية</v>
      </c>
      <c r="C1593" s="5" t="str">
        <f ca="1">IFERROR(__xludf.DUMMYFUNCTION("""COMPUTED_VALUE"""),"جليم")</f>
        <v>جليم</v>
      </c>
      <c r="D1593" s="5" t="str">
        <f ca="1">IFERROR(__xludf.DUMMYFUNCTION("""COMPUTED_VALUE"""),"هيئة الأطباء")</f>
        <v>هيئة الأطباء</v>
      </c>
      <c r="E1593" s="5" t="str">
        <f ca="1">IFERROR(__xludf.DUMMYFUNCTION("""COMPUTED_VALUE"""),"اسنان")</f>
        <v>اسنان</v>
      </c>
      <c r="F1593" s="5" t="str">
        <f ca="1">IFERROR(__xludf.DUMMYFUNCTION("""COMPUTED_VALUE"""),"جراحة الفم والأسنان")</f>
        <v>جراحة الفم والأسنان</v>
      </c>
      <c r="G1593" s="5" t="str">
        <f ca="1">IFERROR(__xludf.DUMMYFUNCTION("""COMPUTED_VALUE"""),"د.وليد علي حامد عبدالرحمن العمروسي (مركز العمروسي للأسنان)")</f>
        <v>د.وليد علي حامد عبدالرحمن العمروسي (مركز العمروسي للأسنان)</v>
      </c>
      <c r="H1593" s="5" t="str">
        <f ca="1">IFERROR(__xludf.DUMMYFUNCTION("""COMPUTED_VALUE"""),"شارع الجيش والجمهورية عمارة حسن التبريزي-كوم حمادة-البحيرة.")</f>
        <v>شارع الجيش والجمهورية عمارة حسن التبريزي-كوم حمادة-البحيرة.</v>
      </c>
      <c r="I1593" s="6" t="str">
        <f ca="1">IFERROR(__xludf.DUMMYFUNCTION("""COMPUTED_VALUE"""),"01004886804")</f>
        <v>01004886804</v>
      </c>
      <c r="J1593" s="6"/>
      <c r="K1593" s="6" t="str">
        <f ca="1">IFERROR(__xludf.DUMMYFUNCTION("""COMPUTED_VALUE"""),"خصم 30% علي الاسعار النقدي")</f>
        <v>خصم 30% علي الاسعار النقدي</v>
      </c>
    </row>
    <row r="1594" spans="1:11" x14ac:dyDescent="0.25">
      <c r="A1594" s="4" t="str">
        <f ca="1">IFERROR(__xludf.DUMMYFUNCTION("""COMPUTED_VALUE"""),"106070")</f>
        <v>106070</v>
      </c>
      <c r="B1594" s="5" t="str">
        <f ca="1">IFERROR(__xludf.DUMMYFUNCTION("""COMPUTED_VALUE"""),"الغربية")</f>
        <v>الغربية</v>
      </c>
      <c r="C1594" s="5" t="str">
        <f ca="1">IFERROR(__xludf.DUMMYFUNCTION("""COMPUTED_VALUE"""),"زفتى")</f>
        <v>زفتى</v>
      </c>
      <c r="D1594" s="5" t="str">
        <f ca="1">IFERROR(__xludf.DUMMYFUNCTION("""COMPUTED_VALUE"""),"هيئة الأطباء")</f>
        <v>هيئة الأطباء</v>
      </c>
      <c r="E1594" s="5" t="str">
        <f ca="1">IFERROR(__xludf.DUMMYFUNCTION("""COMPUTED_VALUE"""),"اسنان")</f>
        <v>اسنان</v>
      </c>
      <c r="F1594" s="5" t="str">
        <f ca="1">IFERROR(__xludf.DUMMYFUNCTION("""COMPUTED_VALUE"""),"جراحة الفم والأسنان")</f>
        <v>جراحة الفم والأسنان</v>
      </c>
      <c r="G1594" s="5" t="str">
        <f ca="1">IFERROR(__xludf.DUMMYFUNCTION("""COMPUTED_VALUE"""),"د/كريم احمد سيف الاسلام عبدالفتاح قشطي")</f>
        <v>د/كريم احمد سيف الاسلام عبدالفتاح قشطي</v>
      </c>
      <c r="H1594" s="5" t="str">
        <f ca="1">IFERROR(__xludf.DUMMYFUNCTION("""COMPUTED_VALUE"""),"59 شارع الجيش بجوار الصحة المدرسية -زفتي - الغربية")</f>
        <v>59 شارع الجيش بجوار الصحة المدرسية -زفتي - الغربية</v>
      </c>
      <c r="I1594" s="6" t="str">
        <f ca="1">IFERROR(__xludf.DUMMYFUNCTION("""COMPUTED_VALUE"""),"0405718575")</f>
        <v>0405718575</v>
      </c>
      <c r="J1594" s="6"/>
      <c r="K1594" s="6" t="str">
        <f ca="1">IFERROR(__xludf.DUMMYFUNCTION("""COMPUTED_VALUE"""),"خصم 35% علي الاسعار النقدي")</f>
        <v>خصم 35% علي الاسعار النقدي</v>
      </c>
    </row>
    <row r="1595" spans="1:11" x14ac:dyDescent="0.25">
      <c r="A1595" s="4" t="str">
        <f ca="1">IFERROR(__xludf.DUMMYFUNCTION("""COMPUTED_VALUE"""),"106071")</f>
        <v>106071</v>
      </c>
      <c r="B1595" s="5" t="str">
        <f ca="1">IFERROR(__xludf.DUMMYFUNCTION("""COMPUTED_VALUE"""),"الاسكندرية")</f>
        <v>الاسكندرية</v>
      </c>
      <c r="C1595" s="5" t="str">
        <f ca="1">IFERROR(__xludf.DUMMYFUNCTION("""COMPUTED_VALUE"""),"العامرية")</f>
        <v>العامرية</v>
      </c>
      <c r="D1595" s="5" t="str">
        <f ca="1">IFERROR(__xludf.DUMMYFUNCTION("""COMPUTED_VALUE"""),"مركز علاج طبيعي")</f>
        <v>مركز علاج طبيعي</v>
      </c>
      <c r="E1595" s="5" t="str">
        <f ca="1">IFERROR(__xludf.DUMMYFUNCTION("""COMPUTED_VALUE"""),"علاج طبيعي")</f>
        <v>علاج طبيعي</v>
      </c>
      <c r="F1595" s="5" t="str">
        <f ca="1">IFERROR(__xludf.DUMMYFUNCTION("""COMPUTED_VALUE"""),"جلسات العلاج الطبيعي")</f>
        <v>جلسات العلاج الطبيعي</v>
      </c>
      <c r="G1595" s="5" t="str">
        <f ca="1">IFERROR(__xludf.DUMMYFUNCTION("""COMPUTED_VALUE"""),"د.محمد فتحي محمد علي عنب (مركز التقوي للعلاج الطبيعي)")</f>
        <v>د.محمد فتحي محمد علي عنب (مركز التقوي للعلاج الطبيعي)</v>
      </c>
      <c r="H1595" s="5" t="str">
        <f ca="1">IFERROR(__xludf.DUMMYFUNCTION("""COMPUTED_VALUE"""),"شارع المستشفي العام امام صيدلية سيدي رافع العامرية")</f>
        <v>شارع المستشفي العام امام صيدلية سيدي رافع العامرية</v>
      </c>
      <c r="I1595" s="6" t="str">
        <f ca="1">IFERROR(__xludf.DUMMYFUNCTION("""COMPUTED_VALUE"""),"01271445517")</f>
        <v>01271445517</v>
      </c>
      <c r="J1595" s="6"/>
      <c r="K1595" s="6" t="str">
        <f ca="1">IFERROR(__xludf.DUMMYFUNCTION("""COMPUTED_VALUE"""),"30% علي الكشف ، 25% علي كل الخدمات")</f>
        <v>30% علي الكشف ، 25% علي كل الخدمات</v>
      </c>
    </row>
    <row r="1596" spans="1:11" x14ac:dyDescent="0.25">
      <c r="A1596" s="4" t="str">
        <f ca="1">IFERROR(__xludf.DUMMYFUNCTION("""COMPUTED_VALUE"""),"106072")</f>
        <v>106072</v>
      </c>
      <c r="B1596" s="5" t="str">
        <f ca="1">IFERROR(__xludf.DUMMYFUNCTION("""COMPUTED_VALUE"""),"القليوبية")</f>
        <v>القليوبية</v>
      </c>
      <c r="C1596" s="5" t="str">
        <f ca="1">IFERROR(__xludf.DUMMYFUNCTION("""COMPUTED_VALUE"""),"شبين القناطر")</f>
        <v>شبين القناطر</v>
      </c>
      <c r="D1596" s="5" t="str">
        <f ca="1">IFERROR(__xludf.DUMMYFUNCTION("""COMPUTED_VALUE"""),"مركز علاج طبيعي")</f>
        <v>مركز علاج طبيعي</v>
      </c>
      <c r="E1596" s="5" t="str">
        <f ca="1">IFERROR(__xludf.DUMMYFUNCTION("""COMPUTED_VALUE"""),"علاج طبيعي")</f>
        <v>علاج طبيعي</v>
      </c>
      <c r="F1596" s="5" t="str">
        <f ca="1">IFERROR(__xludf.DUMMYFUNCTION("""COMPUTED_VALUE"""),"جلسات العلاج الطبيعي")</f>
        <v>جلسات العلاج الطبيعي</v>
      </c>
      <c r="G1596" s="5" t="str">
        <f ca="1">IFERROR(__xludf.DUMMYFUNCTION("""COMPUTED_VALUE"""),"مركز الحياة للعلاج الطبيعي")</f>
        <v>مركز الحياة للعلاج الطبيعي</v>
      </c>
      <c r="H1596" s="5" t="str">
        <f ca="1">IFERROR(__xludf.DUMMYFUNCTION("""COMPUTED_VALUE"""),"شارع الترعة الشرقاوية الغربي -شبين القناطر-القليوبية")</f>
        <v>شارع الترعة الشرقاوية الغربي -شبين القناطر-القليوبية</v>
      </c>
      <c r="I1596" s="6" t="str">
        <f ca="1">IFERROR(__xludf.DUMMYFUNCTION("""COMPUTED_VALUE"""),"01010041411")</f>
        <v>01010041411</v>
      </c>
      <c r="J1596" s="6"/>
      <c r="K1596" s="6" t="str">
        <f ca="1">IFERROR(__xludf.DUMMYFUNCTION("""COMPUTED_VALUE"""),"خصم 30% علي الاسعار النقدي")</f>
        <v>خصم 30% علي الاسعار النقدي</v>
      </c>
    </row>
    <row r="1597" spans="1:11" x14ac:dyDescent="0.25">
      <c r="A1597" s="4" t="str">
        <f ca="1">IFERROR(__xludf.DUMMYFUNCTION("""COMPUTED_VALUE"""),"106074")</f>
        <v>106074</v>
      </c>
      <c r="B1597" s="5" t="str">
        <f ca="1">IFERROR(__xludf.DUMMYFUNCTION("""COMPUTED_VALUE"""),"البحيرة")</f>
        <v>البحيرة</v>
      </c>
      <c r="C1597" s="5" t="str">
        <f ca="1">IFERROR(__xludf.DUMMYFUNCTION("""COMPUTED_VALUE"""),"رشيد")</f>
        <v>رشيد</v>
      </c>
      <c r="D1597" s="5" t="str">
        <f ca="1">IFERROR(__xludf.DUMMYFUNCTION("""COMPUTED_VALUE"""),"صيدلية")</f>
        <v>صيدلية</v>
      </c>
      <c r="E1597" s="5" t="str">
        <f ca="1">IFERROR(__xludf.DUMMYFUNCTION("""COMPUTED_VALUE"""),"صيدلية")</f>
        <v>صيدلية</v>
      </c>
      <c r="F1597" s="5" t="str">
        <f ca="1">IFERROR(__xludf.DUMMYFUNCTION("""COMPUTED_VALUE"""),"صيدلية (أدوية ومستلزمات طبية)")</f>
        <v>صيدلية (أدوية ومستلزمات طبية)</v>
      </c>
      <c r="G1597" s="5" t="str">
        <f ca="1">IFERROR(__xludf.DUMMYFUNCTION("""COMPUTED_VALUE"""),"صيدلية ابراهيم جابر محمد حجاج")</f>
        <v>صيدلية ابراهيم جابر محمد حجاج</v>
      </c>
      <c r="H1597" s="5" t="str">
        <f ca="1">IFERROR(__xludf.DUMMYFUNCTION("""COMPUTED_VALUE"""),"شارع البستان -متفرع من شارع المحطة-رشيد-البحيرة")</f>
        <v>شارع البستان -متفرع من شارع المحطة-رشيد-البحيرة</v>
      </c>
      <c r="I1597" s="6" t="str">
        <f ca="1">IFERROR(__xludf.DUMMYFUNCTION("""COMPUTED_VALUE"""),"0452923823")</f>
        <v>0452923823</v>
      </c>
      <c r="J1597" s="6"/>
      <c r="K1597" s="6" t="str">
        <f ca="1">IFERROR(__xludf.DUMMYFUNCTION("""COMPUTED_VALUE"""),"يطبق نسبة خصم 16% علي الادوية المحلية ونسبة خصم 8% علي الادوية المستوردة-يتم احتسابها قبل تحصيل نسبة التحمل من العملاء")</f>
        <v>يطبق نسبة خصم 16% علي الادوية المحلية ونسبة خصم 8% علي الادوية المستوردة-يتم احتسابها قبل تحصيل نسبة التحمل من العملاء</v>
      </c>
    </row>
    <row r="1598" spans="1:11" x14ac:dyDescent="0.25">
      <c r="A1598" s="4" t="str">
        <f ca="1">IFERROR(__xludf.DUMMYFUNCTION("""COMPUTED_VALUE"""),"105675-B")</f>
        <v>105675-B</v>
      </c>
      <c r="B1598" s="5" t="str">
        <f ca="1">IFERROR(__xludf.DUMMYFUNCTION("""COMPUTED_VALUE"""),"المنوفية")</f>
        <v>المنوفية</v>
      </c>
      <c r="C1598" s="5" t="str">
        <f ca="1">IFERROR(__xludf.DUMMYFUNCTION("""COMPUTED_VALUE"""),"شبين الكوم")</f>
        <v>شبين الكوم</v>
      </c>
      <c r="D1598" s="5" t="str">
        <f ca="1">IFERROR(__xludf.DUMMYFUNCTION("""COMPUTED_VALUE"""),"مركز أشعة")</f>
        <v>مركز أشعة</v>
      </c>
      <c r="E1598" s="5" t="str">
        <f ca="1">IFERROR(__xludf.DUMMYFUNCTION("""COMPUTED_VALUE"""),"مركز أشعة")</f>
        <v>مركز أشعة</v>
      </c>
      <c r="F1598" s="5" t="str">
        <f ca="1">IFERROR(__xludf.DUMMYFUNCTION("""COMPUTED_VALUE"""),"مركز الأشعة التشخيصية")</f>
        <v>مركز الأشعة التشخيصية</v>
      </c>
      <c r="G1598" s="5" t="str">
        <f ca="1">IFERROR(__xludf.DUMMYFUNCTION("""COMPUTED_VALUE"""),"مركز الشروق للاشعه")</f>
        <v>مركز الشروق للاشعه</v>
      </c>
      <c r="H1598" s="5" t="str">
        <f ca="1">IFERROR(__xludf.DUMMYFUNCTION("""COMPUTED_VALUE"""),"81 شارع جمال عبد الناصر البحري امام السنترال القديم")</f>
        <v>81 شارع جمال عبد الناصر البحري امام السنترال القديم</v>
      </c>
      <c r="I1598" s="6" t="str">
        <f ca="1">IFERROR(__xludf.DUMMYFUNCTION("""COMPUTED_VALUE"""),"0482312444")</f>
        <v>0482312444</v>
      </c>
      <c r="J1598" s="6" t="str">
        <f ca="1">IFERROR(__xludf.DUMMYFUNCTION("""COMPUTED_VALUE"""),"15184")</f>
        <v>15184</v>
      </c>
      <c r="K1598" s="6" t="str">
        <f ca="1">IFERROR(__xludf.DUMMYFUNCTION("""COMPUTED_VALUE"""),"30% علي الأشعه، 35% علي التحاليل ماعدا الصبغه و التخدير ")</f>
        <v xml:space="preserve">30% علي الأشعه، 35% علي التحاليل ماعدا الصبغه و التخدير </v>
      </c>
    </row>
    <row r="1599" spans="1:11" x14ac:dyDescent="0.25">
      <c r="A1599" s="4" t="str">
        <f ca="1">IFERROR(__xludf.DUMMYFUNCTION("""COMPUTED_VALUE"""),"105675-B")</f>
        <v>105675-B</v>
      </c>
      <c r="B1599" s="5" t="str">
        <f ca="1">IFERROR(__xludf.DUMMYFUNCTION("""COMPUTED_VALUE"""),"المنوفية")</f>
        <v>المنوفية</v>
      </c>
      <c r="C1599" s="5" t="str">
        <f ca="1">IFERROR(__xludf.DUMMYFUNCTION("""COMPUTED_VALUE"""),"شبين الكوم")</f>
        <v>شبين الكوم</v>
      </c>
      <c r="D1599" s="5" t="str">
        <f ca="1">IFERROR(__xludf.DUMMYFUNCTION("""COMPUTED_VALUE"""),"مركز أشعة")</f>
        <v>مركز أشعة</v>
      </c>
      <c r="E1599" s="5" t="str">
        <f ca="1">IFERROR(__xludf.DUMMYFUNCTION("""COMPUTED_VALUE"""),"مركز أشعة")</f>
        <v>مركز أشعة</v>
      </c>
      <c r="F1599" s="5" t="str">
        <f ca="1">IFERROR(__xludf.DUMMYFUNCTION("""COMPUTED_VALUE"""),"مركز الأشعة التشخيصية")</f>
        <v>مركز الأشعة التشخيصية</v>
      </c>
      <c r="G1599" s="5" t="str">
        <f ca="1">IFERROR(__xludf.DUMMYFUNCTION("""COMPUTED_VALUE"""),"مركز الشروق للاشعه")</f>
        <v>مركز الشروق للاشعه</v>
      </c>
      <c r="H1599" s="5" t="str">
        <f ca="1">IFERROR(__xludf.DUMMYFUNCTION("""COMPUTED_VALUE"""),"1شارع الزهور متفرع من شارع طلعت حرب البر الشرقي شبين الكوم")</f>
        <v>1شارع الزهور متفرع من شارع طلعت حرب البر الشرقي شبين الكوم</v>
      </c>
      <c r="I1599" s="6" t="str">
        <f ca="1">IFERROR(__xludf.DUMMYFUNCTION("""COMPUTED_VALUE"""),"0482194737")</f>
        <v>0482194737</v>
      </c>
      <c r="J1599" s="6" t="str">
        <f ca="1">IFERROR(__xludf.DUMMYFUNCTION("""COMPUTED_VALUE"""),"15184")</f>
        <v>15184</v>
      </c>
      <c r="K1599" s="6" t="str">
        <f ca="1">IFERROR(__xludf.DUMMYFUNCTION("""COMPUTED_VALUE"""),"30% علي الأشعه، 35% علي التحاليل ماعدا الصبغه و التخدير ")</f>
        <v xml:space="preserve">30% علي الأشعه، 35% علي التحاليل ماعدا الصبغه و التخدير </v>
      </c>
    </row>
    <row r="1600" spans="1:11" x14ac:dyDescent="0.25">
      <c r="A1600" s="4" t="str">
        <f ca="1">IFERROR(__xludf.DUMMYFUNCTION("""COMPUTED_VALUE"""),"104809-B")</f>
        <v>104809-B</v>
      </c>
      <c r="B1600" s="5" t="str">
        <f ca="1">IFERROR(__xludf.DUMMYFUNCTION("""COMPUTED_VALUE"""),"القاهرة")</f>
        <v>القاهرة</v>
      </c>
      <c r="C1600" s="5" t="str">
        <f ca="1">IFERROR(__xludf.DUMMYFUNCTION("""COMPUTED_VALUE"""),"مصر الجديدة")</f>
        <v>مصر الجديدة</v>
      </c>
      <c r="D1600" s="5" t="str">
        <f ca="1">IFERROR(__xludf.DUMMYFUNCTION("""COMPUTED_VALUE"""),"مركز أشعة")</f>
        <v>مركز أشعة</v>
      </c>
      <c r="E1600" s="5" t="str">
        <f ca="1">IFERROR(__xludf.DUMMYFUNCTION("""COMPUTED_VALUE"""),"مركز أشعة")</f>
        <v>مركز أشعة</v>
      </c>
      <c r="F1600" s="5" t="str">
        <f ca="1">IFERROR(__xludf.DUMMYFUNCTION("""COMPUTED_VALUE"""),"مركز الأشعة التشخيصية")</f>
        <v>مركز الأشعة التشخيصية</v>
      </c>
      <c r="G1600" s="5" t="str">
        <f ca="1">IFERROR(__xludf.DUMMYFUNCTION("""COMPUTED_VALUE"""),"مركز ايجي سكان للأشعة والتحاليل الطبية")</f>
        <v>مركز ايجي سكان للأشعة والتحاليل الطبية</v>
      </c>
      <c r="H1600" s="5" t="str">
        <f ca="1">IFERROR(__xludf.DUMMYFUNCTION("""COMPUTED_VALUE"""),"27 شارع الخليفة المامون مصر الجديده")</f>
        <v>27 شارع الخليفة المامون مصر الجديده</v>
      </c>
      <c r="I1600" s="6" t="str">
        <f ca="1">IFERROR(__xludf.DUMMYFUNCTION("""COMPUTED_VALUE"""),"201032625279")</f>
        <v>201032625279</v>
      </c>
      <c r="J1600" s="6"/>
      <c r="K1600" s="6" t="str">
        <f ca="1">IFERROR(__xludf.DUMMYFUNCTION("""COMPUTED_VALUE"""),"خصم 30% علي النحاليل، 20% علي الأشعه")</f>
        <v>خصم 30% علي النحاليل، 20% علي الأشعه</v>
      </c>
    </row>
    <row r="1601" spans="1:11" x14ac:dyDescent="0.25">
      <c r="A1601" s="4" t="str">
        <f ca="1">IFERROR(__xludf.DUMMYFUNCTION("""COMPUTED_VALUE"""),"104809-B")</f>
        <v>104809-B</v>
      </c>
      <c r="B1601" s="5" t="str">
        <f ca="1">IFERROR(__xludf.DUMMYFUNCTION("""COMPUTED_VALUE"""),"المنوفية")</f>
        <v>المنوفية</v>
      </c>
      <c r="C1601" s="5" t="str">
        <f ca="1">IFERROR(__xludf.DUMMYFUNCTION("""COMPUTED_VALUE"""),"اشمون")</f>
        <v>اشمون</v>
      </c>
      <c r="D1601" s="5" t="str">
        <f ca="1">IFERROR(__xludf.DUMMYFUNCTION("""COMPUTED_VALUE"""),"مركز أشعة")</f>
        <v>مركز أشعة</v>
      </c>
      <c r="E1601" s="5" t="str">
        <f ca="1">IFERROR(__xludf.DUMMYFUNCTION("""COMPUTED_VALUE"""),"مركز أشعة")</f>
        <v>مركز أشعة</v>
      </c>
      <c r="F1601" s="5" t="str">
        <f ca="1">IFERROR(__xludf.DUMMYFUNCTION("""COMPUTED_VALUE"""),"مركز الأشعة التشخيصية")</f>
        <v>مركز الأشعة التشخيصية</v>
      </c>
      <c r="G1601" s="5" t="str">
        <f ca="1">IFERROR(__xludf.DUMMYFUNCTION("""COMPUTED_VALUE"""),"مركز ايجي سكان للأشعة والتحاليل الطبية")</f>
        <v>مركز ايجي سكان للأشعة والتحاليل الطبية</v>
      </c>
      <c r="H1601" s="5" t="str">
        <f ca="1">IFERROR(__xludf.DUMMYFUNCTION("""COMPUTED_VALUE"""),"اشمون شارع سعد زغلول")</f>
        <v>اشمون شارع سعد زغلول</v>
      </c>
      <c r="I1601" s="6" t="str">
        <f ca="1">IFERROR(__xludf.DUMMYFUNCTION("""COMPUTED_VALUE"""),"201066520057")</f>
        <v>201066520057</v>
      </c>
      <c r="J1601" s="6"/>
      <c r="K1601" s="6" t="str">
        <f ca="1">IFERROR(__xludf.DUMMYFUNCTION("""COMPUTED_VALUE"""),"خصم 30% علي النحاليل، 20% علي الأشعه")</f>
        <v>خصم 30% علي النحاليل، 20% علي الأشعه</v>
      </c>
    </row>
    <row r="1602" spans="1:11" x14ac:dyDescent="0.25">
      <c r="A1602" s="4" t="str">
        <f ca="1">IFERROR(__xludf.DUMMYFUNCTION("""COMPUTED_VALUE"""),"106076")</f>
        <v>106076</v>
      </c>
      <c r="B1602" s="5" t="str">
        <f ca="1">IFERROR(__xludf.DUMMYFUNCTION("""COMPUTED_VALUE"""),"الشرقية")</f>
        <v>الشرقية</v>
      </c>
      <c r="C1602" s="5" t="str">
        <f ca="1">IFERROR(__xludf.DUMMYFUNCTION("""COMPUTED_VALUE"""),"مشتول السوق")</f>
        <v>مشتول السوق</v>
      </c>
      <c r="D1602" s="5" t="str">
        <f ca="1">IFERROR(__xludf.DUMMYFUNCTION("""COMPUTED_VALUE"""),"صيدلية")</f>
        <v>صيدلية</v>
      </c>
      <c r="E1602" s="5" t="str">
        <f ca="1">IFERROR(__xludf.DUMMYFUNCTION("""COMPUTED_VALUE"""),"صيدلية")</f>
        <v>صيدلية</v>
      </c>
      <c r="F1602" s="5" t="str">
        <f ca="1">IFERROR(__xludf.DUMMYFUNCTION("""COMPUTED_VALUE"""),"صيدلية (أدوية ومستلزمات طبية)")</f>
        <v>صيدلية (أدوية ومستلزمات طبية)</v>
      </c>
      <c r="G1602" s="5" t="str">
        <f ca="1">IFERROR(__xludf.DUMMYFUNCTION("""COMPUTED_VALUE"""),"صيدلية د.اسراء احمد سليمان عبدالله ربيع")</f>
        <v>صيدلية د.اسراء احمد سليمان عبدالله ربيع</v>
      </c>
      <c r="H1602" s="5" t="str">
        <f ca="1">IFERROR(__xludf.DUMMYFUNCTION("""COMPUTED_VALUE"""),"كفر ابراش م مشتول السوق -الشرقية")</f>
        <v>كفر ابراش م مشتول السوق -الشرقية</v>
      </c>
      <c r="I1602" s="6" t="str">
        <f ca="1">IFERROR(__xludf.DUMMYFUNCTION("""COMPUTED_VALUE"""),"01009784235")</f>
        <v>01009784235</v>
      </c>
      <c r="J1602" s="6"/>
      <c r="K1602" s="6" t="str">
        <f ca="1">IFERROR(__xludf.DUMMYFUNCTION("""COMPUTED_VALUE"""),"خصم 15% علي المحلي و 8% علي المستورد")</f>
        <v>خصم 15% علي المحلي و 8% علي المستورد</v>
      </c>
    </row>
    <row r="1603" spans="1:11" x14ac:dyDescent="0.25">
      <c r="A1603" s="4" t="str">
        <f ca="1">IFERROR(__xludf.DUMMYFUNCTION("""COMPUTED_VALUE"""),"106084")</f>
        <v>106084</v>
      </c>
      <c r="B1603" s="5" t="str">
        <f ca="1">IFERROR(__xludf.DUMMYFUNCTION("""COMPUTED_VALUE"""),"الجيزة")</f>
        <v>الجيزة</v>
      </c>
      <c r="C1603" s="5" t="str">
        <f ca="1">IFERROR(__xludf.DUMMYFUNCTION("""COMPUTED_VALUE"""),"الشيخ زايد")</f>
        <v>الشيخ زايد</v>
      </c>
      <c r="D1603" s="5" t="str">
        <f ca="1">IFERROR(__xludf.DUMMYFUNCTION("""COMPUTED_VALUE"""),"مجمع عيادات")</f>
        <v>مجمع عيادات</v>
      </c>
      <c r="E1603" s="5" t="str">
        <f ca="1">IFERROR(__xludf.DUMMYFUNCTION("""COMPUTED_VALUE"""),"جميع التخصصات")</f>
        <v>جميع التخصصات</v>
      </c>
      <c r="F1603" s="5" t="str">
        <f ca="1">IFERROR(__xludf.DUMMYFUNCTION("""COMPUTED_VALUE"""),"جميع التخصصات الطبية")</f>
        <v>جميع التخصصات الطبية</v>
      </c>
      <c r="G1603" s="5" t="str">
        <f ca="1">IFERROR(__xludf.DUMMYFUNCTION("""COMPUTED_VALUE"""),"عيادات سما التخصصية")</f>
        <v>عيادات سما التخصصية</v>
      </c>
      <c r="H1603" s="5" t="str">
        <f ca="1">IFERROR(__xludf.DUMMYFUNCTION("""COMPUTED_VALUE"""),"الشيخ زايد الحي 12 أسواق المعز وحده 9 مبني 2 ")</f>
        <v xml:space="preserve">الشيخ زايد الحي 12 أسواق المعز وحده 9 مبني 2 </v>
      </c>
      <c r="I1603" s="6" t="str">
        <f ca="1">IFERROR(__xludf.DUMMYFUNCTION("""COMPUTED_VALUE"""),"0238851434")</f>
        <v>0238851434</v>
      </c>
      <c r="J1603" s="6"/>
      <c r="K1603" s="6" t="str">
        <f ca="1">IFERROR(__xludf.DUMMYFUNCTION("""COMPUTED_VALUE"""),"خصم 20% علي الكشف و المختبر و الأشعه، 10% علي خدمات الأسنان و الجلديه ما عدا المستلزمات")</f>
        <v>خصم 20% علي الكشف و المختبر و الأشعه، 10% علي خدمات الأسنان و الجلديه ما عدا المستلزمات</v>
      </c>
    </row>
    <row r="1604" spans="1:11" x14ac:dyDescent="0.25">
      <c r="A1604" s="4" t="str">
        <f ca="1">IFERROR(__xludf.DUMMYFUNCTION("""COMPUTED_VALUE"""),"106086")</f>
        <v>106086</v>
      </c>
      <c r="B1604" s="5" t="str">
        <f ca="1">IFERROR(__xludf.DUMMYFUNCTION("""COMPUTED_VALUE"""),"الجيزة")</f>
        <v>الجيزة</v>
      </c>
      <c r="C1604" s="5" t="str">
        <f ca="1">IFERROR(__xludf.DUMMYFUNCTION("""COMPUTED_VALUE"""),"امبابة")</f>
        <v>امبابة</v>
      </c>
      <c r="D1604" s="5" t="str">
        <f ca="1">IFERROR(__xludf.DUMMYFUNCTION("""COMPUTED_VALUE"""),"مركز أشعة")</f>
        <v>مركز أشعة</v>
      </c>
      <c r="E1604" s="5" t="str">
        <f ca="1">IFERROR(__xludf.DUMMYFUNCTION("""COMPUTED_VALUE"""),"مركز أشعة")</f>
        <v>مركز أشعة</v>
      </c>
      <c r="F1604" s="5" t="str">
        <f ca="1">IFERROR(__xludf.DUMMYFUNCTION("""COMPUTED_VALUE"""),"مركز الأشعة التشخيصية")</f>
        <v>مركز الأشعة التشخيصية</v>
      </c>
      <c r="G1604" s="5" t="str">
        <f ca="1">IFERROR(__xludf.DUMMYFUNCTION("""COMPUTED_VALUE"""),"مركز الريادة للأشعة")</f>
        <v>مركز الريادة للأشعة</v>
      </c>
      <c r="H1604" s="5" t="str">
        <f ca="1">IFERROR(__xludf.DUMMYFUNCTION("""COMPUTED_VALUE"""),"71 شارع الوحدة -امبابة-الجيزة")</f>
        <v>71 شارع الوحدة -امبابة-الجيزة</v>
      </c>
      <c r="I1604" s="6" t="str">
        <f ca="1">IFERROR(__xludf.DUMMYFUNCTION("""COMPUTED_VALUE"""),"1153030300")</f>
        <v>1153030300</v>
      </c>
      <c r="J1604" s="6"/>
      <c r="K1604" s="6" t="str">
        <f ca="1">IFERROR(__xludf.DUMMYFUNCTION("""COMPUTED_VALUE"""),"نسبة خصم 30% علي التحاليل، 25% علي الأشعه")</f>
        <v>نسبة خصم 30% علي التحاليل، 25% علي الأشعه</v>
      </c>
    </row>
    <row r="1605" spans="1:11" x14ac:dyDescent="0.25">
      <c r="A1605" s="4" t="str">
        <f ca="1">IFERROR(__xludf.DUMMYFUNCTION("""COMPUTED_VALUE"""),"106088")</f>
        <v>106088</v>
      </c>
      <c r="B1605" s="5" t="str">
        <f ca="1">IFERROR(__xludf.DUMMYFUNCTION("""COMPUTED_VALUE"""),"الاسكندرية")</f>
        <v>الاسكندرية</v>
      </c>
      <c r="C1605" s="5" t="str">
        <f ca="1">IFERROR(__xludf.DUMMYFUNCTION("""COMPUTED_VALUE"""),"محرم بيك")</f>
        <v>محرم بيك</v>
      </c>
      <c r="D1605" s="5" t="str">
        <f ca="1">IFERROR(__xludf.DUMMYFUNCTION("""COMPUTED_VALUE"""),"مركز أشعة")</f>
        <v>مركز أشعة</v>
      </c>
      <c r="E1605" s="5" t="str">
        <f ca="1">IFERROR(__xludf.DUMMYFUNCTION("""COMPUTED_VALUE"""),"مركز أشعة")</f>
        <v>مركز أشعة</v>
      </c>
      <c r="F1605" s="5" t="str">
        <f ca="1">IFERROR(__xludf.DUMMYFUNCTION("""COMPUTED_VALUE"""),"مركز الأشعة التشخيصية")</f>
        <v>مركز الأشعة التشخيصية</v>
      </c>
      <c r="G1605" s="5" t="str">
        <f ca="1">IFERROR(__xludf.DUMMYFUNCTION("""COMPUTED_VALUE"""),"جرين للخدمات الطبية ش م م")</f>
        <v>جرين للخدمات الطبية ش م م</v>
      </c>
      <c r="H1605" s="5" t="str">
        <f ca="1">IFERROR(__xludf.DUMMYFUNCTION("""COMPUTED_VALUE"""),"82 شارع محرم بك ناصية جوجو-محرم بك الاسكندرية.")</f>
        <v>82 شارع محرم بك ناصية جوجو-محرم بك الاسكندرية.</v>
      </c>
      <c r="I1605" s="6" t="str">
        <f ca="1">IFERROR(__xludf.DUMMYFUNCTION("""COMPUTED_VALUE"""),"033936596")</f>
        <v>033936596</v>
      </c>
      <c r="J1605" s="6"/>
      <c r="K1605" s="6" t="str">
        <f ca="1">IFERROR(__xludf.DUMMYFUNCTION("""COMPUTED_VALUE"""),"30% نسبة خصم")</f>
        <v>30% نسبة خصم</v>
      </c>
    </row>
    <row r="1606" spans="1:11" x14ac:dyDescent="0.25">
      <c r="A1606" s="4" t="str">
        <f ca="1">IFERROR(__xludf.DUMMYFUNCTION("""COMPUTED_VALUE"""),"106089")</f>
        <v>106089</v>
      </c>
      <c r="B1606" s="5" t="str">
        <f ca="1">IFERROR(__xludf.DUMMYFUNCTION("""COMPUTED_VALUE"""),"الدقهلية")</f>
        <v>الدقهلية</v>
      </c>
      <c r="C1606" s="5" t="str">
        <f ca="1">IFERROR(__xludf.DUMMYFUNCTION("""COMPUTED_VALUE"""),"المنصورة")</f>
        <v>المنصورة</v>
      </c>
      <c r="D1606" s="5" t="str">
        <f ca="1">IFERROR(__xludf.DUMMYFUNCTION("""COMPUTED_VALUE"""),"مركز أشعة")</f>
        <v>مركز أشعة</v>
      </c>
      <c r="E1606" s="5" t="str">
        <f ca="1">IFERROR(__xludf.DUMMYFUNCTION("""COMPUTED_VALUE"""),"مركز أشعة")</f>
        <v>مركز أشعة</v>
      </c>
      <c r="F1606" s="5" t="str">
        <f ca="1">IFERROR(__xludf.DUMMYFUNCTION("""COMPUTED_VALUE"""),"مركز الأشعة التشخيصية")</f>
        <v>مركز الأشعة التشخيصية</v>
      </c>
      <c r="G1606" s="5" t="str">
        <f ca="1">IFERROR(__xludf.DUMMYFUNCTION("""COMPUTED_VALUE"""),"مركز المنصورة للاشعة والتصوير الطبي (العسوي سكان)")</f>
        <v>مركز المنصورة للاشعة والتصوير الطبي (العسوي سكان)</v>
      </c>
      <c r="H1606" s="5" t="str">
        <f ca="1">IFERROR(__xludf.DUMMYFUNCTION("""COMPUTED_VALUE"""),"ش حسن حسني ميت حيدر-المنصورة")</f>
        <v>ش حسن حسني ميت حيدر-المنصورة</v>
      </c>
      <c r="I1606" s="6" t="str">
        <f ca="1">IFERROR(__xludf.DUMMYFUNCTION("""COMPUTED_VALUE"""),"0502310955")</f>
        <v>0502310955</v>
      </c>
      <c r="J1606" s="6"/>
      <c r="K1606" s="6" t="str">
        <f ca="1">IFERROR(__xludf.DUMMYFUNCTION("""COMPUTED_VALUE"""),"خصم 20% علي الاسعار النقدي")</f>
        <v>خصم 20% علي الاسعار النقدي</v>
      </c>
    </row>
    <row r="1607" spans="1:11" x14ac:dyDescent="0.25">
      <c r="A1607" s="4" t="str">
        <f ca="1">IFERROR(__xludf.DUMMYFUNCTION("""COMPUTED_VALUE"""),"106091")</f>
        <v>106091</v>
      </c>
      <c r="B1607" s="5" t="str">
        <f ca="1">IFERROR(__xludf.DUMMYFUNCTION("""COMPUTED_VALUE"""),"القليوبية")</f>
        <v>القليوبية</v>
      </c>
      <c r="C1607" s="5" t="str">
        <f ca="1">IFERROR(__xludf.DUMMYFUNCTION("""COMPUTED_VALUE"""),"بنها")</f>
        <v>بنها</v>
      </c>
      <c r="D1607" s="5" t="str">
        <f ca="1">IFERROR(__xludf.DUMMYFUNCTION("""COMPUTED_VALUE"""),"مستشفى")</f>
        <v>مستشفى</v>
      </c>
      <c r="E1607" s="5" t="str">
        <f ca="1">IFERROR(__xludf.DUMMYFUNCTION("""COMPUTED_VALUE"""),"مستشفي طبي متخصص")</f>
        <v>مستشفي طبي متخصص</v>
      </c>
      <c r="F1607" s="5" t="str">
        <f ca="1">IFERROR(__xludf.DUMMYFUNCTION("""COMPUTED_VALUE"""),"نساء وتوليد")</f>
        <v>نساء وتوليد</v>
      </c>
      <c r="G1607" s="5" t="str">
        <f ca="1">IFERROR(__xludf.DUMMYFUNCTION("""COMPUTED_VALUE"""),"مستشفي دار حواء للولادة")</f>
        <v>مستشفي دار حواء للولادة</v>
      </c>
      <c r="H1607" s="5" t="str">
        <f ca="1">IFERROR(__xludf.DUMMYFUNCTION("""COMPUTED_VALUE"""),"ناصية شارع الامل و هاني كامل- بنها الجديدة")</f>
        <v>ناصية شارع الامل و هاني كامل- بنها الجديدة</v>
      </c>
      <c r="I1607" s="6" t="str">
        <f ca="1">IFERROR(__xludf.DUMMYFUNCTION("""COMPUTED_VALUE"""),"0133236057")</f>
        <v>0133236057</v>
      </c>
      <c r="J1607" s="6"/>
      <c r="K1607" s="6" t="str">
        <f ca="1">IFERROR(__xludf.DUMMYFUNCTION("""COMPUTED_VALUE"""),"20% نسبة خصم")</f>
        <v>20% نسبة خصم</v>
      </c>
    </row>
    <row r="1608" spans="1:11" x14ac:dyDescent="0.25">
      <c r="A1608" s="4" t="str">
        <f ca="1">IFERROR(__xludf.DUMMYFUNCTION("""COMPUTED_VALUE"""),"106093")</f>
        <v>106093</v>
      </c>
      <c r="B1608" s="5" t="str">
        <f ca="1">IFERROR(__xludf.DUMMYFUNCTION("""COMPUTED_VALUE"""),"الدقهلية")</f>
        <v>الدقهلية</v>
      </c>
      <c r="C1608" s="5" t="str">
        <f ca="1">IFERROR(__xludf.DUMMYFUNCTION("""COMPUTED_VALUE"""),"المنصورة")</f>
        <v>المنصورة</v>
      </c>
      <c r="D1608" s="5" t="str">
        <f ca="1">IFERROR(__xludf.DUMMYFUNCTION("""COMPUTED_VALUE"""),"مستشفى")</f>
        <v>مستشفى</v>
      </c>
      <c r="E1608" s="5" t="str">
        <f ca="1">IFERROR(__xludf.DUMMYFUNCTION("""COMPUTED_VALUE"""),"مستشفي طبي متخصص")</f>
        <v>مستشفي طبي متخصص</v>
      </c>
      <c r="F1608" s="5" t="str">
        <f ca="1">IFERROR(__xludf.DUMMYFUNCTION("""COMPUTED_VALUE"""),"رمد (جراحة عيون)")</f>
        <v>رمد (جراحة عيون)</v>
      </c>
      <c r="G1608" s="5" t="str">
        <f ca="1">IFERROR(__xludf.DUMMYFUNCTION("""COMPUTED_VALUE"""),"مركز الاكاديمية للعيون")</f>
        <v>مركز الاكاديمية للعيون</v>
      </c>
      <c r="H1608" s="5" t="str">
        <f ca="1">IFERROR(__xludf.DUMMYFUNCTION("""COMPUTED_VALUE"""),"44 شارع جيهان -برج سعيد جودة امام الدفاع المدني-المنصورة-الدقهلية")</f>
        <v>44 شارع جيهان -برج سعيد جودة امام الدفاع المدني-المنصورة-الدقهلية</v>
      </c>
      <c r="I1608" s="6" t="str">
        <f ca="1">IFERROR(__xludf.DUMMYFUNCTION("""COMPUTED_VALUE"""),"01003004646")</f>
        <v>01003004646</v>
      </c>
      <c r="J1608" s="6"/>
      <c r="K1608" s="6" t="str">
        <f ca="1">IFERROR(__xludf.DUMMYFUNCTION("""COMPUTED_VALUE"""),"30% على الكشف ,25% على باقى الخدمات")</f>
        <v>30% على الكشف ,25% على باقى الخدمات</v>
      </c>
    </row>
    <row r="1609" spans="1:11" x14ac:dyDescent="0.25">
      <c r="A1609" s="4" t="str">
        <f ca="1">IFERROR(__xludf.DUMMYFUNCTION("""COMPUTED_VALUE"""),"105675-B")</f>
        <v>105675-B</v>
      </c>
      <c r="B1609" s="5" t="str">
        <f ca="1">IFERROR(__xludf.DUMMYFUNCTION("""COMPUTED_VALUE"""),"القاهرة")</f>
        <v>القاهرة</v>
      </c>
      <c r="C1609" s="5" t="str">
        <f ca="1">IFERROR(__xludf.DUMMYFUNCTION("""COMPUTED_VALUE"""),"المنيل")</f>
        <v>المنيل</v>
      </c>
      <c r="D1609" s="5" t="str">
        <f ca="1">IFERROR(__xludf.DUMMYFUNCTION("""COMPUTED_VALUE"""),"مركز أشعة")</f>
        <v>مركز أشعة</v>
      </c>
      <c r="E1609" s="5" t="str">
        <f ca="1">IFERROR(__xludf.DUMMYFUNCTION("""COMPUTED_VALUE"""),"مركز أشعة")</f>
        <v>مركز أشعة</v>
      </c>
      <c r="F1609" s="5" t="str">
        <f ca="1">IFERROR(__xludf.DUMMYFUNCTION("""COMPUTED_VALUE"""),"مركز الأشعة التشخيصية")</f>
        <v>مركز الأشعة التشخيصية</v>
      </c>
      <c r="G1609" s="5" t="str">
        <f ca="1">IFERROR(__xludf.DUMMYFUNCTION("""COMPUTED_VALUE"""),"مركز الشروق للاشعه")</f>
        <v>مركز الشروق للاشعه</v>
      </c>
      <c r="H1609" s="5" t="str">
        <f ca="1">IFERROR(__xludf.DUMMYFUNCTION("""COMPUTED_VALUE"""),"72 شارع المنيل بجوار ميدان الباشا اعلى مطعم كوك دور")</f>
        <v>72 شارع المنيل بجوار ميدان الباشا اعلى مطعم كوك دور</v>
      </c>
      <c r="I1609" s="6"/>
      <c r="J1609" s="6" t="str">
        <f ca="1">IFERROR(__xludf.DUMMYFUNCTION("""COMPUTED_VALUE"""),"15184")</f>
        <v>15184</v>
      </c>
      <c r="K1609" s="6" t="str">
        <f ca="1">IFERROR(__xludf.DUMMYFUNCTION("""COMPUTED_VALUE"""),"30% علي الأشعه، 35% علي التحاليل ماعدا الصبغه و التخدير ")</f>
        <v xml:space="preserve">30% علي الأشعه، 35% علي التحاليل ماعدا الصبغه و التخدير </v>
      </c>
    </row>
    <row r="1610" spans="1:11" x14ac:dyDescent="0.25">
      <c r="A1610" s="4" t="str">
        <f ca="1">IFERROR(__xludf.DUMMYFUNCTION("""COMPUTED_VALUE"""),"106094")</f>
        <v>106094</v>
      </c>
      <c r="B1610" s="5" t="str">
        <f ca="1">IFERROR(__xludf.DUMMYFUNCTION("""COMPUTED_VALUE"""),"البحيرة")</f>
        <v>البحيرة</v>
      </c>
      <c r="C1610" s="5" t="str">
        <f ca="1">IFERROR(__xludf.DUMMYFUNCTION("""COMPUTED_VALUE"""),"كوم حمادة")</f>
        <v>كوم حمادة</v>
      </c>
      <c r="D1610" s="5" t="str">
        <f ca="1">IFERROR(__xludf.DUMMYFUNCTION("""COMPUTED_VALUE"""),"صيدلية")</f>
        <v>صيدلية</v>
      </c>
      <c r="E1610" s="5" t="str">
        <f ca="1">IFERROR(__xludf.DUMMYFUNCTION("""COMPUTED_VALUE"""),"صيدلية")</f>
        <v>صيدلية</v>
      </c>
      <c r="F1610" s="5" t="str">
        <f ca="1">IFERROR(__xludf.DUMMYFUNCTION("""COMPUTED_VALUE"""),"صيدلية (أدوية ومستلزمات طبية)")</f>
        <v>صيدلية (أدوية ومستلزمات طبية)</v>
      </c>
      <c r="G1610" s="5" t="str">
        <f ca="1">IFERROR(__xludf.DUMMYFUNCTION("""COMPUTED_VALUE"""),"صيدلية د.فادي محمد احمد ناجي (صيدلية الحجاز)")</f>
        <v>صيدلية د.فادي محمد احمد ناجي (صيدلية الحجاز)</v>
      </c>
      <c r="H1610" s="5" t="str">
        <f ca="1">IFERROR(__xludf.DUMMYFUNCTION("""COMPUTED_VALUE"""),"كوم حمادة امام المستشفي العام")</f>
        <v>كوم حمادة امام المستشفي العام</v>
      </c>
      <c r="I1610" s="6" t="str">
        <f ca="1">IFERROR(__xludf.DUMMYFUNCTION("""COMPUTED_VALUE"""),"0453682710")</f>
        <v>0453682710</v>
      </c>
      <c r="J1610" s="6"/>
      <c r="K1610" s="6" t="str">
        <f ca="1">IFERROR(__xludf.DUMMYFUNCTION("""COMPUTED_VALUE"""),"15%على المحلى,8% على المستورد")</f>
        <v>15%على المحلى,8% على المستورد</v>
      </c>
    </row>
    <row r="1611" spans="1:11" x14ac:dyDescent="0.25">
      <c r="A1611" s="4" t="str">
        <f ca="1">IFERROR(__xludf.DUMMYFUNCTION("""COMPUTED_VALUE"""),"106095")</f>
        <v>106095</v>
      </c>
      <c r="B1611" s="5" t="str">
        <f ca="1">IFERROR(__xludf.DUMMYFUNCTION("""COMPUTED_VALUE"""),"الشرقية")</f>
        <v>الشرقية</v>
      </c>
      <c r="C1611" s="5" t="str">
        <f ca="1">IFERROR(__xludf.DUMMYFUNCTION("""COMPUTED_VALUE"""),"ههيا")</f>
        <v>ههيا</v>
      </c>
      <c r="D1611" s="5" t="str">
        <f ca="1">IFERROR(__xludf.DUMMYFUNCTION("""COMPUTED_VALUE"""),"صيدلية")</f>
        <v>صيدلية</v>
      </c>
      <c r="E1611" s="5" t="str">
        <f ca="1">IFERROR(__xludf.DUMMYFUNCTION("""COMPUTED_VALUE"""),"صيدلية")</f>
        <v>صيدلية</v>
      </c>
      <c r="F1611" s="5" t="str">
        <f ca="1">IFERROR(__xludf.DUMMYFUNCTION("""COMPUTED_VALUE"""),"صيدلية (أدوية ومستلزمات طبية)")</f>
        <v>صيدلية (أدوية ومستلزمات طبية)</v>
      </c>
      <c r="G1611" s="5" t="str">
        <f ca="1">IFERROR(__xludf.DUMMYFUNCTION("""COMPUTED_VALUE"""),"صيدلية د.مصطفي محمود عبده عبدالرحمن")</f>
        <v>صيدلية د.مصطفي محمود عبده عبدالرحمن</v>
      </c>
      <c r="H1611" s="5" t="str">
        <f ca="1">IFERROR(__xludf.DUMMYFUNCTION("""COMPUTED_VALUE"""),"شارع احمد عرابي محلات السكه الحديد امام بنك مصر القديم ")</f>
        <v xml:space="preserve">شارع احمد عرابي محلات السكه الحديد امام بنك مصر القديم </v>
      </c>
      <c r="I1611" s="6" t="str">
        <f ca="1">IFERROR(__xludf.DUMMYFUNCTION("""COMPUTED_VALUE"""),"0552563926")</f>
        <v>0552563926</v>
      </c>
      <c r="J1611" s="6"/>
      <c r="K1611" s="6" t="str">
        <f ca="1">IFERROR(__xludf.DUMMYFUNCTION("""COMPUTED_VALUE"""),"خصم 15% علي المحلي و 8% علي المستورد")</f>
        <v>خصم 15% علي المحلي و 8% علي المستورد</v>
      </c>
    </row>
    <row r="1612" spans="1:11" x14ac:dyDescent="0.25">
      <c r="A1612" s="4" t="str">
        <f ca="1">IFERROR(__xludf.DUMMYFUNCTION("""COMPUTED_VALUE"""),"106096")</f>
        <v>106096</v>
      </c>
      <c r="B1612" s="5" t="str">
        <f ca="1">IFERROR(__xludf.DUMMYFUNCTION("""COMPUTED_VALUE"""),"البحيرة")</f>
        <v>البحيرة</v>
      </c>
      <c r="C1612" s="5" t="str">
        <f ca="1">IFERROR(__xludf.DUMMYFUNCTION("""COMPUTED_VALUE"""),"ايتاي البارود")</f>
        <v>ايتاي البارود</v>
      </c>
      <c r="D1612" s="5" t="str">
        <f ca="1">IFERROR(__xludf.DUMMYFUNCTION("""COMPUTED_VALUE"""),"صيدلية")</f>
        <v>صيدلية</v>
      </c>
      <c r="E1612" s="5" t="str">
        <f ca="1">IFERROR(__xludf.DUMMYFUNCTION("""COMPUTED_VALUE"""),"صيدلية")</f>
        <v>صيدلية</v>
      </c>
      <c r="F1612" s="5" t="str">
        <f ca="1">IFERROR(__xludf.DUMMYFUNCTION("""COMPUTED_VALUE"""),"صيدلية (أدوية ومستلزمات طبية)")</f>
        <v>صيدلية (أدوية ومستلزمات طبية)</v>
      </c>
      <c r="G1612" s="5" t="str">
        <f ca="1">IFERROR(__xludf.DUMMYFUNCTION("""COMPUTED_VALUE"""),"صيدلية ايهاب السعيد قطب فتح الله")</f>
        <v>صيدلية ايهاب السعيد قطب فتح الله</v>
      </c>
      <c r="H1612" s="5" t="str">
        <f ca="1">IFERROR(__xludf.DUMMYFUNCTION("""COMPUTED_VALUE"""),"شارع صلاح سالم-ايتاي البارود-البحيرة")</f>
        <v>شارع صلاح سالم-ايتاي البارود-البحيرة</v>
      </c>
      <c r="I1612" s="6" t="str">
        <f ca="1">IFERROR(__xludf.DUMMYFUNCTION("""COMPUTED_VALUE"""),"0453434244")</f>
        <v>0453434244</v>
      </c>
      <c r="J1612" s="6"/>
      <c r="K1612" s="6" t="str">
        <f ca="1">IFERROR(__xludf.DUMMYFUNCTION("""COMPUTED_VALUE"""),"خصم 15% علي المحلي و 7% علي المستورد")</f>
        <v>خصم 15% علي المحلي و 7% علي المستورد</v>
      </c>
    </row>
    <row r="1613" spans="1:11" x14ac:dyDescent="0.25">
      <c r="A1613" s="4" t="str">
        <f ca="1">IFERROR(__xludf.DUMMYFUNCTION("""COMPUTED_VALUE"""),"106097")</f>
        <v>106097</v>
      </c>
      <c r="B1613" s="5" t="str">
        <f ca="1">IFERROR(__xludf.DUMMYFUNCTION("""COMPUTED_VALUE"""),"الجيزة")</f>
        <v>الجيزة</v>
      </c>
      <c r="C1613" s="5" t="str">
        <f ca="1">IFERROR(__xludf.DUMMYFUNCTION("""COMPUTED_VALUE"""),"منشيه القناطر")</f>
        <v>منشيه القناطر</v>
      </c>
      <c r="D1613" s="5" t="str">
        <f ca="1">IFERROR(__xludf.DUMMYFUNCTION("""COMPUTED_VALUE"""),"صيدلية")</f>
        <v>صيدلية</v>
      </c>
      <c r="E1613" s="5" t="str">
        <f ca="1">IFERROR(__xludf.DUMMYFUNCTION("""COMPUTED_VALUE"""),"صيدلية")</f>
        <v>صيدلية</v>
      </c>
      <c r="F1613" s="5" t="str">
        <f ca="1">IFERROR(__xludf.DUMMYFUNCTION("""COMPUTED_VALUE"""),"صيدلية (أدوية ومستلزمات طبية)")</f>
        <v>صيدلية (أدوية ومستلزمات طبية)</v>
      </c>
      <c r="G1613" s="5" t="str">
        <f ca="1">IFERROR(__xludf.DUMMYFUNCTION("""COMPUTED_VALUE"""),"صيدلية مها محروس جمعة جابر")</f>
        <v>صيدلية مها محروس جمعة جابر</v>
      </c>
      <c r="H1613" s="5" t="str">
        <f ca="1">IFERROR(__xludf.DUMMYFUNCTION("""COMPUTED_VALUE"""),"الاخصاص -بجوار المدرسة الاعدادية-منشأة القناطر-الجيزة")</f>
        <v>الاخصاص -بجوار المدرسة الاعدادية-منشأة القناطر-الجيزة</v>
      </c>
      <c r="I1613" s="6" t="str">
        <f ca="1">IFERROR(__xludf.DUMMYFUNCTION("""COMPUTED_VALUE"""),"01148199872")</f>
        <v>01148199872</v>
      </c>
      <c r="J1613" s="6"/>
      <c r="K1613" s="6" t="str">
        <f ca="1">IFERROR(__xludf.DUMMYFUNCTION("""COMPUTED_VALUE"""),"خصم 13% علي المحلي و 7% علي المستورد")</f>
        <v>خصم 13% علي المحلي و 7% علي المستورد</v>
      </c>
    </row>
    <row r="1614" spans="1:11" x14ac:dyDescent="0.25">
      <c r="A1614" s="4" t="str">
        <f ca="1">IFERROR(__xludf.DUMMYFUNCTION("""COMPUTED_VALUE"""),"106110")</f>
        <v>106110</v>
      </c>
      <c r="B1614" s="5" t="str">
        <f ca="1">IFERROR(__xludf.DUMMYFUNCTION("""COMPUTED_VALUE"""),"الاسكندرية")</f>
        <v>الاسكندرية</v>
      </c>
      <c r="C1614" s="5" t="str">
        <f ca="1">IFERROR(__xludf.DUMMYFUNCTION("""COMPUTED_VALUE"""),"فلمنج")</f>
        <v>فلمنج</v>
      </c>
      <c r="D1614" s="5" t="str">
        <f ca="1">IFERROR(__xludf.DUMMYFUNCTION("""COMPUTED_VALUE"""),"مركز علاج طبيعي")</f>
        <v>مركز علاج طبيعي</v>
      </c>
      <c r="E1614" s="5" t="str">
        <f ca="1">IFERROR(__xludf.DUMMYFUNCTION("""COMPUTED_VALUE"""),"علاج طبيعي")</f>
        <v>علاج طبيعي</v>
      </c>
      <c r="F1614" s="5" t="str">
        <f ca="1">IFERROR(__xludf.DUMMYFUNCTION("""COMPUTED_VALUE"""),"جلسات العلاج الطبيعي")</f>
        <v>جلسات العلاج الطبيعي</v>
      </c>
      <c r="G1614" s="5" t="str">
        <f ca="1">IFERROR(__xludf.DUMMYFUNCTION("""COMPUTED_VALUE"""),"احمد السيد سعد خلاف(مركز شفا للعلاج الطبيعي)")</f>
        <v>احمد السيد سعد خلاف(مركز شفا للعلاج الطبيعي)</v>
      </c>
      <c r="H1614" s="5" t="str">
        <f ca="1">IFERROR(__xludf.DUMMYFUNCTION("""COMPUTED_VALUE"""),"31 شارع الفتح- برج محفوظ- فلمنج- الاسكندرية")</f>
        <v>31 شارع الفتح- برج محفوظ- فلمنج- الاسكندرية</v>
      </c>
      <c r="I1614" s="6" t="str">
        <f ca="1">IFERROR(__xludf.DUMMYFUNCTION("""COMPUTED_VALUE"""),"035844544")</f>
        <v>035844544</v>
      </c>
      <c r="J1614" s="6"/>
      <c r="K1614" s="6" t="str">
        <f ca="1">IFERROR(__xludf.DUMMYFUNCTION("""COMPUTED_VALUE"""),"خصم 20% على جميع الخدمات علي الاسعار النقدي المعلنة")</f>
        <v>خصم 20% على جميع الخدمات علي الاسعار النقدي المعلنة</v>
      </c>
    </row>
    <row r="1615" spans="1:11" x14ac:dyDescent="0.25">
      <c r="A1615" s="4" t="str">
        <f ca="1">IFERROR(__xludf.DUMMYFUNCTION("""COMPUTED_VALUE"""),"106112")</f>
        <v>106112</v>
      </c>
      <c r="B1615" s="5" t="str">
        <f ca="1">IFERROR(__xludf.DUMMYFUNCTION("""COMPUTED_VALUE"""),"القليوبية")</f>
        <v>القليوبية</v>
      </c>
      <c r="C1615" s="5" t="str">
        <f ca="1">IFERROR(__xludf.DUMMYFUNCTION("""COMPUTED_VALUE"""),"القناطر الخيرية")</f>
        <v>القناطر الخيرية</v>
      </c>
      <c r="D1615" s="5" t="str">
        <f ca="1">IFERROR(__xludf.DUMMYFUNCTION("""COMPUTED_VALUE"""),"مركز علاج طبيعي")</f>
        <v>مركز علاج طبيعي</v>
      </c>
      <c r="E1615" s="5" t="str">
        <f ca="1">IFERROR(__xludf.DUMMYFUNCTION("""COMPUTED_VALUE"""),"علاج طبيعي")</f>
        <v>علاج طبيعي</v>
      </c>
      <c r="F1615" s="5" t="str">
        <f ca="1">IFERROR(__xludf.DUMMYFUNCTION("""COMPUTED_VALUE"""),"جلسات العلاج الطبيعي")</f>
        <v>جلسات العلاج الطبيعي</v>
      </c>
      <c r="G1615" s="5" t="str">
        <f ca="1">IFERROR(__xludf.DUMMYFUNCTION("""COMPUTED_VALUE"""),"مركز مصر للعلاج الطبيعي د.سامح صابر خليل ابراهيم بوشه")</f>
        <v>مركز مصر للعلاج الطبيعي د.سامح صابر خليل ابراهيم بوشه</v>
      </c>
      <c r="H1615" s="5" t="str">
        <f ca="1">IFERROR(__xludf.DUMMYFUNCTION("""COMPUTED_VALUE"""),"برج دريم 2 امام مستشفي القناطر الخيرية العام -القناطر الخيرية -القليوبية")</f>
        <v>برج دريم 2 امام مستشفي القناطر الخيرية العام -القناطر الخيرية -القليوبية</v>
      </c>
      <c r="I1615" s="6" t="str">
        <f ca="1">IFERROR(__xludf.DUMMYFUNCTION("""COMPUTED_VALUE"""),"01110840837")</f>
        <v>01110840837</v>
      </c>
      <c r="J1615" s="6"/>
      <c r="K1615" s="6" t="str">
        <f ca="1">IFERROR(__xludf.DUMMYFUNCTION("""COMPUTED_VALUE"""),"خصم 30% علي الاسعار النقدي")</f>
        <v>خصم 30% علي الاسعار النقدي</v>
      </c>
    </row>
    <row r="1616" spans="1:11" x14ac:dyDescent="0.25">
      <c r="A1616" s="4" t="str">
        <f ca="1">IFERROR(__xludf.DUMMYFUNCTION("""COMPUTED_VALUE"""),"106112-B")</f>
        <v>106112-B</v>
      </c>
      <c r="B1616" s="5" t="str">
        <f ca="1">IFERROR(__xludf.DUMMYFUNCTION("""COMPUTED_VALUE"""),"القليوبية")</f>
        <v>القليوبية</v>
      </c>
      <c r="C1616" s="5" t="str">
        <f ca="1">IFERROR(__xludf.DUMMYFUNCTION("""COMPUTED_VALUE"""),"القناطر الخيرية")</f>
        <v>القناطر الخيرية</v>
      </c>
      <c r="D1616" s="5" t="str">
        <f ca="1">IFERROR(__xludf.DUMMYFUNCTION("""COMPUTED_VALUE"""),"مركز علاج طبيعي")</f>
        <v>مركز علاج طبيعي</v>
      </c>
      <c r="E1616" s="5" t="str">
        <f ca="1">IFERROR(__xludf.DUMMYFUNCTION("""COMPUTED_VALUE"""),"علاج طبيعي")</f>
        <v>علاج طبيعي</v>
      </c>
      <c r="F1616" s="5" t="str">
        <f ca="1">IFERROR(__xludf.DUMMYFUNCTION("""COMPUTED_VALUE"""),"جلسات العلاج الطبيعي")</f>
        <v>جلسات العلاج الطبيعي</v>
      </c>
      <c r="G1616" s="5" t="str">
        <f ca="1">IFERROR(__xludf.DUMMYFUNCTION("""COMPUTED_VALUE"""),"مركز مصر للعلاج الطبيعي د.سامح صابر خليل ابراهيم بوشه")</f>
        <v>مركز مصر للعلاج الطبيعي د.سامح صابر خليل ابراهيم بوشه</v>
      </c>
      <c r="H1616" s="5" t="str">
        <f ca="1">IFERROR(__xludf.DUMMYFUNCTION("""COMPUTED_VALUE"""),"باسوس امام مسجد الخلفاء الراشدين اعلي صيدلية فاطمة عربي-القناطر الخيرية-القليوبية")</f>
        <v>باسوس امام مسجد الخلفاء الراشدين اعلي صيدلية فاطمة عربي-القناطر الخيرية-القليوبية</v>
      </c>
      <c r="I1616" s="6" t="str">
        <f ca="1">IFERROR(__xludf.DUMMYFUNCTION("""COMPUTED_VALUE"""),"01110840837")</f>
        <v>01110840837</v>
      </c>
      <c r="J1616" s="6"/>
      <c r="K1616" s="6" t="str">
        <f ca="1">IFERROR(__xludf.DUMMYFUNCTION("""COMPUTED_VALUE"""),"خصم 30% علي الاسعار النقدي")</f>
        <v>خصم 30% علي الاسعار النقدي</v>
      </c>
    </row>
    <row r="1617" spans="1:11" x14ac:dyDescent="0.25">
      <c r="A1617" s="4" t="str">
        <f ca="1">IFERROR(__xludf.DUMMYFUNCTION("""COMPUTED_VALUE"""),"106078")</f>
        <v>106078</v>
      </c>
      <c r="B1617" s="5" t="str">
        <f ca="1">IFERROR(__xludf.DUMMYFUNCTION("""COMPUTED_VALUE"""),"الدقهلية")</f>
        <v>الدقهلية</v>
      </c>
      <c r="C1617" s="5" t="str">
        <f ca="1">IFERROR(__xludf.DUMMYFUNCTION("""COMPUTED_VALUE"""),"شربين")</f>
        <v>شربين</v>
      </c>
      <c r="D1617" s="5" t="str">
        <f ca="1">IFERROR(__xludf.DUMMYFUNCTION("""COMPUTED_VALUE"""),"صيدلية")</f>
        <v>صيدلية</v>
      </c>
      <c r="E1617" s="5" t="str">
        <f ca="1">IFERROR(__xludf.DUMMYFUNCTION("""COMPUTED_VALUE"""),"صيدلية")</f>
        <v>صيدلية</v>
      </c>
      <c r="F1617" s="5" t="str">
        <f ca="1">IFERROR(__xludf.DUMMYFUNCTION("""COMPUTED_VALUE"""),"صيدلية (أدوية ومستلزمات طبية)")</f>
        <v>صيدلية (أدوية ومستلزمات طبية)</v>
      </c>
      <c r="G1617" s="5" t="str">
        <f ca="1">IFERROR(__xludf.DUMMYFUNCTION("""COMPUTED_VALUE"""),"صيدلية د.محمد حامد علي الدنف")</f>
        <v>صيدلية د.محمد حامد علي الدنف</v>
      </c>
      <c r="H1617" s="5" t="str">
        <f ca="1">IFERROR(__xludf.DUMMYFUNCTION("""COMPUTED_VALUE"""),"شربين شارع القومية العربية")</f>
        <v>شربين شارع القومية العربية</v>
      </c>
      <c r="I1617" s="6" t="str">
        <f ca="1">IFERROR(__xludf.DUMMYFUNCTION("""COMPUTED_VALUE"""),"0503923216")</f>
        <v>0503923216</v>
      </c>
      <c r="J1617" s="6"/>
      <c r="K1617" s="6" t="str">
        <f ca="1">IFERROR(__xludf.DUMMYFUNCTION("""COMPUTED_VALUE"""),"خصم 15% علي المحلي و 14% علي المستورد")</f>
        <v>خصم 15% علي المحلي و 14% علي المستورد</v>
      </c>
    </row>
    <row r="1618" spans="1:11" x14ac:dyDescent="0.25">
      <c r="A1618" s="4" t="str">
        <f ca="1">IFERROR(__xludf.DUMMYFUNCTION("""COMPUTED_VALUE"""),"106125")</f>
        <v>106125</v>
      </c>
      <c r="B1618" s="5" t="str">
        <f ca="1">IFERROR(__xludf.DUMMYFUNCTION("""COMPUTED_VALUE"""),"القاهرة")</f>
        <v>القاهرة</v>
      </c>
      <c r="C1618" s="5" t="str">
        <f ca="1">IFERROR(__xludf.DUMMYFUNCTION("""COMPUTED_VALUE"""),"المطرية")</f>
        <v>المطرية</v>
      </c>
      <c r="D1618" s="5" t="str">
        <f ca="1">IFERROR(__xludf.DUMMYFUNCTION("""COMPUTED_VALUE"""),"مستشفى")</f>
        <v>مستشفى</v>
      </c>
      <c r="E1618" s="5" t="str">
        <f ca="1">IFERROR(__xludf.DUMMYFUNCTION("""COMPUTED_VALUE"""),"مستشفي طبي متكامل")</f>
        <v>مستشفي طبي متكامل</v>
      </c>
      <c r="F1618" s="5" t="str">
        <f ca="1">IFERROR(__xludf.DUMMYFUNCTION("""COMPUTED_VALUE"""),"جميع التخصصات الطبية")</f>
        <v>جميع التخصصات الطبية</v>
      </c>
      <c r="G1618" s="5" t="str">
        <f ca="1">IFERROR(__xludf.DUMMYFUNCTION("""COMPUTED_VALUE"""),"شركة التداوي للخدمات الطبية (مستشفي التداوي)")</f>
        <v>شركة التداوي للخدمات الطبية (مستشفي التداوي)</v>
      </c>
      <c r="H1618" s="5" t="str">
        <f ca="1">IFERROR(__xludf.DUMMYFUNCTION("""COMPUTED_VALUE"""),"18 شارع الحمصاني من شارع الكابلات -الاميرية-القاهرة")</f>
        <v>18 شارع الحمصاني من شارع الكابلات -الاميرية-القاهرة</v>
      </c>
      <c r="I1618" s="6" t="str">
        <f ca="1">IFERROR(__xludf.DUMMYFUNCTION("""COMPUTED_VALUE"""),"01010366468")</f>
        <v>01010366468</v>
      </c>
      <c r="J1618" s="6"/>
      <c r="K1618" s="6" t="str">
        <f ca="1">IFERROR(__xludf.DUMMYFUNCTION("""COMPUTED_VALUE"""),"خصم 50% علي الكشف و15% علي باقي الخدمات و 15%علي الرعايه ماعدا وبنك الدم والادويه والمستلزمات الطبيه علي الأسعار المعلنة
")</f>
        <v xml:space="preserve">خصم 50% علي الكشف و15% علي باقي الخدمات و 15%علي الرعايه ماعدا وبنك الدم والادويه والمستلزمات الطبيه علي الأسعار المعلنة
</v>
      </c>
    </row>
    <row r="1619" spans="1:11" x14ac:dyDescent="0.25">
      <c r="A1619" s="4" t="str">
        <f ca="1">IFERROR(__xludf.DUMMYFUNCTION("""COMPUTED_VALUE"""),"1961-B")</f>
        <v>1961-B</v>
      </c>
      <c r="B1619" s="5" t="str">
        <f ca="1">IFERROR(__xludf.DUMMYFUNCTION("""COMPUTED_VALUE"""),"أسوان")</f>
        <v>أسوان</v>
      </c>
      <c r="C1619" s="5" t="str">
        <f ca="1">IFERROR(__xludf.DUMMYFUNCTION("""COMPUTED_VALUE"""),"أسوان")</f>
        <v>أسوان</v>
      </c>
      <c r="D1619" s="5" t="str">
        <f ca="1">IFERROR(__xludf.DUMMYFUNCTION("""COMPUTED_VALUE"""),"مستشفى")</f>
        <v>مستشفى</v>
      </c>
      <c r="E1619" s="5" t="str">
        <f ca="1">IFERROR(__xludf.DUMMYFUNCTION("""COMPUTED_VALUE"""),"مستشفي طبي متخصص")</f>
        <v>مستشفي طبي متخصص</v>
      </c>
      <c r="F1619" s="5" t="str">
        <f ca="1">IFERROR(__xludf.DUMMYFUNCTION("""COMPUTED_VALUE"""),"رمد (جراحة عيون)")</f>
        <v>رمد (جراحة عيون)</v>
      </c>
      <c r="G1619" s="5" t="str">
        <f ca="1">IFERROR(__xludf.DUMMYFUNCTION("""COMPUTED_VALUE"""),"مستشفى العيون الدولي")</f>
        <v>مستشفى العيون الدولي</v>
      </c>
      <c r="H1619" s="5" t="str">
        <f ca="1">IFERROR(__xludf.DUMMYFUNCTION("""COMPUTED_VALUE"""),"شارع سعد زغلول شارع السودانيين بجوار فندق واحة النوبه")</f>
        <v>شارع سعد زغلول شارع السودانيين بجوار فندق واحة النوبه</v>
      </c>
      <c r="I1619" s="6" t="str">
        <f ca="1">IFERROR(__xludf.DUMMYFUNCTION("""COMPUTED_VALUE"""),"01064441279")</f>
        <v>01064441279</v>
      </c>
      <c r="J1619" s="6" t="str">
        <f ca="1">IFERROR(__xludf.DUMMYFUNCTION("""COMPUTED_VALUE"""),"19650")</f>
        <v>19650</v>
      </c>
      <c r="K1619" s="6" t="str">
        <f ca="1">IFERROR(__xludf.DUMMYFUNCTION("""COMPUTED_VALUE"""),"15% علي الأسعار النقدي المعلنه")</f>
        <v>15% علي الأسعار النقدي المعلنه</v>
      </c>
    </row>
    <row r="1620" spans="1:11" x14ac:dyDescent="0.25">
      <c r="A1620" s="4" t="str">
        <f ca="1">IFERROR(__xludf.DUMMYFUNCTION("""COMPUTED_VALUE"""),"1961-B")</f>
        <v>1961-B</v>
      </c>
      <c r="B1620" s="5" t="str">
        <f ca="1">IFERROR(__xludf.DUMMYFUNCTION("""COMPUTED_VALUE"""),"الدقهلية")</f>
        <v>الدقهلية</v>
      </c>
      <c r="C1620" s="5" t="str">
        <f ca="1">IFERROR(__xludf.DUMMYFUNCTION("""COMPUTED_VALUE"""),"المنصورة")</f>
        <v>المنصورة</v>
      </c>
      <c r="D1620" s="5" t="str">
        <f ca="1">IFERROR(__xludf.DUMMYFUNCTION("""COMPUTED_VALUE"""),"مستشفى")</f>
        <v>مستشفى</v>
      </c>
      <c r="E1620" s="5" t="str">
        <f ca="1">IFERROR(__xludf.DUMMYFUNCTION("""COMPUTED_VALUE"""),"مستشفي طبي متخصص")</f>
        <v>مستشفي طبي متخصص</v>
      </c>
      <c r="F1620" s="5" t="str">
        <f ca="1">IFERROR(__xludf.DUMMYFUNCTION("""COMPUTED_VALUE"""),"رمد (جراحة عيون)")</f>
        <v>رمد (جراحة عيون)</v>
      </c>
      <c r="G1620" s="5" t="str">
        <f ca="1">IFERROR(__xludf.DUMMYFUNCTION("""COMPUTED_VALUE"""),"مستشفى العيون الدولي")</f>
        <v>مستشفى العيون الدولي</v>
      </c>
      <c r="H1620" s="5" t="str">
        <f ca="1">IFERROR(__xludf.DUMMYFUNCTION("""COMPUTED_VALUE"""),"شارع الجمهورية برج قصر النيل بجوار بنك مصرالمنصورة")</f>
        <v>شارع الجمهورية برج قصر النيل بجوار بنك مصرالمنصورة</v>
      </c>
      <c r="I1620" s="6" t="str">
        <f ca="1">IFERROR(__xludf.DUMMYFUNCTION("""COMPUTED_VALUE"""),"01023297998")</f>
        <v>01023297998</v>
      </c>
      <c r="J1620" s="6" t="str">
        <f ca="1">IFERROR(__xludf.DUMMYFUNCTION("""COMPUTED_VALUE"""),"19650")</f>
        <v>19650</v>
      </c>
      <c r="K1620" s="6" t="str">
        <f ca="1">IFERROR(__xludf.DUMMYFUNCTION("""COMPUTED_VALUE"""),"15% علي الأسعار النقدي المعلنه")</f>
        <v>15% علي الأسعار النقدي المعلنه</v>
      </c>
    </row>
    <row r="1621" spans="1:11" x14ac:dyDescent="0.25">
      <c r="A1621" s="4" t="str">
        <f ca="1">IFERROR(__xludf.DUMMYFUNCTION("""COMPUTED_VALUE"""),"106086-B")</f>
        <v>106086-B</v>
      </c>
      <c r="B1621" s="5" t="str">
        <f ca="1">IFERROR(__xludf.DUMMYFUNCTION("""COMPUTED_VALUE"""),"الجيزة")</f>
        <v>الجيزة</v>
      </c>
      <c r="C1621" s="5" t="str">
        <f ca="1">IFERROR(__xludf.DUMMYFUNCTION("""COMPUTED_VALUE"""),"الوراق")</f>
        <v>الوراق</v>
      </c>
      <c r="D1621" s="5" t="str">
        <f ca="1">IFERROR(__xludf.DUMMYFUNCTION("""COMPUTED_VALUE"""),"مركز أشعة")</f>
        <v>مركز أشعة</v>
      </c>
      <c r="E1621" s="5" t="str">
        <f ca="1">IFERROR(__xludf.DUMMYFUNCTION("""COMPUTED_VALUE"""),"مركز أشعة")</f>
        <v>مركز أشعة</v>
      </c>
      <c r="F1621" s="5" t="str">
        <f ca="1">IFERROR(__xludf.DUMMYFUNCTION("""COMPUTED_VALUE"""),"مركز الأشعة التشخيصية")</f>
        <v>مركز الأشعة التشخيصية</v>
      </c>
      <c r="G1621" s="5" t="str">
        <f ca="1">IFERROR(__xludf.DUMMYFUNCTION("""COMPUTED_VALUE"""),"مركز الريادة للأشعة")</f>
        <v>مركز الريادة للأشعة</v>
      </c>
      <c r="H1621" s="5" t="str">
        <f ca="1">IFERROR(__xludf.DUMMYFUNCTION("""COMPUTED_VALUE"""),"98 كورنيش النيل-وراق الحضر بجوار محطة وقود وطنية-الجيزة")</f>
        <v>98 كورنيش النيل-وراق الحضر بجوار محطة وقود وطنية-الجيزة</v>
      </c>
      <c r="I1621" s="6" t="str">
        <f ca="1">IFERROR(__xludf.DUMMYFUNCTION("""COMPUTED_VALUE"""),"1153030300")</f>
        <v>1153030300</v>
      </c>
      <c r="J1621" s="6"/>
      <c r="K1621" s="6" t="str">
        <f ca="1">IFERROR(__xludf.DUMMYFUNCTION("""COMPUTED_VALUE"""),"نسبة خصم 30% علي التحاليل، 25% علي الأشعه")</f>
        <v>نسبة خصم 30% علي التحاليل، 25% علي الأشعه</v>
      </c>
    </row>
    <row r="1622" spans="1:11" x14ac:dyDescent="0.25">
      <c r="A1622" s="4" t="str">
        <f ca="1">IFERROR(__xludf.DUMMYFUNCTION("""COMPUTED_VALUE"""),"106126")</f>
        <v>106126</v>
      </c>
      <c r="B1622" s="5" t="str">
        <f ca="1">IFERROR(__xludf.DUMMYFUNCTION("""COMPUTED_VALUE"""),"القاهرة")</f>
        <v>القاهرة</v>
      </c>
      <c r="C1622" s="5" t="str">
        <f ca="1">IFERROR(__xludf.DUMMYFUNCTION("""COMPUTED_VALUE"""),"المعادى")</f>
        <v>المعادى</v>
      </c>
      <c r="D1622" s="5" t="str">
        <f ca="1">IFERROR(__xludf.DUMMYFUNCTION("""COMPUTED_VALUE"""),"مستشفى")</f>
        <v>مستشفى</v>
      </c>
      <c r="E1622" s="5" t="str">
        <f ca="1">IFERROR(__xludf.DUMMYFUNCTION("""COMPUTED_VALUE"""),"مستشفي طبي متخصص")</f>
        <v>مستشفي طبي متخصص</v>
      </c>
      <c r="F1622" s="5" t="str">
        <f ca="1">IFERROR(__xludf.DUMMYFUNCTION("""COMPUTED_VALUE"""),"قلب واوعية دموية")</f>
        <v>قلب واوعية دموية</v>
      </c>
      <c r="G1622" s="5" t="str">
        <f ca="1">IFERROR(__xludf.DUMMYFUNCTION("""COMPUTED_VALUE"""),"مركز النيل لقسطرة القلب و المناظير")</f>
        <v>مركز النيل لقسطرة القلب و المناظير</v>
      </c>
      <c r="H1622" s="5" t="str">
        <f ca="1">IFERROR(__xludf.DUMMYFUNCTION("""COMPUTED_VALUE"""),"28 بالميزانين عقار 1 ميدان المحطة المعادي-القاهرة")</f>
        <v>28 بالميزانين عقار 1 ميدان المحطة المعادي-القاهرة</v>
      </c>
      <c r="I1622" s="6"/>
      <c r="J1622" s="6" t="str">
        <f ca="1">IFERROR(__xludf.DUMMYFUNCTION("""COMPUTED_VALUE"""),"19656")</f>
        <v>19656</v>
      </c>
      <c r="K1622" s="6" t="str">
        <f ca="1">IFERROR(__xludf.DUMMYFUNCTION("""COMPUTED_VALUE"""),"نسبة خصم 20% علي  الاسعار المعلنة للجمهور")</f>
        <v>نسبة خصم 20% علي  الاسعار المعلنة للجمهور</v>
      </c>
    </row>
    <row r="1623" spans="1:11" x14ac:dyDescent="0.25">
      <c r="A1623" s="4" t="str">
        <f ca="1">IFERROR(__xludf.DUMMYFUNCTION("""COMPUTED_VALUE"""),"1923")</f>
        <v>1923</v>
      </c>
      <c r="B1623" s="5" t="str">
        <f ca="1">IFERROR(__xludf.DUMMYFUNCTION("""COMPUTED_VALUE"""),"الجيزة")</f>
        <v>الجيزة</v>
      </c>
      <c r="C1623" s="5" t="str">
        <f ca="1">IFERROR(__xludf.DUMMYFUNCTION("""COMPUTED_VALUE"""),"المهندسين")</f>
        <v>المهندسين</v>
      </c>
      <c r="D1623" s="5" t="str">
        <f ca="1">IFERROR(__xludf.DUMMYFUNCTION("""COMPUTED_VALUE"""),"مستشفى")</f>
        <v>مستشفى</v>
      </c>
      <c r="E1623" s="5" t="str">
        <f ca="1">IFERROR(__xludf.DUMMYFUNCTION("""COMPUTED_VALUE"""),"مستشفي طبي متخصص")</f>
        <v>مستشفي طبي متخصص</v>
      </c>
      <c r="F1623" s="5" t="str">
        <f ca="1">IFERROR(__xludf.DUMMYFUNCTION("""COMPUTED_VALUE"""),"جراحة مسالك بولية وتناسلية")</f>
        <v>جراحة مسالك بولية وتناسلية</v>
      </c>
      <c r="G1623" s="5" t="str">
        <f ca="1">IFERROR(__xludf.DUMMYFUNCTION("""COMPUTED_VALUE"""),"المستشفى الدولي للكلى و المسالك البولية")</f>
        <v>المستشفى الدولي للكلى و المسالك البولية</v>
      </c>
      <c r="H1623" s="5" t="str">
        <f ca="1">IFERROR(__xludf.DUMMYFUNCTION("""COMPUTED_VALUE"""),"4شارع عدنان المدنى-من شارع السودان-المهندسين- الجيزة")</f>
        <v>4شارع عدنان المدنى-من شارع السودان-المهندسين- الجيزة</v>
      </c>
      <c r="I1623" s="6" t="str">
        <f ca="1">IFERROR(__xludf.DUMMYFUNCTION("""COMPUTED_VALUE"""),"20233052000")</f>
        <v>20233052000</v>
      </c>
      <c r="J1623" s="6"/>
      <c r="K1623" s="6" t="str">
        <f ca="1">IFERROR(__xludf.DUMMYFUNCTION("""COMPUTED_VALUE"""),"50% على الكشوفات و الطوارئ و التحاليل ,25% اتعاب الأطباء, 10% على قسم الكلي,40% علي باقي الخدمات علي لاسعار النقدي المعلنه")</f>
        <v>50% على الكشوفات و الطوارئ و التحاليل ,25% اتعاب الأطباء, 10% على قسم الكلي,40% علي باقي الخدمات علي لاسعار النقدي المعلنه</v>
      </c>
    </row>
    <row r="1624" spans="1:11" x14ac:dyDescent="0.25">
      <c r="A1624" s="4" t="str">
        <f ca="1">IFERROR(__xludf.DUMMYFUNCTION("""COMPUTED_VALUE"""),"3761")</f>
        <v>3761</v>
      </c>
      <c r="B1624" s="5" t="str">
        <f ca="1">IFERROR(__xludf.DUMMYFUNCTION("""COMPUTED_VALUE"""),"الاسكندرية")</f>
        <v>الاسكندرية</v>
      </c>
      <c r="C1624" s="5" t="str">
        <f ca="1">IFERROR(__xludf.DUMMYFUNCTION("""COMPUTED_VALUE"""),"سبورتنج")</f>
        <v>سبورتنج</v>
      </c>
      <c r="D1624" s="5" t="str">
        <f ca="1">IFERROR(__xludf.DUMMYFUNCTION("""COMPUTED_VALUE"""),"مركز علاج طبيعي")</f>
        <v>مركز علاج طبيعي</v>
      </c>
      <c r="E1624" s="5" t="str">
        <f ca="1">IFERROR(__xludf.DUMMYFUNCTION("""COMPUTED_VALUE"""),"علاج طبيعي")</f>
        <v>علاج طبيعي</v>
      </c>
      <c r="F1624" s="5" t="str">
        <f ca="1">IFERROR(__xludf.DUMMYFUNCTION("""COMPUTED_VALUE"""),"جلسات العلاج الطبيعي")</f>
        <v>جلسات العلاج الطبيعي</v>
      </c>
      <c r="G1624" s="5" t="str">
        <f ca="1">IFERROR(__xludf.DUMMYFUNCTION("""COMPUTED_VALUE"""),"د/ محمد محمود الزيني")</f>
        <v>د/ محمد محمود الزيني</v>
      </c>
      <c r="H1624" s="5" t="str">
        <f ca="1">IFERROR(__xludf.DUMMYFUNCTION("""COMPUTED_VALUE"""),"199شارع بور سعيد اسبورتنج ميدان اسبورتنج امام ستوديو غزال-الاسكندرية")</f>
        <v>199شارع بور سعيد اسبورتنج ميدان اسبورتنج امام ستوديو غزال-الاسكندرية</v>
      </c>
      <c r="I1624" s="6" t="str">
        <f ca="1">IFERROR(__xludf.DUMMYFUNCTION("""COMPUTED_VALUE"""),"2035911604")</f>
        <v>2035911604</v>
      </c>
      <c r="J1624" s="6"/>
      <c r="K1624" s="6" t="str">
        <f ca="1">IFERROR(__xludf.DUMMYFUNCTION("""COMPUTED_VALUE"""),"خصم 15% علي الكشف وكل الخدمات
")</f>
        <v xml:space="preserve">خصم 15% علي الكشف وكل الخدمات
</v>
      </c>
    </row>
    <row r="1625" spans="1:11" x14ac:dyDescent="0.25">
      <c r="A1625" s="4" t="str">
        <f ca="1">IFERROR(__xludf.DUMMYFUNCTION("""COMPUTED_VALUE"""),"1984-B")</f>
        <v>1984-B</v>
      </c>
      <c r="B1625" s="5" t="str">
        <f ca="1">IFERROR(__xludf.DUMMYFUNCTION("""COMPUTED_VALUE"""),"القاهرة")</f>
        <v>القاهرة</v>
      </c>
      <c r="C1625" s="5" t="str">
        <f ca="1">IFERROR(__xludf.DUMMYFUNCTION("""COMPUTED_VALUE"""),"مصر الجديدة")</f>
        <v>مصر الجديدة</v>
      </c>
      <c r="D1625" s="5" t="str">
        <f ca="1">IFERROR(__xludf.DUMMYFUNCTION("""COMPUTED_VALUE"""),"مركز علاج طبيعي")</f>
        <v>مركز علاج طبيعي</v>
      </c>
      <c r="E1625" s="5" t="str">
        <f ca="1">IFERROR(__xludf.DUMMYFUNCTION("""COMPUTED_VALUE"""),"علاج طبيعي")</f>
        <v>علاج طبيعي</v>
      </c>
      <c r="F1625" s="5" t="str">
        <f ca="1">IFERROR(__xludf.DUMMYFUNCTION("""COMPUTED_VALUE"""),"جلسات العلاج الطبيعي")</f>
        <v>جلسات العلاج الطبيعي</v>
      </c>
      <c r="G1625" s="5" t="str">
        <f ca="1">IFERROR(__xludf.DUMMYFUNCTION("""COMPUTED_VALUE"""),"مركز الجولف للعلاج الطبيعي و التاهيل")</f>
        <v>مركز الجولف للعلاج الطبيعي و التاهيل</v>
      </c>
      <c r="H1625" s="5" t="str">
        <f ca="1">IFERROR(__xludf.DUMMYFUNCTION("""COMPUTED_VALUE"""),"9 شارع جلال حجاج - ارض الجولف-مصر الجديدة-القاهرة")</f>
        <v>9 شارع جلال حجاج - ارض الجولف-مصر الجديدة-القاهرة</v>
      </c>
      <c r="I1625" s="6" t="str">
        <f ca="1">IFERROR(__xludf.DUMMYFUNCTION("""COMPUTED_VALUE"""),"20222903777")</f>
        <v>20222903777</v>
      </c>
      <c r="J1625" s="6"/>
      <c r="K1625" s="6" t="str">
        <f ca="1">IFERROR(__xludf.DUMMYFUNCTION("""COMPUTED_VALUE"""),"20% على جميع الخدمات")</f>
        <v>20% على جميع الخدمات</v>
      </c>
    </row>
    <row r="1626" spans="1:11" x14ac:dyDescent="0.25">
      <c r="A1626" s="4" t="str">
        <f ca="1">IFERROR(__xludf.DUMMYFUNCTION("""COMPUTED_VALUE"""),"1690")</f>
        <v>1690</v>
      </c>
      <c r="B1626" s="5" t="str">
        <f ca="1">IFERROR(__xludf.DUMMYFUNCTION("""COMPUTED_VALUE"""),"الجيزة")</f>
        <v>الجيزة</v>
      </c>
      <c r="C1626" s="5" t="str">
        <f ca="1">IFERROR(__xludf.DUMMYFUNCTION("""COMPUTED_VALUE"""),"الجيزة")</f>
        <v>الجيزة</v>
      </c>
      <c r="D1626" s="5" t="str">
        <f ca="1">IFERROR(__xludf.DUMMYFUNCTION("""COMPUTED_VALUE"""),"صيدلية")</f>
        <v>صيدلية</v>
      </c>
      <c r="E1626" s="5" t="str">
        <f ca="1">IFERROR(__xludf.DUMMYFUNCTION("""COMPUTED_VALUE"""),"صيدلية")</f>
        <v>صيدلية</v>
      </c>
      <c r="F1626" s="5" t="str">
        <f ca="1">IFERROR(__xludf.DUMMYFUNCTION("""COMPUTED_VALUE"""),"صيدلية (أدوية ومستلزمات طبية)")</f>
        <v>صيدلية (أدوية ومستلزمات طبية)</v>
      </c>
      <c r="G1626" s="5" t="str">
        <f ca="1">IFERROR(__xludf.DUMMYFUNCTION("""COMPUTED_VALUE"""),"صيدلية زمزم")</f>
        <v>صيدلية زمزم</v>
      </c>
      <c r="H1626" s="5" t="str">
        <f ca="1">IFERROR(__xludf.DUMMYFUNCTION("""COMPUTED_VALUE"""),"خلف السفارة السعودية - 4 ش بن كثير من ش النيل (برج قناة السويس)- الجيزة")</f>
        <v>خلف السفارة السعودية - 4 ش بن كثير من ش النيل (برج قناة السويس)- الجيزة</v>
      </c>
      <c r="I1626" s="6" t="str">
        <f ca="1">IFERROR(__xludf.DUMMYFUNCTION("""COMPUTED_VALUE"""),"20233387450")</f>
        <v>20233387450</v>
      </c>
      <c r="J1626" s="6"/>
      <c r="K1626" s="6" t="str">
        <f ca="1">IFERROR(__xludf.DUMMYFUNCTION("""COMPUTED_VALUE"""),"خصم 15% علي المحلي و7% علي المستورد")</f>
        <v>خصم 15% علي المحلي و7% علي المستورد</v>
      </c>
    </row>
    <row r="1627" spans="1:11" x14ac:dyDescent="0.25">
      <c r="A1627" s="4" t="str">
        <f ca="1">IFERROR(__xludf.DUMMYFUNCTION("""COMPUTED_VALUE"""),"3206")</f>
        <v>3206</v>
      </c>
      <c r="B1627" s="5" t="str">
        <f ca="1">IFERROR(__xludf.DUMMYFUNCTION("""COMPUTED_VALUE"""),"القاهرة")</f>
        <v>القاهرة</v>
      </c>
      <c r="C1627" s="5" t="str">
        <f ca="1">IFERROR(__xludf.DUMMYFUNCTION("""COMPUTED_VALUE"""),"وسط البلد")</f>
        <v>وسط البلد</v>
      </c>
      <c r="D1627" s="5" t="str">
        <f ca="1">IFERROR(__xludf.DUMMYFUNCTION("""COMPUTED_VALUE"""),"صيدلية")</f>
        <v>صيدلية</v>
      </c>
      <c r="E1627" s="5" t="str">
        <f ca="1">IFERROR(__xludf.DUMMYFUNCTION("""COMPUTED_VALUE"""),"صيدلية")</f>
        <v>صيدلية</v>
      </c>
      <c r="F1627" s="5" t="str">
        <f ca="1">IFERROR(__xludf.DUMMYFUNCTION("""COMPUTED_VALUE"""),"صيدلية (أدوية ومستلزمات طبية)")</f>
        <v>صيدلية (أدوية ومستلزمات طبية)</v>
      </c>
      <c r="G1627" s="5" t="str">
        <f ca="1">IFERROR(__xludf.DUMMYFUNCTION("""COMPUTED_VALUE"""),"د/ سامر عادل موسي جرجس ( صيدليه الفلكي )")</f>
        <v>د/ سامر عادل موسي جرجس ( صيدليه الفلكي )</v>
      </c>
      <c r="H1627" s="5" t="str">
        <f ca="1">IFERROR(__xludf.DUMMYFUNCTION("""COMPUTED_VALUE"""),"9 ميدان الفلكى-وسط البلد-القاهرة")</f>
        <v>9 ميدان الفلكى-وسط البلد-القاهرة</v>
      </c>
      <c r="I1627" s="6" t="str">
        <f ca="1">IFERROR(__xludf.DUMMYFUNCTION("""COMPUTED_VALUE"""),"20227944335")</f>
        <v>20227944335</v>
      </c>
      <c r="J1627" s="6"/>
      <c r="K1627" s="6" t="str">
        <f ca="1">IFERROR(__xludf.DUMMYFUNCTION("""COMPUTED_VALUE"""),"خصم 10% علي المحلي و 8% علي المستورد")</f>
        <v>خصم 10% علي المحلي و 8% علي المستورد</v>
      </c>
    </row>
    <row r="1628" spans="1:11" x14ac:dyDescent="0.25">
      <c r="A1628" s="4" t="str">
        <f ca="1">IFERROR(__xludf.DUMMYFUNCTION("""COMPUTED_VALUE"""),"104495")</f>
        <v>104495</v>
      </c>
      <c r="B1628" s="5" t="str">
        <f ca="1">IFERROR(__xludf.DUMMYFUNCTION("""COMPUTED_VALUE"""),"القاهرة")</f>
        <v>القاهرة</v>
      </c>
      <c r="C1628" s="5" t="str">
        <f ca="1">IFERROR(__xludf.DUMMYFUNCTION("""COMPUTED_VALUE"""),"وسط البلد")</f>
        <v>وسط البلد</v>
      </c>
      <c r="D1628" s="5" t="str">
        <f ca="1">IFERROR(__xludf.DUMMYFUNCTION("""COMPUTED_VALUE"""),"صيدلية")</f>
        <v>صيدلية</v>
      </c>
      <c r="E1628" s="5" t="str">
        <f ca="1">IFERROR(__xludf.DUMMYFUNCTION("""COMPUTED_VALUE"""),"صيدلية")</f>
        <v>صيدلية</v>
      </c>
      <c r="F1628" s="5" t="str">
        <f ca="1">IFERROR(__xludf.DUMMYFUNCTION("""COMPUTED_VALUE"""),"صيدلية (أدوية ومستلزمات طبية)")</f>
        <v>صيدلية (أدوية ومستلزمات طبية)</v>
      </c>
      <c r="G1628" s="5" t="str">
        <f ca="1">IFERROR(__xludf.DUMMYFUNCTION("""COMPUTED_VALUE"""),"صيدلية وادي النيل")</f>
        <v>صيدلية وادي النيل</v>
      </c>
      <c r="H1628" s="5" t="str">
        <f ca="1">IFERROR(__xludf.DUMMYFUNCTION("""COMPUTED_VALUE"""),"8 شارع الجمهورية - عابدين - القاهرة .")</f>
        <v>8 شارع الجمهورية - عابدين - القاهرة .</v>
      </c>
      <c r="I1628" s="6" t="str">
        <f ca="1">IFERROR(__xludf.DUMMYFUNCTION("""COMPUTED_VALUE"""),"0223918879")</f>
        <v>0223918879</v>
      </c>
      <c r="J1628" s="6" t="str">
        <f ca="1">IFERROR(__xludf.DUMMYFUNCTION("""COMPUTED_VALUE"""),"19303")</f>
        <v>19303</v>
      </c>
      <c r="K1628" s="6" t="str">
        <f ca="1">IFERROR(__xludf.DUMMYFUNCTION("""COMPUTED_VALUE"""),"خصم 11% علي المحلي و 11% علي المستورد")</f>
        <v>خصم 11% علي المحلي و 11% علي المستورد</v>
      </c>
    </row>
    <row r="1629" spans="1:11" x14ac:dyDescent="0.25">
      <c r="A1629" s="4" t="str">
        <f ca="1">IFERROR(__xludf.DUMMYFUNCTION("""COMPUTED_VALUE"""),"104336")</f>
        <v>104336</v>
      </c>
      <c r="B1629" s="5" t="str">
        <f ca="1">IFERROR(__xludf.DUMMYFUNCTION("""COMPUTED_VALUE"""),"الجيزة")</f>
        <v>الجيزة</v>
      </c>
      <c r="C1629" s="5" t="str">
        <f ca="1">IFERROR(__xludf.DUMMYFUNCTION("""COMPUTED_VALUE"""),"المهندسين")</f>
        <v>المهندسين</v>
      </c>
      <c r="D1629" s="5" t="str">
        <f ca="1">IFERROR(__xludf.DUMMYFUNCTION("""COMPUTED_VALUE"""),"مستشفى")</f>
        <v>مستشفى</v>
      </c>
      <c r="E1629" s="5" t="str">
        <f ca="1">IFERROR(__xludf.DUMMYFUNCTION("""COMPUTED_VALUE"""),"مستشفي طبي متخصص")</f>
        <v>مستشفي طبي متخصص</v>
      </c>
      <c r="F1629" s="5" t="str">
        <f ca="1">IFERROR(__xludf.DUMMYFUNCTION("""COMPUTED_VALUE"""),"كُلي و مسالك بولية")</f>
        <v>كُلي و مسالك بولية</v>
      </c>
      <c r="G1629" s="5" t="str">
        <f ca="1">IFERROR(__xludf.DUMMYFUNCTION("""COMPUTED_VALUE"""),"مركز لايف للكلى")</f>
        <v>مركز لايف للكلى</v>
      </c>
      <c r="H1629" s="5" t="str">
        <f ca="1">IFERROR(__xludf.DUMMYFUNCTION("""COMPUTED_VALUE"""),"48ش عبدالمنعم رياض - المهندسين")</f>
        <v>48ش عبدالمنعم رياض - المهندسين</v>
      </c>
      <c r="I1629" s="6" t="str">
        <f ca="1">IFERROR(__xludf.DUMMYFUNCTION("""COMPUTED_VALUE"""),"20233035063")</f>
        <v>20233035063</v>
      </c>
      <c r="J1629" s="6"/>
      <c r="K1629" s="6" t="str">
        <f ca="1">IFERROR(__xludf.DUMMYFUNCTION("""COMPUTED_VALUE"""),"10% نسبة خصم")</f>
        <v>10% نسبة خصم</v>
      </c>
    </row>
    <row r="1630" spans="1:11" x14ac:dyDescent="0.25">
      <c r="A1630" s="4" t="str">
        <f ca="1">IFERROR(__xludf.DUMMYFUNCTION("""COMPUTED_VALUE"""),"2911-B")</f>
        <v>2911-B</v>
      </c>
      <c r="B1630" s="5" t="str">
        <f ca="1">IFERROR(__xludf.DUMMYFUNCTION("""COMPUTED_VALUE"""),"الاسكندرية")</f>
        <v>الاسكندرية</v>
      </c>
      <c r="C1630" s="5" t="str">
        <f ca="1">IFERROR(__xludf.DUMMYFUNCTION("""COMPUTED_VALUE"""),"الابراهيمية")</f>
        <v>الابراهيمية</v>
      </c>
      <c r="D1630" s="5" t="str">
        <f ca="1">IFERROR(__xludf.DUMMYFUNCTION("""COMPUTED_VALUE"""),"معمل")</f>
        <v>معمل</v>
      </c>
      <c r="E1630" s="5" t="str">
        <f ca="1">IFERROR(__xludf.DUMMYFUNCTION("""COMPUTED_VALUE"""),"معمل")</f>
        <v>معمل</v>
      </c>
      <c r="F1630" s="5" t="str">
        <f ca="1">IFERROR(__xludf.DUMMYFUNCTION("""COMPUTED_VALUE"""),"معمل التحاليل الطبية")</f>
        <v>معمل التحاليل الطبية</v>
      </c>
      <c r="G1630" s="5" t="str">
        <f ca="1">IFERROR(__xludf.DUMMYFUNCTION("""COMPUTED_VALUE"""),"معامل البرج")</f>
        <v>معامل البرج</v>
      </c>
      <c r="H1630" s="5" t="str">
        <f ca="1">IFERROR(__xludf.DUMMYFUNCTION("""COMPUTED_VALUE"""),"84 شارع عمر لطفي - برج اراك تاور بلازا - الابراهيمية")</f>
        <v>84 شارع عمر لطفي - برج اراك تاور بلازا - الابراهيمية</v>
      </c>
      <c r="I1630" s="6"/>
      <c r="J1630" s="6" t="str">
        <f ca="1">IFERROR(__xludf.DUMMYFUNCTION("""COMPUTED_VALUE"""),"19911")</f>
        <v>19911</v>
      </c>
      <c r="K1630" s="6" t="str">
        <f ca="1">IFERROR(__xludf.DUMMYFUNCTION("""COMPUTED_VALUE"""),"20% على جميع الخدمات")</f>
        <v>20% على جميع الخدمات</v>
      </c>
    </row>
    <row r="1631" spans="1:11" x14ac:dyDescent="0.25">
      <c r="A1631" s="4" t="str">
        <f ca="1">IFERROR(__xludf.DUMMYFUNCTION("""COMPUTED_VALUE"""),"2911-B")</f>
        <v>2911-B</v>
      </c>
      <c r="B1631" s="5" t="str">
        <f ca="1">IFERROR(__xludf.DUMMYFUNCTION("""COMPUTED_VALUE"""),"الاسكندرية")</f>
        <v>الاسكندرية</v>
      </c>
      <c r="C1631" s="5" t="str">
        <f ca="1">IFERROR(__xludf.DUMMYFUNCTION("""COMPUTED_VALUE"""),"العامرية")</f>
        <v>العامرية</v>
      </c>
      <c r="D1631" s="5" t="str">
        <f ca="1">IFERROR(__xludf.DUMMYFUNCTION("""COMPUTED_VALUE"""),"معمل")</f>
        <v>معمل</v>
      </c>
      <c r="E1631" s="5" t="str">
        <f ca="1">IFERROR(__xludf.DUMMYFUNCTION("""COMPUTED_VALUE"""),"معمل")</f>
        <v>معمل</v>
      </c>
      <c r="F1631" s="5" t="str">
        <f ca="1">IFERROR(__xludf.DUMMYFUNCTION("""COMPUTED_VALUE"""),"معمل التحاليل الطبية")</f>
        <v>معمل التحاليل الطبية</v>
      </c>
      <c r="G1631" s="5" t="str">
        <f ca="1">IFERROR(__xludf.DUMMYFUNCTION("""COMPUTED_VALUE"""),"معامل البرج")</f>
        <v>معامل البرج</v>
      </c>
      <c r="H1631" s="5" t="str">
        <f ca="1">IFERROR(__xludf.DUMMYFUNCTION("""COMPUTED_VALUE"""),"امام كوبري العامرية - بجوار مول المختار - العامرية - الاسكندرية")</f>
        <v>امام كوبري العامرية - بجوار مول المختار - العامرية - الاسكندرية</v>
      </c>
      <c r="I1631" s="6"/>
      <c r="J1631" s="6" t="str">
        <f ca="1">IFERROR(__xludf.DUMMYFUNCTION("""COMPUTED_VALUE"""),"19911")</f>
        <v>19911</v>
      </c>
      <c r="K1631" s="6" t="str">
        <f ca="1">IFERROR(__xludf.DUMMYFUNCTION("""COMPUTED_VALUE"""),"20% على جميع الخدمات")</f>
        <v>20% على جميع الخدمات</v>
      </c>
    </row>
    <row r="1632" spans="1:11" x14ac:dyDescent="0.25">
      <c r="A1632" s="4" t="str">
        <f ca="1">IFERROR(__xludf.DUMMYFUNCTION("""COMPUTED_VALUE"""),"2911-B")</f>
        <v>2911-B</v>
      </c>
      <c r="B1632" s="5" t="str">
        <f ca="1">IFERROR(__xludf.DUMMYFUNCTION("""COMPUTED_VALUE"""),"الاسكندرية")</f>
        <v>الاسكندرية</v>
      </c>
      <c r="C1632" s="5" t="str">
        <f ca="1">IFERROR(__xludf.DUMMYFUNCTION("""COMPUTED_VALUE"""),"العجمي")</f>
        <v>العجمي</v>
      </c>
      <c r="D1632" s="5" t="str">
        <f ca="1">IFERROR(__xludf.DUMMYFUNCTION("""COMPUTED_VALUE"""),"معمل")</f>
        <v>معمل</v>
      </c>
      <c r="E1632" s="5" t="str">
        <f ca="1">IFERROR(__xludf.DUMMYFUNCTION("""COMPUTED_VALUE"""),"معمل")</f>
        <v>معمل</v>
      </c>
      <c r="F1632" s="5" t="str">
        <f ca="1">IFERROR(__xludf.DUMMYFUNCTION("""COMPUTED_VALUE"""),"معمل التحاليل الطبية")</f>
        <v>معمل التحاليل الطبية</v>
      </c>
      <c r="G1632" s="5" t="str">
        <f ca="1">IFERROR(__xludf.DUMMYFUNCTION("""COMPUTED_VALUE"""),"معامل البرج")</f>
        <v>معامل البرج</v>
      </c>
      <c r="H1632" s="5" t="str">
        <f ca="1">IFERROR(__xludf.DUMMYFUNCTION("""COMPUTED_VALUE"""),"شارع اسكندرية مطروح بجوار مسجد القويري-العجمي-الاسكندرية")</f>
        <v>شارع اسكندرية مطروح بجوار مسجد القويري-العجمي-الاسكندرية</v>
      </c>
      <c r="I1632" s="6"/>
      <c r="J1632" s="6" t="str">
        <f ca="1">IFERROR(__xludf.DUMMYFUNCTION("""COMPUTED_VALUE"""),"19911")</f>
        <v>19911</v>
      </c>
      <c r="K1632" s="6" t="str">
        <f ca="1">IFERROR(__xludf.DUMMYFUNCTION("""COMPUTED_VALUE"""),"20% على جميع الخدمات")</f>
        <v>20% على جميع الخدمات</v>
      </c>
    </row>
    <row r="1633" spans="1:11" x14ac:dyDescent="0.25">
      <c r="A1633" s="4" t="str">
        <f ca="1">IFERROR(__xludf.DUMMYFUNCTION("""COMPUTED_VALUE"""),"2911-B")</f>
        <v>2911-B</v>
      </c>
      <c r="B1633" s="5" t="str">
        <f ca="1">IFERROR(__xludf.DUMMYFUNCTION("""COMPUTED_VALUE"""),"الاسكندرية")</f>
        <v>الاسكندرية</v>
      </c>
      <c r="C1633" s="5" t="str">
        <f ca="1">IFERROR(__xludf.DUMMYFUNCTION("""COMPUTED_VALUE"""),"المندرة")</f>
        <v>المندرة</v>
      </c>
      <c r="D1633" s="5" t="str">
        <f ca="1">IFERROR(__xludf.DUMMYFUNCTION("""COMPUTED_VALUE"""),"معمل")</f>
        <v>معمل</v>
      </c>
      <c r="E1633" s="5" t="str">
        <f ca="1">IFERROR(__xludf.DUMMYFUNCTION("""COMPUTED_VALUE"""),"معمل")</f>
        <v>معمل</v>
      </c>
      <c r="F1633" s="5" t="str">
        <f ca="1">IFERROR(__xludf.DUMMYFUNCTION("""COMPUTED_VALUE"""),"معمل التحاليل الطبية")</f>
        <v>معمل التحاليل الطبية</v>
      </c>
      <c r="G1633" s="5" t="str">
        <f ca="1">IFERROR(__xludf.DUMMYFUNCTION("""COMPUTED_VALUE"""),"معامل البرج")</f>
        <v>معامل البرج</v>
      </c>
      <c r="H1633" s="5" t="str">
        <f ca="1">IFERROR(__xludf.DUMMYFUNCTION("""COMPUTED_VALUE"""),"427شارع جمال عبدالناصر - برج القدس - المندرة-الاسكندرية")</f>
        <v>427شارع جمال عبدالناصر - برج القدس - المندرة-الاسكندرية</v>
      </c>
      <c r="I1633" s="6"/>
      <c r="J1633" s="6" t="str">
        <f ca="1">IFERROR(__xludf.DUMMYFUNCTION("""COMPUTED_VALUE"""),"19911")</f>
        <v>19911</v>
      </c>
      <c r="K1633" s="6" t="str">
        <f ca="1">IFERROR(__xludf.DUMMYFUNCTION("""COMPUTED_VALUE"""),"20% على جميع الخدمات")</f>
        <v>20% على جميع الخدمات</v>
      </c>
    </row>
    <row r="1634" spans="1:11" x14ac:dyDescent="0.25">
      <c r="A1634" s="4" t="str">
        <f ca="1">IFERROR(__xludf.DUMMYFUNCTION("""COMPUTED_VALUE"""),"2911-B")</f>
        <v>2911-B</v>
      </c>
      <c r="B1634" s="5" t="str">
        <f ca="1">IFERROR(__xludf.DUMMYFUNCTION("""COMPUTED_VALUE"""),"الاسكندرية")</f>
        <v>الاسكندرية</v>
      </c>
      <c r="C1634" s="5" t="str">
        <f ca="1">IFERROR(__xludf.DUMMYFUNCTION("""COMPUTED_VALUE"""),"الورديان")</f>
        <v>الورديان</v>
      </c>
      <c r="D1634" s="5" t="str">
        <f ca="1">IFERROR(__xludf.DUMMYFUNCTION("""COMPUTED_VALUE"""),"معمل")</f>
        <v>معمل</v>
      </c>
      <c r="E1634" s="5" t="str">
        <f ca="1">IFERROR(__xludf.DUMMYFUNCTION("""COMPUTED_VALUE"""),"معمل")</f>
        <v>معمل</v>
      </c>
      <c r="F1634" s="5" t="str">
        <f ca="1">IFERROR(__xludf.DUMMYFUNCTION("""COMPUTED_VALUE"""),"معمل التحاليل الطبية")</f>
        <v>معمل التحاليل الطبية</v>
      </c>
      <c r="G1634" s="5" t="str">
        <f ca="1">IFERROR(__xludf.DUMMYFUNCTION("""COMPUTED_VALUE"""),"معامل البرج")</f>
        <v>معامل البرج</v>
      </c>
      <c r="H1634" s="5" t="str">
        <f ca="1">IFERROR(__xludf.DUMMYFUNCTION("""COMPUTED_VALUE"""),"برج السلامة - شارع خفاجي - امام صيدلية محفوظ - الورديان - الاسكندرية .")</f>
        <v>برج السلامة - شارع خفاجي - امام صيدلية محفوظ - الورديان - الاسكندرية .</v>
      </c>
      <c r="I1634" s="6"/>
      <c r="J1634" s="6" t="str">
        <f ca="1">IFERROR(__xludf.DUMMYFUNCTION("""COMPUTED_VALUE"""),"19911")</f>
        <v>19911</v>
      </c>
      <c r="K1634" s="6" t="str">
        <f ca="1">IFERROR(__xludf.DUMMYFUNCTION("""COMPUTED_VALUE"""),"20% على جميع الخدمات")</f>
        <v>20% على جميع الخدمات</v>
      </c>
    </row>
    <row r="1635" spans="1:11" x14ac:dyDescent="0.25">
      <c r="A1635" s="4" t="str">
        <f ca="1">IFERROR(__xludf.DUMMYFUNCTION("""COMPUTED_VALUE"""),"2911-B")</f>
        <v>2911-B</v>
      </c>
      <c r="B1635" s="5" t="str">
        <f ca="1">IFERROR(__xludf.DUMMYFUNCTION("""COMPUTED_VALUE"""),"الاسكندرية")</f>
        <v>الاسكندرية</v>
      </c>
      <c r="C1635" s="5" t="str">
        <f ca="1">IFERROR(__xludf.DUMMYFUNCTION("""COMPUTED_VALUE"""),"بولكي")</f>
        <v>بولكي</v>
      </c>
      <c r="D1635" s="5" t="str">
        <f ca="1">IFERROR(__xludf.DUMMYFUNCTION("""COMPUTED_VALUE"""),"معمل")</f>
        <v>معمل</v>
      </c>
      <c r="E1635" s="5" t="str">
        <f ca="1">IFERROR(__xludf.DUMMYFUNCTION("""COMPUTED_VALUE"""),"معمل")</f>
        <v>معمل</v>
      </c>
      <c r="F1635" s="5" t="str">
        <f ca="1">IFERROR(__xludf.DUMMYFUNCTION("""COMPUTED_VALUE"""),"معمل التحاليل الطبية")</f>
        <v>معمل التحاليل الطبية</v>
      </c>
      <c r="G1635" s="5" t="str">
        <f ca="1">IFERROR(__xludf.DUMMYFUNCTION("""COMPUTED_VALUE"""),"معامل البرج")</f>
        <v>معامل البرج</v>
      </c>
      <c r="H1635" s="5" t="str">
        <f ca="1">IFERROR(__xludf.DUMMYFUNCTION("""COMPUTED_VALUE"""),"514طريق الحرية محطة الوزارة-الوزارة-الاسكندرية")</f>
        <v>514طريق الحرية محطة الوزارة-الوزارة-الاسكندرية</v>
      </c>
      <c r="I1635" s="6"/>
      <c r="J1635" s="6" t="str">
        <f ca="1">IFERROR(__xludf.DUMMYFUNCTION("""COMPUTED_VALUE"""),"19911")</f>
        <v>19911</v>
      </c>
      <c r="K1635" s="6" t="str">
        <f ca="1">IFERROR(__xludf.DUMMYFUNCTION("""COMPUTED_VALUE"""),"20% على جميع الخدمات")</f>
        <v>20% على جميع الخدمات</v>
      </c>
    </row>
    <row r="1636" spans="1:11" x14ac:dyDescent="0.25">
      <c r="A1636" s="4" t="str">
        <f ca="1">IFERROR(__xludf.DUMMYFUNCTION("""COMPUTED_VALUE"""),"2911-B")</f>
        <v>2911-B</v>
      </c>
      <c r="B1636" s="5" t="str">
        <f ca="1">IFERROR(__xludf.DUMMYFUNCTION("""COMPUTED_VALUE"""),"الاسكندرية")</f>
        <v>الاسكندرية</v>
      </c>
      <c r="C1636" s="5" t="str">
        <f ca="1">IFERROR(__xludf.DUMMYFUNCTION("""COMPUTED_VALUE"""),"سموحة")</f>
        <v>سموحة</v>
      </c>
      <c r="D1636" s="5" t="str">
        <f ca="1">IFERROR(__xludf.DUMMYFUNCTION("""COMPUTED_VALUE"""),"معمل")</f>
        <v>معمل</v>
      </c>
      <c r="E1636" s="5" t="str">
        <f ca="1">IFERROR(__xludf.DUMMYFUNCTION("""COMPUTED_VALUE"""),"معمل")</f>
        <v>معمل</v>
      </c>
      <c r="F1636" s="5" t="str">
        <f ca="1">IFERROR(__xludf.DUMMYFUNCTION("""COMPUTED_VALUE"""),"معمل التحاليل الطبية")</f>
        <v>معمل التحاليل الطبية</v>
      </c>
      <c r="G1636" s="5" t="str">
        <f ca="1">IFERROR(__xludf.DUMMYFUNCTION("""COMPUTED_VALUE"""),"معامل البرج")</f>
        <v>معامل البرج</v>
      </c>
      <c r="H1636" s="5" t="str">
        <f ca="1">IFERROR(__xludf.DUMMYFUNCTION("""COMPUTED_VALUE"""),"90شارع فوزي معاذ أبراج سما الحرية بجوار مسجد علي بن أبي طالب-سموحة-الاسكندرية")</f>
        <v>90شارع فوزي معاذ أبراج سما الحرية بجوار مسجد علي بن أبي طالب-سموحة-الاسكندرية</v>
      </c>
      <c r="I1636" s="6"/>
      <c r="J1636" s="6" t="str">
        <f ca="1">IFERROR(__xludf.DUMMYFUNCTION("""COMPUTED_VALUE"""),"19911")</f>
        <v>19911</v>
      </c>
      <c r="K1636" s="6" t="str">
        <f ca="1">IFERROR(__xludf.DUMMYFUNCTION("""COMPUTED_VALUE"""),"20% على جميع الخدمات")</f>
        <v>20% على جميع الخدمات</v>
      </c>
    </row>
    <row r="1637" spans="1:11" x14ac:dyDescent="0.25">
      <c r="A1637" s="4" t="str">
        <f ca="1">IFERROR(__xludf.DUMMYFUNCTION("""COMPUTED_VALUE"""),"2911-B")</f>
        <v>2911-B</v>
      </c>
      <c r="B1637" s="5" t="str">
        <f ca="1">IFERROR(__xludf.DUMMYFUNCTION("""COMPUTED_VALUE"""),"الاسكندرية")</f>
        <v>الاسكندرية</v>
      </c>
      <c r="C1637" s="5" t="str">
        <f ca="1">IFERROR(__xludf.DUMMYFUNCTION("""COMPUTED_VALUE"""),"فيكتوريا")</f>
        <v>فيكتوريا</v>
      </c>
      <c r="D1637" s="5" t="str">
        <f ca="1">IFERROR(__xludf.DUMMYFUNCTION("""COMPUTED_VALUE"""),"معمل")</f>
        <v>معمل</v>
      </c>
      <c r="E1637" s="5" t="str">
        <f ca="1">IFERROR(__xludf.DUMMYFUNCTION("""COMPUTED_VALUE"""),"معمل")</f>
        <v>معمل</v>
      </c>
      <c r="F1637" s="5" t="str">
        <f ca="1">IFERROR(__xludf.DUMMYFUNCTION("""COMPUTED_VALUE"""),"معمل التحاليل الطبية")</f>
        <v>معمل التحاليل الطبية</v>
      </c>
      <c r="G1637" s="5" t="str">
        <f ca="1">IFERROR(__xludf.DUMMYFUNCTION("""COMPUTED_VALUE"""),"معامل البرج")</f>
        <v>معامل البرج</v>
      </c>
      <c r="H1637" s="5" t="str">
        <f ca="1">IFERROR(__xludf.DUMMYFUNCTION("""COMPUTED_VALUE"""),"10شارع الجلاء - فيكتوريا-الاسكندرية")</f>
        <v>10شارع الجلاء - فيكتوريا-الاسكندرية</v>
      </c>
      <c r="I1637" s="6"/>
      <c r="J1637" s="6" t="str">
        <f ca="1">IFERROR(__xludf.DUMMYFUNCTION("""COMPUTED_VALUE"""),"19911")</f>
        <v>19911</v>
      </c>
      <c r="K1637" s="6" t="str">
        <f ca="1">IFERROR(__xludf.DUMMYFUNCTION("""COMPUTED_VALUE"""),"20% على جميع الخدمات")</f>
        <v>20% على جميع الخدمات</v>
      </c>
    </row>
    <row r="1638" spans="1:11" x14ac:dyDescent="0.25">
      <c r="A1638" s="4" t="str">
        <f ca="1">IFERROR(__xludf.DUMMYFUNCTION("""COMPUTED_VALUE"""),"2911-B")</f>
        <v>2911-B</v>
      </c>
      <c r="B1638" s="5" t="str">
        <f ca="1">IFERROR(__xludf.DUMMYFUNCTION("""COMPUTED_VALUE"""),"الاسكندرية")</f>
        <v>الاسكندرية</v>
      </c>
      <c r="C1638" s="5" t="str">
        <f ca="1">IFERROR(__xludf.DUMMYFUNCTION("""COMPUTED_VALUE"""),"محرم بيك")</f>
        <v>محرم بيك</v>
      </c>
      <c r="D1638" s="5" t="str">
        <f ca="1">IFERROR(__xludf.DUMMYFUNCTION("""COMPUTED_VALUE"""),"معمل")</f>
        <v>معمل</v>
      </c>
      <c r="E1638" s="5" t="str">
        <f ca="1">IFERROR(__xludf.DUMMYFUNCTION("""COMPUTED_VALUE"""),"معمل")</f>
        <v>معمل</v>
      </c>
      <c r="F1638" s="5" t="str">
        <f ca="1">IFERROR(__xludf.DUMMYFUNCTION("""COMPUTED_VALUE"""),"معمل التحاليل الطبية")</f>
        <v>معمل التحاليل الطبية</v>
      </c>
      <c r="G1638" s="5" t="str">
        <f ca="1">IFERROR(__xludf.DUMMYFUNCTION("""COMPUTED_VALUE"""),"معامل البرج")</f>
        <v>معامل البرج</v>
      </c>
      <c r="H1638" s="5" t="str">
        <f ca="1">IFERROR(__xludf.DUMMYFUNCTION("""COMPUTED_VALUE"""),"68شارع الاسكندراني-محرم بيك-الاسكندرية")</f>
        <v>68شارع الاسكندراني-محرم بيك-الاسكندرية</v>
      </c>
      <c r="I1638" s="6"/>
      <c r="J1638" s="6" t="str">
        <f ca="1">IFERROR(__xludf.DUMMYFUNCTION("""COMPUTED_VALUE"""),"19911")</f>
        <v>19911</v>
      </c>
      <c r="K1638" s="6" t="str">
        <f ca="1">IFERROR(__xludf.DUMMYFUNCTION("""COMPUTED_VALUE"""),"20% على جميع الخدمات")</f>
        <v>20% على جميع الخدمات</v>
      </c>
    </row>
    <row r="1639" spans="1:11" x14ac:dyDescent="0.25">
      <c r="A1639" s="4" t="str">
        <f ca="1">IFERROR(__xludf.DUMMYFUNCTION("""COMPUTED_VALUE"""),"2911-B")</f>
        <v>2911-B</v>
      </c>
      <c r="B1639" s="5" t="str">
        <f ca="1">IFERROR(__xludf.DUMMYFUNCTION("""COMPUTED_VALUE"""),"الاسكندرية")</f>
        <v>الاسكندرية</v>
      </c>
      <c r="C1639" s="5" t="str">
        <f ca="1">IFERROR(__xludf.DUMMYFUNCTION("""COMPUTED_VALUE"""),"محطة الرمل")</f>
        <v>محطة الرمل</v>
      </c>
      <c r="D1639" s="5" t="str">
        <f ca="1">IFERROR(__xludf.DUMMYFUNCTION("""COMPUTED_VALUE"""),"معمل")</f>
        <v>معمل</v>
      </c>
      <c r="E1639" s="5" t="str">
        <f ca="1">IFERROR(__xludf.DUMMYFUNCTION("""COMPUTED_VALUE"""),"معمل")</f>
        <v>معمل</v>
      </c>
      <c r="F1639" s="5" t="str">
        <f ca="1">IFERROR(__xludf.DUMMYFUNCTION("""COMPUTED_VALUE"""),"معمل التحاليل الطبية")</f>
        <v>معمل التحاليل الطبية</v>
      </c>
      <c r="G1639" s="5" t="str">
        <f ca="1">IFERROR(__xludf.DUMMYFUNCTION("""COMPUTED_VALUE"""),"معامل البرج")</f>
        <v>معامل البرج</v>
      </c>
      <c r="H1639" s="5" t="str">
        <f ca="1">IFERROR(__xludf.DUMMYFUNCTION("""COMPUTED_VALUE"""),"14شارع محطة كلية الطب محطة الرمل-الاسكندرية")</f>
        <v>14شارع محطة كلية الطب محطة الرمل-الاسكندرية</v>
      </c>
      <c r="I1639" s="6"/>
      <c r="J1639" s="6" t="str">
        <f ca="1">IFERROR(__xludf.DUMMYFUNCTION("""COMPUTED_VALUE"""),"19911")</f>
        <v>19911</v>
      </c>
      <c r="K1639" s="6" t="str">
        <f ca="1">IFERROR(__xludf.DUMMYFUNCTION("""COMPUTED_VALUE"""),"20% على جميع الخدمات")</f>
        <v>20% على جميع الخدمات</v>
      </c>
    </row>
    <row r="1640" spans="1:11" x14ac:dyDescent="0.25">
      <c r="A1640" s="4" t="str">
        <f ca="1">IFERROR(__xludf.DUMMYFUNCTION("""COMPUTED_VALUE"""),"2911-B")</f>
        <v>2911-B</v>
      </c>
      <c r="B1640" s="5" t="str">
        <f ca="1">IFERROR(__xludf.DUMMYFUNCTION("""COMPUTED_VALUE"""),"الأقصر")</f>
        <v>الأقصر</v>
      </c>
      <c r="C1640" s="5" t="str">
        <f ca="1">IFERROR(__xludf.DUMMYFUNCTION("""COMPUTED_VALUE"""),"الأقصر")</f>
        <v>الأقصر</v>
      </c>
      <c r="D1640" s="5" t="str">
        <f ca="1">IFERROR(__xludf.DUMMYFUNCTION("""COMPUTED_VALUE"""),"معمل")</f>
        <v>معمل</v>
      </c>
      <c r="E1640" s="5" t="str">
        <f ca="1">IFERROR(__xludf.DUMMYFUNCTION("""COMPUTED_VALUE"""),"معمل")</f>
        <v>معمل</v>
      </c>
      <c r="F1640" s="5" t="str">
        <f ca="1">IFERROR(__xludf.DUMMYFUNCTION("""COMPUTED_VALUE"""),"معمل التحاليل الطبية")</f>
        <v>معمل التحاليل الطبية</v>
      </c>
      <c r="G1640" s="5" t="str">
        <f ca="1">IFERROR(__xludf.DUMMYFUNCTION("""COMPUTED_VALUE"""),"معامل البرج")</f>
        <v>معامل البرج</v>
      </c>
      <c r="H1640" s="5" t="str">
        <f ca="1">IFERROR(__xludf.DUMMYFUNCTION("""COMPUTED_VALUE"""),"ميدان صلاح الدين-الأقصر")</f>
        <v>ميدان صلاح الدين-الأقصر</v>
      </c>
      <c r="I1640" s="6"/>
      <c r="J1640" s="6" t="str">
        <f ca="1">IFERROR(__xludf.DUMMYFUNCTION("""COMPUTED_VALUE"""),"19911")</f>
        <v>19911</v>
      </c>
      <c r="K1640" s="6" t="str">
        <f ca="1">IFERROR(__xludf.DUMMYFUNCTION("""COMPUTED_VALUE"""),"20% على جميع الخدمات")</f>
        <v>20% على جميع الخدمات</v>
      </c>
    </row>
    <row r="1641" spans="1:11" x14ac:dyDescent="0.25">
      <c r="A1641" s="4" t="str">
        <f ca="1">IFERROR(__xludf.DUMMYFUNCTION("""COMPUTED_VALUE"""),"2911-B")</f>
        <v>2911-B</v>
      </c>
      <c r="B1641" s="5" t="str">
        <f ca="1">IFERROR(__xludf.DUMMYFUNCTION("""COMPUTED_VALUE"""),"الإسماعيلية")</f>
        <v>الإسماعيلية</v>
      </c>
      <c r="C1641" s="5" t="str">
        <f ca="1">IFERROR(__xludf.DUMMYFUNCTION("""COMPUTED_VALUE"""),"الإسماعيلية")</f>
        <v>الإسماعيلية</v>
      </c>
      <c r="D1641" s="5" t="str">
        <f ca="1">IFERROR(__xludf.DUMMYFUNCTION("""COMPUTED_VALUE"""),"معمل")</f>
        <v>معمل</v>
      </c>
      <c r="E1641" s="5" t="str">
        <f ca="1">IFERROR(__xludf.DUMMYFUNCTION("""COMPUTED_VALUE"""),"معمل")</f>
        <v>معمل</v>
      </c>
      <c r="F1641" s="5" t="str">
        <f ca="1">IFERROR(__xludf.DUMMYFUNCTION("""COMPUTED_VALUE"""),"معمل التحاليل الطبية")</f>
        <v>معمل التحاليل الطبية</v>
      </c>
      <c r="G1641" s="5" t="str">
        <f ca="1">IFERROR(__xludf.DUMMYFUNCTION("""COMPUTED_VALUE"""),"معامل البرج")</f>
        <v>معامل البرج</v>
      </c>
      <c r="H1641" s="5" t="str">
        <f ca="1">IFERROR(__xludf.DUMMYFUNCTION("""COMPUTED_VALUE"""),"26شارع الثورة - السلطان حسين -الاسماعيلية")</f>
        <v>26شارع الثورة - السلطان حسين -الاسماعيلية</v>
      </c>
      <c r="I1641" s="6"/>
      <c r="J1641" s="6" t="str">
        <f ca="1">IFERROR(__xludf.DUMMYFUNCTION("""COMPUTED_VALUE"""),"19911")</f>
        <v>19911</v>
      </c>
      <c r="K1641" s="6" t="str">
        <f ca="1">IFERROR(__xludf.DUMMYFUNCTION("""COMPUTED_VALUE"""),"20% على جميع الخدمات")</f>
        <v>20% على جميع الخدمات</v>
      </c>
    </row>
    <row r="1642" spans="1:11" x14ac:dyDescent="0.25">
      <c r="A1642" s="4" t="str">
        <f ca="1">IFERROR(__xludf.DUMMYFUNCTION("""COMPUTED_VALUE"""),"2911-B")</f>
        <v>2911-B</v>
      </c>
      <c r="B1642" s="5" t="str">
        <f ca="1">IFERROR(__xludf.DUMMYFUNCTION("""COMPUTED_VALUE"""),"الإسماعيلية")</f>
        <v>الإسماعيلية</v>
      </c>
      <c r="C1642" s="5" t="str">
        <f ca="1">IFERROR(__xludf.DUMMYFUNCTION("""COMPUTED_VALUE"""),"القنطرة")</f>
        <v>القنطرة</v>
      </c>
      <c r="D1642" s="5" t="str">
        <f ca="1">IFERROR(__xludf.DUMMYFUNCTION("""COMPUTED_VALUE"""),"معمل")</f>
        <v>معمل</v>
      </c>
      <c r="E1642" s="5" t="str">
        <f ca="1">IFERROR(__xludf.DUMMYFUNCTION("""COMPUTED_VALUE"""),"معمل")</f>
        <v>معمل</v>
      </c>
      <c r="F1642" s="5" t="str">
        <f ca="1">IFERROR(__xludf.DUMMYFUNCTION("""COMPUTED_VALUE"""),"معمل التحاليل الطبية")</f>
        <v>معمل التحاليل الطبية</v>
      </c>
      <c r="G1642" s="5" t="str">
        <f ca="1">IFERROR(__xludf.DUMMYFUNCTION("""COMPUTED_VALUE"""),"معامل البرج")</f>
        <v>معامل البرج</v>
      </c>
      <c r="H1642" s="5" t="str">
        <f ca="1">IFERROR(__xludf.DUMMYFUNCTION("""COMPUTED_VALUE"""),"15شارع التحرير - القنطرة غرب-القنطرة -الاسماعيلية")</f>
        <v>15شارع التحرير - القنطرة غرب-القنطرة -الاسماعيلية</v>
      </c>
      <c r="I1642" s="6"/>
      <c r="J1642" s="6" t="str">
        <f ca="1">IFERROR(__xludf.DUMMYFUNCTION("""COMPUTED_VALUE"""),"19911")</f>
        <v>19911</v>
      </c>
      <c r="K1642" s="6" t="str">
        <f ca="1">IFERROR(__xludf.DUMMYFUNCTION("""COMPUTED_VALUE"""),"20% على جميع الخدمات")</f>
        <v>20% على جميع الخدمات</v>
      </c>
    </row>
    <row r="1643" spans="1:11" x14ac:dyDescent="0.25">
      <c r="A1643" s="4" t="str">
        <f ca="1">IFERROR(__xludf.DUMMYFUNCTION("""COMPUTED_VALUE"""),"2911-B")</f>
        <v>2911-B</v>
      </c>
      <c r="B1643" s="5" t="str">
        <f ca="1">IFERROR(__xludf.DUMMYFUNCTION("""COMPUTED_VALUE"""),"البحيرة")</f>
        <v>البحيرة</v>
      </c>
      <c r="C1643" s="5" t="str">
        <f ca="1">IFERROR(__xludf.DUMMYFUNCTION("""COMPUTED_VALUE"""),"ابو المطامير")</f>
        <v>ابو المطامير</v>
      </c>
      <c r="D1643" s="5" t="str">
        <f ca="1">IFERROR(__xludf.DUMMYFUNCTION("""COMPUTED_VALUE"""),"معمل")</f>
        <v>معمل</v>
      </c>
      <c r="E1643" s="5" t="str">
        <f ca="1">IFERROR(__xludf.DUMMYFUNCTION("""COMPUTED_VALUE"""),"معمل")</f>
        <v>معمل</v>
      </c>
      <c r="F1643" s="5" t="str">
        <f ca="1">IFERROR(__xludf.DUMMYFUNCTION("""COMPUTED_VALUE"""),"معمل التحاليل الطبية")</f>
        <v>معمل التحاليل الطبية</v>
      </c>
      <c r="G1643" s="5" t="str">
        <f ca="1">IFERROR(__xludf.DUMMYFUNCTION("""COMPUTED_VALUE"""),"معامل البرج")</f>
        <v>معامل البرج</v>
      </c>
      <c r="H1643" s="5" t="str">
        <f ca="1">IFERROR(__xludf.DUMMYFUNCTION("""COMPUTED_VALUE"""),"شارع الشعراوي - برج الاطباء - اعلي صيدلية راضي - ابو المطامير - البحيرة")</f>
        <v>شارع الشعراوي - برج الاطباء - اعلي صيدلية راضي - ابو المطامير - البحيرة</v>
      </c>
      <c r="I1643" s="6"/>
      <c r="J1643" s="6" t="str">
        <f ca="1">IFERROR(__xludf.DUMMYFUNCTION("""COMPUTED_VALUE"""),"19911")</f>
        <v>19911</v>
      </c>
      <c r="K1643" s="6" t="str">
        <f ca="1">IFERROR(__xludf.DUMMYFUNCTION("""COMPUTED_VALUE"""),"20% على جميع الخدمات")</f>
        <v>20% على جميع الخدمات</v>
      </c>
    </row>
    <row r="1644" spans="1:11" x14ac:dyDescent="0.25">
      <c r="A1644" s="4" t="str">
        <f ca="1">IFERROR(__xludf.DUMMYFUNCTION("""COMPUTED_VALUE"""),"2911-B")</f>
        <v>2911-B</v>
      </c>
      <c r="B1644" s="5" t="str">
        <f ca="1">IFERROR(__xludf.DUMMYFUNCTION("""COMPUTED_VALUE"""),"البحيرة")</f>
        <v>البحيرة</v>
      </c>
      <c r="C1644" s="5" t="str">
        <f ca="1">IFERROR(__xludf.DUMMYFUNCTION("""COMPUTED_VALUE"""),"الدلنجات")</f>
        <v>الدلنجات</v>
      </c>
      <c r="D1644" s="5" t="str">
        <f ca="1">IFERROR(__xludf.DUMMYFUNCTION("""COMPUTED_VALUE"""),"معمل")</f>
        <v>معمل</v>
      </c>
      <c r="E1644" s="5" t="str">
        <f ca="1">IFERROR(__xludf.DUMMYFUNCTION("""COMPUTED_VALUE"""),"معمل")</f>
        <v>معمل</v>
      </c>
      <c r="F1644" s="5" t="str">
        <f ca="1">IFERROR(__xludf.DUMMYFUNCTION("""COMPUTED_VALUE"""),"معمل التحاليل الطبية")</f>
        <v>معمل التحاليل الطبية</v>
      </c>
      <c r="G1644" s="5" t="str">
        <f ca="1">IFERROR(__xludf.DUMMYFUNCTION("""COMPUTED_VALUE"""),"معامل البرج")</f>
        <v>معامل البرج</v>
      </c>
      <c r="H1644" s="5" t="str">
        <f ca="1">IFERROR(__xludf.DUMMYFUNCTION("""COMPUTED_VALUE"""),"برج النجار - شارع الجمهورية - ميدانن مسجد الزراعة - الدلنجات - البحيرة")</f>
        <v>برج النجار - شارع الجمهورية - ميدانن مسجد الزراعة - الدلنجات - البحيرة</v>
      </c>
      <c r="I1644" s="6"/>
      <c r="J1644" s="6" t="str">
        <f ca="1">IFERROR(__xludf.DUMMYFUNCTION("""COMPUTED_VALUE"""),"19911")</f>
        <v>19911</v>
      </c>
      <c r="K1644" s="6" t="str">
        <f ca="1">IFERROR(__xludf.DUMMYFUNCTION("""COMPUTED_VALUE"""),"20% على جميع الخدمات")</f>
        <v>20% على جميع الخدمات</v>
      </c>
    </row>
    <row r="1645" spans="1:11" x14ac:dyDescent="0.25">
      <c r="A1645" s="4" t="str">
        <f ca="1">IFERROR(__xludf.DUMMYFUNCTION("""COMPUTED_VALUE"""),"2911-B")</f>
        <v>2911-B</v>
      </c>
      <c r="B1645" s="5" t="str">
        <f ca="1">IFERROR(__xludf.DUMMYFUNCTION("""COMPUTED_VALUE"""),"البحيرة")</f>
        <v>البحيرة</v>
      </c>
      <c r="C1645" s="5" t="str">
        <f ca="1">IFERROR(__xludf.DUMMYFUNCTION("""COMPUTED_VALUE"""),"ايتاي البارود")</f>
        <v>ايتاي البارود</v>
      </c>
      <c r="D1645" s="5" t="str">
        <f ca="1">IFERROR(__xludf.DUMMYFUNCTION("""COMPUTED_VALUE"""),"معمل")</f>
        <v>معمل</v>
      </c>
      <c r="E1645" s="5" t="str">
        <f ca="1">IFERROR(__xludf.DUMMYFUNCTION("""COMPUTED_VALUE"""),"معمل")</f>
        <v>معمل</v>
      </c>
      <c r="F1645" s="5" t="str">
        <f ca="1">IFERROR(__xludf.DUMMYFUNCTION("""COMPUTED_VALUE"""),"معمل التحاليل الطبية")</f>
        <v>معمل التحاليل الطبية</v>
      </c>
      <c r="G1645" s="5" t="str">
        <f ca="1">IFERROR(__xludf.DUMMYFUNCTION("""COMPUTED_VALUE"""),"معامل البرج")</f>
        <v>معامل البرج</v>
      </c>
      <c r="H1645" s="5" t="str">
        <f ca="1">IFERROR(__xludf.DUMMYFUNCTION("""COMPUTED_VALUE"""),"تقاطع شارع رمسيس مع الثورة ميدان الجامعة-ايتاي البارود-البحيرة")</f>
        <v>تقاطع شارع رمسيس مع الثورة ميدان الجامعة-ايتاي البارود-البحيرة</v>
      </c>
      <c r="I1645" s="6"/>
      <c r="J1645" s="6" t="str">
        <f ca="1">IFERROR(__xludf.DUMMYFUNCTION("""COMPUTED_VALUE"""),"19911")</f>
        <v>19911</v>
      </c>
      <c r="K1645" s="6" t="str">
        <f ca="1">IFERROR(__xludf.DUMMYFUNCTION("""COMPUTED_VALUE"""),"20% على جميع الخدمات")</f>
        <v>20% على جميع الخدمات</v>
      </c>
    </row>
    <row r="1646" spans="1:11" x14ac:dyDescent="0.25">
      <c r="A1646" s="4" t="str">
        <f ca="1">IFERROR(__xludf.DUMMYFUNCTION("""COMPUTED_VALUE"""),"2911-B")</f>
        <v>2911-B</v>
      </c>
      <c r="B1646" s="5" t="str">
        <f ca="1">IFERROR(__xludf.DUMMYFUNCTION("""COMPUTED_VALUE"""),"البحيرة")</f>
        <v>البحيرة</v>
      </c>
      <c r="C1646" s="5" t="str">
        <f ca="1">IFERROR(__xludf.DUMMYFUNCTION("""COMPUTED_VALUE"""),"دمنهور")</f>
        <v>دمنهور</v>
      </c>
      <c r="D1646" s="5" t="str">
        <f ca="1">IFERROR(__xludf.DUMMYFUNCTION("""COMPUTED_VALUE"""),"معمل")</f>
        <v>معمل</v>
      </c>
      <c r="E1646" s="5" t="str">
        <f ca="1">IFERROR(__xludf.DUMMYFUNCTION("""COMPUTED_VALUE"""),"معمل")</f>
        <v>معمل</v>
      </c>
      <c r="F1646" s="5" t="str">
        <f ca="1">IFERROR(__xludf.DUMMYFUNCTION("""COMPUTED_VALUE"""),"معمل التحاليل الطبية")</f>
        <v>معمل التحاليل الطبية</v>
      </c>
      <c r="G1646" s="5" t="str">
        <f ca="1">IFERROR(__xludf.DUMMYFUNCTION("""COMPUTED_VALUE"""),"معامل البرج")</f>
        <v>معامل البرج</v>
      </c>
      <c r="H1646" s="5" t="str">
        <f ca="1">IFERROR(__xludf.DUMMYFUNCTION("""COMPUTED_VALUE"""),"24شارع أحمد عرابي ميدان الساعة-دمنهور-البحيرة")</f>
        <v>24شارع أحمد عرابي ميدان الساعة-دمنهور-البحيرة</v>
      </c>
      <c r="I1646" s="6"/>
      <c r="J1646" s="6" t="str">
        <f ca="1">IFERROR(__xludf.DUMMYFUNCTION("""COMPUTED_VALUE"""),"19911")</f>
        <v>19911</v>
      </c>
      <c r="K1646" s="6" t="str">
        <f ca="1">IFERROR(__xludf.DUMMYFUNCTION("""COMPUTED_VALUE"""),"20% على جميع الخدمات")</f>
        <v>20% على جميع الخدمات</v>
      </c>
    </row>
    <row r="1647" spans="1:11" x14ac:dyDescent="0.25">
      <c r="A1647" s="4" t="str">
        <f ca="1">IFERROR(__xludf.DUMMYFUNCTION("""COMPUTED_VALUE"""),"2911-B")</f>
        <v>2911-B</v>
      </c>
      <c r="B1647" s="5" t="str">
        <f ca="1">IFERROR(__xludf.DUMMYFUNCTION("""COMPUTED_VALUE"""),"البحيرة")</f>
        <v>البحيرة</v>
      </c>
      <c r="C1647" s="5" t="str">
        <f ca="1">IFERROR(__xludf.DUMMYFUNCTION("""COMPUTED_VALUE"""),"كفر الدوار")</f>
        <v>كفر الدوار</v>
      </c>
      <c r="D1647" s="5" t="str">
        <f ca="1">IFERROR(__xludf.DUMMYFUNCTION("""COMPUTED_VALUE"""),"معمل")</f>
        <v>معمل</v>
      </c>
      <c r="E1647" s="5" t="str">
        <f ca="1">IFERROR(__xludf.DUMMYFUNCTION("""COMPUTED_VALUE"""),"معمل")</f>
        <v>معمل</v>
      </c>
      <c r="F1647" s="5" t="str">
        <f ca="1">IFERROR(__xludf.DUMMYFUNCTION("""COMPUTED_VALUE"""),"معمل التحاليل الطبية")</f>
        <v>معمل التحاليل الطبية</v>
      </c>
      <c r="G1647" s="5" t="str">
        <f ca="1">IFERROR(__xludf.DUMMYFUNCTION("""COMPUTED_VALUE"""),"معامل البرج")</f>
        <v>معامل البرج</v>
      </c>
      <c r="H1647" s="5" t="str">
        <f ca="1">IFERROR(__xludf.DUMMYFUNCTION("""COMPUTED_VALUE"""),"7شارع بور سعيد - عمارة البنك الوطني للتنمية - بجوار سنترال كفر الدوار-البحيرة")</f>
        <v>7شارع بور سعيد - عمارة البنك الوطني للتنمية - بجوار سنترال كفر الدوار-البحيرة</v>
      </c>
      <c r="I1647" s="6"/>
      <c r="J1647" s="6" t="str">
        <f ca="1">IFERROR(__xludf.DUMMYFUNCTION("""COMPUTED_VALUE"""),"19911")</f>
        <v>19911</v>
      </c>
      <c r="K1647" s="6" t="str">
        <f ca="1">IFERROR(__xludf.DUMMYFUNCTION("""COMPUTED_VALUE"""),"20% على جميع الخدمات")</f>
        <v>20% على جميع الخدمات</v>
      </c>
    </row>
    <row r="1648" spans="1:11" x14ac:dyDescent="0.25">
      <c r="A1648" s="4" t="str">
        <f ca="1">IFERROR(__xludf.DUMMYFUNCTION("""COMPUTED_VALUE"""),"2911-B")</f>
        <v>2911-B</v>
      </c>
      <c r="B1648" s="5" t="str">
        <f ca="1">IFERROR(__xludf.DUMMYFUNCTION("""COMPUTED_VALUE"""),"البحيرة")</f>
        <v>البحيرة</v>
      </c>
      <c r="C1648" s="5" t="str">
        <f ca="1">IFERROR(__xludf.DUMMYFUNCTION("""COMPUTED_VALUE"""),"كوم حمادة")</f>
        <v>كوم حمادة</v>
      </c>
      <c r="D1648" s="5" t="str">
        <f ca="1">IFERROR(__xludf.DUMMYFUNCTION("""COMPUTED_VALUE"""),"معمل")</f>
        <v>معمل</v>
      </c>
      <c r="E1648" s="5" t="str">
        <f ca="1">IFERROR(__xludf.DUMMYFUNCTION("""COMPUTED_VALUE"""),"معمل")</f>
        <v>معمل</v>
      </c>
      <c r="F1648" s="5" t="str">
        <f ca="1">IFERROR(__xludf.DUMMYFUNCTION("""COMPUTED_VALUE"""),"معمل التحاليل الطبية")</f>
        <v>معمل التحاليل الطبية</v>
      </c>
      <c r="G1648" s="5" t="str">
        <f ca="1">IFERROR(__xludf.DUMMYFUNCTION("""COMPUTED_VALUE"""),"معامل البرج")</f>
        <v>معامل البرج</v>
      </c>
      <c r="H1648" s="5" t="str">
        <f ca="1">IFERROR(__xludf.DUMMYFUNCTION("""COMPUTED_VALUE"""),"شارع التحرير - بجوار النك الاهلي الجديد - كوم حمادة - البحيرة")</f>
        <v>شارع التحرير - بجوار النك الاهلي الجديد - كوم حمادة - البحيرة</v>
      </c>
      <c r="I1648" s="6"/>
      <c r="J1648" s="6" t="str">
        <f ca="1">IFERROR(__xludf.DUMMYFUNCTION("""COMPUTED_VALUE"""),"19911")</f>
        <v>19911</v>
      </c>
      <c r="K1648" s="6" t="str">
        <f ca="1">IFERROR(__xludf.DUMMYFUNCTION("""COMPUTED_VALUE"""),"20% على جميع الخدمات")</f>
        <v>20% على جميع الخدمات</v>
      </c>
    </row>
    <row r="1649" spans="1:11" x14ac:dyDescent="0.25">
      <c r="A1649" s="4" t="str">
        <f ca="1">IFERROR(__xludf.DUMMYFUNCTION("""COMPUTED_VALUE"""),"2911-B")</f>
        <v>2911-B</v>
      </c>
      <c r="B1649" s="5" t="str">
        <f ca="1">IFERROR(__xludf.DUMMYFUNCTION("""COMPUTED_VALUE"""),"الدقهلية")</f>
        <v>الدقهلية</v>
      </c>
      <c r="C1649" s="5" t="str">
        <f ca="1">IFERROR(__xludf.DUMMYFUNCTION("""COMPUTED_VALUE"""),"المنزلة")</f>
        <v>المنزلة</v>
      </c>
      <c r="D1649" s="5" t="str">
        <f ca="1">IFERROR(__xludf.DUMMYFUNCTION("""COMPUTED_VALUE"""),"معمل")</f>
        <v>معمل</v>
      </c>
      <c r="E1649" s="5" t="str">
        <f ca="1">IFERROR(__xludf.DUMMYFUNCTION("""COMPUTED_VALUE"""),"معمل")</f>
        <v>معمل</v>
      </c>
      <c r="F1649" s="5" t="str">
        <f ca="1">IFERROR(__xludf.DUMMYFUNCTION("""COMPUTED_VALUE"""),"معمل التحاليل الطبية")</f>
        <v>معمل التحاليل الطبية</v>
      </c>
      <c r="G1649" s="5" t="str">
        <f ca="1">IFERROR(__xludf.DUMMYFUNCTION("""COMPUTED_VALUE"""),"معامل البرج")</f>
        <v>معامل البرج</v>
      </c>
      <c r="H1649" s="5" t="str">
        <f ca="1">IFERROR(__xludf.DUMMYFUNCTION("""COMPUTED_VALUE"""),"ميدان المحطة - بجوار ضرائب المنزلة-المنزلة-الدقهلية")</f>
        <v>ميدان المحطة - بجوار ضرائب المنزلة-المنزلة-الدقهلية</v>
      </c>
      <c r="I1649" s="6"/>
      <c r="J1649" s="6" t="str">
        <f ca="1">IFERROR(__xludf.DUMMYFUNCTION("""COMPUTED_VALUE"""),"19911")</f>
        <v>19911</v>
      </c>
      <c r="K1649" s="6" t="str">
        <f ca="1">IFERROR(__xludf.DUMMYFUNCTION("""COMPUTED_VALUE"""),"20% على جميع الخدمات")</f>
        <v>20% على جميع الخدمات</v>
      </c>
    </row>
    <row r="1650" spans="1:11" x14ac:dyDescent="0.25">
      <c r="A1650" s="4" t="str">
        <f ca="1">IFERROR(__xludf.DUMMYFUNCTION("""COMPUTED_VALUE"""),"2911-B")</f>
        <v>2911-B</v>
      </c>
      <c r="B1650" s="5" t="str">
        <f ca="1">IFERROR(__xludf.DUMMYFUNCTION("""COMPUTED_VALUE"""),"الدقهلية")</f>
        <v>الدقهلية</v>
      </c>
      <c r="C1650" s="5" t="str">
        <f ca="1">IFERROR(__xludf.DUMMYFUNCTION("""COMPUTED_VALUE"""),"المنصورة")</f>
        <v>المنصورة</v>
      </c>
      <c r="D1650" s="5" t="str">
        <f ca="1">IFERROR(__xludf.DUMMYFUNCTION("""COMPUTED_VALUE"""),"معمل")</f>
        <v>معمل</v>
      </c>
      <c r="E1650" s="5" t="str">
        <f ca="1">IFERROR(__xludf.DUMMYFUNCTION("""COMPUTED_VALUE"""),"معمل")</f>
        <v>معمل</v>
      </c>
      <c r="F1650" s="5" t="str">
        <f ca="1">IFERROR(__xludf.DUMMYFUNCTION("""COMPUTED_VALUE"""),"معمل التحاليل الطبية")</f>
        <v>معمل التحاليل الطبية</v>
      </c>
      <c r="G1650" s="5" t="str">
        <f ca="1">IFERROR(__xludf.DUMMYFUNCTION("""COMPUTED_VALUE"""),"معامل البرج")</f>
        <v>معامل البرج</v>
      </c>
      <c r="H1650" s="5" t="str">
        <f ca="1">IFERROR(__xludf.DUMMYFUNCTION("""COMPUTED_VALUE"""),"1شارع الجلاء أمام بوابة كلية التربية -المنصورة-الدقهلية")</f>
        <v>1شارع الجلاء أمام بوابة كلية التربية -المنصورة-الدقهلية</v>
      </c>
      <c r="I1650" s="6"/>
      <c r="J1650" s="6" t="str">
        <f ca="1">IFERROR(__xludf.DUMMYFUNCTION("""COMPUTED_VALUE"""),"19911")</f>
        <v>19911</v>
      </c>
      <c r="K1650" s="6" t="str">
        <f ca="1">IFERROR(__xludf.DUMMYFUNCTION("""COMPUTED_VALUE"""),"20% على جميع الخدمات")</f>
        <v>20% على جميع الخدمات</v>
      </c>
    </row>
    <row r="1651" spans="1:11" x14ac:dyDescent="0.25">
      <c r="A1651" s="4" t="str">
        <f ca="1">IFERROR(__xludf.DUMMYFUNCTION("""COMPUTED_VALUE"""),"2911-B")</f>
        <v>2911-B</v>
      </c>
      <c r="B1651" s="5" t="str">
        <f ca="1">IFERROR(__xludf.DUMMYFUNCTION("""COMPUTED_VALUE"""),"الدقهلية")</f>
        <v>الدقهلية</v>
      </c>
      <c r="C1651" s="5" t="str">
        <f ca="1">IFERROR(__xludf.DUMMYFUNCTION("""COMPUTED_VALUE"""),"بلقاس")</f>
        <v>بلقاس</v>
      </c>
      <c r="D1651" s="5" t="str">
        <f ca="1">IFERROR(__xludf.DUMMYFUNCTION("""COMPUTED_VALUE"""),"معمل")</f>
        <v>معمل</v>
      </c>
      <c r="E1651" s="5" t="str">
        <f ca="1">IFERROR(__xludf.DUMMYFUNCTION("""COMPUTED_VALUE"""),"معمل")</f>
        <v>معمل</v>
      </c>
      <c r="F1651" s="5" t="str">
        <f ca="1">IFERROR(__xludf.DUMMYFUNCTION("""COMPUTED_VALUE"""),"معمل التحاليل الطبية")</f>
        <v>معمل التحاليل الطبية</v>
      </c>
      <c r="G1651" s="5" t="str">
        <f ca="1">IFERROR(__xludf.DUMMYFUNCTION("""COMPUTED_VALUE"""),"معامل البرج")</f>
        <v>معامل البرج</v>
      </c>
      <c r="H1651" s="5" t="str">
        <f ca="1">IFERROR(__xludf.DUMMYFUNCTION("""COMPUTED_VALUE"""),"شارع الحرية - (أبو رجيلة سابقاَ ) - بجوار بنك مصر  -بلقاس-الدقهلية")</f>
        <v>شارع الحرية - (أبو رجيلة سابقاَ ) - بجوار بنك مصر  -بلقاس-الدقهلية</v>
      </c>
      <c r="I1651" s="6"/>
      <c r="J1651" s="6" t="str">
        <f ca="1">IFERROR(__xludf.DUMMYFUNCTION("""COMPUTED_VALUE"""),"19911")</f>
        <v>19911</v>
      </c>
      <c r="K1651" s="6" t="str">
        <f ca="1">IFERROR(__xludf.DUMMYFUNCTION("""COMPUTED_VALUE"""),"20% على جميع الخدمات")</f>
        <v>20% على جميع الخدمات</v>
      </c>
    </row>
    <row r="1652" spans="1:11" x14ac:dyDescent="0.25">
      <c r="A1652" s="4" t="str">
        <f ca="1">IFERROR(__xludf.DUMMYFUNCTION("""COMPUTED_VALUE"""),"2911-B")</f>
        <v>2911-B</v>
      </c>
      <c r="B1652" s="5" t="str">
        <f ca="1">IFERROR(__xludf.DUMMYFUNCTION("""COMPUTED_VALUE"""),"الدقهلية")</f>
        <v>الدقهلية</v>
      </c>
      <c r="C1652" s="5" t="str">
        <f ca="1">IFERROR(__xludf.DUMMYFUNCTION("""COMPUTED_VALUE"""),"دكرنس")</f>
        <v>دكرنس</v>
      </c>
      <c r="D1652" s="5" t="str">
        <f ca="1">IFERROR(__xludf.DUMMYFUNCTION("""COMPUTED_VALUE"""),"معمل")</f>
        <v>معمل</v>
      </c>
      <c r="E1652" s="5" t="str">
        <f ca="1">IFERROR(__xludf.DUMMYFUNCTION("""COMPUTED_VALUE"""),"معمل")</f>
        <v>معمل</v>
      </c>
      <c r="F1652" s="5" t="str">
        <f ca="1">IFERROR(__xludf.DUMMYFUNCTION("""COMPUTED_VALUE"""),"معمل التحاليل الطبية")</f>
        <v>معمل التحاليل الطبية</v>
      </c>
      <c r="G1652" s="5" t="str">
        <f ca="1">IFERROR(__xludf.DUMMYFUNCTION("""COMPUTED_VALUE"""),"معامل البرج")</f>
        <v>معامل البرج</v>
      </c>
      <c r="H1652" s="5" t="str">
        <f ca="1">IFERROR(__xludf.DUMMYFUNCTION("""COMPUTED_VALUE"""),"شارع النقراشى - برج السمرة-دكرنس-الدقهلية")</f>
        <v>شارع النقراشى - برج السمرة-دكرنس-الدقهلية</v>
      </c>
      <c r="I1652" s="6"/>
      <c r="J1652" s="6" t="str">
        <f ca="1">IFERROR(__xludf.DUMMYFUNCTION("""COMPUTED_VALUE"""),"19911")</f>
        <v>19911</v>
      </c>
      <c r="K1652" s="6" t="str">
        <f ca="1">IFERROR(__xludf.DUMMYFUNCTION("""COMPUTED_VALUE"""),"20% على جميع الخدمات")</f>
        <v>20% على جميع الخدمات</v>
      </c>
    </row>
    <row r="1653" spans="1:11" x14ac:dyDescent="0.25">
      <c r="A1653" s="4" t="str">
        <f ca="1">IFERROR(__xludf.DUMMYFUNCTION("""COMPUTED_VALUE"""),"2911-B")</f>
        <v>2911-B</v>
      </c>
      <c r="B1653" s="5" t="str">
        <f ca="1">IFERROR(__xludf.DUMMYFUNCTION("""COMPUTED_VALUE"""),"الدقهلية")</f>
        <v>الدقهلية</v>
      </c>
      <c r="C1653" s="5" t="str">
        <f ca="1">IFERROR(__xludf.DUMMYFUNCTION("""COMPUTED_VALUE"""),"شربين")</f>
        <v>شربين</v>
      </c>
      <c r="D1653" s="5" t="str">
        <f ca="1">IFERROR(__xludf.DUMMYFUNCTION("""COMPUTED_VALUE"""),"معمل")</f>
        <v>معمل</v>
      </c>
      <c r="E1653" s="5" t="str">
        <f ca="1">IFERROR(__xludf.DUMMYFUNCTION("""COMPUTED_VALUE"""),"معمل")</f>
        <v>معمل</v>
      </c>
      <c r="F1653" s="5" t="str">
        <f ca="1">IFERROR(__xludf.DUMMYFUNCTION("""COMPUTED_VALUE"""),"معمل التحاليل الطبية")</f>
        <v>معمل التحاليل الطبية</v>
      </c>
      <c r="G1653" s="5" t="str">
        <f ca="1">IFERROR(__xludf.DUMMYFUNCTION("""COMPUTED_VALUE"""),"معامل البرج")</f>
        <v>معامل البرج</v>
      </c>
      <c r="H1653" s="5" t="str">
        <f ca="1">IFERROR(__xludf.DUMMYFUNCTION("""COMPUTED_VALUE"""),"تقاطع شارع الجيش مع شارع جواد حسني-شربين-الدقهلية")</f>
        <v>تقاطع شارع الجيش مع شارع جواد حسني-شربين-الدقهلية</v>
      </c>
      <c r="I1653" s="6"/>
      <c r="J1653" s="6" t="str">
        <f ca="1">IFERROR(__xludf.DUMMYFUNCTION("""COMPUTED_VALUE"""),"19911")</f>
        <v>19911</v>
      </c>
      <c r="K1653" s="6" t="str">
        <f ca="1">IFERROR(__xludf.DUMMYFUNCTION("""COMPUTED_VALUE"""),"20% على جميع الخدمات")</f>
        <v>20% على جميع الخدمات</v>
      </c>
    </row>
    <row r="1654" spans="1:11" x14ac:dyDescent="0.25">
      <c r="A1654" s="4" t="str">
        <f ca="1">IFERROR(__xludf.DUMMYFUNCTION("""COMPUTED_VALUE"""),"2911-B")</f>
        <v>2911-B</v>
      </c>
      <c r="B1654" s="5" t="str">
        <f ca="1">IFERROR(__xludf.DUMMYFUNCTION("""COMPUTED_VALUE"""),"الدقهلية")</f>
        <v>الدقهلية</v>
      </c>
      <c r="C1654" s="5" t="str">
        <f ca="1">IFERROR(__xludf.DUMMYFUNCTION("""COMPUTED_VALUE"""),"ميت غمر")</f>
        <v>ميت غمر</v>
      </c>
      <c r="D1654" s="5" t="str">
        <f ca="1">IFERROR(__xludf.DUMMYFUNCTION("""COMPUTED_VALUE"""),"معمل")</f>
        <v>معمل</v>
      </c>
      <c r="E1654" s="5" t="str">
        <f ca="1">IFERROR(__xludf.DUMMYFUNCTION("""COMPUTED_VALUE"""),"معمل")</f>
        <v>معمل</v>
      </c>
      <c r="F1654" s="5" t="str">
        <f ca="1">IFERROR(__xludf.DUMMYFUNCTION("""COMPUTED_VALUE"""),"معمل التحاليل الطبية")</f>
        <v>معمل التحاليل الطبية</v>
      </c>
      <c r="G1654" s="5" t="str">
        <f ca="1">IFERROR(__xludf.DUMMYFUNCTION("""COMPUTED_VALUE"""),"معامل البرج")</f>
        <v>معامل البرج</v>
      </c>
      <c r="H1654" s="5" t="str">
        <f ca="1">IFERROR(__xludf.DUMMYFUNCTION("""COMPUTED_VALUE"""),"شارع أحمد عرابي بجانب مجلس المدينة مقابل شارع الجيش-ميت غمر-الدقهلية")</f>
        <v>شارع أحمد عرابي بجانب مجلس المدينة مقابل شارع الجيش-ميت غمر-الدقهلية</v>
      </c>
      <c r="I1654" s="6"/>
      <c r="J1654" s="6" t="str">
        <f ca="1">IFERROR(__xludf.DUMMYFUNCTION("""COMPUTED_VALUE"""),"19911")</f>
        <v>19911</v>
      </c>
      <c r="K1654" s="6" t="str">
        <f ca="1">IFERROR(__xludf.DUMMYFUNCTION("""COMPUTED_VALUE"""),"20% على جميع الخدمات")</f>
        <v>20% على جميع الخدمات</v>
      </c>
    </row>
    <row r="1655" spans="1:11" x14ac:dyDescent="0.25">
      <c r="A1655" s="4" t="str">
        <f ca="1">IFERROR(__xludf.DUMMYFUNCTION("""COMPUTED_VALUE"""),"2911-B")</f>
        <v>2911-B</v>
      </c>
      <c r="B1655" s="5" t="str">
        <f ca="1">IFERROR(__xludf.DUMMYFUNCTION("""COMPUTED_VALUE"""),"السويس")</f>
        <v>السويس</v>
      </c>
      <c r="C1655" s="5" t="str">
        <f ca="1">IFERROR(__xludf.DUMMYFUNCTION("""COMPUTED_VALUE"""),"السويس")</f>
        <v>السويس</v>
      </c>
      <c r="D1655" s="5" t="str">
        <f ca="1">IFERROR(__xludf.DUMMYFUNCTION("""COMPUTED_VALUE"""),"معمل")</f>
        <v>معمل</v>
      </c>
      <c r="E1655" s="5" t="str">
        <f ca="1">IFERROR(__xludf.DUMMYFUNCTION("""COMPUTED_VALUE"""),"معمل")</f>
        <v>معمل</v>
      </c>
      <c r="F1655" s="5" t="str">
        <f ca="1">IFERROR(__xludf.DUMMYFUNCTION("""COMPUTED_VALUE"""),"معمل التحاليل الطبية")</f>
        <v>معمل التحاليل الطبية</v>
      </c>
      <c r="G1655" s="5" t="str">
        <f ca="1">IFERROR(__xludf.DUMMYFUNCTION("""COMPUTED_VALUE"""),"معامل البرج")</f>
        <v>معامل البرج</v>
      </c>
      <c r="H1655" s="5" t="str">
        <f ca="1">IFERROR(__xludf.DUMMYFUNCTION("""COMPUTED_VALUE"""),"363شارع 23يوليو-السويس")</f>
        <v>363شارع 23يوليو-السويس</v>
      </c>
      <c r="I1655" s="6"/>
      <c r="J1655" s="6" t="str">
        <f ca="1">IFERROR(__xludf.DUMMYFUNCTION("""COMPUTED_VALUE"""),"19911")</f>
        <v>19911</v>
      </c>
      <c r="K1655" s="6" t="str">
        <f ca="1">IFERROR(__xludf.DUMMYFUNCTION("""COMPUTED_VALUE"""),"20% على جميع الخدمات")</f>
        <v>20% على جميع الخدمات</v>
      </c>
    </row>
    <row r="1656" spans="1:11" x14ac:dyDescent="0.25">
      <c r="A1656" s="4" t="str">
        <f ca="1">IFERROR(__xludf.DUMMYFUNCTION("""COMPUTED_VALUE"""),"2911-B")</f>
        <v>2911-B</v>
      </c>
      <c r="B1656" s="5" t="str">
        <f ca="1">IFERROR(__xludf.DUMMYFUNCTION("""COMPUTED_VALUE"""),"الشرقية")</f>
        <v>الشرقية</v>
      </c>
      <c r="C1656" s="5" t="str">
        <f ca="1">IFERROR(__xludf.DUMMYFUNCTION("""COMPUTED_VALUE"""),"الزقازيق")</f>
        <v>الزقازيق</v>
      </c>
      <c r="D1656" s="5" t="str">
        <f ca="1">IFERROR(__xludf.DUMMYFUNCTION("""COMPUTED_VALUE"""),"معمل")</f>
        <v>معمل</v>
      </c>
      <c r="E1656" s="5" t="str">
        <f ca="1">IFERROR(__xludf.DUMMYFUNCTION("""COMPUTED_VALUE"""),"معمل")</f>
        <v>معمل</v>
      </c>
      <c r="F1656" s="5" t="str">
        <f ca="1">IFERROR(__xludf.DUMMYFUNCTION("""COMPUTED_VALUE"""),"معمل التحاليل الطبية")</f>
        <v>معمل التحاليل الطبية</v>
      </c>
      <c r="G1656" s="5" t="str">
        <f ca="1">IFERROR(__xludf.DUMMYFUNCTION("""COMPUTED_VALUE"""),"معامل البرج")</f>
        <v>معامل البرج</v>
      </c>
      <c r="H1656" s="5" t="str">
        <f ca="1">IFERROR(__xludf.DUMMYFUNCTION("""COMPUTED_VALUE"""),"2شارع طلعت حرب (ش البحر)- برج النيل-الزقازيق-الشرقية")</f>
        <v>2شارع طلعت حرب (ش البحر)- برج النيل-الزقازيق-الشرقية</v>
      </c>
      <c r="I1656" s="6"/>
      <c r="J1656" s="6" t="str">
        <f ca="1">IFERROR(__xludf.DUMMYFUNCTION("""COMPUTED_VALUE"""),"19911")</f>
        <v>19911</v>
      </c>
      <c r="K1656" s="6" t="str">
        <f ca="1">IFERROR(__xludf.DUMMYFUNCTION("""COMPUTED_VALUE"""),"20% على جميع الخدمات")</f>
        <v>20% على جميع الخدمات</v>
      </c>
    </row>
    <row r="1657" spans="1:11" x14ac:dyDescent="0.25">
      <c r="A1657" s="4" t="str">
        <f ca="1">IFERROR(__xludf.DUMMYFUNCTION("""COMPUTED_VALUE"""),"2911-B")</f>
        <v>2911-B</v>
      </c>
      <c r="B1657" s="5" t="str">
        <f ca="1">IFERROR(__xludf.DUMMYFUNCTION("""COMPUTED_VALUE"""),"الشرقية")</f>
        <v>الشرقية</v>
      </c>
      <c r="C1657" s="5" t="str">
        <f ca="1">IFERROR(__xludf.DUMMYFUNCTION("""COMPUTED_VALUE"""),"الزقازيق")</f>
        <v>الزقازيق</v>
      </c>
      <c r="D1657" s="5" t="str">
        <f ca="1">IFERROR(__xludf.DUMMYFUNCTION("""COMPUTED_VALUE"""),"معمل")</f>
        <v>معمل</v>
      </c>
      <c r="E1657" s="5" t="str">
        <f ca="1">IFERROR(__xludf.DUMMYFUNCTION("""COMPUTED_VALUE"""),"معمل")</f>
        <v>معمل</v>
      </c>
      <c r="F1657" s="5" t="str">
        <f ca="1">IFERROR(__xludf.DUMMYFUNCTION("""COMPUTED_VALUE"""),"معمل التحاليل الطبية")</f>
        <v>معمل التحاليل الطبية</v>
      </c>
      <c r="G1657" s="5" t="str">
        <f ca="1">IFERROR(__xludf.DUMMYFUNCTION("""COMPUTED_VALUE"""),"معامل البرج")</f>
        <v>معامل البرج</v>
      </c>
      <c r="H1657" s="5" t="str">
        <f ca="1">IFERROR(__xludf.DUMMYFUNCTION("""COMPUTED_VALUE"""),"بر ج الدهب - ميدان القومية - الزقازيق")</f>
        <v>بر ج الدهب - ميدان القومية - الزقازيق</v>
      </c>
      <c r="I1657" s="6"/>
      <c r="J1657" s="6" t="str">
        <f ca="1">IFERROR(__xludf.DUMMYFUNCTION("""COMPUTED_VALUE"""),"19911")</f>
        <v>19911</v>
      </c>
      <c r="K1657" s="6" t="str">
        <f ca="1">IFERROR(__xludf.DUMMYFUNCTION("""COMPUTED_VALUE"""),"20% على جميع الخدمات")</f>
        <v>20% على جميع الخدمات</v>
      </c>
    </row>
    <row r="1658" spans="1:11" x14ac:dyDescent="0.25">
      <c r="A1658" s="4" t="str">
        <f ca="1">IFERROR(__xludf.DUMMYFUNCTION("""COMPUTED_VALUE"""),"2911-B")</f>
        <v>2911-B</v>
      </c>
      <c r="B1658" s="5" t="str">
        <f ca="1">IFERROR(__xludf.DUMMYFUNCTION("""COMPUTED_VALUE"""),"الشرقية")</f>
        <v>الشرقية</v>
      </c>
      <c r="C1658" s="5" t="str">
        <f ca="1">IFERROR(__xludf.DUMMYFUNCTION("""COMPUTED_VALUE"""),"أبو حماد")</f>
        <v>أبو حماد</v>
      </c>
      <c r="D1658" s="5" t="str">
        <f ca="1">IFERROR(__xludf.DUMMYFUNCTION("""COMPUTED_VALUE"""),"معمل")</f>
        <v>معمل</v>
      </c>
      <c r="E1658" s="5" t="str">
        <f ca="1">IFERROR(__xludf.DUMMYFUNCTION("""COMPUTED_VALUE"""),"معمل")</f>
        <v>معمل</v>
      </c>
      <c r="F1658" s="5" t="str">
        <f ca="1">IFERROR(__xludf.DUMMYFUNCTION("""COMPUTED_VALUE"""),"معمل التحاليل الطبية")</f>
        <v>معمل التحاليل الطبية</v>
      </c>
      <c r="G1658" s="5" t="str">
        <f ca="1">IFERROR(__xludf.DUMMYFUNCTION("""COMPUTED_VALUE"""),"معامل البرج")</f>
        <v>معامل البرج</v>
      </c>
      <c r="H1658" s="5" t="str">
        <f ca="1">IFERROR(__xludf.DUMMYFUNCTION("""COMPUTED_VALUE"""),"شارع بورسعيد - امام السنترال - ابو حماد")</f>
        <v>شارع بورسعيد - امام السنترال - ابو حماد</v>
      </c>
      <c r="I1658" s="6"/>
      <c r="J1658" s="6" t="str">
        <f ca="1">IFERROR(__xludf.DUMMYFUNCTION("""COMPUTED_VALUE"""),"19911")</f>
        <v>19911</v>
      </c>
      <c r="K1658" s="6" t="str">
        <f ca="1">IFERROR(__xludf.DUMMYFUNCTION("""COMPUTED_VALUE"""),"20% على جميع الخدمات")</f>
        <v>20% على جميع الخدمات</v>
      </c>
    </row>
    <row r="1659" spans="1:11" x14ac:dyDescent="0.25">
      <c r="A1659" s="4" t="str">
        <f ca="1">IFERROR(__xludf.DUMMYFUNCTION("""COMPUTED_VALUE"""),"2911-B")</f>
        <v>2911-B</v>
      </c>
      <c r="B1659" s="5" t="str">
        <f ca="1">IFERROR(__xludf.DUMMYFUNCTION("""COMPUTED_VALUE"""),"الشرقية")</f>
        <v>الشرقية</v>
      </c>
      <c r="C1659" s="5" t="str">
        <f ca="1">IFERROR(__xludf.DUMMYFUNCTION("""COMPUTED_VALUE"""),"أبو كبير")</f>
        <v>أبو كبير</v>
      </c>
      <c r="D1659" s="5" t="str">
        <f ca="1">IFERROR(__xludf.DUMMYFUNCTION("""COMPUTED_VALUE"""),"معمل")</f>
        <v>معمل</v>
      </c>
      <c r="E1659" s="5" t="str">
        <f ca="1">IFERROR(__xludf.DUMMYFUNCTION("""COMPUTED_VALUE"""),"معمل")</f>
        <v>معمل</v>
      </c>
      <c r="F1659" s="5" t="str">
        <f ca="1">IFERROR(__xludf.DUMMYFUNCTION("""COMPUTED_VALUE"""),"معمل التحاليل الطبية")</f>
        <v>معمل التحاليل الطبية</v>
      </c>
      <c r="G1659" s="5" t="str">
        <f ca="1">IFERROR(__xludf.DUMMYFUNCTION("""COMPUTED_VALUE"""),"معامل البرج")</f>
        <v>معامل البرج</v>
      </c>
      <c r="H1659" s="5" t="str">
        <f ca="1">IFERROR(__xludf.DUMMYFUNCTION("""COMPUTED_VALUE"""),"شارع مصطفى كامل ميدان المحطة - امام البريد - بجوار السنترال-أبو كبير-الشرقية")</f>
        <v>شارع مصطفى كامل ميدان المحطة - امام البريد - بجوار السنترال-أبو كبير-الشرقية</v>
      </c>
      <c r="I1659" s="6"/>
      <c r="J1659" s="6" t="str">
        <f ca="1">IFERROR(__xludf.DUMMYFUNCTION("""COMPUTED_VALUE"""),"19911")</f>
        <v>19911</v>
      </c>
      <c r="K1659" s="6" t="str">
        <f ca="1">IFERROR(__xludf.DUMMYFUNCTION("""COMPUTED_VALUE"""),"20% على جميع الخدمات")</f>
        <v>20% على جميع الخدمات</v>
      </c>
    </row>
    <row r="1660" spans="1:11" x14ac:dyDescent="0.25">
      <c r="A1660" s="4" t="str">
        <f ca="1">IFERROR(__xludf.DUMMYFUNCTION("""COMPUTED_VALUE"""),"2911-B")</f>
        <v>2911-B</v>
      </c>
      <c r="B1660" s="5" t="str">
        <f ca="1">IFERROR(__xludf.DUMMYFUNCTION("""COMPUTED_VALUE"""),"الشرقية")</f>
        <v>الشرقية</v>
      </c>
      <c r="C1660" s="5" t="str">
        <f ca="1">IFERROR(__xludf.DUMMYFUNCTION("""COMPUTED_VALUE"""),"بلبيس")</f>
        <v>بلبيس</v>
      </c>
      <c r="D1660" s="5" t="str">
        <f ca="1">IFERROR(__xludf.DUMMYFUNCTION("""COMPUTED_VALUE"""),"معمل")</f>
        <v>معمل</v>
      </c>
      <c r="E1660" s="5" t="str">
        <f ca="1">IFERROR(__xludf.DUMMYFUNCTION("""COMPUTED_VALUE"""),"معمل")</f>
        <v>معمل</v>
      </c>
      <c r="F1660" s="5" t="str">
        <f ca="1">IFERROR(__xludf.DUMMYFUNCTION("""COMPUTED_VALUE"""),"معمل التحاليل الطبية")</f>
        <v>معمل التحاليل الطبية</v>
      </c>
      <c r="G1660" s="5" t="str">
        <f ca="1">IFERROR(__xludf.DUMMYFUNCTION("""COMPUTED_VALUE"""),"معامل البرج")</f>
        <v>معامل البرج</v>
      </c>
      <c r="H1660" s="5" t="str">
        <f ca="1">IFERROR(__xludf.DUMMYFUNCTION("""COMPUTED_VALUE"""),"برج فخر الاداري 173شارع بور سعيد مع شارع الكومي-بلبيس-الشرقية")</f>
        <v>برج فخر الاداري 173شارع بور سعيد مع شارع الكومي-بلبيس-الشرقية</v>
      </c>
      <c r="I1660" s="6"/>
      <c r="J1660" s="6" t="str">
        <f ca="1">IFERROR(__xludf.DUMMYFUNCTION("""COMPUTED_VALUE"""),"19911")</f>
        <v>19911</v>
      </c>
      <c r="K1660" s="6" t="str">
        <f ca="1">IFERROR(__xludf.DUMMYFUNCTION("""COMPUTED_VALUE"""),"20% على جميع الخدمات")</f>
        <v>20% على جميع الخدمات</v>
      </c>
    </row>
    <row r="1661" spans="1:11" x14ac:dyDescent="0.25">
      <c r="A1661" s="4" t="str">
        <f ca="1">IFERROR(__xludf.DUMMYFUNCTION("""COMPUTED_VALUE"""),"2911-B")</f>
        <v>2911-B</v>
      </c>
      <c r="B1661" s="5" t="str">
        <f ca="1">IFERROR(__xludf.DUMMYFUNCTION("""COMPUTED_VALUE"""),"الشرقية")</f>
        <v>الشرقية</v>
      </c>
      <c r="C1661" s="5" t="str">
        <f ca="1">IFERROR(__xludf.DUMMYFUNCTION("""COMPUTED_VALUE"""),"ديرب نجم")</f>
        <v>ديرب نجم</v>
      </c>
      <c r="D1661" s="5" t="str">
        <f ca="1">IFERROR(__xludf.DUMMYFUNCTION("""COMPUTED_VALUE"""),"معمل")</f>
        <v>معمل</v>
      </c>
      <c r="E1661" s="5" t="str">
        <f ca="1">IFERROR(__xludf.DUMMYFUNCTION("""COMPUTED_VALUE"""),"معمل")</f>
        <v>معمل</v>
      </c>
      <c r="F1661" s="5" t="str">
        <f ca="1">IFERROR(__xludf.DUMMYFUNCTION("""COMPUTED_VALUE"""),"معمل التحاليل الطبية")</f>
        <v>معمل التحاليل الطبية</v>
      </c>
      <c r="G1661" s="5" t="str">
        <f ca="1">IFERROR(__xludf.DUMMYFUNCTION("""COMPUTED_VALUE"""),"معامل البرج")</f>
        <v>معامل البرج</v>
      </c>
      <c r="H1661" s="5" t="str">
        <f ca="1">IFERROR(__xludf.DUMMYFUNCTION("""COMPUTED_VALUE"""),"برج الكفراوي - امام مسجد النصر الكبير")</f>
        <v>برج الكفراوي - امام مسجد النصر الكبير</v>
      </c>
      <c r="I1661" s="6"/>
      <c r="J1661" s="6" t="str">
        <f ca="1">IFERROR(__xludf.DUMMYFUNCTION("""COMPUTED_VALUE"""),"19911")</f>
        <v>19911</v>
      </c>
      <c r="K1661" s="6" t="str">
        <f ca="1">IFERROR(__xludf.DUMMYFUNCTION("""COMPUTED_VALUE"""),"20% على جميع الخدمات")</f>
        <v>20% على جميع الخدمات</v>
      </c>
    </row>
    <row r="1662" spans="1:11" x14ac:dyDescent="0.25">
      <c r="A1662" s="4" t="str">
        <f ca="1">IFERROR(__xludf.DUMMYFUNCTION("""COMPUTED_VALUE"""),"2911-B")</f>
        <v>2911-B</v>
      </c>
      <c r="B1662" s="5" t="str">
        <f ca="1">IFERROR(__xludf.DUMMYFUNCTION("""COMPUTED_VALUE"""),"الشرقية")</f>
        <v>الشرقية</v>
      </c>
      <c r="C1662" s="5" t="str">
        <f ca="1">IFERROR(__xludf.DUMMYFUNCTION("""COMPUTED_VALUE"""),"فاقوس")</f>
        <v>فاقوس</v>
      </c>
      <c r="D1662" s="5" t="str">
        <f ca="1">IFERROR(__xludf.DUMMYFUNCTION("""COMPUTED_VALUE"""),"معمل")</f>
        <v>معمل</v>
      </c>
      <c r="E1662" s="5" t="str">
        <f ca="1">IFERROR(__xludf.DUMMYFUNCTION("""COMPUTED_VALUE"""),"معمل")</f>
        <v>معمل</v>
      </c>
      <c r="F1662" s="5" t="str">
        <f ca="1">IFERROR(__xludf.DUMMYFUNCTION("""COMPUTED_VALUE"""),"معمل التحاليل الطبية")</f>
        <v>معمل التحاليل الطبية</v>
      </c>
      <c r="G1662" s="5" t="str">
        <f ca="1">IFERROR(__xludf.DUMMYFUNCTION("""COMPUTED_VALUE"""),"معامل البرج")</f>
        <v>معامل البرج</v>
      </c>
      <c r="H1662" s="5" t="str">
        <f ca="1">IFERROR(__xludf.DUMMYFUNCTION("""COMPUTED_VALUE"""),"2 شارع طلال امتداد شارع النقراشي - فاقوس")</f>
        <v>2 شارع طلال امتداد شارع النقراشي - فاقوس</v>
      </c>
      <c r="I1662" s="6"/>
      <c r="J1662" s="6" t="str">
        <f ca="1">IFERROR(__xludf.DUMMYFUNCTION("""COMPUTED_VALUE"""),"19911")</f>
        <v>19911</v>
      </c>
      <c r="K1662" s="6" t="str">
        <f ca="1">IFERROR(__xludf.DUMMYFUNCTION("""COMPUTED_VALUE"""),"20% على جميع الخدمات")</f>
        <v>20% على جميع الخدمات</v>
      </c>
    </row>
    <row r="1663" spans="1:11" x14ac:dyDescent="0.25">
      <c r="A1663" s="4" t="str">
        <f ca="1">IFERROR(__xludf.DUMMYFUNCTION("""COMPUTED_VALUE"""),"2911-B")</f>
        <v>2911-B</v>
      </c>
      <c r="B1663" s="5" t="str">
        <f ca="1">IFERROR(__xludf.DUMMYFUNCTION("""COMPUTED_VALUE"""),"الشرقية")</f>
        <v>الشرقية</v>
      </c>
      <c r="C1663" s="5" t="str">
        <f ca="1">IFERROR(__xludf.DUMMYFUNCTION("""COMPUTED_VALUE"""),"كفر صقر")</f>
        <v>كفر صقر</v>
      </c>
      <c r="D1663" s="5" t="str">
        <f ca="1">IFERROR(__xludf.DUMMYFUNCTION("""COMPUTED_VALUE"""),"معمل")</f>
        <v>معمل</v>
      </c>
      <c r="E1663" s="5" t="str">
        <f ca="1">IFERROR(__xludf.DUMMYFUNCTION("""COMPUTED_VALUE"""),"معمل")</f>
        <v>معمل</v>
      </c>
      <c r="F1663" s="5" t="str">
        <f ca="1">IFERROR(__xludf.DUMMYFUNCTION("""COMPUTED_VALUE"""),"معمل التحاليل الطبية")</f>
        <v>معمل التحاليل الطبية</v>
      </c>
      <c r="G1663" s="5" t="str">
        <f ca="1">IFERROR(__xludf.DUMMYFUNCTION("""COMPUTED_VALUE"""),"معامل البرج")</f>
        <v>معامل البرج</v>
      </c>
      <c r="H1663" s="5" t="str">
        <f ca="1">IFERROR(__xludf.DUMMYFUNCTION("""COMPUTED_VALUE"""),"شارع التحرير - (شارع المستشفى ) - برج الشوبكي - حي النضر")</f>
        <v>شارع التحرير - (شارع المستشفى ) - برج الشوبكي - حي النضر</v>
      </c>
      <c r="I1663" s="6"/>
      <c r="J1663" s="6" t="str">
        <f ca="1">IFERROR(__xludf.DUMMYFUNCTION("""COMPUTED_VALUE"""),"19911")</f>
        <v>19911</v>
      </c>
      <c r="K1663" s="6" t="str">
        <f ca="1">IFERROR(__xludf.DUMMYFUNCTION("""COMPUTED_VALUE"""),"20% على جميع الخدمات")</f>
        <v>20% على جميع الخدمات</v>
      </c>
    </row>
    <row r="1664" spans="1:11" x14ac:dyDescent="0.25">
      <c r="A1664" s="4" t="str">
        <f ca="1">IFERROR(__xludf.DUMMYFUNCTION("""COMPUTED_VALUE"""),"2911-B")</f>
        <v>2911-B</v>
      </c>
      <c r="B1664" s="5" t="str">
        <f ca="1">IFERROR(__xludf.DUMMYFUNCTION("""COMPUTED_VALUE"""),"الشرقية")</f>
        <v>الشرقية</v>
      </c>
      <c r="C1664" s="5" t="str">
        <f ca="1">IFERROR(__xludf.DUMMYFUNCTION("""COMPUTED_VALUE"""),"منيا القمح")</f>
        <v>منيا القمح</v>
      </c>
      <c r="D1664" s="5" t="str">
        <f ca="1">IFERROR(__xludf.DUMMYFUNCTION("""COMPUTED_VALUE"""),"معمل")</f>
        <v>معمل</v>
      </c>
      <c r="E1664" s="5" t="str">
        <f ca="1">IFERROR(__xludf.DUMMYFUNCTION("""COMPUTED_VALUE"""),"معمل")</f>
        <v>معمل</v>
      </c>
      <c r="F1664" s="5" t="str">
        <f ca="1">IFERROR(__xludf.DUMMYFUNCTION("""COMPUTED_VALUE"""),"معمل التحاليل الطبية")</f>
        <v>معمل التحاليل الطبية</v>
      </c>
      <c r="G1664" s="5" t="str">
        <f ca="1">IFERROR(__xludf.DUMMYFUNCTION("""COMPUTED_VALUE"""),"معامل البرج")</f>
        <v>معامل البرج</v>
      </c>
      <c r="H1664" s="5" t="str">
        <f ca="1">IFERROR(__xludf.DUMMYFUNCTION("""COMPUTED_VALUE"""),"شارع سعد زغلول (بور سعيد)بجوار الضرائب العقارية القديمة -منيا القمح-الشرقية")</f>
        <v>شارع سعد زغلول (بور سعيد)بجوار الضرائب العقارية القديمة -منيا القمح-الشرقية</v>
      </c>
      <c r="I1664" s="6"/>
      <c r="J1664" s="6" t="str">
        <f ca="1">IFERROR(__xludf.DUMMYFUNCTION("""COMPUTED_VALUE"""),"19911")</f>
        <v>19911</v>
      </c>
      <c r="K1664" s="6" t="str">
        <f ca="1">IFERROR(__xludf.DUMMYFUNCTION("""COMPUTED_VALUE"""),"20% على جميع الخدمات")</f>
        <v>20% على جميع الخدمات</v>
      </c>
    </row>
    <row r="1665" spans="1:11" x14ac:dyDescent="0.25">
      <c r="A1665" s="4" t="str">
        <f ca="1">IFERROR(__xludf.DUMMYFUNCTION("""COMPUTED_VALUE"""),"2911-B")</f>
        <v>2911-B</v>
      </c>
      <c r="B1665" s="5" t="str">
        <f ca="1">IFERROR(__xludf.DUMMYFUNCTION("""COMPUTED_VALUE"""),"الغربية")</f>
        <v>الغربية</v>
      </c>
      <c r="C1665" s="5" t="str">
        <f ca="1">IFERROR(__xludf.DUMMYFUNCTION("""COMPUTED_VALUE"""),"المحلة الكبرى")</f>
        <v>المحلة الكبرى</v>
      </c>
      <c r="D1665" s="5" t="str">
        <f ca="1">IFERROR(__xludf.DUMMYFUNCTION("""COMPUTED_VALUE"""),"معمل")</f>
        <v>معمل</v>
      </c>
      <c r="E1665" s="5" t="str">
        <f ca="1">IFERROR(__xludf.DUMMYFUNCTION("""COMPUTED_VALUE"""),"معمل")</f>
        <v>معمل</v>
      </c>
      <c r="F1665" s="5" t="str">
        <f ca="1">IFERROR(__xludf.DUMMYFUNCTION("""COMPUTED_VALUE"""),"معمل التحاليل الطبية")</f>
        <v>معمل التحاليل الطبية</v>
      </c>
      <c r="G1665" s="5" t="str">
        <f ca="1">IFERROR(__xludf.DUMMYFUNCTION("""COMPUTED_VALUE"""),"معامل البرج")</f>
        <v>معامل البرج</v>
      </c>
      <c r="H1665" s="5" t="str">
        <f ca="1">IFERROR(__xludf.DUMMYFUNCTION("""COMPUTED_VALUE"""),"برج الامل شارع وابور الثلج - حي السبع بنات -المحلة الكبرى-الغربية")</f>
        <v>برج الامل شارع وابور الثلج - حي السبع بنات -المحلة الكبرى-الغربية</v>
      </c>
      <c r="I1665" s="6"/>
      <c r="J1665" s="6" t="str">
        <f ca="1">IFERROR(__xludf.DUMMYFUNCTION("""COMPUTED_VALUE"""),"19911")</f>
        <v>19911</v>
      </c>
      <c r="K1665" s="6" t="str">
        <f ca="1">IFERROR(__xludf.DUMMYFUNCTION("""COMPUTED_VALUE"""),"20% على جميع الخدمات")</f>
        <v>20% على جميع الخدمات</v>
      </c>
    </row>
    <row r="1666" spans="1:11" x14ac:dyDescent="0.25">
      <c r="A1666" s="4" t="str">
        <f ca="1">IFERROR(__xludf.DUMMYFUNCTION("""COMPUTED_VALUE"""),"2911-B")</f>
        <v>2911-B</v>
      </c>
      <c r="B1666" s="5" t="str">
        <f ca="1">IFERROR(__xludf.DUMMYFUNCTION("""COMPUTED_VALUE"""),"الغربية")</f>
        <v>الغربية</v>
      </c>
      <c r="C1666" s="5" t="str">
        <f ca="1">IFERROR(__xludf.DUMMYFUNCTION("""COMPUTED_VALUE"""),"زفتى")</f>
        <v>زفتى</v>
      </c>
      <c r="D1666" s="5" t="str">
        <f ca="1">IFERROR(__xludf.DUMMYFUNCTION("""COMPUTED_VALUE"""),"معمل")</f>
        <v>معمل</v>
      </c>
      <c r="E1666" s="5" t="str">
        <f ca="1">IFERROR(__xludf.DUMMYFUNCTION("""COMPUTED_VALUE"""),"معمل")</f>
        <v>معمل</v>
      </c>
      <c r="F1666" s="5" t="str">
        <f ca="1">IFERROR(__xludf.DUMMYFUNCTION("""COMPUTED_VALUE"""),"معمل التحاليل الطبية")</f>
        <v>معمل التحاليل الطبية</v>
      </c>
      <c r="G1666" s="5" t="str">
        <f ca="1">IFERROR(__xludf.DUMMYFUNCTION("""COMPUTED_VALUE"""),"معامل البرج")</f>
        <v>معامل البرج</v>
      </c>
      <c r="H1666" s="5" t="str">
        <f ca="1">IFERROR(__xludf.DUMMYFUNCTION("""COMPUTED_VALUE"""),"شارع الجيش - امام مجلس المدينة - الدور الثاني -زفتى-الغربية")</f>
        <v>شارع الجيش - امام مجلس المدينة - الدور الثاني -زفتى-الغربية</v>
      </c>
      <c r="I1666" s="6"/>
      <c r="J1666" s="6" t="str">
        <f ca="1">IFERROR(__xludf.DUMMYFUNCTION("""COMPUTED_VALUE"""),"19911")</f>
        <v>19911</v>
      </c>
      <c r="K1666" s="6" t="str">
        <f ca="1">IFERROR(__xludf.DUMMYFUNCTION("""COMPUTED_VALUE"""),"20% على جميع الخدمات")</f>
        <v>20% على جميع الخدمات</v>
      </c>
    </row>
    <row r="1667" spans="1:11" x14ac:dyDescent="0.25">
      <c r="A1667" s="4" t="str">
        <f ca="1">IFERROR(__xludf.DUMMYFUNCTION("""COMPUTED_VALUE"""),"2911-B")</f>
        <v>2911-B</v>
      </c>
      <c r="B1667" s="5" t="str">
        <f ca="1">IFERROR(__xludf.DUMMYFUNCTION("""COMPUTED_VALUE"""),"الغربية")</f>
        <v>الغربية</v>
      </c>
      <c r="C1667" s="5" t="str">
        <f ca="1">IFERROR(__xludf.DUMMYFUNCTION("""COMPUTED_VALUE"""),"سمنود")</f>
        <v>سمنود</v>
      </c>
      <c r="D1667" s="5" t="str">
        <f ca="1">IFERROR(__xludf.DUMMYFUNCTION("""COMPUTED_VALUE"""),"معمل")</f>
        <v>معمل</v>
      </c>
      <c r="E1667" s="5" t="str">
        <f ca="1">IFERROR(__xludf.DUMMYFUNCTION("""COMPUTED_VALUE"""),"معمل")</f>
        <v>معمل</v>
      </c>
      <c r="F1667" s="5" t="str">
        <f ca="1">IFERROR(__xludf.DUMMYFUNCTION("""COMPUTED_VALUE"""),"معمل التحاليل الطبية")</f>
        <v>معمل التحاليل الطبية</v>
      </c>
      <c r="G1667" s="5" t="str">
        <f ca="1">IFERROR(__xludf.DUMMYFUNCTION("""COMPUTED_VALUE"""),"معامل البرج")</f>
        <v>معامل البرج</v>
      </c>
      <c r="H1667" s="5" t="str">
        <f ca="1">IFERROR(__xludf.DUMMYFUNCTION("""COMPUTED_VALUE"""),"شارع الممر العلوي - امام محكمة سمنود")</f>
        <v>شارع الممر العلوي - امام محكمة سمنود</v>
      </c>
      <c r="I1667" s="6"/>
      <c r="J1667" s="6" t="str">
        <f ca="1">IFERROR(__xludf.DUMMYFUNCTION("""COMPUTED_VALUE"""),"19911")</f>
        <v>19911</v>
      </c>
      <c r="K1667" s="6" t="str">
        <f ca="1">IFERROR(__xludf.DUMMYFUNCTION("""COMPUTED_VALUE"""),"20% على جميع الخدمات")</f>
        <v>20% على جميع الخدمات</v>
      </c>
    </row>
    <row r="1668" spans="1:11" x14ac:dyDescent="0.25">
      <c r="A1668" s="4" t="str">
        <f ca="1">IFERROR(__xludf.DUMMYFUNCTION("""COMPUTED_VALUE"""),"2911-B")</f>
        <v>2911-B</v>
      </c>
      <c r="B1668" s="5" t="str">
        <f ca="1">IFERROR(__xludf.DUMMYFUNCTION("""COMPUTED_VALUE"""),"الغربية")</f>
        <v>الغربية</v>
      </c>
      <c r="C1668" s="5" t="str">
        <f ca="1">IFERROR(__xludf.DUMMYFUNCTION("""COMPUTED_VALUE"""),"طنطا")</f>
        <v>طنطا</v>
      </c>
      <c r="D1668" s="5" t="str">
        <f ca="1">IFERROR(__xludf.DUMMYFUNCTION("""COMPUTED_VALUE"""),"معمل")</f>
        <v>معمل</v>
      </c>
      <c r="E1668" s="5" t="str">
        <f ca="1">IFERROR(__xludf.DUMMYFUNCTION("""COMPUTED_VALUE"""),"معمل")</f>
        <v>معمل</v>
      </c>
      <c r="F1668" s="5" t="str">
        <f ca="1">IFERROR(__xludf.DUMMYFUNCTION("""COMPUTED_VALUE"""),"معمل التحاليل الطبية")</f>
        <v>معمل التحاليل الطبية</v>
      </c>
      <c r="G1668" s="5" t="str">
        <f ca="1">IFERROR(__xludf.DUMMYFUNCTION("""COMPUTED_VALUE"""),"معامل البرج")</f>
        <v>معامل البرج</v>
      </c>
      <c r="H1668" s="5" t="str">
        <f ca="1">IFERROR(__xludf.DUMMYFUNCTION("""COMPUTED_VALUE"""),"13شارع النحاس ميدان الاسكندرية -طنطا-الغربية")</f>
        <v>13شارع النحاس ميدان الاسكندرية -طنطا-الغربية</v>
      </c>
      <c r="I1668" s="6"/>
      <c r="J1668" s="6" t="str">
        <f ca="1">IFERROR(__xludf.DUMMYFUNCTION("""COMPUTED_VALUE"""),"19911")</f>
        <v>19911</v>
      </c>
      <c r="K1668" s="6" t="str">
        <f ca="1">IFERROR(__xludf.DUMMYFUNCTION("""COMPUTED_VALUE"""),"20% على جميع الخدمات")</f>
        <v>20% على جميع الخدمات</v>
      </c>
    </row>
    <row r="1669" spans="1:11" x14ac:dyDescent="0.25">
      <c r="A1669" s="4" t="str">
        <f ca="1">IFERROR(__xludf.DUMMYFUNCTION("""COMPUTED_VALUE"""),"2911-B")</f>
        <v>2911-B</v>
      </c>
      <c r="B1669" s="5" t="str">
        <f ca="1">IFERROR(__xludf.DUMMYFUNCTION("""COMPUTED_VALUE"""),"الغربية")</f>
        <v>الغربية</v>
      </c>
      <c r="C1669" s="5" t="str">
        <f ca="1">IFERROR(__xludf.DUMMYFUNCTION("""COMPUTED_VALUE"""),"طنطا")</f>
        <v>طنطا</v>
      </c>
      <c r="D1669" s="5" t="str">
        <f ca="1">IFERROR(__xludf.DUMMYFUNCTION("""COMPUTED_VALUE"""),"معمل")</f>
        <v>معمل</v>
      </c>
      <c r="E1669" s="5" t="str">
        <f ca="1">IFERROR(__xludf.DUMMYFUNCTION("""COMPUTED_VALUE"""),"معمل")</f>
        <v>معمل</v>
      </c>
      <c r="F1669" s="5" t="str">
        <f ca="1">IFERROR(__xludf.DUMMYFUNCTION("""COMPUTED_VALUE"""),"معمل التحاليل الطبية")</f>
        <v>معمل التحاليل الطبية</v>
      </c>
      <c r="G1669" s="5" t="str">
        <f ca="1">IFERROR(__xludf.DUMMYFUNCTION("""COMPUTED_VALUE"""),"معامل البرج")</f>
        <v>معامل البرج</v>
      </c>
      <c r="H1669" s="5" t="str">
        <f ca="1">IFERROR(__xludf.DUMMYFUNCTION("""COMPUTED_VALUE"""),"80شارع المديرية (برج المديرية) - بجوار المحطة-طنطا-الغربية")</f>
        <v>80شارع المديرية (برج المديرية) - بجوار المحطة-طنطا-الغربية</v>
      </c>
      <c r="I1669" s="6"/>
      <c r="J1669" s="6" t="str">
        <f ca="1">IFERROR(__xludf.DUMMYFUNCTION("""COMPUTED_VALUE"""),"19911")</f>
        <v>19911</v>
      </c>
      <c r="K1669" s="6" t="str">
        <f ca="1">IFERROR(__xludf.DUMMYFUNCTION("""COMPUTED_VALUE"""),"20% على جميع الخدمات")</f>
        <v>20% على جميع الخدمات</v>
      </c>
    </row>
    <row r="1670" spans="1:11" x14ac:dyDescent="0.25">
      <c r="A1670" s="4" t="str">
        <f ca="1">IFERROR(__xludf.DUMMYFUNCTION("""COMPUTED_VALUE"""),"2911-B")</f>
        <v>2911-B</v>
      </c>
      <c r="B1670" s="5" t="str">
        <f ca="1">IFERROR(__xludf.DUMMYFUNCTION("""COMPUTED_VALUE"""),"الغربية")</f>
        <v>الغربية</v>
      </c>
      <c r="C1670" s="5" t="str">
        <f ca="1">IFERROR(__xludf.DUMMYFUNCTION("""COMPUTED_VALUE"""),"كفر الزيات")</f>
        <v>كفر الزيات</v>
      </c>
      <c r="D1670" s="5" t="str">
        <f ca="1">IFERROR(__xludf.DUMMYFUNCTION("""COMPUTED_VALUE"""),"معمل")</f>
        <v>معمل</v>
      </c>
      <c r="E1670" s="5" t="str">
        <f ca="1">IFERROR(__xludf.DUMMYFUNCTION("""COMPUTED_VALUE"""),"معمل")</f>
        <v>معمل</v>
      </c>
      <c r="F1670" s="5" t="str">
        <f ca="1">IFERROR(__xludf.DUMMYFUNCTION("""COMPUTED_VALUE"""),"معمل التحاليل الطبية")</f>
        <v>معمل التحاليل الطبية</v>
      </c>
      <c r="G1670" s="5" t="str">
        <f ca="1">IFERROR(__xludf.DUMMYFUNCTION("""COMPUTED_VALUE"""),"معامل البرج")</f>
        <v>معامل البرج</v>
      </c>
      <c r="H1670" s="5" t="str">
        <f ca="1">IFERROR(__xludf.DUMMYFUNCTION("""COMPUTED_VALUE"""),"ميدان محمد نجيب - بجوار مسجد الحصاوي -كفر الزيات-الغربية")</f>
        <v>ميدان محمد نجيب - بجوار مسجد الحصاوي -كفر الزيات-الغربية</v>
      </c>
      <c r="I1670" s="6"/>
      <c r="J1670" s="6" t="str">
        <f ca="1">IFERROR(__xludf.DUMMYFUNCTION("""COMPUTED_VALUE"""),"19911")</f>
        <v>19911</v>
      </c>
      <c r="K1670" s="6" t="str">
        <f ca="1">IFERROR(__xludf.DUMMYFUNCTION("""COMPUTED_VALUE"""),"20% على جميع الخدمات")</f>
        <v>20% على جميع الخدمات</v>
      </c>
    </row>
    <row r="1671" spans="1:11" x14ac:dyDescent="0.25">
      <c r="A1671" s="4" t="str">
        <f ca="1">IFERROR(__xludf.DUMMYFUNCTION("""COMPUTED_VALUE"""),"2911-B")</f>
        <v>2911-B</v>
      </c>
      <c r="B1671" s="5" t="str">
        <f ca="1">IFERROR(__xludf.DUMMYFUNCTION("""COMPUTED_VALUE"""),"الفيوم")</f>
        <v>الفيوم</v>
      </c>
      <c r="C1671" s="5" t="str">
        <f ca="1">IFERROR(__xludf.DUMMYFUNCTION("""COMPUTED_VALUE"""),"ابشواى")</f>
        <v>ابشواى</v>
      </c>
      <c r="D1671" s="5" t="str">
        <f ca="1">IFERROR(__xludf.DUMMYFUNCTION("""COMPUTED_VALUE"""),"معمل")</f>
        <v>معمل</v>
      </c>
      <c r="E1671" s="5" t="str">
        <f ca="1">IFERROR(__xludf.DUMMYFUNCTION("""COMPUTED_VALUE"""),"معمل")</f>
        <v>معمل</v>
      </c>
      <c r="F1671" s="5" t="str">
        <f ca="1">IFERROR(__xludf.DUMMYFUNCTION("""COMPUTED_VALUE"""),"معمل التحاليل الطبية")</f>
        <v>معمل التحاليل الطبية</v>
      </c>
      <c r="G1671" s="5" t="str">
        <f ca="1">IFERROR(__xludf.DUMMYFUNCTION("""COMPUTED_VALUE"""),"معامل البرج")</f>
        <v>معامل البرج</v>
      </c>
      <c r="H1671" s="5" t="str">
        <f ca="1">IFERROR(__xludf.DUMMYFUNCTION("""COMPUTED_VALUE"""),"شارع الجمهورية أمام مقر البنك الوطنى القديم-ابشواى-الفيوم")</f>
        <v>شارع الجمهورية أمام مقر البنك الوطنى القديم-ابشواى-الفيوم</v>
      </c>
      <c r="I1671" s="6"/>
      <c r="J1671" s="6" t="str">
        <f ca="1">IFERROR(__xludf.DUMMYFUNCTION("""COMPUTED_VALUE"""),"19911")</f>
        <v>19911</v>
      </c>
      <c r="K1671" s="6" t="str">
        <f ca="1">IFERROR(__xludf.DUMMYFUNCTION("""COMPUTED_VALUE"""),"20% على جميع الخدمات")</f>
        <v>20% على جميع الخدمات</v>
      </c>
    </row>
    <row r="1672" spans="1:11" x14ac:dyDescent="0.25">
      <c r="A1672" s="4" t="str">
        <f ca="1">IFERROR(__xludf.DUMMYFUNCTION("""COMPUTED_VALUE"""),"2911-B")</f>
        <v>2911-B</v>
      </c>
      <c r="B1672" s="5" t="str">
        <f ca="1">IFERROR(__xludf.DUMMYFUNCTION("""COMPUTED_VALUE"""),"الفيوم")</f>
        <v>الفيوم</v>
      </c>
      <c r="C1672" s="5" t="str">
        <f ca="1">IFERROR(__xludf.DUMMYFUNCTION("""COMPUTED_VALUE"""),"الفيوم")</f>
        <v>الفيوم</v>
      </c>
      <c r="D1672" s="5" t="str">
        <f ca="1">IFERROR(__xludf.DUMMYFUNCTION("""COMPUTED_VALUE"""),"معمل")</f>
        <v>معمل</v>
      </c>
      <c r="E1672" s="5" t="str">
        <f ca="1">IFERROR(__xludf.DUMMYFUNCTION("""COMPUTED_VALUE"""),"معمل")</f>
        <v>معمل</v>
      </c>
      <c r="F1672" s="5" t="str">
        <f ca="1">IFERROR(__xludf.DUMMYFUNCTION("""COMPUTED_VALUE"""),"معمل التحاليل الطبية")</f>
        <v>معمل التحاليل الطبية</v>
      </c>
      <c r="G1672" s="5" t="str">
        <f ca="1">IFERROR(__xludf.DUMMYFUNCTION("""COMPUTED_VALUE"""),"معامل البرج")</f>
        <v>معامل البرج</v>
      </c>
      <c r="H1672" s="5" t="str">
        <f ca="1">IFERROR(__xludf.DUMMYFUNCTION("""COMPUTED_VALUE"""),"103 شارع جمال عبد الناصر - ميدان المسلة")</f>
        <v>103 شارع جمال عبد الناصر - ميدان المسلة</v>
      </c>
      <c r="I1672" s="6"/>
      <c r="J1672" s="6" t="str">
        <f ca="1">IFERROR(__xludf.DUMMYFUNCTION("""COMPUTED_VALUE"""),"19911")</f>
        <v>19911</v>
      </c>
      <c r="K1672" s="6" t="str">
        <f ca="1">IFERROR(__xludf.DUMMYFUNCTION("""COMPUTED_VALUE"""),"20% على جميع الخدمات")</f>
        <v>20% على جميع الخدمات</v>
      </c>
    </row>
    <row r="1673" spans="1:11" x14ac:dyDescent="0.25">
      <c r="A1673" s="4" t="str">
        <f ca="1">IFERROR(__xludf.DUMMYFUNCTION("""COMPUTED_VALUE"""),"2911-B")</f>
        <v>2911-B</v>
      </c>
      <c r="B1673" s="5" t="str">
        <f ca="1">IFERROR(__xludf.DUMMYFUNCTION("""COMPUTED_VALUE"""),"الفيوم")</f>
        <v>الفيوم</v>
      </c>
      <c r="C1673" s="5" t="str">
        <f ca="1">IFERROR(__xludf.DUMMYFUNCTION("""COMPUTED_VALUE"""),"الفيوم")</f>
        <v>الفيوم</v>
      </c>
      <c r="D1673" s="5" t="str">
        <f ca="1">IFERROR(__xludf.DUMMYFUNCTION("""COMPUTED_VALUE"""),"معمل")</f>
        <v>معمل</v>
      </c>
      <c r="E1673" s="5" t="str">
        <f ca="1">IFERROR(__xludf.DUMMYFUNCTION("""COMPUTED_VALUE"""),"معمل")</f>
        <v>معمل</v>
      </c>
      <c r="F1673" s="5" t="str">
        <f ca="1">IFERROR(__xludf.DUMMYFUNCTION("""COMPUTED_VALUE"""),"معمل التحاليل الطبية")</f>
        <v>معمل التحاليل الطبية</v>
      </c>
      <c r="G1673" s="5" t="str">
        <f ca="1">IFERROR(__xludf.DUMMYFUNCTION("""COMPUTED_VALUE"""),"معامل البرج")</f>
        <v>معامل البرج</v>
      </c>
      <c r="H1673" s="5" t="str">
        <f ca="1">IFERROR(__xludf.DUMMYFUNCTION("""COMPUTED_VALUE"""),"شارع الجمهورية أمام السنترال (مستشفى عرفة)-الفيوم")</f>
        <v>شارع الجمهورية أمام السنترال (مستشفى عرفة)-الفيوم</v>
      </c>
      <c r="I1673" s="6"/>
      <c r="J1673" s="6" t="str">
        <f ca="1">IFERROR(__xludf.DUMMYFUNCTION("""COMPUTED_VALUE"""),"19911")</f>
        <v>19911</v>
      </c>
      <c r="K1673" s="6" t="str">
        <f ca="1">IFERROR(__xludf.DUMMYFUNCTION("""COMPUTED_VALUE"""),"20% على جميع الخدمات")</f>
        <v>20% على جميع الخدمات</v>
      </c>
    </row>
    <row r="1674" spans="1:11" x14ac:dyDescent="0.25">
      <c r="A1674" s="4" t="str">
        <f ca="1">IFERROR(__xludf.DUMMYFUNCTION("""COMPUTED_VALUE"""),"2911-B")</f>
        <v>2911-B</v>
      </c>
      <c r="B1674" s="5" t="str">
        <f ca="1">IFERROR(__xludf.DUMMYFUNCTION("""COMPUTED_VALUE"""),"الجيزة")</f>
        <v>الجيزة</v>
      </c>
      <c r="C1674" s="5" t="str">
        <f ca="1">IFERROR(__xludf.DUMMYFUNCTION("""COMPUTED_VALUE"""),"الجيزة")</f>
        <v>الجيزة</v>
      </c>
      <c r="D1674" s="5" t="str">
        <f ca="1">IFERROR(__xludf.DUMMYFUNCTION("""COMPUTED_VALUE"""),"معمل")</f>
        <v>معمل</v>
      </c>
      <c r="E1674" s="5" t="str">
        <f ca="1">IFERROR(__xludf.DUMMYFUNCTION("""COMPUTED_VALUE"""),"معمل")</f>
        <v>معمل</v>
      </c>
      <c r="F1674" s="5" t="str">
        <f ca="1">IFERROR(__xludf.DUMMYFUNCTION("""COMPUTED_VALUE"""),"معمل التحاليل الطبية")</f>
        <v>معمل التحاليل الطبية</v>
      </c>
      <c r="G1674" s="5" t="str">
        <f ca="1">IFERROR(__xludf.DUMMYFUNCTION("""COMPUTED_VALUE"""),"معامل البرج")</f>
        <v>معامل البرج</v>
      </c>
      <c r="H1674" s="5" t="str">
        <f ca="1">IFERROR(__xludf.DUMMYFUNCTION("""COMPUTED_VALUE"""),"32صلاح سالم (ربيع الجيزي) بجوار محطة القطار- الجيزة")</f>
        <v>32صلاح سالم (ربيع الجيزي) بجوار محطة القطار- الجيزة</v>
      </c>
      <c r="I1674" s="6"/>
      <c r="J1674" s="6" t="str">
        <f ca="1">IFERROR(__xludf.DUMMYFUNCTION("""COMPUTED_VALUE"""),"19911")</f>
        <v>19911</v>
      </c>
      <c r="K1674" s="6" t="str">
        <f ca="1">IFERROR(__xludf.DUMMYFUNCTION("""COMPUTED_VALUE"""),"20% على جميع الخدمات")</f>
        <v>20% على جميع الخدمات</v>
      </c>
    </row>
    <row r="1675" spans="1:11" x14ac:dyDescent="0.25">
      <c r="A1675" s="4" t="str">
        <f ca="1">IFERROR(__xludf.DUMMYFUNCTION("""COMPUTED_VALUE"""),"2911-B")</f>
        <v>2911-B</v>
      </c>
      <c r="B1675" s="5" t="str">
        <f ca="1">IFERROR(__xludf.DUMMYFUNCTION("""COMPUTED_VALUE"""),"الجيزة")</f>
        <v>الجيزة</v>
      </c>
      <c r="C1675" s="5" t="str">
        <f ca="1">IFERROR(__xludf.DUMMYFUNCTION("""COMPUTED_VALUE"""),"الدقي")</f>
        <v>الدقي</v>
      </c>
      <c r="D1675" s="5" t="str">
        <f ca="1">IFERROR(__xludf.DUMMYFUNCTION("""COMPUTED_VALUE"""),"معمل")</f>
        <v>معمل</v>
      </c>
      <c r="E1675" s="5" t="str">
        <f ca="1">IFERROR(__xludf.DUMMYFUNCTION("""COMPUTED_VALUE"""),"معمل")</f>
        <v>معمل</v>
      </c>
      <c r="F1675" s="5" t="str">
        <f ca="1">IFERROR(__xludf.DUMMYFUNCTION("""COMPUTED_VALUE"""),"معمل التحاليل الطبية")</f>
        <v>معمل التحاليل الطبية</v>
      </c>
      <c r="G1675" s="5" t="str">
        <f ca="1">IFERROR(__xludf.DUMMYFUNCTION("""COMPUTED_VALUE"""),"معامل البرج")</f>
        <v>معامل البرج</v>
      </c>
      <c r="H1675" s="5" t="str">
        <f ca="1">IFERROR(__xludf.DUMMYFUNCTION("""COMPUTED_VALUE"""),"97شارع التحرير - ميدان الدقي فوق مطعم جاد -الدقي- الجيزة")</f>
        <v>97شارع التحرير - ميدان الدقي فوق مطعم جاد -الدقي- الجيزة</v>
      </c>
      <c r="I1675" s="6"/>
      <c r="J1675" s="6" t="str">
        <f ca="1">IFERROR(__xludf.DUMMYFUNCTION("""COMPUTED_VALUE"""),"19911")</f>
        <v>19911</v>
      </c>
      <c r="K1675" s="6" t="str">
        <f ca="1">IFERROR(__xludf.DUMMYFUNCTION("""COMPUTED_VALUE"""),"20% على جميع الخدمات")</f>
        <v>20% على جميع الخدمات</v>
      </c>
    </row>
    <row r="1676" spans="1:11" x14ac:dyDescent="0.25">
      <c r="A1676" s="4" t="str">
        <f ca="1">IFERROR(__xludf.DUMMYFUNCTION("""COMPUTED_VALUE"""),"2911-B")</f>
        <v>2911-B</v>
      </c>
      <c r="B1676" s="5" t="str">
        <f ca="1">IFERROR(__xludf.DUMMYFUNCTION("""COMPUTED_VALUE"""),"القاهرة")</f>
        <v>القاهرة</v>
      </c>
      <c r="C1676" s="5" t="str">
        <f ca="1">IFERROR(__xludf.DUMMYFUNCTION("""COMPUTED_VALUE"""),"الزمالك")</f>
        <v>الزمالك</v>
      </c>
      <c r="D1676" s="5" t="str">
        <f ca="1">IFERROR(__xludf.DUMMYFUNCTION("""COMPUTED_VALUE"""),"معمل")</f>
        <v>معمل</v>
      </c>
      <c r="E1676" s="5" t="str">
        <f ca="1">IFERROR(__xludf.DUMMYFUNCTION("""COMPUTED_VALUE"""),"معمل")</f>
        <v>معمل</v>
      </c>
      <c r="F1676" s="5" t="str">
        <f ca="1">IFERROR(__xludf.DUMMYFUNCTION("""COMPUTED_VALUE"""),"معمل التحاليل الطبية")</f>
        <v>معمل التحاليل الطبية</v>
      </c>
      <c r="G1676" s="5" t="str">
        <f ca="1">IFERROR(__xludf.DUMMYFUNCTION("""COMPUTED_VALUE"""),"معامل البرج")</f>
        <v>معامل البرج</v>
      </c>
      <c r="H1676" s="5" t="str">
        <f ca="1">IFERROR(__xludf.DUMMYFUNCTION("""COMPUTED_VALUE"""),"15 شارع المرعشلي تقاطع احمد حشمت -امام سوبر ماركت سعودى-الزمالك-القاهرة")</f>
        <v>15 شارع المرعشلي تقاطع احمد حشمت -امام سوبر ماركت سعودى-الزمالك-القاهرة</v>
      </c>
      <c r="I1676" s="6"/>
      <c r="J1676" s="6" t="str">
        <f ca="1">IFERROR(__xludf.DUMMYFUNCTION("""COMPUTED_VALUE"""),"19911")</f>
        <v>19911</v>
      </c>
      <c r="K1676" s="6" t="str">
        <f ca="1">IFERROR(__xludf.DUMMYFUNCTION("""COMPUTED_VALUE"""),"20% على جميع الخدمات")</f>
        <v>20% على جميع الخدمات</v>
      </c>
    </row>
    <row r="1677" spans="1:11" x14ac:dyDescent="0.25">
      <c r="A1677" s="4" t="str">
        <f ca="1">IFERROR(__xludf.DUMMYFUNCTION("""COMPUTED_VALUE"""),"2911-B")</f>
        <v>2911-B</v>
      </c>
      <c r="B1677" s="5" t="str">
        <f ca="1">IFERROR(__xludf.DUMMYFUNCTION("""COMPUTED_VALUE"""),"الجيزة")</f>
        <v>الجيزة</v>
      </c>
      <c r="C1677" s="5" t="str">
        <f ca="1">IFERROR(__xludf.DUMMYFUNCTION("""COMPUTED_VALUE"""),"السادس من اكتوبر")</f>
        <v>السادس من اكتوبر</v>
      </c>
      <c r="D1677" s="5" t="str">
        <f ca="1">IFERROR(__xludf.DUMMYFUNCTION("""COMPUTED_VALUE"""),"معمل")</f>
        <v>معمل</v>
      </c>
      <c r="E1677" s="5" t="str">
        <f ca="1">IFERROR(__xludf.DUMMYFUNCTION("""COMPUTED_VALUE"""),"معمل")</f>
        <v>معمل</v>
      </c>
      <c r="F1677" s="5" t="str">
        <f ca="1">IFERROR(__xludf.DUMMYFUNCTION("""COMPUTED_VALUE"""),"معمل التحاليل الطبية")</f>
        <v>معمل التحاليل الطبية</v>
      </c>
      <c r="G1677" s="5" t="str">
        <f ca="1">IFERROR(__xludf.DUMMYFUNCTION("""COMPUTED_VALUE"""),"معامل البرج")</f>
        <v>معامل البرج</v>
      </c>
      <c r="H1677" s="5" t="str">
        <f ca="1">IFERROR(__xludf.DUMMYFUNCTION("""COMPUTED_VALUE"""),"7 عمارات الفتح الحى الثالث المحور المركزى -قبل ميدان النجدة فوق بنك باركليز -6 اكتوبر")</f>
        <v>7 عمارات الفتح الحى الثالث المحور المركزى -قبل ميدان النجدة فوق بنك باركليز -6 اكتوبر</v>
      </c>
      <c r="I1677" s="6"/>
      <c r="J1677" s="6" t="str">
        <f ca="1">IFERROR(__xludf.DUMMYFUNCTION("""COMPUTED_VALUE"""),"19911")</f>
        <v>19911</v>
      </c>
      <c r="K1677" s="6" t="str">
        <f ca="1">IFERROR(__xludf.DUMMYFUNCTION("""COMPUTED_VALUE"""),"20% على جميع الخدمات")</f>
        <v>20% على جميع الخدمات</v>
      </c>
    </row>
    <row r="1678" spans="1:11" x14ac:dyDescent="0.25">
      <c r="A1678" s="4" t="str">
        <f ca="1">IFERROR(__xludf.DUMMYFUNCTION("""COMPUTED_VALUE"""),"2911-B")</f>
        <v>2911-B</v>
      </c>
      <c r="B1678" s="5" t="str">
        <f ca="1">IFERROR(__xludf.DUMMYFUNCTION("""COMPUTED_VALUE"""),"القاهرة")</f>
        <v>القاهرة</v>
      </c>
      <c r="C1678" s="5" t="str">
        <f ca="1">IFERROR(__xludf.DUMMYFUNCTION("""COMPUTED_VALUE"""),"السيدة زينب")</f>
        <v>السيدة زينب</v>
      </c>
      <c r="D1678" s="5" t="str">
        <f ca="1">IFERROR(__xludf.DUMMYFUNCTION("""COMPUTED_VALUE"""),"معمل")</f>
        <v>معمل</v>
      </c>
      <c r="E1678" s="5" t="str">
        <f ca="1">IFERROR(__xludf.DUMMYFUNCTION("""COMPUTED_VALUE"""),"معمل")</f>
        <v>معمل</v>
      </c>
      <c r="F1678" s="5" t="str">
        <f ca="1">IFERROR(__xludf.DUMMYFUNCTION("""COMPUTED_VALUE"""),"معمل التحاليل الطبية")</f>
        <v>معمل التحاليل الطبية</v>
      </c>
      <c r="G1678" s="5" t="str">
        <f ca="1">IFERROR(__xludf.DUMMYFUNCTION("""COMPUTED_VALUE"""),"معامل البرج")</f>
        <v>معامل البرج</v>
      </c>
      <c r="H1678" s="5" t="str">
        <f ca="1">IFERROR(__xludf.DUMMYFUNCTION("""COMPUTED_VALUE"""),"السيدة زينب 91مجلس الامة ناصية شارع بور سعيد-السيدة زينب-القاهرة")</f>
        <v>السيدة زينب 91مجلس الامة ناصية شارع بور سعيد-السيدة زينب-القاهرة</v>
      </c>
      <c r="I1678" s="6"/>
      <c r="J1678" s="6" t="str">
        <f ca="1">IFERROR(__xludf.DUMMYFUNCTION("""COMPUTED_VALUE"""),"19911")</f>
        <v>19911</v>
      </c>
      <c r="K1678" s="6" t="str">
        <f ca="1">IFERROR(__xludf.DUMMYFUNCTION("""COMPUTED_VALUE"""),"20% على جميع الخدمات")</f>
        <v>20% على جميع الخدمات</v>
      </c>
    </row>
    <row r="1679" spans="1:11" x14ac:dyDescent="0.25">
      <c r="A1679" s="4" t="str">
        <f ca="1">IFERROR(__xludf.DUMMYFUNCTION("""COMPUTED_VALUE"""),"2911-B")</f>
        <v>2911-B</v>
      </c>
      <c r="B1679" s="5" t="str">
        <f ca="1">IFERROR(__xludf.DUMMYFUNCTION("""COMPUTED_VALUE"""),"الجيزة")</f>
        <v>الجيزة</v>
      </c>
      <c r="C1679" s="5" t="str">
        <f ca="1">IFERROR(__xludf.DUMMYFUNCTION("""COMPUTED_VALUE"""),"الشيخ زايد")</f>
        <v>الشيخ زايد</v>
      </c>
      <c r="D1679" s="5" t="str">
        <f ca="1">IFERROR(__xludf.DUMMYFUNCTION("""COMPUTED_VALUE"""),"معمل")</f>
        <v>معمل</v>
      </c>
      <c r="E1679" s="5" t="str">
        <f ca="1">IFERROR(__xludf.DUMMYFUNCTION("""COMPUTED_VALUE"""),"معمل")</f>
        <v>معمل</v>
      </c>
      <c r="F1679" s="5" t="str">
        <f ca="1">IFERROR(__xludf.DUMMYFUNCTION("""COMPUTED_VALUE"""),"معمل التحاليل الطبية")</f>
        <v>معمل التحاليل الطبية</v>
      </c>
      <c r="G1679" s="5" t="str">
        <f ca="1">IFERROR(__xludf.DUMMYFUNCTION("""COMPUTED_VALUE"""),"معامل البرج")</f>
        <v>معامل البرج</v>
      </c>
      <c r="H1679" s="5" t="str">
        <f ca="1">IFERROR(__xludf.DUMMYFUNCTION("""COMPUTED_VALUE"""),"زايد سيتي سنتر بجوار مستشفى زايد العام-الشيخ زايد - الجيزة")</f>
        <v>زايد سيتي سنتر بجوار مستشفى زايد العام-الشيخ زايد - الجيزة</v>
      </c>
      <c r="I1679" s="6"/>
      <c r="J1679" s="6" t="str">
        <f ca="1">IFERROR(__xludf.DUMMYFUNCTION("""COMPUTED_VALUE"""),"19911")</f>
        <v>19911</v>
      </c>
      <c r="K1679" s="6" t="str">
        <f ca="1">IFERROR(__xludf.DUMMYFUNCTION("""COMPUTED_VALUE"""),"20% على جميع الخدمات")</f>
        <v>20% على جميع الخدمات</v>
      </c>
    </row>
    <row r="1680" spans="1:11" x14ac:dyDescent="0.25">
      <c r="A1680" s="4" t="str">
        <f ca="1">IFERROR(__xludf.DUMMYFUNCTION("""COMPUTED_VALUE"""),"2911-B")</f>
        <v>2911-B</v>
      </c>
      <c r="B1680" s="5" t="str">
        <f ca="1">IFERROR(__xludf.DUMMYFUNCTION("""COMPUTED_VALUE"""),"القاهرة")</f>
        <v>القاهرة</v>
      </c>
      <c r="C1680" s="5" t="str">
        <f ca="1">IFERROR(__xludf.DUMMYFUNCTION("""COMPUTED_VALUE"""),"العباسية")</f>
        <v>العباسية</v>
      </c>
      <c r="D1680" s="5" t="str">
        <f ca="1">IFERROR(__xludf.DUMMYFUNCTION("""COMPUTED_VALUE"""),"معمل")</f>
        <v>معمل</v>
      </c>
      <c r="E1680" s="5" t="str">
        <f ca="1">IFERROR(__xludf.DUMMYFUNCTION("""COMPUTED_VALUE"""),"معمل")</f>
        <v>معمل</v>
      </c>
      <c r="F1680" s="5" t="str">
        <f ca="1">IFERROR(__xludf.DUMMYFUNCTION("""COMPUTED_VALUE"""),"معمل التحاليل الطبية")</f>
        <v>معمل التحاليل الطبية</v>
      </c>
      <c r="G1680" s="5" t="str">
        <f ca="1">IFERROR(__xludf.DUMMYFUNCTION("""COMPUTED_VALUE"""),"معامل البرج")</f>
        <v>معامل البرج</v>
      </c>
      <c r="H1680" s="5" t="str">
        <f ca="1">IFERROR(__xludf.DUMMYFUNCTION("""COMPUTED_VALUE"""),"91شارع العباسية-العباسية-القاهرة")</f>
        <v>91شارع العباسية-العباسية-القاهرة</v>
      </c>
      <c r="I1680" s="6"/>
      <c r="J1680" s="6" t="str">
        <f ca="1">IFERROR(__xludf.DUMMYFUNCTION("""COMPUTED_VALUE"""),"19911")</f>
        <v>19911</v>
      </c>
      <c r="K1680" s="6" t="str">
        <f ca="1">IFERROR(__xludf.DUMMYFUNCTION("""COMPUTED_VALUE"""),"20% على جميع الخدمات")</f>
        <v>20% على جميع الخدمات</v>
      </c>
    </row>
    <row r="1681" spans="1:11" x14ac:dyDescent="0.25">
      <c r="A1681" s="4" t="str">
        <f ca="1">IFERROR(__xludf.DUMMYFUNCTION("""COMPUTED_VALUE"""),"2911-B")</f>
        <v>2911-B</v>
      </c>
      <c r="B1681" s="5" t="str">
        <f ca="1">IFERROR(__xludf.DUMMYFUNCTION("""COMPUTED_VALUE"""),"القاهرة")</f>
        <v>القاهرة</v>
      </c>
      <c r="C1681" s="5" t="str">
        <f ca="1">IFERROR(__xludf.DUMMYFUNCTION("""COMPUTED_VALUE"""),"الرحاب")</f>
        <v>الرحاب</v>
      </c>
      <c r="D1681" s="5" t="str">
        <f ca="1">IFERROR(__xludf.DUMMYFUNCTION("""COMPUTED_VALUE"""),"معمل")</f>
        <v>معمل</v>
      </c>
      <c r="E1681" s="5" t="str">
        <f ca="1">IFERROR(__xludf.DUMMYFUNCTION("""COMPUTED_VALUE"""),"معمل")</f>
        <v>معمل</v>
      </c>
      <c r="F1681" s="5" t="str">
        <f ca="1">IFERROR(__xludf.DUMMYFUNCTION("""COMPUTED_VALUE"""),"معمل التحاليل الطبية")</f>
        <v>معمل التحاليل الطبية</v>
      </c>
      <c r="G1681" s="5" t="str">
        <f ca="1">IFERROR(__xludf.DUMMYFUNCTION("""COMPUTED_VALUE"""),"معامل البرج")</f>
        <v>معامل البرج</v>
      </c>
      <c r="H1681" s="5" t="str">
        <f ca="1">IFERROR(__xludf.DUMMYFUNCTION("""COMPUTED_VALUE"""),"المركز الأول الطبي عيادة 208-الرحاب-القاهرة")</f>
        <v>المركز الأول الطبي عيادة 208-الرحاب-القاهرة</v>
      </c>
      <c r="I1681" s="6"/>
      <c r="J1681" s="6" t="str">
        <f ca="1">IFERROR(__xludf.DUMMYFUNCTION("""COMPUTED_VALUE"""),"19911")</f>
        <v>19911</v>
      </c>
      <c r="K1681" s="6" t="str">
        <f ca="1">IFERROR(__xludf.DUMMYFUNCTION("""COMPUTED_VALUE"""),"20% على جميع الخدمات")</f>
        <v>20% على جميع الخدمات</v>
      </c>
    </row>
    <row r="1682" spans="1:11" x14ac:dyDescent="0.25">
      <c r="A1682" s="4" t="str">
        <f ca="1">IFERROR(__xludf.DUMMYFUNCTION("""COMPUTED_VALUE"""),"2911-B")</f>
        <v>2911-B</v>
      </c>
      <c r="B1682" s="5" t="str">
        <f ca="1">IFERROR(__xludf.DUMMYFUNCTION("""COMPUTED_VALUE"""),"القاهرة")</f>
        <v>القاهرة</v>
      </c>
      <c r="C1682" s="5" t="str">
        <f ca="1">IFERROR(__xludf.DUMMYFUNCTION("""COMPUTED_VALUE"""),"القاهرة الجديدة")</f>
        <v>القاهرة الجديدة</v>
      </c>
      <c r="D1682" s="5" t="str">
        <f ca="1">IFERROR(__xludf.DUMMYFUNCTION("""COMPUTED_VALUE"""),"معمل")</f>
        <v>معمل</v>
      </c>
      <c r="E1682" s="5" t="str">
        <f ca="1">IFERROR(__xludf.DUMMYFUNCTION("""COMPUTED_VALUE"""),"معمل")</f>
        <v>معمل</v>
      </c>
      <c r="F1682" s="5" t="str">
        <f ca="1">IFERROR(__xludf.DUMMYFUNCTION("""COMPUTED_VALUE"""),"معمل التحاليل الطبية")</f>
        <v>معمل التحاليل الطبية</v>
      </c>
      <c r="G1682" s="5" t="str">
        <f ca="1">IFERROR(__xludf.DUMMYFUNCTION("""COMPUTED_VALUE"""),"معامل البرج")</f>
        <v>معامل البرج</v>
      </c>
      <c r="H1682" s="5" t="str">
        <f ca="1">IFERROR(__xludf.DUMMYFUNCTION("""COMPUTED_VALUE"""),"سيلفر مول - فوق سعودي-القاهرة الجديدة-القاهرة")</f>
        <v>سيلفر مول - فوق سعودي-القاهرة الجديدة-القاهرة</v>
      </c>
      <c r="I1682" s="6"/>
      <c r="J1682" s="6" t="str">
        <f ca="1">IFERROR(__xludf.DUMMYFUNCTION("""COMPUTED_VALUE"""),"19911")</f>
        <v>19911</v>
      </c>
      <c r="K1682" s="6" t="str">
        <f ca="1">IFERROR(__xludf.DUMMYFUNCTION("""COMPUTED_VALUE"""),"20% على جميع الخدمات")</f>
        <v>20% على جميع الخدمات</v>
      </c>
    </row>
    <row r="1683" spans="1:11" x14ac:dyDescent="0.25">
      <c r="A1683" s="4" t="str">
        <f ca="1">IFERROR(__xludf.DUMMYFUNCTION("""COMPUTED_VALUE"""),"2911-B")</f>
        <v>2911-B</v>
      </c>
      <c r="B1683" s="5" t="str">
        <f ca="1">IFERROR(__xludf.DUMMYFUNCTION("""COMPUTED_VALUE"""),"القاهرة")</f>
        <v>القاهرة</v>
      </c>
      <c r="C1683" s="5" t="str">
        <f ca="1">IFERROR(__xludf.DUMMYFUNCTION("""COMPUTED_VALUE"""),"المرج")</f>
        <v>المرج</v>
      </c>
      <c r="D1683" s="5" t="str">
        <f ca="1">IFERROR(__xludf.DUMMYFUNCTION("""COMPUTED_VALUE"""),"معمل")</f>
        <v>معمل</v>
      </c>
      <c r="E1683" s="5" t="str">
        <f ca="1">IFERROR(__xludf.DUMMYFUNCTION("""COMPUTED_VALUE"""),"معمل")</f>
        <v>معمل</v>
      </c>
      <c r="F1683" s="5" t="str">
        <f ca="1">IFERROR(__xludf.DUMMYFUNCTION("""COMPUTED_VALUE"""),"معمل التحاليل الطبية")</f>
        <v>معمل التحاليل الطبية</v>
      </c>
      <c r="G1683" s="5" t="str">
        <f ca="1">IFERROR(__xludf.DUMMYFUNCTION("""COMPUTED_VALUE"""),"معامل البرج")</f>
        <v>معامل البرج</v>
      </c>
      <c r="H1683" s="5" t="str">
        <f ca="1">IFERROR(__xludf.DUMMYFUNCTION("""COMPUTED_VALUE"""),"امتداد محطةة مترو المرج الجديدة - شارع الجمهورية - برج الامل - امام مكتب بريد 23 يوليو - الدور الاول")</f>
        <v>امتداد محطةة مترو المرج الجديدة - شارع الجمهورية - برج الامل - امام مكتب بريد 23 يوليو - الدور الاول</v>
      </c>
      <c r="I1683" s="6"/>
      <c r="J1683" s="6" t="str">
        <f ca="1">IFERROR(__xludf.DUMMYFUNCTION("""COMPUTED_VALUE"""),"19911")</f>
        <v>19911</v>
      </c>
      <c r="K1683" s="6" t="str">
        <f ca="1">IFERROR(__xludf.DUMMYFUNCTION("""COMPUTED_VALUE"""),"20% على جميع الخدمات")</f>
        <v>20% على جميع الخدمات</v>
      </c>
    </row>
    <row r="1684" spans="1:11" x14ac:dyDescent="0.25">
      <c r="A1684" s="4" t="str">
        <f ca="1">IFERROR(__xludf.DUMMYFUNCTION("""COMPUTED_VALUE"""),"2911-B")</f>
        <v>2911-B</v>
      </c>
      <c r="B1684" s="5" t="str">
        <f ca="1">IFERROR(__xludf.DUMMYFUNCTION("""COMPUTED_VALUE"""),"القاهرة")</f>
        <v>القاهرة</v>
      </c>
      <c r="C1684" s="5" t="str">
        <f ca="1">IFERROR(__xludf.DUMMYFUNCTION("""COMPUTED_VALUE"""),"المعادى")</f>
        <v>المعادى</v>
      </c>
      <c r="D1684" s="5" t="str">
        <f ca="1">IFERROR(__xludf.DUMMYFUNCTION("""COMPUTED_VALUE"""),"معمل")</f>
        <v>معمل</v>
      </c>
      <c r="E1684" s="5" t="str">
        <f ca="1">IFERROR(__xludf.DUMMYFUNCTION("""COMPUTED_VALUE"""),"معمل")</f>
        <v>معمل</v>
      </c>
      <c r="F1684" s="5" t="str">
        <f ca="1">IFERROR(__xludf.DUMMYFUNCTION("""COMPUTED_VALUE"""),"معمل التحاليل الطبية")</f>
        <v>معمل التحاليل الطبية</v>
      </c>
      <c r="G1684" s="5" t="str">
        <f ca="1">IFERROR(__xludf.DUMMYFUNCTION("""COMPUTED_VALUE"""),"معامل البرج")</f>
        <v>معامل البرج</v>
      </c>
      <c r="H1684" s="5" t="str">
        <f ca="1">IFERROR(__xludf.DUMMYFUNCTION("""COMPUTED_VALUE"""),"1شارع 153ميدان الحريةفوق احذية نعمة -المعادي-القاهرة")</f>
        <v>1شارع 153ميدان الحريةفوق احذية نعمة -المعادي-القاهرة</v>
      </c>
      <c r="I1684" s="6"/>
      <c r="J1684" s="6" t="str">
        <f ca="1">IFERROR(__xludf.DUMMYFUNCTION("""COMPUTED_VALUE"""),"19911")</f>
        <v>19911</v>
      </c>
      <c r="K1684" s="6" t="str">
        <f ca="1">IFERROR(__xludf.DUMMYFUNCTION("""COMPUTED_VALUE"""),"20% على جميع الخدمات")</f>
        <v>20% على جميع الخدمات</v>
      </c>
    </row>
    <row r="1685" spans="1:11" x14ac:dyDescent="0.25">
      <c r="A1685" s="4" t="str">
        <f ca="1">IFERROR(__xludf.DUMMYFUNCTION("""COMPUTED_VALUE"""),"2911-B")</f>
        <v>2911-B</v>
      </c>
      <c r="B1685" s="5" t="str">
        <f ca="1">IFERROR(__xludf.DUMMYFUNCTION("""COMPUTED_VALUE"""),"القاهرة")</f>
        <v>القاهرة</v>
      </c>
      <c r="C1685" s="5" t="str">
        <f ca="1">IFERROR(__xludf.DUMMYFUNCTION("""COMPUTED_VALUE"""),"المعادى")</f>
        <v>المعادى</v>
      </c>
      <c r="D1685" s="5" t="str">
        <f ca="1">IFERROR(__xludf.DUMMYFUNCTION("""COMPUTED_VALUE"""),"معمل")</f>
        <v>معمل</v>
      </c>
      <c r="E1685" s="5" t="str">
        <f ca="1">IFERROR(__xludf.DUMMYFUNCTION("""COMPUTED_VALUE"""),"معمل")</f>
        <v>معمل</v>
      </c>
      <c r="F1685" s="5" t="str">
        <f ca="1">IFERROR(__xludf.DUMMYFUNCTION("""COMPUTED_VALUE"""),"معمل التحاليل الطبية")</f>
        <v>معمل التحاليل الطبية</v>
      </c>
      <c r="G1685" s="5" t="str">
        <f ca="1">IFERROR(__xludf.DUMMYFUNCTION("""COMPUTED_VALUE"""),"معامل البرج")</f>
        <v>معامل البرج</v>
      </c>
      <c r="H1685" s="5" t="str">
        <f ca="1">IFERROR(__xludf.DUMMYFUNCTION("""COMPUTED_VALUE"""),"43 ميدان الجزائرفوق اولاد رجب-المعادي-القاهرة")</f>
        <v>43 ميدان الجزائرفوق اولاد رجب-المعادي-القاهرة</v>
      </c>
      <c r="I1685" s="6"/>
      <c r="J1685" s="6" t="str">
        <f ca="1">IFERROR(__xludf.DUMMYFUNCTION("""COMPUTED_VALUE"""),"19911")</f>
        <v>19911</v>
      </c>
      <c r="K1685" s="6" t="str">
        <f ca="1">IFERROR(__xludf.DUMMYFUNCTION("""COMPUTED_VALUE"""),"20% على جميع الخدمات")</f>
        <v>20% على جميع الخدمات</v>
      </c>
    </row>
    <row r="1686" spans="1:11" x14ac:dyDescent="0.25">
      <c r="A1686" s="4" t="str">
        <f ca="1">IFERROR(__xludf.DUMMYFUNCTION("""COMPUTED_VALUE"""),"2911-B")</f>
        <v>2911-B</v>
      </c>
      <c r="B1686" s="5" t="str">
        <f ca="1">IFERROR(__xludf.DUMMYFUNCTION("""COMPUTED_VALUE"""),"القاهرة")</f>
        <v>القاهرة</v>
      </c>
      <c r="C1686" s="5" t="str">
        <f ca="1">IFERROR(__xludf.DUMMYFUNCTION("""COMPUTED_VALUE"""),"المقطم")</f>
        <v>المقطم</v>
      </c>
      <c r="D1686" s="5" t="str">
        <f ca="1">IFERROR(__xludf.DUMMYFUNCTION("""COMPUTED_VALUE"""),"معمل")</f>
        <v>معمل</v>
      </c>
      <c r="E1686" s="5" t="str">
        <f ca="1">IFERROR(__xludf.DUMMYFUNCTION("""COMPUTED_VALUE"""),"معمل")</f>
        <v>معمل</v>
      </c>
      <c r="F1686" s="5" t="str">
        <f ca="1">IFERROR(__xludf.DUMMYFUNCTION("""COMPUTED_VALUE"""),"معمل التحاليل الطبية")</f>
        <v>معمل التحاليل الطبية</v>
      </c>
      <c r="G1686" s="5" t="str">
        <f ca="1">IFERROR(__xludf.DUMMYFUNCTION("""COMPUTED_VALUE"""),"معامل البرج")</f>
        <v>معامل البرج</v>
      </c>
      <c r="H1686" s="5" t="str">
        <f ca="1">IFERROR(__xludf.DUMMYFUNCTION("""COMPUTED_VALUE"""),"23 شارع 9-المقطم-القاهرة")</f>
        <v>23 شارع 9-المقطم-القاهرة</v>
      </c>
      <c r="I1686" s="6"/>
      <c r="J1686" s="6" t="str">
        <f ca="1">IFERROR(__xludf.DUMMYFUNCTION("""COMPUTED_VALUE"""),"19911")</f>
        <v>19911</v>
      </c>
      <c r="K1686" s="6" t="str">
        <f ca="1">IFERROR(__xludf.DUMMYFUNCTION("""COMPUTED_VALUE"""),"20% على جميع الخدمات")</f>
        <v>20% على جميع الخدمات</v>
      </c>
    </row>
    <row r="1687" spans="1:11" x14ac:dyDescent="0.25">
      <c r="A1687" s="4" t="str">
        <f ca="1">IFERROR(__xludf.DUMMYFUNCTION("""COMPUTED_VALUE"""),"2911-B")</f>
        <v>2911-B</v>
      </c>
      <c r="B1687" s="5" t="str">
        <f ca="1">IFERROR(__xludf.DUMMYFUNCTION("""COMPUTED_VALUE"""),"القاهرة")</f>
        <v>القاهرة</v>
      </c>
      <c r="C1687" s="5" t="str">
        <f ca="1">IFERROR(__xludf.DUMMYFUNCTION("""COMPUTED_VALUE"""),"المنيل")</f>
        <v>المنيل</v>
      </c>
      <c r="D1687" s="5" t="str">
        <f ca="1">IFERROR(__xludf.DUMMYFUNCTION("""COMPUTED_VALUE"""),"معمل")</f>
        <v>معمل</v>
      </c>
      <c r="E1687" s="5" t="str">
        <f ca="1">IFERROR(__xludf.DUMMYFUNCTION("""COMPUTED_VALUE"""),"معمل")</f>
        <v>معمل</v>
      </c>
      <c r="F1687" s="5" t="str">
        <f ca="1">IFERROR(__xludf.DUMMYFUNCTION("""COMPUTED_VALUE"""),"معمل التحاليل الطبية")</f>
        <v>معمل التحاليل الطبية</v>
      </c>
      <c r="G1687" s="5" t="str">
        <f ca="1">IFERROR(__xludf.DUMMYFUNCTION("""COMPUTED_VALUE"""),"معامل البرج")</f>
        <v>معامل البرج</v>
      </c>
      <c r="H1687" s="5" t="str">
        <f ca="1">IFERROR(__xludf.DUMMYFUNCTION("""COMPUTED_VALUE"""),"9شارع سعيد ذو الفقار - ميدان الباشا-المنيل-القاهرة")</f>
        <v>9شارع سعيد ذو الفقار - ميدان الباشا-المنيل-القاهرة</v>
      </c>
      <c r="I1687" s="6"/>
      <c r="J1687" s="6" t="str">
        <f ca="1">IFERROR(__xludf.DUMMYFUNCTION("""COMPUTED_VALUE"""),"19911")</f>
        <v>19911</v>
      </c>
      <c r="K1687" s="6" t="str">
        <f ca="1">IFERROR(__xludf.DUMMYFUNCTION("""COMPUTED_VALUE"""),"20% على جميع الخدمات")</f>
        <v>20% على جميع الخدمات</v>
      </c>
    </row>
    <row r="1688" spans="1:11" x14ac:dyDescent="0.25">
      <c r="A1688" s="4" t="str">
        <f ca="1">IFERROR(__xludf.DUMMYFUNCTION("""COMPUTED_VALUE"""),"2911")</f>
        <v>2911</v>
      </c>
      <c r="B1688" s="5" t="str">
        <f ca="1">IFERROR(__xludf.DUMMYFUNCTION("""COMPUTED_VALUE"""),"الجيزة")</f>
        <v>الجيزة</v>
      </c>
      <c r="C1688" s="5" t="str">
        <f ca="1">IFERROR(__xludf.DUMMYFUNCTION("""COMPUTED_VALUE"""),"المهندسين")</f>
        <v>المهندسين</v>
      </c>
      <c r="D1688" s="5" t="str">
        <f ca="1">IFERROR(__xludf.DUMMYFUNCTION("""COMPUTED_VALUE"""),"معمل")</f>
        <v>معمل</v>
      </c>
      <c r="E1688" s="5" t="str">
        <f ca="1">IFERROR(__xludf.DUMMYFUNCTION("""COMPUTED_VALUE"""),"معمل")</f>
        <v>معمل</v>
      </c>
      <c r="F1688" s="5" t="str">
        <f ca="1">IFERROR(__xludf.DUMMYFUNCTION("""COMPUTED_VALUE"""),"معمل التحاليل الطبية")</f>
        <v>معمل التحاليل الطبية</v>
      </c>
      <c r="G1688" s="5" t="str">
        <f ca="1">IFERROR(__xludf.DUMMYFUNCTION("""COMPUTED_VALUE"""),"معامل البرج")</f>
        <v>معامل البرج</v>
      </c>
      <c r="H1688" s="5" t="str">
        <f ca="1">IFERROR(__xludf.DUMMYFUNCTION("""COMPUTED_VALUE"""),"55شارع عبدالمنعم رياض -المهندسين- الجيزة")</f>
        <v>55شارع عبدالمنعم رياض -المهندسين- الجيزة</v>
      </c>
      <c r="I1688" s="6" t="str">
        <f ca="1">IFERROR(__xludf.DUMMYFUNCTION("""COMPUTED_VALUE"""),"20233055097")</f>
        <v>20233055097</v>
      </c>
      <c r="J1688" s="6" t="str">
        <f ca="1">IFERROR(__xludf.DUMMYFUNCTION("""COMPUTED_VALUE"""),"19911")</f>
        <v>19911</v>
      </c>
      <c r="K1688" s="6" t="str">
        <f ca="1">IFERROR(__xludf.DUMMYFUNCTION("""COMPUTED_VALUE"""),"20% على جميع الخدمات")</f>
        <v>20% على جميع الخدمات</v>
      </c>
    </row>
    <row r="1689" spans="1:11" x14ac:dyDescent="0.25">
      <c r="A1689" s="4" t="str">
        <f ca="1">IFERROR(__xludf.DUMMYFUNCTION("""COMPUTED_VALUE"""),"2911-B")</f>
        <v>2911-B</v>
      </c>
      <c r="B1689" s="5" t="str">
        <f ca="1">IFERROR(__xludf.DUMMYFUNCTION("""COMPUTED_VALUE"""),"الجيزة")</f>
        <v>الجيزة</v>
      </c>
      <c r="C1689" s="5" t="str">
        <f ca="1">IFERROR(__xludf.DUMMYFUNCTION("""COMPUTED_VALUE"""),"المهندسين")</f>
        <v>المهندسين</v>
      </c>
      <c r="D1689" s="5" t="str">
        <f ca="1">IFERROR(__xludf.DUMMYFUNCTION("""COMPUTED_VALUE"""),"معمل")</f>
        <v>معمل</v>
      </c>
      <c r="E1689" s="5" t="str">
        <f ca="1">IFERROR(__xludf.DUMMYFUNCTION("""COMPUTED_VALUE"""),"معمل")</f>
        <v>معمل</v>
      </c>
      <c r="F1689" s="5" t="str">
        <f ca="1">IFERROR(__xludf.DUMMYFUNCTION("""COMPUTED_VALUE"""),"معمل التحاليل الطبية")</f>
        <v>معمل التحاليل الطبية</v>
      </c>
      <c r="G1689" s="5" t="str">
        <f ca="1">IFERROR(__xludf.DUMMYFUNCTION("""COMPUTED_VALUE"""),"معامل البرج")</f>
        <v>معامل البرج</v>
      </c>
      <c r="H1689" s="5" t="str">
        <f ca="1">IFERROR(__xludf.DUMMYFUNCTION("""COMPUTED_VALUE"""),"92أ شارع أحمد عرابي-المهندسين- الجيزة")</f>
        <v>92أ شارع أحمد عرابي-المهندسين- الجيزة</v>
      </c>
      <c r="I1689" s="6"/>
      <c r="J1689" s="6" t="str">
        <f ca="1">IFERROR(__xludf.DUMMYFUNCTION("""COMPUTED_VALUE"""),"19911")</f>
        <v>19911</v>
      </c>
      <c r="K1689" s="6" t="str">
        <f ca="1">IFERROR(__xludf.DUMMYFUNCTION("""COMPUTED_VALUE"""),"20% على جميع الخدمات")</f>
        <v>20% على جميع الخدمات</v>
      </c>
    </row>
    <row r="1690" spans="1:11" x14ac:dyDescent="0.25">
      <c r="A1690" s="4" t="str">
        <f ca="1">IFERROR(__xludf.DUMMYFUNCTION("""COMPUTED_VALUE"""),"2911-B")</f>
        <v>2911-B</v>
      </c>
      <c r="B1690" s="5" t="str">
        <f ca="1">IFERROR(__xludf.DUMMYFUNCTION("""COMPUTED_VALUE"""),"الجيزة")</f>
        <v>الجيزة</v>
      </c>
      <c r="C1690" s="5" t="str">
        <f ca="1">IFERROR(__xludf.DUMMYFUNCTION("""COMPUTED_VALUE"""),"الهرم")</f>
        <v>الهرم</v>
      </c>
      <c r="D1690" s="5" t="str">
        <f ca="1">IFERROR(__xludf.DUMMYFUNCTION("""COMPUTED_VALUE"""),"معمل")</f>
        <v>معمل</v>
      </c>
      <c r="E1690" s="5" t="str">
        <f ca="1">IFERROR(__xludf.DUMMYFUNCTION("""COMPUTED_VALUE"""),"معمل")</f>
        <v>معمل</v>
      </c>
      <c r="F1690" s="5" t="str">
        <f ca="1">IFERROR(__xludf.DUMMYFUNCTION("""COMPUTED_VALUE"""),"معمل التحاليل الطبية")</f>
        <v>معمل التحاليل الطبية</v>
      </c>
      <c r="G1690" s="5" t="str">
        <f ca="1">IFERROR(__xludf.DUMMYFUNCTION("""COMPUTED_VALUE"""),"معامل البرج")</f>
        <v>معامل البرج</v>
      </c>
      <c r="H1690" s="5" t="str">
        <f ca="1">IFERROR(__xludf.DUMMYFUNCTION("""COMPUTED_VALUE"""),"402شارع الهرم (مستشفى السلام)-الهرم- الجيزة")</f>
        <v>402شارع الهرم (مستشفى السلام)-الهرم- الجيزة</v>
      </c>
      <c r="I1690" s="6"/>
      <c r="J1690" s="6" t="str">
        <f ca="1">IFERROR(__xludf.DUMMYFUNCTION("""COMPUTED_VALUE"""),"19911")</f>
        <v>19911</v>
      </c>
      <c r="K1690" s="6" t="str">
        <f ca="1">IFERROR(__xludf.DUMMYFUNCTION("""COMPUTED_VALUE"""),"20% على جميع الخدمات")</f>
        <v>20% على جميع الخدمات</v>
      </c>
    </row>
    <row r="1691" spans="1:11" x14ac:dyDescent="0.25">
      <c r="A1691" s="4" t="str">
        <f ca="1">IFERROR(__xludf.DUMMYFUNCTION("""COMPUTED_VALUE"""),"2911-B")</f>
        <v>2911-B</v>
      </c>
      <c r="B1691" s="5" t="str">
        <f ca="1">IFERROR(__xludf.DUMMYFUNCTION("""COMPUTED_VALUE"""),"الجيزة")</f>
        <v>الجيزة</v>
      </c>
      <c r="C1691" s="5" t="str">
        <f ca="1">IFERROR(__xludf.DUMMYFUNCTION("""COMPUTED_VALUE"""),"الهرم")</f>
        <v>الهرم</v>
      </c>
      <c r="D1691" s="5" t="str">
        <f ca="1">IFERROR(__xludf.DUMMYFUNCTION("""COMPUTED_VALUE"""),"معمل")</f>
        <v>معمل</v>
      </c>
      <c r="E1691" s="5" t="str">
        <f ca="1">IFERROR(__xludf.DUMMYFUNCTION("""COMPUTED_VALUE"""),"معمل")</f>
        <v>معمل</v>
      </c>
      <c r="F1691" s="5" t="str">
        <f ca="1">IFERROR(__xludf.DUMMYFUNCTION("""COMPUTED_VALUE"""),"معمل التحاليل الطبية")</f>
        <v>معمل التحاليل الطبية</v>
      </c>
      <c r="G1691" s="5" t="str">
        <f ca="1">IFERROR(__xludf.DUMMYFUNCTION("""COMPUTED_VALUE"""),"معامل البرج")</f>
        <v>معامل البرج</v>
      </c>
      <c r="H1691" s="5" t="str">
        <f ca="1">IFERROR(__xludf.DUMMYFUNCTION("""COMPUTED_VALUE"""),"426شارع الهرم-الهرم- الجيزة")</f>
        <v>426شارع الهرم-الهرم- الجيزة</v>
      </c>
      <c r="I1691" s="6"/>
      <c r="J1691" s="6" t="str">
        <f ca="1">IFERROR(__xludf.DUMMYFUNCTION("""COMPUTED_VALUE"""),"19911")</f>
        <v>19911</v>
      </c>
      <c r="K1691" s="6" t="str">
        <f ca="1">IFERROR(__xludf.DUMMYFUNCTION("""COMPUTED_VALUE"""),"20% على جميع الخدمات")</f>
        <v>20% على جميع الخدمات</v>
      </c>
    </row>
    <row r="1692" spans="1:11" x14ac:dyDescent="0.25">
      <c r="A1692" s="4" t="str">
        <f ca="1">IFERROR(__xludf.DUMMYFUNCTION("""COMPUTED_VALUE"""),"2911-B")</f>
        <v>2911-B</v>
      </c>
      <c r="B1692" s="5" t="str">
        <f ca="1">IFERROR(__xludf.DUMMYFUNCTION("""COMPUTED_VALUE"""),"الجيزة")</f>
        <v>الجيزة</v>
      </c>
      <c r="C1692" s="5" t="str">
        <f ca="1">IFERROR(__xludf.DUMMYFUNCTION("""COMPUTED_VALUE"""),"الهرم")</f>
        <v>الهرم</v>
      </c>
      <c r="D1692" s="5" t="str">
        <f ca="1">IFERROR(__xludf.DUMMYFUNCTION("""COMPUTED_VALUE"""),"معمل")</f>
        <v>معمل</v>
      </c>
      <c r="E1692" s="5" t="str">
        <f ca="1">IFERROR(__xludf.DUMMYFUNCTION("""COMPUTED_VALUE"""),"معمل")</f>
        <v>معمل</v>
      </c>
      <c r="F1692" s="5" t="str">
        <f ca="1">IFERROR(__xludf.DUMMYFUNCTION("""COMPUTED_VALUE"""),"معمل التحاليل الطبية")</f>
        <v>معمل التحاليل الطبية</v>
      </c>
      <c r="G1692" s="5" t="str">
        <f ca="1">IFERROR(__xludf.DUMMYFUNCTION("""COMPUTED_VALUE"""),"معامل البرج")</f>
        <v>معامل البرج</v>
      </c>
      <c r="H1692" s="5" t="str">
        <f ca="1">IFERROR(__xludf.DUMMYFUNCTION("""COMPUTED_VALUE"""),"الطالبية - 2شارع كامل عودة من عثمان محرم-الطالبية- الجيزة")</f>
        <v>الطالبية - 2شارع كامل عودة من عثمان محرم-الطالبية- الجيزة</v>
      </c>
      <c r="I1692" s="6"/>
      <c r="J1692" s="6" t="str">
        <f ca="1">IFERROR(__xludf.DUMMYFUNCTION("""COMPUTED_VALUE"""),"19911")</f>
        <v>19911</v>
      </c>
      <c r="K1692" s="6" t="str">
        <f ca="1">IFERROR(__xludf.DUMMYFUNCTION("""COMPUTED_VALUE"""),"20% على جميع الخدمات")</f>
        <v>20% على جميع الخدمات</v>
      </c>
    </row>
    <row r="1693" spans="1:11" x14ac:dyDescent="0.25">
      <c r="A1693" s="4" t="str">
        <f ca="1">IFERROR(__xludf.DUMMYFUNCTION("""COMPUTED_VALUE"""),"2911-B")</f>
        <v>2911-B</v>
      </c>
      <c r="B1693" s="5" t="str">
        <f ca="1">IFERROR(__xludf.DUMMYFUNCTION("""COMPUTED_VALUE"""),"الجيزة")</f>
        <v>الجيزة</v>
      </c>
      <c r="C1693" s="5" t="str">
        <f ca="1">IFERROR(__xludf.DUMMYFUNCTION("""COMPUTED_VALUE"""),"الهرم")</f>
        <v>الهرم</v>
      </c>
      <c r="D1693" s="5" t="str">
        <f ca="1">IFERROR(__xludf.DUMMYFUNCTION("""COMPUTED_VALUE"""),"معمل")</f>
        <v>معمل</v>
      </c>
      <c r="E1693" s="5" t="str">
        <f ca="1">IFERROR(__xludf.DUMMYFUNCTION("""COMPUTED_VALUE"""),"معمل")</f>
        <v>معمل</v>
      </c>
      <c r="F1693" s="5" t="str">
        <f ca="1">IFERROR(__xludf.DUMMYFUNCTION("""COMPUTED_VALUE"""),"معمل التحاليل الطبية")</f>
        <v>معمل التحاليل الطبية</v>
      </c>
      <c r="G1693" s="5" t="str">
        <f ca="1">IFERROR(__xludf.DUMMYFUNCTION("""COMPUTED_VALUE"""),"معامل البرج")</f>
        <v>معامل البرج</v>
      </c>
      <c r="H1693" s="5" t="str">
        <f ca="1">IFERROR(__xludf.DUMMYFUNCTION("""COMPUTED_VALUE"""),"شارع الهرم تقاطع شارع العريش عمارات ميراك سنتر-الهرم- الجيزة")</f>
        <v>شارع الهرم تقاطع شارع العريش عمارات ميراك سنتر-الهرم- الجيزة</v>
      </c>
      <c r="I1693" s="6"/>
      <c r="J1693" s="6" t="str">
        <f ca="1">IFERROR(__xludf.DUMMYFUNCTION("""COMPUTED_VALUE"""),"19911")</f>
        <v>19911</v>
      </c>
      <c r="K1693" s="6" t="str">
        <f ca="1">IFERROR(__xludf.DUMMYFUNCTION("""COMPUTED_VALUE"""),"20% على جميع الخدمات")</f>
        <v>20% على جميع الخدمات</v>
      </c>
    </row>
    <row r="1694" spans="1:11" x14ac:dyDescent="0.25">
      <c r="A1694" s="4" t="str">
        <f ca="1">IFERROR(__xludf.DUMMYFUNCTION("""COMPUTED_VALUE"""),"2911-B")</f>
        <v>2911-B</v>
      </c>
      <c r="B1694" s="5" t="str">
        <f ca="1">IFERROR(__xludf.DUMMYFUNCTION("""COMPUTED_VALUE"""),"الجيزة")</f>
        <v>الجيزة</v>
      </c>
      <c r="C1694" s="5" t="str">
        <f ca="1">IFERROR(__xludf.DUMMYFUNCTION("""COMPUTED_VALUE"""),"امبابة")</f>
        <v>امبابة</v>
      </c>
      <c r="D1694" s="5" t="str">
        <f ca="1">IFERROR(__xludf.DUMMYFUNCTION("""COMPUTED_VALUE"""),"معمل")</f>
        <v>معمل</v>
      </c>
      <c r="E1694" s="5" t="str">
        <f ca="1">IFERROR(__xludf.DUMMYFUNCTION("""COMPUTED_VALUE"""),"معمل")</f>
        <v>معمل</v>
      </c>
      <c r="F1694" s="5" t="str">
        <f ca="1">IFERROR(__xludf.DUMMYFUNCTION("""COMPUTED_VALUE"""),"معمل التحاليل الطبية")</f>
        <v>معمل التحاليل الطبية</v>
      </c>
      <c r="G1694" s="5" t="str">
        <f ca="1">IFERROR(__xludf.DUMMYFUNCTION("""COMPUTED_VALUE"""),"معامل البرج")</f>
        <v>معامل البرج</v>
      </c>
      <c r="H1694" s="5" t="str">
        <f ca="1">IFERROR(__xludf.DUMMYFUNCTION("""COMPUTED_VALUE"""),"نهاية شارع معهد البحوث -  أمام سنترال الوراق-امبابة- الجيزة")</f>
        <v>نهاية شارع معهد البحوث -  أمام سنترال الوراق-امبابة- الجيزة</v>
      </c>
      <c r="I1694" s="6"/>
      <c r="J1694" s="6" t="str">
        <f ca="1">IFERROR(__xludf.DUMMYFUNCTION("""COMPUTED_VALUE"""),"19911")</f>
        <v>19911</v>
      </c>
      <c r="K1694" s="6" t="str">
        <f ca="1">IFERROR(__xludf.DUMMYFUNCTION("""COMPUTED_VALUE"""),"20% على جميع الخدمات")</f>
        <v>20% على جميع الخدمات</v>
      </c>
    </row>
    <row r="1695" spans="1:11" x14ac:dyDescent="0.25">
      <c r="A1695" s="4" t="str">
        <f ca="1">IFERROR(__xludf.DUMMYFUNCTION("""COMPUTED_VALUE"""),"2911-B")</f>
        <v>2911-B</v>
      </c>
      <c r="B1695" s="5" t="str">
        <f ca="1">IFERROR(__xludf.DUMMYFUNCTION("""COMPUTED_VALUE"""),"الجيزة")</f>
        <v>الجيزة</v>
      </c>
      <c r="C1695" s="5" t="str">
        <f ca="1">IFERROR(__xludf.DUMMYFUNCTION("""COMPUTED_VALUE"""),"بشتيل")</f>
        <v>بشتيل</v>
      </c>
      <c r="D1695" s="5" t="str">
        <f ca="1">IFERROR(__xludf.DUMMYFUNCTION("""COMPUTED_VALUE"""),"معمل")</f>
        <v>معمل</v>
      </c>
      <c r="E1695" s="5" t="str">
        <f ca="1">IFERROR(__xludf.DUMMYFUNCTION("""COMPUTED_VALUE"""),"معمل")</f>
        <v>معمل</v>
      </c>
      <c r="F1695" s="5" t="str">
        <f ca="1">IFERROR(__xludf.DUMMYFUNCTION("""COMPUTED_VALUE"""),"معمل التحاليل الطبية")</f>
        <v>معمل التحاليل الطبية</v>
      </c>
      <c r="G1695" s="5" t="str">
        <f ca="1">IFERROR(__xludf.DUMMYFUNCTION("""COMPUTED_VALUE"""),"معامل البرج")</f>
        <v>معامل البرج</v>
      </c>
      <c r="H1695" s="5" t="str">
        <f ca="1">IFERROR(__xludf.DUMMYFUNCTION("""COMPUTED_VALUE"""),"54 شارع بشتيل العمومي - برج مكة امام سور الشركة - وراق العرب")</f>
        <v>54 شارع بشتيل العمومي - برج مكة امام سور الشركة - وراق العرب</v>
      </c>
      <c r="I1695" s="6"/>
      <c r="J1695" s="6" t="str">
        <f ca="1">IFERROR(__xludf.DUMMYFUNCTION("""COMPUTED_VALUE"""),"19911")</f>
        <v>19911</v>
      </c>
      <c r="K1695" s="6" t="str">
        <f ca="1">IFERROR(__xludf.DUMMYFUNCTION("""COMPUTED_VALUE"""),"20% على جميع الخدمات")</f>
        <v>20% على جميع الخدمات</v>
      </c>
    </row>
    <row r="1696" spans="1:11" x14ac:dyDescent="0.25">
      <c r="A1696" s="4" t="str">
        <f ca="1">IFERROR(__xludf.DUMMYFUNCTION("""COMPUTED_VALUE"""),"2911-B")</f>
        <v>2911-B</v>
      </c>
      <c r="B1696" s="5" t="str">
        <f ca="1">IFERROR(__xludf.DUMMYFUNCTION("""COMPUTED_VALUE"""),"الجيزة")</f>
        <v>الجيزة</v>
      </c>
      <c r="C1696" s="5" t="str">
        <f ca="1">IFERROR(__xludf.DUMMYFUNCTION("""COMPUTED_VALUE"""),"بولاق الدكرور")</f>
        <v>بولاق الدكرور</v>
      </c>
      <c r="D1696" s="5" t="str">
        <f ca="1">IFERROR(__xludf.DUMMYFUNCTION("""COMPUTED_VALUE"""),"معمل")</f>
        <v>معمل</v>
      </c>
      <c r="E1696" s="5" t="str">
        <f ca="1">IFERROR(__xludf.DUMMYFUNCTION("""COMPUTED_VALUE"""),"معمل")</f>
        <v>معمل</v>
      </c>
      <c r="F1696" s="5" t="str">
        <f ca="1">IFERROR(__xludf.DUMMYFUNCTION("""COMPUTED_VALUE"""),"معمل التحاليل الطبية")</f>
        <v>معمل التحاليل الطبية</v>
      </c>
      <c r="G1696" s="5" t="str">
        <f ca="1">IFERROR(__xludf.DUMMYFUNCTION("""COMPUTED_VALUE"""),"معامل البرج")</f>
        <v>معامل البرج</v>
      </c>
      <c r="H1696" s="5" t="str">
        <f ca="1">IFERROR(__xludf.DUMMYFUNCTION("""COMPUTED_VALUE"""),"تقاطع شارع ناهيا وأبو بكر الصديق - بولاق الدكرور-بولاق الدكرور- الجيزة")</f>
        <v>تقاطع شارع ناهيا وأبو بكر الصديق - بولاق الدكرور-بولاق الدكرور- الجيزة</v>
      </c>
      <c r="I1696" s="6"/>
      <c r="J1696" s="6" t="str">
        <f ca="1">IFERROR(__xludf.DUMMYFUNCTION("""COMPUTED_VALUE"""),"19911")</f>
        <v>19911</v>
      </c>
      <c r="K1696" s="6" t="str">
        <f ca="1">IFERROR(__xludf.DUMMYFUNCTION("""COMPUTED_VALUE"""),"20% على جميع الخدمات")</f>
        <v>20% على جميع الخدمات</v>
      </c>
    </row>
    <row r="1697" spans="1:11" x14ac:dyDescent="0.25">
      <c r="A1697" s="4" t="str">
        <f ca="1">IFERROR(__xludf.DUMMYFUNCTION("""COMPUTED_VALUE"""),"2911-B")</f>
        <v>2911-B</v>
      </c>
      <c r="B1697" s="5" t="str">
        <f ca="1">IFERROR(__xludf.DUMMYFUNCTION("""COMPUTED_VALUE"""),"القاهرة")</f>
        <v>القاهرة</v>
      </c>
      <c r="C1697" s="5" t="str">
        <f ca="1">IFERROR(__xludf.DUMMYFUNCTION("""COMPUTED_VALUE"""),"جسر السويس")</f>
        <v>جسر السويس</v>
      </c>
      <c r="D1697" s="5" t="str">
        <f ca="1">IFERROR(__xludf.DUMMYFUNCTION("""COMPUTED_VALUE"""),"معمل")</f>
        <v>معمل</v>
      </c>
      <c r="E1697" s="5" t="str">
        <f ca="1">IFERROR(__xludf.DUMMYFUNCTION("""COMPUTED_VALUE"""),"معمل")</f>
        <v>معمل</v>
      </c>
      <c r="F1697" s="5" t="str">
        <f ca="1">IFERROR(__xludf.DUMMYFUNCTION("""COMPUTED_VALUE"""),"معمل التحاليل الطبية")</f>
        <v>معمل التحاليل الطبية</v>
      </c>
      <c r="G1697" s="5" t="str">
        <f ca="1">IFERROR(__xludf.DUMMYFUNCTION("""COMPUTED_VALUE"""),"معامل البرج")</f>
        <v>معامل البرج</v>
      </c>
      <c r="H1697" s="5" t="str">
        <f ca="1">IFERROR(__xludf.DUMMYFUNCTION("""COMPUTED_VALUE"""),"2 أ عمارات الفاروقية - جسر السويس")</f>
        <v>2 أ عمارات الفاروقية - جسر السويس</v>
      </c>
      <c r="I1697" s="6"/>
      <c r="J1697" s="6" t="str">
        <f ca="1">IFERROR(__xludf.DUMMYFUNCTION("""COMPUTED_VALUE"""),"19911")</f>
        <v>19911</v>
      </c>
      <c r="K1697" s="6" t="str">
        <f ca="1">IFERROR(__xludf.DUMMYFUNCTION("""COMPUTED_VALUE"""),"20% على جميع الخدمات")</f>
        <v>20% على جميع الخدمات</v>
      </c>
    </row>
    <row r="1698" spans="1:11" x14ac:dyDescent="0.25">
      <c r="A1698" s="4" t="str">
        <f ca="1">IFERROR(__xludf.DUMMYFUNCTION("""COMPUTED_VALUE"""),"2911-B")</f>
        <v>2911-B</v>
      </c>
      <c r="B1698" s="5" t="str">
        <f ca="1">IFERROR(__xludf.DUMMYFUNCTION("""COMPUTED_VALUE"""),"القاهرة")</f>
        <v>القاهرة</v>
      </c>
      <c r="C1698" s="5" t="str">
        <f ca="1">IFERROR(__xludf.DUMMYFUNCTION("""COMPUTED_VALUE"""),"جسر السويس")</f>
        <v>جسر السويس</v>
      </c>
      <c r="D1698" s="5" t="str">
        <f ca="1">IFERROR(__xludf.DUMMYFUNCTION("""COMPUTED_VALUE"""),"معمل")</f>
        <v>معمل</v>
      </c>
      <c r="E1698" s="5" t="str">
        <f ca="1">IFERROR(__xludf.DUMMYFUNCTION("""COMPUTED_VALUE"""),"معمل")</f>
        <v>معمل</v>
      </c>
      <c r="F1698" s="5" t="str">
        <f ca="1">IFERROR(__xludf.DUMMYFUNCTION("""COMPUTED_VALUE"""),"معمل التحاليل الطبية")</f>
        <v>معمل التحاليل الطبية</v>
      </c>
      <c r="G1698" s="5" t="str">
        <f ca="1">IFERROR(__xludf.DUMMYFUNCTION("""COMPUTED_VALUE"""),"معامل البرج")</f>
        <v>معامل البرج</v>
      </c>
      <c r="H1698" s="5" t="str">
        <f ca="1">IFERROR(__xludf.DUMMYFUNCTION("""COMPUTED_VALUE"""),"64 أ شارع جسر السويس - امام موقف الف مسكن  - الف مسكن - جسر السويس")</f>
        <v>64 أ شارع جسر السويس - امام موقف الف مسكن  - الف مسكن - جسر السويس</v>
      </c>
      <c r="I1698" s="6"/>
      <c r="J1698" s="6" t="str">
        <f ca="1">IFERROR(__xludf.DUMMYFUNCTION("""COMPUTED_VALUE"""),"19911")</f>
        <v>19911</v>
      </c>
      <c r="K1698" s="6" t="str">
        <f ca="1">IFERROR(__xludf.DUMMYFUNCTION("""COMPUTED_VALUE"""),"20% على جميع الخدمات")</f>
        <v>20% على جميع الخدمات</v>
      </c>
    </row>
    <row r="1699" spans="1:11" x14ac:dyDescent="0.25">
      <c r="A1699" s="4" t="str">
        <f ca="1">IFERROR(__xludf.DUMMYFUNCTION("""COMPUTED_VALUE"""),"2911-B")</f>
        <v>2911-B</v>
      </c>
      <c r="B1699" s="5" t="str">
        <f ca="1">IFERROR(__xludf.DUMMYFUNCTION("""COMPUTED_VALUE"""),"الجيزة")</f>
        <v>الجيزة</v>
      </c>
      <c r="C1699" s="5" t="str">
        <f ca="1">IFERROR(__xludf.DUMMYFUNCTION("""COMPUTED_VALUE"""),"حدائق الاهرام")</f>
        <v>حدائق الاهرام</v>
      </c>
      <c r="D1699" s="5" t="str">
        <f ca="1">IFERROR(__xludf.DUMMYFUNCTION("""COMPUTED_VALUE"""),"معمل")</f>
        <v>معمل</v>
      </c>
      <c r="E1699" s="5" t="str">
        <f ca="1">IFERROR(__xludf.DUMMYFUNCTION("""COMPUTED_VALUE"""),"معمل")</f>
        <v>معمل</v>
      </c>
      <c r="F1699" s="5" t="str">
        <f ca="1">IFERROR(__xludf.DUMMYFUNCTION("""COMPUTED_VALUE"""),"معمل التحاليل الطبية")</f>
        <v>معمل التحاليل الطبية</v>
      </c>
      <c r="G1699" s="5" t="str">
        <f ca="1">IFERROR(__xludf.DUMMYFUNCTION("""COMPUTED_VALUE"""),"معامل البرج")</f>
        <v>معامل البرج</v>
      </c>
      <c r="H1699" s="5" t="str">
        <f ca="1">IFERROR(__xludf.DUMMYFUNCTION("""COMPUTED_VALUE"""),"122 ج مدخل خوفو - المدخل الاول - حدائق الاهرام")</f>
        <v>122 ج مدخل خوفو - المدخل الاول - حدائق الاهرام</v>
      </c>
      <c r="I1699" s="6"/>
      <c r="J1699" s="6" t="str">
        <f ca="1">IFERROR(__xludf.DUMMYFUNCTION("""COMPUTED_VALUE"""),"19911")</f>
        <v>19911</v>
      </c>
      <c r="K1699" s="6" t="str">
        <f ca="1">IFERROR(__xludf.DUMMYFUNCTION("""COMPUTED_VALUE"""),"20% على جميع الخدمات")</f>
        <v>20% على جميع الخدمات</v>
      </c>
    </row>
    <row r="1700" spans="1:11" x14ac:dyDescent="0.25">
      <c r="A1700" s="4" t="str">
        <f ca="1">IFERROR(__xludf.DUMMYFUNCTION("""COMPUTED_VALUE"""),"2911-B")</f>
        <v>2911-B</v>
      </c>
      <c r="B1700" s="5" t="str">
        <f ca="1">IFERROR(__xludf.DUMMYFUNCTION("""COMPUTED_VALUE"""),"القاهرة")</f>
        <v>القاهرة</v>
      </c>
      <c r="C1700" s="5" t="str">
        <f ca="1">IFERROR(__xludf.DUMMYFUNCTION("""COMPUTED_VALUE"""),"حدائق القبة")</f>
        <v>حدائق القبة</v>
      </c>
      <c r="D1700" s="5" t="str">
        <f ca="1">IFERROR(__xludf.DUMMYFUNCTION("""COMPUTED_VALUE"""),"معمل")</f>
        <v>معمل</v>
      </c>
      <c r="E1700" s="5" t="str">
        <f ca="1">IFERROR(__xludf.DUMMYFUNCTION("""COMPUTED_VALUE"""),"معمل")</f>
        <v>معمل</v>
      </c>
      <c r="F1700" s="5" t="str">
        <f ca="1">IFERROR(__xludf.DUMMYFUNCTION("""COMPUTED_VALUE"""),"معمل التحاليل الطبية")</f>
        <v>معمل التحاليل الطبية</v>
      </c>
      <c r="G1700" s="5" t="str">
        <f ca="1">IFERROR(__xludf.DUMMYFUNCTION("""COMPUTED_VALUE"""),"معامل البرج")</f>
        <v>معامل البرج</v>
      </c>
      <c r="H1700" s="5" t="str">
        <f ca="1">IFERROR(__xludf.DUMMYFUNCTION("""COMPUTED_VALUE"""),"115شارع مصر والسودان فوق كنتاكى -حدائق القبة-القاهرة")</f>
        <v>115شارع مصر والسودان فوق كنتاكى -حدائق القبة-القاهرة</v>
      </c>
      <c r="I1700" s="6"/>
      <c r="J1700" s="6" t="str">
        <f ca="1">IFERROR(__xludf.DUMMYFUNCTION("""COMPUTED_VALUE"""),"19911")</f>
        <v>19911</v>
      </c>
      <c r="K1700" s="6" t="str">
        <f ca="1">IFERROR(__xludf.DUMMYFUNCTION("""COMPUTED_VALUE"""),"20% على جميع الخدمات")</f>
        <v>20% على جميع الخدمات</v>
      </c>
    </row>
    <row r="1701" spans="1:11" x14ac:dyDescent="0.25">
      <c r="A1701" s="4" t="str">
        <f ca="1">IFERROR(__xludf.DUMMYFUNCTION("""COMPUTED_VALUE"""),"2911-B")</f>
        <v>2911-B</v>
      </c>
      <c r="B1701" s="5" t="str">
        <f ca="1">IFERROR(__xludf.DUMMYFUNCTION("""COMPUTED_VALUE"""),"القاهرة")</f>
        <v>القاهرة</v>
      </c>
      <c r="C1701" s="5" t="str">
        <f ca="1">IFERROR(__xludf.DUMMYFUNCTION("""COMPUTED_VALUE"""),"حلوان")</f>
        <v>حلوان</v>
      </c>
      <c r="D1701" s="5" t="str">
        <f ca="1">IFERROR(__xludf.DUMMYFUNCTION("""COMPUTED_VALUE"""),"معمل")</f>
        <v>معمل</v>
      </c>
      <c r="E1701" s="5" t="str">
        <f ca="1">IFERROR(__xludf.DUMMYFUNCTION("""COMPUTED_VALUE"""),"معمل")</f>
        <v>معمل</v>
      </c>
      <c r="F1701" s="5" t="str">
        <f ca="1">IFERROR(__xludf.DUMMYFUNCTION("""COMPUTED_VALUE"""),"معمل التحاليل الطبية")</f>
        <v>معمل التحاليل الطبية</v>
      </c>
      <c r="G1701" s="5" t="str">
        <f ca="1">IFERROR(__xludf.DUMMYFUNCTION("""COMPUTED_VALUE"""),"معامل البرج")</f>
        <v>معامل البرج</v>
      </c>
      <c r="H1701" s="5" t="str">
        <f ca="1">IFERROR(__xludf.DUMMYFUNCTION("""COMPUTED_VALUE"""),"26 أ شارع شريف باشادهب مول الدور الاول -بجوار محطة مترو حلوان-حلوان-القاهرة")</f>
        <v>26 أ شارع شريف باشادهب مول الدور الاول -بجوار محطة مترو حلوان-حلوان-القاهرة</v>
      </c>
      <c r="I1701" s="6"/>
      <c r="J1701" s="6" t="str">
        <f ca="1">IFERROR(__xludf.DUMMYFUNCTION("""COMPUTED_VALUE"""),"19911")</f>
        <v>19911</v>
      </c>
      <c r="K1701" s="6" t="str">
        <f ca="1">IFERROR(__xludf.DUMMYFUNCTION("""COMPUTED_VALUE"""),"20% على جميع الخدمات")</f>
        <v>20% على جميع الخدمات</v>
      </c>
    </row>
    <row r="1702" spans="1:11" x14ac:dyDescent="0.25">
      <c r="A1702" s="4" t="str">
        <f ca="1">IFERROR(__xludf.DUMMYFUNCTION("""COMPUTED_VALUE"""),"2911-B")</f>
        <v>2911-B</v>
      </c>
      <c r="B1702" s="5" t="str">
        <f ca="1">IFERROR(__xludf.DUMMYFUNCTION("""COMPUTED_VALUE"""),"القاهرة")</f>
        <v>القاهرة</v>
      </c>
      <c r="C1702" s="5" t="str">
        <f ca="1">IFERROR(__xludf.DUMMYFUNCTION("""COMPUTED_VALUE"""),"دار السلام")</f>
        <v>دار السلام</v>
      </c>
      <c r="D1702" s="5" t="str">
        <f ca="1">IFERROR(__xludf.DUMMYFUNCTION("""COMPUTED_VALUE"""),"معمل")</f>
        <v>معمل</v>
      </c>
      <c r="E1702" s="5" t="str">
        <f ca="1">IFERROR(__xludf.DUMMYFUNCTION("""COMPUTED_VALUE"""),"معمل")</f>
        <v>معمل</v>
      </c>
      <c r="F1702" s="5" t="str">
        <f ca="1">IFERROR(__xludf.DUMMYFUNCTION("""COMPUTED_VALUE"""),"معمل التحاليل الطبية")</f>
        <v>معمل التحاليل الطبية</v>
      </c>
      <c r="G1702" s="5" t="str">
        <f ca="1">IFERROR(__xludf.DUMMYFUNCTION("""COMPUTED_VALUE"""),"معامل البرج")</f>
        <v>معامل البرج</v>
      </c>
      <c r="H1702" s="5" t="str">
        <f ca="1">IFERROR(__xludf.DUMMYFUNCTION("""COMPUTED_VALUE"""),"45شارع أحمد زكي امتداد شارع الفيوم بجوار صيدلية الرازى -دار السلام-القاهرة")</f>
        <v>45شارع أحمد زكي امتداد شارع الفيوم بجوار صيدلية الرازى -دار السلام-القاهرة</v>
      </c>
      <c r="I1702" s="6"/>
      <c r="J1702" s="6" t="str">
        <f ca="1">IFERROR(__xludf.DUMMYFUNCTION("""COMPUTED_VALUE"""),"19911")</f>
        <v>19911</v>
      </c>
      <c r="K1702" s="6" t="str">
        <f ca="1">IFERROR(__xludf.DUMMYFUNCTION("""COMPUTED_VALUE"""),"20% على جميع الخدمات")</f>
        <v>20% على جميع الخدمات</v>
      </c>
    </row>
    <row r="1703" spans="1:11" x14ac:dyDescent="0.25">
      <c r="A1703" s="4" t="str">
        <f ca="1">IFERROR(__xludf.DUMMYFUNCTION("""COMPUTED_VALUE"""),"2911-B")</f>
        <v>2911-B</v>
      </c>
      <c r="B1703" s="5" t="str">
        <f ca="1">IFERROR(__xludf.DUMMYFUNCTION("""COMPUTED_VALUE"""),"القاهرة")</f>
        <v>القاهرة</v>
      </c>
      <c r="C1703" s="5" t="str">
        <f ca="1">IFERROR(__xludf.DUMMYFUNCTION("""COMPUTED_VALUE"""),"شبرا")</f>
        <v>شبرا</v>
      </c>
      <c r="D1703" s="5" t="str">
        <f ca="1">IFERROR(__xludf.DUMMYFUNCTION("""COMPUTED_VALUE"""),"معمل")</f>
        <v>معمل</v>
      </c>
      <c r="E1703" s="5" t="str">
        <f ca="1">IFERROR(__xludf.DUMMYFUNCTION("""COMPUTED_VALUE"""),"معمل")</f>
        <v>معمل</v>
      </c>
      <c r="F1703" s="5" t="str">
        <f ca="1">IFERROR(__xludf.DUMMYFUNCTION("""COMPUTED_VALUE"""),"معمل التحاليل الطبية")</f>
        <v>معمل التحاليل الطبية</v>
      </c>
      <c r="G1703" s="5" t="str">
        <f ca="1">IFERROR(__xludf.DUMMYFUNCTION("""COMPUTED_VALUE"""),"معامل البرج")</f>
        <v>معامل البرج</v>
      </c>
      <c r="H1703" s="5" t="str">
        <f ca="1">IFERROR(__xludf.DUMMYFUNCTION("""COMPUTED_VALUE"""),"53 شارع محمد الخلفاوي - ميدان الخلفاوي-شبرا-القاهرة")</f>
        <v>53 شارع محمد الخلفاوي - ميدان الخلفاوي-شبرا-القاهرة</v>
      </c>
      <c r="I1703" s="6"/>
      <c r="J1703" s="6" t="str">
        <f ca="1">IFERROR(__xludf.DUMMYFUNCTION("""COMPUTED_VALUE"""),"19911")</f>
        <v>19911</v>
      </c>
      <c r="K1703" s="6" t="str">
        <f ca="1">IFERROR(__xludf.DUMMYFUNCTION("""COMPUTED_VALUE"""),"20% على جميع الخدمات")</f>
        <v>20% على جميع الخدمات</v>
      </c>
    </row>
    <row r="1704" spans="1:11" x14ac:dyDescent="0.25">
      <c r="A1704" s="4" t="str">
        <f ca="1">IFERROR(__xludf.DUMMYFUNCTION("""COMPUTED_VALUE"""),"2911-B")</f>
        <v>2911-B</v>
      </c>
      <c r="B1704" s="5" t="str">
        <f ca="1">IFERROR(__xludf.DUMMYFUNCTION("""COMPUTED_VALUE"""),"القاهرة")</f>
        <v>القاهرة</v>
      </c>
      <c r="C1704" s="5" t="str">
        <f ca="1">IFERROR(__xludf.DUMMYFUNCTION("""COMPUTED_VALUE"""),"شبرا")</f>
        <v>شبرا</v>
      </c>
      <c r="D1704" s="5" t="str">
        <f ca="1">IFERROR(__xludf.DUMMYFUNCTION("""COMPUTED_VALUE"""),"معمل")</f>
        <v>معمل</v>
      </c>
      <c r="E1704" s="5" t="str">
        <f ca="1">IFERROR(__xludf.DUMMYFUNCTION("""COMPUTED_VALUE"""),"معمل")</f>
        <v>معمل</v>
      </c>
      <c r="F1704" s="5" t="str">
        <f ca="1">IFERROR(__xludf.DUMMYFUNCTION("""COMPUTED_VALUE"""),"معمل التحاليل الطبية")</f>
        <v>معمل التحاليل الطبية</v>
      </c>
      <c r="G1704" s="5" t="str">
        <f ca="1">IFERROR(__xludf.DUMMYFUNCTION("""COMPUTED_VALUE"""),"معامل البرج")</f>
        <v>معامل البرج</v>
      </c>
      <c r="H1704" s="5" t="str">
        <f ca="1">IFERROR(__xludf.DUMMYFUNCTION("""COMPUTED_VALUE"""),"59شارع شبرا-شبرا-القاهرة")</f>
        <v>59شارع شبرا-شبرا-القاهرة</v>
      </c>
      <c r="I1704" s="6"/>
      <c r="J1704" s="6" t="str">
        <f ca="1">IFERROR(__xludf.DUMMYFUNCTION("""COMPUTED_VALUE"""),"19911")</f>
        <v>19911</v>
      </c>
      <c r="K1704" s="6" t="str">
        <f ca="1">IFERROR(__xludf.DUMMYFUNCTION("""COMPUTED_VALUE"""),"20% على جميع الخدمات")</f>
        <v>20% على جميع الخدمات</v>
      </c>
    </row>
    <row r="1705" spans="1:11" x14ac:dyDescent="0.25">
      <c r="A1705" s="4" t="str">
        <f ca="1">IFERROR(__xludf.DUMMYFUNCTION("""COMPUTED_VALUE"""),"2911-B")</f>
        <v>2911-B</v>
      </c>
      <c r="B1705" s="5" t="str">
        <f ca="1">IFERROR(__xludf.DUMMYFUNCTION("""COMPUTED_VALUE"""),"القاهرة")</f>
        <v>القاهرة</v>
      </c>
      <c r="C1705" s="5" t="str">
        <f ca="1">IFERROR(__xludf.DUMMYFUNCTION("""COMPUTED_VALUE"""),"عين شمس")</f>
        <v>عين شمس</v>
      </c>
      <c r="D1705" s="5" t="str">
        <f ca="1">IFERROR(__xludf.DUMMYFUNCTION("""COMPUTED_VALUE"""),"معمل")</f>
        <v>معمل</v>
      </c>
      <c r="E1705" s="5" t="str">
        <f ca="1">IFERROR(__xludf.DUMMYFUNCTION("""COMPUTED_VALUE"""),"معمل")</f>
        <v>معمل</v>
      </c>
      <c r="F1705" s="5" t="str">
        <f ca="1">IFERROR(__xludf.DUMMYFUNCTION("""COMPUTED_VALUE"""),"معمل التحاليل الطبية")</f>
        <v>معمل التحاليل الطبية</v>
      </c>
      <c r="G1705" s="5" t="str">
        <f ca="1">IFERROR(__xludf.DUMMYFUNCTION("""COMPUTED_VALUE"""),"معامل البرج")</f>
        <v>معامل البرج</v>
      </c>
      <c r="H1705" s="5" t="str">
        <f ca="1">IFERROR(__xludf.DUMMYFUNCTION("""COMPUTED_VALUE"""),"2شارع شعبان موسى - ناصية شارع عين شمس-عين شمس-القاهرة")</f>
        <v>2شارع شعبان موسى - ناصية شارع عين شمس-عين شمس-القاهرة</v>
      </c>
      <c r="I1705" s="6"/>
      <c r="J1705" s="6" t="str">
        <f ca="1">IFERROR(__xludf.DUMMYFUNCTION("""COMPUTED_VALUE"""),"19911")</f>
        <v>19911</v>
      </c>
      <c r="K1705" s="6" t="str">
        <f ca="1">IFERROR(__xludf.DUMMYFUNCTION("""COMPUTED_VALUE"""),"20% على جميع الخدمات")</f>
        <v>20% على جميع الخدمات</v>
      </c>
    </row>
    <row r="1706" spans="1:11" x14ac:dyDescent="0.25">
      <c r="A1706" s="4" t="str">
        <f ca="1">IFERROR(__xludf.DUMMYFUNCTION("""COMPUTED_VALUE"""),"2911-B")</f>
        <v>2911-B</v>
      </c>
      <c r="B1706" s="5" t="str">
        <f ca="1">IFERROR(__xludf.DUMMYFUNCTION("""COMPUTED_VALUE"""),"الجيزة")</f>
        <v>الجيزة</v>
      </c>
      <c r="C1706" s="5" t="str">
        <f ca="1">IFERROR(__xludf.DUMMYFUNCTION("""COMPUTED_VALUE"""),"فيصل")</f>
        <v>فيصل</v>
      </c>
      <c r="D1706" s="5" t="str">
        <f ca="1">IFERROR(__xludf.DUMMYFUNCTION("""COMPUTED_VALUE"""),"معمل")</f>
        <v>معمل</v>
      </c>
      <c r="E1706" s="5" t="str">
        <f ca="1">IFERROR(__xludf.DUMMYFUNCTION("""COMPUTED_VALUE"""),"معمل")</f>
        <v>معمل</v>
      </c>
      <c r="F1706" s="5" t="str">
        <f ca="1">IFERROR(__xludf.DUMMYFUNCTION("""COMPUTED_VALUE"""),"معمل التحاليل الطبية")</f>
        <v>معمل التحاليل الطبية</v>
      </c>
      <c r="G1706" s="5" t="str">
        <f ca="1">IFERROR(__xludf.DUMMYFUNCTION("""COMPUTED_VALUE"""),"معامل البرج")</f>
        <v>معامل البرج</v>
      </c>
      <c r="H1706" s="5" t="str">
        <f ca="1">IFERROR(__xludf.DUMMYFUNCTION("""COMPUTED_VALUE"""),"250شارع فيصل التعاون-فيصل- الجيزة")</f>
        <v>250شارع فيصل التعاون-فيصل- الجيزة</v>
      </c>
      <c r="I1706" s="6"/>
      <c r="J1706" s="6" t="str">
        <f ca="1">IFERROR(__xludf.DUMMYFUNCTION("""COMPUTED_VALUE"""),"19911")</f>
        <v>19911</v>
      </c>
      <c r="K1706" s="6" t="str">
        <f ca="1">IFERROR(__xludf.DUMMYFUNCTION("""COMPUTED_VALUE"""),"20% على جميع الخدمات")</f>
        <v>20% على جميع الخدمات</v>
      </c>
    </row>
    <row r="1707" spans="1:11" x14ac:dyDescent="0.25">
      <c r="A1707" s="4" t="str">
        <f ca="1">IFERROR(__xludf.DUMMYFUNCTION("""COMPUTED_VALUE"""),"2911-B")</f>
        <v>2911-B</v>
      </c>
      <c r="B1707" s="5" t="str">
        <f ca="1">IFERROR(__xludf.DUMMYFUNCTION("""COMPUTED_VALUE"""),"الجيزة")</f>
        <v>الجيزة</v>
      </c>
      <c r="C1707" s="5" t="str">
        <f ca="1">IFERROR(__xludf.DUMMYFUNCTION("""COMPUTED_VALUE"""),"فيصل")</f>
        <v>فيصل</v>
      </c>
      <c r="D1707" s="5" t="str">
        <f ca="1">IFERROR(__xludf.DUMMYFUNCTION("""COMPUTED_VALUE"""),"معمل")</f>
        <v>معمل</v>
      </c>
      <c r="E1707" s="5" t="str">
        <f ca="1">IFERROR(__xludf.DUMMYFUNCTION("""COMPUTED_VALUE"""),"معمل")</f>
        <v>معمل</v>
      </c>
      <c r="F1707" s="5" t="str">
        <f ca="1">IFERROR(__xludf.DUMMYFUNCTION("""COMPUTED_VALUE"""),"معمل التحاليل الطبية")</f>
        <v>معمل التحاليل الطبية</v>
      </c>
      <c r="G1707" s="5" t="str">
        <f ca="1">IFERROR(__xludf.DUMMYFUNCTION("""COMPUTED_VALUE"""),"معامل البرج")</f>
        <v>معامل البرج</v>
      </c>
      <c r="H1707" s="5" t="str">
        <f ca="1">IFERROR(__xludf.DUMMYFUNCTION("""COMPUTED_VALUE"""),"تقاطع فيصل مع شارع عيد مصطفى-فيصل- الجيزة")</f>
        <v>تقاطع فيصل مع شارع عيد مصطفى-فيصل- الجيزة</v>
      </c>
      <c r="I1707" s="6"/>
      <c r="J1707" s="6" t="str">
        <f ca="1">IFERROR(__xludf.DUMMYFUNCTION("""COMPUTED_VALUE"""),"19911")</f>
        <v>19911</v>
      </c>
      <c r="K1707" s="6" t="str">
        <f ca="1">IFERROR(__xludf.DUMMYFUNCTION("""COMPUTED_VALUE"""),"20% على جميع الخدمات")</f>
        <v>20% على جميع الخدمات</v>
      </c>
    </row>
    <row r="1708" spans="1:11" x14ac:dyDescent="0.25">
      <c r="A1708" s="4" t="str">
        <f ca="1">IFERROR(__xludf.DUMMYFUNCTION("""COMPUTED_VALUE"""),"2911-B")</f>
        <v>2911-B</v>
      </c>
      <c r="B1708" s="5" t="str">
        <f ca="1">IFERROR(__xludf.DUMMYFUNCTION("""COMPUTED_VALUE"""),"القليوبية")</f>
        <v>القليوبية</v>
      </c>
      <c r="C1708" s="5" t="str">
        <f ca="1">IFERROR(__xludf.DUMMYFUNCTION("""COMPUTED_VALUE"""),"مدينة العبور")</f>
        <v>مدينة العبور</v>
      </c>
      <c r="D1708" s="5" t="str">
        <f ca="1">IFERROR(__xludf.DUMMYFUNCTION("""COMPUTED_VALUE"""),"معمل")</f>
        <v>معمل</v>
      </c>
      <c r="E1708" s="5" t="str">
        <f ca="1">IFERROR(__xludf.DUMMYFUNCTION("""COMPUTED_VALUE"""),"معمل")</f>
        <v>معمل</v>
      </c>
      <c r="F1708" s="5" t="str">
        <f ca="1">IFERROR(__xludf.DUMMYFUNCTION("""COMPUTED_VALUE"""),"معمل التحاليل الطبية")</f>
        <v>معمل التحاليل الطبية</v>
      </c>
      <c r="G1708" s="5" t="str">
        <f ca="1">IFERROR(__xludf.DUMMYFUNCTION("""COMPUTED_VALUE"""),"معامل البرج")</f>
        <v>معامل البرج</v>
      </c>
      <c r="H1708" s="5" t="str">
        <f ca="1">IFERROR(__xludf.DUMMYFUNCTION("""COMPUTED_VALUE"""),"الحي الاول - سنتر الحجاز-مدينة العبور--القليوبية")</f>
        <v>الحي الاول - سنتر الحجاز-مدينة العبور--القليوبية</v>
      </c>
      <c r="I1708" s="6"/>
      <c r="J1708" s="6" t="str">
        <f ca="1">IFERROR(__xludf.DUMMYFUNCTION("""COMPUTED_VALUE"""),"19911")</f>
        <v>19911</v>
      </c>
      <c r="K1708" s="6" t="str">
        <f ca="1">IFERROR(__xludf.DUMMYFUNCTION("""COMPUTED_VALUE"""),"20% على جميع الخدمات")</f>
        <v>20% على جميع الخدمات</v>
      </c>
    </row>
    <row r="1709" spans="1:11" x14ac:dyDescent="0.25">
      <c r="A1709" s="4" t="str">
        <f ca="1">IFERROR(__xludf.DUMMYFUNCTION("""COMPUTED_VALUE"""),"2911-B")</f>
        <v>2911-B</v>
      </c>
      <c r="B1709" s="5" t="str">
        <f ca="1">IFERROR(__xludf.DUMMYFUNCTION("""COMPUTED_VALUE"""),"القاهرة")</f>
        <v>القاهرة</v>
      </c>
      <c r="C1709" s="5" t="str">
        <f ca="1">IFERROR(__xludf.DUMMYFUNCTION("""COMPUTED_VALUE"""),"مدينة نصر")</f>
        <v>مدينة نصر</v>
      </c>
      <c r="D1709" s="5" t="str">
        <f ca="1">IFERROR(__xludf.DUMMYFUNCTION("""COMPUTED_VALUE"""),"معمل")</f>
        <v>معمل</v>
      </c>
      <c r="E1709" s="5" t="str">
        <f ca="1">IFERROR(__xludf.DUMMYFUNCTION("""COMPUTED_VALUE"""),"معمل")</f>
        <v>معمل</v>
      </c>
      <c r="F1709" s="5" t="str">
        <f ca="1">IFERROR(__xludf.DUMMYFUNCTION("""COMPUTED_VALUE"""),"معمل التحاليل الطبية")</f>
        <v>معمل التحاليل الطبية</v>
      </c>
      <c r="G1709" s="5" t="str">
        <f ca="1">IFERROR(__xludf.DUMMYFUNCTION("""COMPUTED_VALUE"""),"معامل البرج")</f>
        <v>معامل البرج</v>
      </c>
      <c r="H1709" s="5" t="str">
        <f ca="1">IFERROR(__xludf.DUMMYFUNCTION("""COMPUTED_VALUE"""),"تقاطع ذاكر حسين مع متولي الشعراوي - موقف الحي العاشر-مدينة نصر-القاهرة")</f>
        <v>تقاطع ذاكر حسين مع متولي الشعراوي - موقف الحي العاشر-مدينة نصر-القاهرة</v>
      </c>
      <c r="I1709" s="6"/>
      <c r="J1709" s="6" t="str">
        <f ca="1">IFERROR(__xludf.DUMMYFUNCTION("""COMPUTED_VALUE"""),"19911")</f>
        <v>19911</v>
      </c>
      <c r="K1709" s="6" t="str">
        <f ca="1">IFERROR(__xludf.DUMMYFUNCTION("""COMPUTED_VALUE"""),"20% على جميع الخدمات")</f>
        <v>20% على جميع الخدمات</v>
      </c>
    </row>
    <row r="1710" spans="1:11" x14ac:dyDescent="0.25">
      <c r="A1710" s="4" t="str">
        <f ca="1">IFERROR(__xludf.DUMMYFUNCTION("""COMPUTED_VALUE"""),"2911-B")</f>
        <v>2911-B</v>
      </c>
      <c r="B1710" s="5" t="str">
        <f ca="1">IFERROR(__xludf.DUMMYFUNCTION("""COMPUTED_VALUE"""),"القاهرة")</f>
        <v>القاهرة</v>
      </c>
      <c r="C1710" s="5" t="str">
        <f ca="1">IFERROR(__xludf.DUMMYFUNCTION("""COMPUTED_VALUE"""),"مدينة نصر")</f>
        <v>مدينة نصر</v>
      </c>
      <c r="D1710" s="5" t="str">
        <f ca="1">IFERROR(__xludf.DUMMYFUNCTION("""COMPUTED_VALUE"""),"معمل")</f>
        <v>معمل</v>
      </c>
      <c r="E1710" s="5" t="str">
        <f ca="1">IFERROR(__xludf.DUMMYFUNCTION("""COMPUTED_VALUE"""),"معمل")</f>
        <v>معمل</v>
      </c>
      <c r="F1710" s="5" t="str">
        <f ca="1">IFERROR(__xludf.DUMMYFUNCTION("""COMPUTED_VALUE"""),"معمل التحاليل الطبية")</f>
        <v>معمل التحاليل الطبية</v>
      </c>
      <c r="G1710" s="5" t="str">
        <f ca="1">IFERROR(__xludf.DUMMYFUNCTION("""COMPUTED_VALUE"""),"معامل البرج")</f>
        <v>معامل البرج</v>
      </c>
      <c r="H1710" s="5" t="str">
        <f ca="1">IFERROR(__xludf.DUMMYFUNCTION("""COMPUTED_VALUE"""),"عمارات شباب المهندسين (7ب)  امام قسم اول مدينة نصر - طريق النصر-مدينة نصر-القاهرة")</f>
        <v>عمارات شباب المهندسين (7ب)  امام قسم اول مدينة نصر - طريق النصر-مدينة نصر-القاهرة</v>
      </c>
      <c r="I1710" s="6"/>
      <c r="J1710" s="6" t="str">
        <f ca="1">IFERROR(__xludf.DUMMYFUNCTION("""COMPUTED_VALUE"""),"19911")</f>
        <v>19911</v>
      </c>
      <c r="K1710" s="6" t="str">
        <f ca="1">IFERROR(__xludf.DUMMYFUNCTION("""COMPUTED_VALUE"""),"20% على جميع الخدمات")</f>
        <v>20% على جميع الخدمات</v>
      </c>
    </row>
    <row r="1711" spans="1:11" x14ac:dyDescent="0.25">
      <c r="A1711" s="4" t="str">
        <f ca="1">IFERROR(__xludf.DUMMYFUNCTION("""COMPUTED_VALUE"""),"2911-B")</f>
        <v>2911-B</v>
      </c>
      <c r="B1711" s="5" t="str">
        <f ca="1">IFERROR(__xludf.DUMMYFUNCTION("""COMPUTED_VALUE"""),"القاهرة")</f>
        <v>القاهرة</v>
      </c>
      <c r="C1711" s="5" t="str">
        <f ca="1">IFERROR(__xludf.DUMMYFUNCTION("""COMPUTED_VALUE"""),"مصر الجديدة")</f>
        <v>مصر الجديدة</v>
      </c>
      <c r="D1711" s="5" t="str">
        <f ca="1">IFERROR(__xludf.DUMMYFUNCTION("""COMPUTED_VALUE"""),"معمل")</f>
        <v>معمل</v>
      </c>
      <c r="E1711" s="5" t="str">
        <f ca="1">IFERROR(__xludf.DUMMYFUNCTION("""COMPUTED_VALUE"""),"معمل")</f>
        <v>معمل</v>
      </c>
      <c r="F1711" s="5" t="str">
        <f ca="1">IFERROR(__xludf.DUMMYFUNCTION("""COMPUTED_VALUE"""),"معمل التحاليل الطبية")</f>
        <v>معمل التحاليل الطبية</v>
      </c>
      <c r="G1711" s="5" t="str">
        <f ca="1">IFERROR(__xludf.DUMMYFUNCTION("""COMPUTED_VALUE"""),"معامل البرج")</f>
        <v>معامل البرج</v>
      </c>
      <c r="H1711" s="5" t="str">
        <f ca="1">IFERROR(__xludf.DUMMYFUNCTION("""COMPUTED_VALUE"""),"ميدان الأسماعلية 31شارع الامام علي-مصر الجديدة-القاهرة")</f>
        <v>ميدان الأسماعلية 31شارع الامام علي-مصر الجديدة-القاهرة</v>
      </c>
      <c r="I1711" s="6"/>
      <c r="J1711" s="6" t="str">
        <f ca="1">IFERROR(__xludf.DUMMYFUNCTION("""COMPUTED_VALUE"""),"19911")</f>
        <v>19911</v>
      </c>
      <c r="K1711" s="6" t="str">
        <f ca="1">IFERROR(__xludf.DUMMYFUNCTION("""COMPUTED_VALUE"""),"20% على جميع الخدمات")</f>
        <v>20% على جميع الخدمات</v>
      </c>
    </row>
    <row r="1712" spans="1:11" x14ac:dyDescent="0.25">
      <c r="A1712" s="4" t="str">
        <f ca="1">IFERROR(__xludf.DUMMYFUNCTION("""COMPUTED_VALUE"""),"2911-B")</f>
        <v>2911-B</v>
      </c>
      <c r="B1712" s="5" t="str">
        <f ca="1">IFERROR(__xludf.DUMMYFUNCTION("""COMPUTED_VALUE"""),"القاهرة")</f>
        <v>القاهرة</v>
      </c>
      <c r="C1712" s="5" t="str">
        <f ca="1">IFERROR(__xludf.DUMMYFUNCTION("""COMPUTED_VALUE"""),"مصر الجديدة")</f>
        <v>مصر الجديدة</v>
      </c>
      <c r="D1712" s="5" t="str">
        <f ca="1">IFERROR(__xludf.DUMMYFUNCTION("""COMPUTED_VALUE"""),"معمل")</f>
        <v>معمل</v>
      </c>
      <c r="E1712" s="5" t="str">
        <f ca="1">IFERROR(__xludf.DUMMYFUNCTION("""COMPUTED_VALUE"""),"معمل")</f>
        <v>معمل</v>
      </c>
      <c r="F1712" s="5" t="str">
        <f ca="1">IFERROR(__xludf.DUMMYFUNCTION("""COMPUTED_VALUE"""),"معمل التحاليل الطبية")</f>
        <v>معمل التحاليل الطبية</v>
      </c>
      <c r="G1712" s="5" t="str">
        <f ca="1">IFERROR(__xludf.DUMMYFUNCTION("""COMPUTED_VALUE"""),"معامل البرج")</f>
        <v>معامل البرج</v>
      </c>
      <c r="H1712" s="5" t="str">
        <f ca="1">IFERROR(__xludf.DUMMYFUNCTION("""COMPUTED_VALUE"""),"115شارع سليم الأول - حلمية الزيتون-مصر الجديدة-القاهرة")</f>
        <v>115شارع سليم الأول - حلمية الزيتون-مصر الجديدة-القاهرة</v>
      </c>
      <c r="I1712" s="6"/>
      <c r="J1712" s="6" t="str">
        <f ca="1">IFERROR(__xludf.DUMMYFUNCTION("""COMPUTED_VALUE"""),"19911")</f>
        <v>19911</v>
      </c>
      <c r="K1712" s="6" t="str">
        <f ca="1">IFERROR(__xludf.DUMMYFUNCTION("""COMPUTED_VALUE"""),"20% على جميع الخدمات")</f>
        <v>20% على جميع الخدمات</v>
      </c>
    </row>
    <row r="1713" spans="1:11" x14ac:dyDescent="0.25">
      <c r="A1713" s="4" t="str">
        <f ca="1">IFERROR(__xludf.DUMMYFUNCTION("""COMPUTED_VALUE"""),"2911-B")</f>
        <v>2911-B</v>
      </c>
      <c r="B1713" s="5" t="str">
        <f ca="1">IFERROR(__xludf.DUMMYFUNCTION("""COMPUTED_VALUE"""),"القاهرة")</f>
        <v>القاهرة</v>
      </c>
      <c r="C1713" s="5" t="str">
        <f ca="1">IFERROR(__xludf.DUMMYFUNCTION("""COMPUTED_VALUE"""),"مصر الجديدة")</f>
        <v>مصر الجديدة</v>
      </c>
      <c r="D1713" s="5" t="str">
        <f ca="1">IFERROR(__xludf.DUMMYFUNCTION("""COMPUTED_VALUE"""),"معمل")</f>
        <v>معمل</v>
      </c>
      <c r="E1713" s="5" t="str">
        <f ca="1">IFERROR(__xludf.DUMMYFUNCTION("""COMPUTED_VALUE"""),"معمل")</f>
        <v>معمل</v>
      </c>
      <c r="F1713" s="5" t="str">
        <f ca="1">IFERROR(__xludf.DUMMYFUNCTION("""COMPUTED_VALUE"""),"معمل التحاليل الطبية")</f>
        <v>معمل التحاليل الطبية</v>
      </c>
      <c r="G1713" s="5" t="str">
        <f ca="1">IFERROR(__xludf.DUMMYFUNCTION("""COMPUTED_VALUE"""),"معامل البرج")</f>
        <v>معامل البرج</v>
      </c>
      <c r="H1713" s="5" t="str">
        <f ca="1">IFERROR(__xludf.DUMMYFUNCTION("""COMPUTED_VALUE"""),"4شارع المروة خلف سينما روكسي-مصر الجديدة-القاهرة")</f>
        <v>4شارع المروة خلف سينما روكسي-مصر الجديدة-القاهرة</v>
      </c>
      <c r="I1713" s="6"/>
      <c r="J1713" s="6" t="str">
        <f ca="1">IFERROR(__xludf.DUMMYFUNCTION("""COMPUTED_VALUE"""),"19911")</f>
        <v>19911</v>
      </c>
      <c r="K1713" s="6" t="str">
        <f ca="1">IFERROR(__xludf.DUMMYFUNCTION("""COMPUTED_VALUE"""),"20% على جميع الخدمات")</f>
        <v>20% على جميع الخدمات</v>
      </c>
    </row>
    <row r="1714" spans="1:11" x14ac:dyDescent="0.25">
      <c r="A1714" s="4" t="str">
        <f ca="1">IFERROR(__xludf.DUMMYFUNCTION("""COMPUTED_VALUE"""),"2911-B")</f>
        <v>2911-B</v>
      </c>
      <c r="B1714" s="5" t="str">
        <f ca="1">IFERROR(__xludf.DUMMYFUNCTION("""COMPUTED_VALUE"""),"القاهرة")</f>
        <v>القاهرة</v>
      </c>
      <c r="C1714" s="5" t="str">
        <f ca="1">IFERROR(__xludf.DUMMYFUNCTION("""COMPUTED_VALUE"""),"مصر الجديدة")</f>
        <v>مصر الجديدة</v>
      </c>
      <c r="D1714" s="5" t="str">
        <f ca="1">IFERROR(__xludf.DUMMYFUNCTION("""COMPUTED_VALUE"""),"معمل")</f>
        <v>معمل</v>
      </c>
      <c r="E1714" s="5" t="str">
        <f ca="1">IFERROR(__xludf.DUMMYFUNCTION("""COMPUTED_VALUE"""),"معمل")</f>
        <v>معمل</v>
      </c>
      <c r="F1714" s="5" t="str">
        <f ca="1">IFERROR(__xludf.DUMMYFUNCTION("""COMPUTED_VALUE"""),"معمل التحاليل الطبية")</f>
        <v>معمل التحاليل الطبية</v>
      </c>
      <c r="G1714" s="5" t="str">
        <f ca="1">IFERROR(__xludf.DUMMYFUNCTION("""COMPUTED_VALUE"""),"معامل البرج")</f>
        <v>معامل البرج</v>
      </c>
      <c r="H1714" s="5" t="str">
        <f ca="1">IFERROR(__xludf.DUMMYFUNCTION("""COMPUTED_VALUE"""),"اخر شارع سيد زكريا امام السنترال ومسجد الصديق الشيراتون-مصر الجديدة-القاهرة")</f>
        <v>اخر شارع سيد زكريا امام السنترال ومسجد الصديق الشيراتون-مصر الجديدة-القاهرة</v>
      </c>
      <c r="I1714" s="6"/>
      <c r="J1714" s="6" t="str">
        <f ca="1">IFERROR(__xludf.DUMMYFUNCTION("""COMPUTED_VALUE"""),"19911")</f>
        <v>19911</v>
      </c>
      <c r="K1714" s="6" t="str">
        <f ca="1">IFERROR(__xludf.DUMMYFUNCTION("""COMPUTED_VALUE"""),"20% على جميع الخدمات")</f>
        <v>20% على جميع الخدمات</v>
      </c>
    </row>
    <row r="1715" spans="1:11" x14ac:dyDescent="0.25">
      <c r="A1715" s="4" t="str">
        <f ca="1">IFERROR(__xludf.DUMMYFUNCTION("""COMPUTED_VALUE"""),"2911-B")</f>
        <v>2911-B</v>
      </c>
      <c r="B1715" s="5" t="str">
        <f ca="1">IFERROR(__xludf.DUMMYFUNCTION("""COMPUTED_VALUE"""),"القاهرة")</f>
        <v>القاهرة</v>
      </c>
      <c r="C1715" s="5" t="str">
        <f ca="1">IFERROR(__xludf.DUMMYFUNCTION("""COMPUTED_VALUE"""),"وسط البلد")</f>
        <v>وسط البلد</v>
      </c>
      <c r="D1715" s="5" t="str">
        <f ca="1">IFERROR(__xludf.DUMMYFUNCTION("""COMPUTED_VALUE"""),"معمل")</f>
        <v>معمل</v>
      </c>
      <c r="E1715" s="5" t="str">
        <f ca="1">IFERROR(__xludf.DUMMYFUNCTION("""COMPUTED_VALUE"""),"معمل")</f>
        <v>معمل</v>
      </c>
      <c r="F1715" s="5" t="str">
        <f ca="1">IFERROR(__xludf.DUMMYFUNCTION("""COMPUTED_VALUE"""),"معمل التحاليل الطبية")</f>
        <v>معمل التحاليل الطبية</v>
      </c>
      <c r="G1715" s="5" t="str">
        <f ca="1">IFERROR(__xludf.DUMMYFUNCTION("""COMPUTED_VALUE"""),"معامل البرج")</f>
        <v>معامل البرج</v>
      </c>
      <c r="H1715" s="5" t="str">
        <f ca="1">IFERROR(__xludf.DUMMYFUNCTION("""COMPUTED_VALUE"""),"49شارع نوبار - باب اللوق-وسط البلد-القاهرة")</f>
        <v>49شارع نوبار - باب اللوق-وسط البلد-القاهرة</v>
      </c>
      <c r="I1715" s="6"/>
      <c r="J1715" s="6" t="str">
        <f ca="1">IFERROR(__xludf.DUMMYFUNCTION("""COMPUTED_VALUE"""),"19911")</f>
        <v>19911</v>
      </c>
      <c r="K1715" s="6" t="str">
        <f ca="1">IFERROR(__xludf.DUMMYFUNCTION("""COMPUTED_VALUE"""),"20% على جميع الخدمات")</f>
        <v>20% على جميع الخدمات</v>
      </c>
    </row>
    <row r="1716" spans="1:11" x14ac:dyDescent="0.25">
      <c r="A1716" s="4" t="str">
        <f ca="1">IFERROR(__xludf.DUMMYFUNCTION("""COMPUTED_VALUE"""),"2911-B")</f>
        <v>2911-B</v>
      </c>
      <c r="B1716" s="5" t="str">
        <f ca="1">IFERROR(__xludf.DUMMYFUNCTION("""COMPUTED_VALUE"""),"القاهرة")</f>
        <v>القاهرة</v>
      </c>
      <c r="C1716" s="5" t="str">
        <f ca="1">IFERROR(__xludf.DUMMYFUNCTION("""COMPUTED_VALUE"""),"وسط البلد")</f>
        <v>وسط البلد</v>
      </c>
      <c r="D1716" s="5" t="str">
        <f ca="1">IFERROR(__xludf.DUMMYFUNCTION("""COMPUTED_VALUE"""),"معمل")</f>
        <v>معمل</v>
      </c>
      <c r="E1716" s="5" t="str">
        <f ca="1">IFERROR(__xludf.DUMMYFUNCTION("""COMPUTED_VALUE"""),"معمل")</f>
        <v>معمل</v>
      </c>
      <c r="F1716" s="5" t="str">
        <f ca="1">IFERROR(__xludf.DUMMYFUNCTION("""COMPUTED_VALUE"""),"معمل التحاليل الطبية")</f>
        <v>معمل التحاليل الطبية</v>
      </c>
      <c r="G1716" s="5" t="str">
        <f ca="1">IFERROR(__xludf.DUMMYFUNCTION("""COMPUTED_VALUE"""),"معامل البرج")</f>
        <v>معامل البرج</v>
      </c>
      <c r="H1716" s="5" t="str">
        <f ca="1">IFERROR(__xludf.DUMMYFUNCTION("""COMPUTED_VALUE"""),"561 شارع بورسعيد - باب الشعرية")</f>
        <v>561 شارع بورسعيد - باب الشعرية</v>
      </c>
      <c r="I1716" s="6"/>
      <c r="J1716" s="6" t="str">
        <f ca="1">IFERROR(__xludf.DUMMYFUNCTION("""COMPUTED_VALUE"""),"19911")</f>
        <v>19911</v>
      </c>
      <c r="K1716" s="6" t="str">
        <f ca="1">IFERROR(__xludf.DUMMYFUNCTION("""COMPUTED_VALUE"""),"20% على جميع الخدمات")</f>
        <v>20% على جميع الخدمات</v>
      </c>
    </row>
    <row r="1717" spans="1:11" x14ac:dyDescent="0.25">
      <c r="A1717" s="4" t="str">
        <f ca="1">IFERROR(__xludf.DUMMYFUNCTION("""COMPUTED_VALUE"""),"2911-B")</f>
        <v>2911-B</v>
      </c>
      <c r="B1717" s="5" t="str">
        <f ca="1">IFERROR(__xludf.DUMMYFUNCTION("""COMPUTED_VALUE"""),"القليوبية")</f>
        <v>القليوبية</v>
      </c>
      <c r="C1717" s="5" t="str">
        <f ca="1">IFERROR(__xludf.DUMMYFUNCTION("""COMPUTED_VALUE"""),"القناطر الخيرية")</f>
        <v>القناطر الخيرية</v>
      </c>
      <c r="D1717" s="5" t="str">
        <f ca="1">IFERROR(__xludf.DUMMYFUNCTION("""COMPUTED_VALUE"""),"معمل")</f>
        <v>معمل</v>
      </c>
      <c r="E1717" s="5" t="str">
        <f ca="1">IFERROR(__xludf.DUMMYFUNCTION("""COMPUTED_VALUE"""),"معمل")</f>
        <v>معمل</v>
      </c>
      <c r="F1717" s="5" t="str">
        <f ca="1">IFERROR(__xludf.DUMMYFUNCTION("""COMPUTED_VALUE"""),"معمل التحاليل الطبية")</f>
        <v>معمل التحاليل الطبية</v>
      </c>
      <c r="G1717" s="5" t="str">
        <f ca="1">IFERROR(__xludf.DUMMYFUNCTION("""COMPUTED_VALUE"""),"معامل البرج")</f>
        <v>معامل البرج</v>
      </c>
      <c r="H1717" s="5" t="str">
        <f ca="1">IFERROR(__xludf.DUMMYFUNCTION("""COMPUTED_VALUE"""),"شارع سوق الثلاثاء - القناطر الخيرية - القليوبية")</f>
        <v>شارع سوق الثلاثاء - القناطر الخيرية - القليوبية</v>
      </c>
      <c r="I1717" s="6"/>
      <c r="J1717" s="6" t="str">
        <f ca="1">IFERROR(__xludf.DUMMYFUNCTION("""COMPUTED_VALUE"""),"19911")</f>
        <v>19911</v>
      </c>
      <c r="K1717" s="6" t="str">
        <f ca="1">IFERROR(__xludf.DUMMYFUNCTION("""COMPUTED_VALUE"""),"20% على جميع الخدمات")</f>
        <v>20% على جميع الخدمات</v>
      </c>
    </row>
    <row r="1718" spans="1:11" x14ac:dyDescent="0.25">
      <c r="A1718" s="4" t="str">
        <f ca="1">IFERROR(__xludf.DUMMYFUNCTION("""COMPUTED_VALUE"""),"2911-B")</f>
        <v>2911-B</v>
      </c>
      <c r="B1718" s="5" t="str">
        <f ca="1">IFERROR(__xludf.DUMMYFUNCTION("""COMPUTED_VALUE"""),"القليوبية")</f>
        <v>القليوبية</v>
      </c>
      <c r="C1718" s="5" t="str">
        <f ca="1">IFERROR(__xludf.DUMMYFUNCTION("""COMPUTED_VALUE"""),"بنها")</f>
        <v>بنها</v>
      </c>
      <c r="D1718" s="5" t="str">
        <f ca="1">IFERROR(__xludf.DUMMYFUNCTION("""COMPUTED_VALUE"""),"معمل")</f>
        <v>معمل</v>
      </c>
      <c r="E1718" s="5" t="str">
        <f ca="1">IFERROR(__xludf.DUMMYFUNCTION("""COMPUTED_VALUE"""),"معمل")</f>
        <v>معمل</v>
      </c>
      <c r="F1718" s="5" t="str">
        <f ca="1">IFERROR(__xludf.DUMMYFUNCTION("""COMPUTED_VALUE"""),"معمل التحاليل الطبية")</f>
        <v>معمل التحاليل الطبية</v>
      </c>
      <c r="G1718" s="5" t="str">
        <f ca="1">IFERROR(__xludf.DUMMYFUNCTION("""COMPUTED_VALUE"""),"معامل البرج")</f>
        <v>معامل البرج</v>
      </c>
      <c r="H1718" s="5" t="str">
        <f ca="1">IFERROR(__xludf.DUMMYFUNCTION("""COMPUTED_VALUE"""),"1شارع الحرية - عمر طوسون سابقا-بنها-القليوبية")</f>
        <v>1شارع الحرية - عمر طوسون سابقا-بنها-القليوبية</v>
      </c>
      <c r="I1718" s="6"/>
      <c r="J1718" s="6" t="str">
        <f ca="1">IFERROR(__xludf.DUMMYFUNCTION("""COMPUTED_VALUE"""),"19911")</f>
        <v>19911</v>
      </c>
      <c r="K1718" s="6" t="str">
        <f ca="1">IFERROR(__xludf.DUMMYFUNCTION("""COMPUTED_VALUE"""),"20% على جميع الخدمات")</f>
        <v>20% على جميع الخدمات</v>
      </c>
    </row>
    <row r="1719" spans="1:11" x14ac:dyDescent="0.25">
      <c r="A1719" s="4" t="str">
        <f ca="1">IFERROR(__xludf.DUMMYFUNCTION("""COMPUTED_VALUE"""),"2911-B")</f>
        <v>2911-B</v>
      </c>
      <c r="B1719" s="5" t="str">
        <f ca="1">IFERROR(__xludf.DUMMYFUNCTION("""COMPUTED_VALUE"""),"القليوبية")</f>
        <v>القليوبية</v>
      </c>
      <c r="C1719" s="5" t="str">
        <f ca="1">IFERROR(__xludf.DUMMYFUNCTION("""COMPUTED_VALUE"""),"شبرا الخيمة")</f>
        <v>شبرا الخيمة</v>
      </c>
      <c r="D1719" s="5" t="str">
        <f ca="1">IFERROR(__xludf.DUMMYFUNCTION("""COMPUTED_VALUE"""),"معمل")</f>
        <v>معمل</v>
      </c>
      <c r="E1719" s="5" t="str">
        <f ca="1">IFERROR(__xludf.DUMMYFUNCTION("""COMPUTED_VALUE"""),"معمل")</f>
        <v>معمل</v>
      </c>
      <c r="F1719" s="5" t="str">
        <f ca="1">IFERROR(__xludf.DUMMYFUNCTION("""COMPUTED_VALUE"""),"معمل التحاليل الطبية")</f>
        <v>معمل التحاليل الطبية</v>
      </c>
      <c r="G1719" s="5" t="str">
        <f ca="1">IFERROR(__xludf.DUMMYFUNCTION("""COMPUTED_VALUE"""),"معامل البرج")</f>
        <v>معامل البرج</v>
      </c>
      <c r="H1719" s="5" t="str">
        <f ca="1">IFERROR(__xludf.DUMMYFUNCTION("""COMPUTED_VALUE"""),"أرض نوبار 33شارع 15مايو-شبرا الخيمة-القليوبية")</f>
        <v>أرض نوبار 33شارع 15مايو-شبرا الخيمة-القليوبية</v>
      </c>
      <c r="I1719" s="6"/>
      <c r="J1719" s="6" t="str">
        <f ca="1">IFERROR(__xludf.DUMMYFUNCTION("""COMPUTED_VALUE"""),"19911")</f>
        <v>19911</v>
      </c>
      <c r="K1719" s="6" t="str">
        <f ca="1">IFERROR(__xludf.DUMMYFUNCTION("""COMPUTED_VALUE"""),"20% على جميع الخدمات")</f>
        <v>20% على جميع الخدمات</v>
      </c>
    </row>
    <row r="1720" spans="1:11" x14ac:dyDescent="0.25">
      <c r="A1720" s="4" t="str">
        <f ca="1">IFERROR(__xludf.DUMMYFUNCTION("""COMPUTED_VALUE"""),"2911-B")</f>
        <v>2911-B</v>
      </c>
      <c r="B1720" s="5" t="str">
        <f ca="1">IFERROR(__xludf.DUMMYFUNCTION("""COMPUTED_VALUE"""),"القليوبية")</f>
        <v>القليوبية</v>
      </c>
      <c r="C1720" s="5" t="str">
        <f ca="1">IFERROR(__xludf.DUMMYFUNCTION("""COMPUTED_VALUE"""),"شبرا الخيمة")</f>
        <v>شبرا الخيمة</v>
      </c>
      <c r="D1720" s="5" t="str">
        <f ca="1">IFERROR(__xludf.DUMMYFUNCTION("""COMPUTED_VALUE"""),"معمل")</f>
        <v>معمل</v>
      </c>
      <c r="E1720" s="5" t="str">
        <f ca="1">IFERROR(__xludf.DUMMYFUNCTION("""COMPUTED_VALUE"""),"معمل")</f>
        <v>معمل</v>
      </c>
      <c r="F1720" s="5" t="str">
        <f ca="1">IFERROR(__xludf.DUMMYFUNCTION("""COMPUTED_VALUE"""),"معمل التحاليل الطبية")</f>
        <v>معمل التحاليل الطبية</v>
      </c>
      <c r="G1720" s="5" t="str">
        <f ca="1">IFERROR(__xludf.DUMMYFUNCTION("""COMPUTED_VALUE"""),"معامل البرج")</f>
        <v>معامل البرج</v>
      </c>
      <c r="H1720" s="5" t="str">
        <f ca="1">IFERROR(__xludf.DUMMYFUNCTION("""COMPUTED_VALUE"""),"برج ال مكي - شارع 15 مايو - ارض الزجاج والبلور")</f>
        <v>برج ال مكي - شارع 15 مايو - ارض الزجاج والبلور</v>
      </c>
      <c r="I1720" s="6"/>
      <c r="J1720" s="6" t="str">
        <f ca="1">IFERROR(__xludf.DUMMYFUNCTION("""COMPUTED_VALUE"""),"19911")</f>
        <v>19911</v>
      </c>
      <c r="K1720" s="6" t="str">
        <f ca="1">IFERROR(__xludf.DUMMYFUNCTION("""COMPUTED_VALUE"""),"20% على جميع الخدمات")</f>
        <v>20% على جميع الخدمات</v>
      </c>
    </row>
    <row r="1721" spans="1:11" x14ac:dyDescent="0.25">
      <c r="A1721" s="4" t="str">
        <f ca="1">IFERROR(__xludf.DUMMYFUNCTION("""COMPUTED_VALUE"""),"2911-B")</f>
        <v>2911-B</v>
      </c>
      <c r="B1721" s="5" t="str">
        <f ca="1">IFERROR(__xludf.DUMMYFUNCTION("""COMPUTED_VALUE"""),"القليوبية")</f>
        <v>القليوبية</v>
      </c>
      <c r="C1721" s="5" t="str">
        <f ca="1">IFERROR(__xludf.DUMMYFUNCTION("""COMPUTED_VALUE"""),"كفر شكر")</f>
        <v>كفر شكر</v>
      </c>
      <c r="D1721" s="5" t="str">
        <f ca="1">IFERROR(__xludf.DUMMYFUNCTION("""COMPUTED_VALUE"""),"معمل")</f>
        <v>معمل</v>
      </c>
      <c r="E1721" s="5" t="str">
        <f ca="1">IFERROR(__xludf.DUMMYFUNCTION("""COMPUTED_VALUE"""),"معمل")</f>
        <v>معمل</v>
      </c>
      <c r="F1721" s="5" t="str">
        <f ca="1">IFERROR(__xludf.DUMMYFUNCTION("""COMPUTED_VALUE"""),"معمل التحاليل الطبية")</f>
        <v>معمل التحاليل الطبية</v>
      </c>
      <c r="G1721" s="5" t="str">
        <f ca="1">IFERROR(__xludf.DUMMYFUNCTION("""COMPUTED_VALUE"""),"معامل البرج")</f>
        <v>معامل البرج</v>
      </c>
      <c r="H1721" s="5" t="str">
        <f ca="1">IFERROR(__xludf.DUMMYFUNCTION("""COMPUTED_VALUE"""),"13 شارع جمال عبد الناصر - بجوار الادارة العليمية - كفر شكر - القليوبية")</f>
        <v>13 شارع جمال عبد الناصر - بجوار الادارة العليمية - كفر شكر - القليوبية</v>
      </c>
      <c r="I1721" s="6"/>
      <c r="J1721" s="6" t="str">
        <f ca="1">IFERROR(__xludf.DUMMYFUNCTION("""COMPUTED_VALUE"""),"19911")</f>
        <v>19911</v>
      </c>
      <c r="K1721" s="6" t="str">
        <f ca="1">IFERROR(__xludf.DUMMYFUNCTION("""COMPUTED_VALUE"""),"20% على جميع الخدمات")</f>
        <v>20% على جميع الخدمات</v>
      </c>
    </row>
    <row r="1722" spans="1:11" x14ac:dyDescent="0.25">
      <c r="A1722" s="4" t="str">
        <f ca="1">IFERROR(__xludf.DUMMYFUNCTION("""COMPUTED_VALUE"""),"2911-B")</f>
        <v>2911-B</v>
      </c>
      <c r="B1722" s="5" t="str">
        <f ca="1">IFERROR(__xludf.DUMMYFUNCTION("""COMPUTED_VALUE"""),"المنوفية")</f>
        <v>المنوفية</v>
      </c>
      <c r="C1722" s="5" t="str">
        <f ca="1">IFERROR(__xludf.DUMMYFUNCTION("""COMPUTED_VALUE"""),"اشمون")</f>
        <v>اشمون</v>
      </c>
      <c r="D1722" s="5" t="str">
        <f ca="1">IFERROR(__xludf.DUMMYFUNCTION("""COMPUTED_VALUE"""),"معمل")</f>
        <v>معمل</v>
      </c>
      <c r="E1722" s="5" t="str">
        <f ca="1">IFERROR(__xludf.DUMMYFUNCTION("""COMPUTED_VALUE"""),"معمل")</f>
        <v>معمل</v>
      </c>
      <c r="F1722" s="5" t="str">
        <f ca="1">IFERROR(__xludf.DUMMYFUNCTION("""COMPUTED_VALUE"""),"معمل التحاليل الطبية")</f>
        <v>معمل التحاليل الطبية</v>
      </c>
      <c r="G1722" s="5" t="str">
        <f ca="1">IFERROR(__xludf.DUMMYFUNCTION("""COMPUTED_VALUE"""),"معامل البرج")</f>
        <v>معامل البرج</v>
      </c>
      <c r="H1722" s="5" t="str">
        <f ca="1">IFERROR(__xludf.DUMMYFUNCTION("""COMPUTED_VALUE"""),"شارع سعد زغلول - امام بنك مصر  -اشمون-المنوفية")</f>
        <v>شارع سعد زغلول - امام بنك مصر  -اشمون-المنوفية</v>
      </c>
      <c r="I1722" s="6"/>
      <c r="J1722" s="6" t="str">
        <f ca="1">IFERROR(__xludf.DUMMYFUNCTION("""COMPUTED_VALUE"""),"19911")</f>
        <v>19911</v>
      </c>
      <c r="K1722" s="6" t="str">
        <f ca="1">IFERROR(__xludf.DUMMYFUNCTION("""COMPUTED_VALUE"""),"20% على جميع الخدمات")</f>
        <v>20% على جميع الخدمات</v>
      </c>
    </row>
    <row r="1723" spans="1:11" x14ac:dyDescent="0.25">
      <c r="A1723" s="4" t="str">
        <f ca="1">IFERROR(__xludf.DUMMYFUNCTION("""COMPUTED_VALUE"""),"2911-B")</f>
        <v>2911-B</v>
      </c>
      <c r="B1723" s="5" t="str">
        <f ca="1">IFERROR(__xludf.DUMMYFUNCTION("""COMPUTED_VALUE"""),"المنوفية")</f>
        <v>المنوفية</v>
      </c>
      <c r="C1723" s="5" t="str">
        <f ca="1">IFERROR(__xludf.DUMMYFUNCTION("""COMPUTED_VALUE"""),"بركه السبع")</f>
        <v>بركه السبع</v>
      </c>
      <c r="D1723" s="5" t="str">
        <f ca="1">IFERROR(__xludf.DUMMYFUNCTION("""COMPUTED_VALUE"""),"معمل")</f>
        <v>معمل</v>
      </c>
      <c r="E1723" s="5" t="str">
        <f ca="1">IFERROR(__xludf.DUMMYFUNCTION("""COMPUTED_VALUE"""),"معمل")</f>
        <v>معمل</v>
      </c>
      <c r="F1723" s="5" t="str">
        <f ca="1">IFERROR(__xludf.DUMMYFUNCTION("""COMPUTED_VALUE"""),"معمل التحاليل الطبية")</f>
        <v>معمل التحاليل الطبية</v>
      </c>
      <c r="G1723" s="5" t="str">
        <f ca="1">IFERROR(__xludf.DUMMYFUNCTION("""COMPUTED_VALUE"""),"معامل البرج")</f>
        <v>معامل البرج</v>
      </c>
      <c r="H1723" s="5" t="str">
        <f ca="1">IFERROR(__xludf.DUMMYFUNCTION("""COMPUTED_VALUE"""),"شارع عبد المنعم رياض - بجوار مجلس المدينة - بركة السبع - المنوفية")</f>
        <v>شارع عبد المنعم رياض - بجوار مجلس المدينة - بركة السبع - المنوفية</v>
      </c>
      <c r="I1723" s="6"/>
      <c r="J1723" s="6" t="str">
        <f ca="1">IFERROR(__xludf.DUMMYFUNCTION("""COMPUTED_VALUE"""),"19911")</f>
        <v>19911</v>
      </c>
      <c r="K1723" s="6" t="str">
        <f ca="1">IFERROR(__xludf.DUMMYFUNCTION("""COMPUTED_VALUE"""),"20% على جميع الخدمات")</f>
        <v>20% على جميع الخدمات</v>
      </c>
    </row>
    <row r="1724" spans="1:11" x14ac:dyDescent="0.25">
      <c r="A1724" s="4" t="str">
        <f ca="1">IFERROR(__xludf.DUMMYFUNCTION("""COMPUTED_VALUE"""),"2911-B")</f>
        <v>2911-B</v>
      </c>
      <c r="B1724" s="5" t="str">
        <f ca="1">IFERROR(__xludf.DUMMYFUNCTION("""COMPUTED_VALUE"""),"المنوفية")</f>
        <v>المنوفية</v>
      </c>
      <c r="C1724" s="5" t="str">
        <f ca="1">IFERROR(__xludf.DUMMYFUNCTION("""COMPUTED_VALUE"""),"شبين الكوم")</f>
        <v>شبين الكوم</v>
      </c>
      <c r="D1724" s="5" t="str">
        <f ca="1">IFERROR(__xludf.DUMMYFUNCTION("""COMPUTED_VALUE"""),"معمل")</f>
        <v>معمل</v>
      </c>
      <c r="E1724" s="5" t="str">
        <f ca="1">IFERROR(__xludf.DUMMYFUNCTION("""COMPUTED_VALUE"""),"معمل")</f>
        <v>معمل</v>
      </c>
      <c r="F1724" s="5" t="str">
        <f ca="1">IFERROR(__xludf.DUMMYFUNCTION("""COMPUTED_VALUE"""),"معمل التحاليل الطبية")</f>
        <v>معمل التحاليل الطبية</v>
      </c>
      <c r="G1724" s="5" t="str">
        <f ca="1">IFERROR(__xludf.DUMMYFUNCTION("""COMPUTED_VALUE"""),"معامل البرج")</f>
        <v>معامل البرج</v>
      </c>
      <c r="H1724" s="5" t="str">
        <f ca="1">IFERROR(__xludf.DUMMYFUNCTION("""COMPUTED_VALUE"""),"22شارع الجلاء البحري أمام المحكمة-شبين الكوم-المنوفية")</f>
        <v>22شارع الجلاء البحري أمام المحكمة-شبين الكوم-المنوفية</v>
      </c>
      <c r="I1724" s="6"/>
      <c r="J1724" s="6" t="str">
        <f ca="1">IFERROR(__xludf.DUMMYFUNCTION("""COMPUTED_VALUE"""),"19911")</f>
        <v>19911</v>
      </c>
      <c r="K1724" s="6" t="str">
        <f ca="1">IFERROR(__xludf.DUMMYFUNCTION("""COMPUTED_VALUE"""),"20% على جميع الخدمات")</f>
        <v>20% على جميع الخدمات</v>
      </c>
    </row>
    <row r="1725" spans="1:11" x14ac:dyDescent="0.25">
      <c r="A1725" s="4" t="str">
        <f ca="1">IFERROR(__xludf.DUMMYFUNCTION("""COMPUTED_VALUE"""),"2911-B")</f>
        <v>2911-B</v>
      </c>
      <c r="B1725" s="5" t="str">
        <f ca="1">IFERROR(__xludf.DUMMYFUNCTION("""COMPUTED_VALUE"""),"المنوفية")</f>
        <v>المنوفية</v>
      </c>
      <c r="C1725" s="5" t="str">
        <f ca="1">IFERROR(__xludf.DUMMYFUNCTION("""COMPUTED_VALUE"""),"قويسنا")</f>
        <v>قويسنا</v>
      </c>
      <c r="D1725" s="5" t="str">
        <f ca="1">IFERROR(__xludf.DUMMYFUNCTION("""COMPUTED_VALUE"""),"معمل")</f>
        <v>معمل</v>
      </c>
      <c r="E1725" s="5" t="str">
        <f ca="1">IFERROR(__xludf.DUMMYFUNCTION("""COMPUTED_VALUE"""),"معمل")</f>
        <v>معمل</v>
      </c>
      <c r="F1725" s="5" t="str">
        <f ca="1">IFERROR(__xludf.DUMMYFUNCTION("""COMPUTED_VALUE"""),"معمل التحاليل الطبية")</f>
        <v>معمل التحاليل الطبية</v>
      </c>
      <c r="G1725" s="5" t="str">
        <f ca="1">IFERROR(__xludf.DUMMYFUNCTION("""COMPUTED_VALUE"""),"معامل البرج")</f>
        <v>معامل البرج</v>
      </c>
      <c r="H1725" s="5" t="str">
        <f ca="1">IFERROR(__xludf.DUMMYFUNCTION("""COMPUTED_VALUE"""),"تقاطع الجيش مع الصباحي مستشفى الهدى-قويسنا-المنوفية")</f>
        <v>تقاطع الجيش مع الصباحي مستشفى الهدى-قويسنا-المنوفية</v>
      </c>
      <c r="I1725" s="6"/>
      <c r="J1725" s="6" t="str">
        <f ca="1">IFERROR(__xludf.DUMMYFUNCTION("""COMPUTED_VALUE"""),"19911")</f>
        <v>19911</v>
      </c>
      <c r="K1725" s="6" t="str">
        <f ca="1">IFERROR(__xludf.DUMMYFUNCTION("""COMPUTED_VALUE"""),"20% على جميع الخدمات")</f>
        <v>20% على جميع الخدمات</v>
      </c>
    </row>
    <row r="1726" spans="1:11" x14ac:dyDescent="0.25">
      <c r="A1726" s="4" t="str">
        <f ca="1">IFERROR(__xludf.DUMMYFUNCTION("""COMPUTED_VALUE"""),"2911-B")</f>
        <v>2911-B</v>
      </c>
      <c r="B1726" s="5" t="str">
        <f ca="1">IFERROR(__xludf.DUMMYFUNCTION("""COMPUTED_VALUE"""),"المنوفية")</f>
        <v>المنوفية</v>
      </c>
      <c r="C1726" s="5" t="str">
        <f ca="1">IFERROR(__xludf.DUMMYFUNCTION("""COMPUTED_VALUE"""),"مدينه السادات")</f>
        <v>مدينه السادات</v>
      </c>
      <c r="D1726" s="5" t="str">
        <f ca="1">IFERROR(__xludf.DUMMYFUNCTION("""COMPUTED_VALUE"""),"معمل")</f>
        <v>معمل</v>
      </c>
      <c r="E1726" s="5" t="str">
        <f ca="1">IFERROR(__xludf.DUMMYFUNCTION("""COMPUTED_VALUE"""),"معمل")</f>
        <v>معمل</v>
      </c>
      <c r="F1726" s="5" t="str">
        <f ca="1">IFERROR(__xludf.DUMMYFUNCTION("""COMPUTED_VALUE"""),"معمل التحاليل الطبية")</f>
        <v>معمل التحاليل الطبية</v>
      </c>
      <c r="G1726" s="5" t="str">
        <f ca="1">IFERROR(__xludf.DUMMYFUNCTION("""COMPUTED_VALUE"""),"معامل البرج")</f>
        <v>معامل البرج</v>
      </c>
      <c r="H1726" s="5" t="str">
        <f ca="1">IFERROR(__xludf.DUMMYFUNCTION("""COMPUTED_VALUE"""),"محور خدمات الحى الثانى - بجوار التأمين الصحى-مدينة السادات-المنوفية")</f>
        <v>محور خدمات الحى الثانى - بجوار التأمين الصحى-مدينة السادات-المنوفية</v>
      </c>
      <c r="I1726" s="6"/>
      <c r="J1726" s="6" t="str">
        <f ca="1">IFERROR(__xludf.DUMMYFUNCTION("""COMPUTED_VALUE"""),"19911")</f>
        <v>19911</v>
      </c>
      <c r="K1726" s="6" t="str">
        <f ca="1">IFERROR(__xludf.DUMMYFUNCTION("""COMPUTED_VALUE"""),"20% على جميع الخدمات")</f>
        <v>20% على جميع الخدمات</v>
      </c>
    </row>
    <row r="1727" spans="1:11" x14ac:dyDescent="0.25">
      <c r="A1727" s="4" t="str">
        <f ca="1">IFERROR(__xludf.DUMMYFUNCTION("""COMPUTED_VALUE"""),"2911-B")</f>
        <v>2911-B</v>
      </c>
      <c r="B1727" s="5" t="str">
        <f ca="1">IFERROR(__xludf.DUMMYFUNCTION("""COMPUTED_VALUE"""),"المنوفية")</f>
        <v>المنوفية</v>
      </c>
      <c r="C1727" s="5" t="str">
        <f ca="1">IFERROR(__xludf.DUMMYFUNCTION("""COMPUTED_VALUE"""),"منوف")</f>
        <v>منوف</v>
      </c>
      <c r="D1727" s="5" t="str">
        <f ca="1">IFERROR(__xludf.DUMMYFUNCTION("""COMPUTED_VALUE"""),"معمل")</f>
        <v>معمل</v>
      </c>
      <c r="E1727" s="5" t="str">
        <f ca="1">IFERROR(__xludf.DUMMYFUNCTION("""COMPUTED_VALUE"""),"معمل")</f>
        <v>معمل</v>
      </c>
      <c r="F1727" s="5" t="str">
        <f ca="1">IFERROR(__xludf.DUMMYFUNCTION("""COMPUTED_VALUE"""),"معمل التحاليل الطبية")</f>
        <v>معمل التحاليل الطبية</v>
      </c>
      <c r="G1727" s="5" t="str">
        <f ca="1">IFERROR(__xludf.DUMMYFUNCTION("""COMPUTED_VALUE"""),"معامل البرج")</f>
        <v>معامل البرج</v>
      </c>
      <c r="H1727" s="5" t="str">
        <f ca="1">IFERROR(__xludf.DUMMYFUNCTION("""COMPUTED_VALUE"""),"70شارع بور سعيد - بجوار مجلس المدينة-منوف -المنوفية")</f>
        <v>70شارع بور سعيد - بجوار مجلس المدينة-منوف -المنوفية</v>
      </c>
      <c r="I1727" s="6"/>
      <c r="J1727" s="6" t="str">
        <f ca="1">IFERROR(__xludf.DUMMYFUNCTION("""COMPUTED_VALUE"""),"19911")</f>
        <v>19911</v>
      </c>
      <c r="K1727" s="6" t="str">
        <f ca="1">IFERROR(__xludf.DUMMYFUNCTION("""COMPUTED_VALUE"""),"20% على جميع الخدمات")</f>
        <v>20% على جميع الخدمات</v>
      </c>
    </row>
    <row r="1728" spans="1:11" x14ac:dyDescent="0.25">
      <c r="A1728" s="4" t="str">
        <f ca="1">IFERROR(__xludf.DUMMYFUNCTION("""COMPUTED_VALUE"""),"2911-B")</f>
        <v>2911-B</v>
      </c>
      <c r="B1728" s="5" t="str">
        <f ca="1">IFERROR(__xludf.DUMMYFUNCTION("""COMPUTED_VALUE"""),"المنيا")</f>
        <v>المنيا</v>
      </c>
      <c r="C1728" s="5" t="str">
        <f ca="1">IFERROR(__xludf.DUMMYFUNCTION("""COMPUTED_VALUE"""),"المنيا")</f>
        <v>المنيا</v>
      </c>
      <c r="D1728" s="5" t="str">
        <f ca="1">IFERROR(__xludf.DUMMYFUNCTION("""COMPUTED_VALUE"""),"معمل")</f>
        <v>معمل</v>
      </c>
      <c r="E1728" s="5" t="str">
        <f ca="1">IFERROR(__xludf.DUMMYFUNCTION("""COMPUTED_VALUE"""),"معمل")</f>
        <v>معمل</v>
      </c>
      <c r="F1728" s="5" t="str">
        <f ca="1">IFERROR(__xludf.DUMMYFUNCTION("""COMPUTED_VALUE"""),"معمل التحاليل الطبية")</f>
        <v>معمل التحاليل الطبية</v>
      </c>
      <c r="G1728" s="5" t="str">
        <f ca="1">IFERROR(__xludf.DUMMYFUNCTION("""COMPUTED_VALUE"""),"معامل البرج")</f>
        <v>معامل البرج</v>
      </c>
      <c r="H1728" s="5" t="str">
        <f ca="1">IFERROR(__xludf.DUMMYFUNCTION("""COMPUTED_VALUE"""),"66 شارع سكة تلا بجوار موقف الاتوبيس الغربي -  المنيا")</f>
        <v>66 شارع سكة تلا بجوار موقف الاتوبيس الغربي -  المنيا</v>
      </c>
      <c r="I1728" s="6"/>
      <c r="J1728" s="6" t="str">
        <f ca="1">IFERROR(__xludf.DUMMYFUNCTION("""COMPUTED_VALUE"""),"19911")</f>
        <v>19911</v>
      </c>
      <c r="K1728" s="6" t="str">
        <f ca="1">IFERROR(__xludf.DUMMYFUNCTION("""COMPUTED_VALUE"""),"20% على جميع الخدمات")</f>
        <v>20% على جميع الخدمات</v>
      </c>
    </row>
    <row r="1729" spans="1:11" x14ac:dyDescent="0.25">
      <c r="A1729" s="4" t="str">
        <f ca="1">IFERROR(__xludf.DUMMYFUNCTION("""COMPUTED_VALUE"""),"2911-B")</f>
        <v>2911-B</v>
      </c>
      <c r="B1729" s="5" t="str">
        <f ca="1">IFERROR(__xludf.DUMMYFUNCTION("""COMPUTED_VALUE"""),"المنيا")</f>
        <v>المنيا</v>
      </c>
      <c r="C1729" s="5" t="str">
        <f ca="1">IFERROR(__xludf.DUMMYFUNCTION("""COMPUTED_VALUE"""),"المنيا")</f>
        <v>المنيا</v>
      </c>
      <c r="D1729" s="5" t="str">
        <f ca="1">IFERROR(__xludf.DUMMYFUNCTION("""COMPUTED_VALUE"""),"معمل")</f>
        <v>معمل</v>
      </c>
      <c r="E1729" s="5" t="str">
        <f ca="1">IFERROR(__xludf.DUMMYFUNCTION("""COMPUTED_VALUE"""),"معمل")</f>
        <v>معمل</v>
      </c>
      <c r="F1729" s="5" t="str">
        <f ca="1">IFERROR(__xludf.DUMMYFUNCTION("""COMPUTED_VALUE"""),"معمل التحاليل الطبية")</f>
        <v>معمل التحاليل الطبية</v>
      </c>
      <c r="G1729" s="5" t="str">
        <f ca="1">IFERROR(__xludf.DUMMYFUNCTION("""COMPUTED_VALUE"""),"معامل البرج")</f>
        <v>معامل البرج</v>
      </c>
      <c r="H1729" s="5" t="str">
        <f ca="1">IFERROR(__xludf.DUMMYFUNCTION("""COMPUTED_VALUE"""),"85شارع سعد زغلول بجوار المحطة - المنيا")</f>
        <v>85شارع سعد زغلول بجوار المحطة - المنيا</v>
      </c>
      <c r="I1729" s="6"/>
      <c r="J1729" s="6" t="str">
        <f ca="1">IFERROR(__xludf.DUMMYFUNCTION("""COMPUTED_VALUE"""),"19911")</f>
        <v>19911</v>
      </c>
      <c r="K1729" s="6" t="str">
        <f ca="1">IFERROR(__xludf.DUMMYFUNCTION("""COMPUTED_VALUE"""),"20% على جميع الخدمات")</f>
        <v>20% على جميع الخدمات</v>
      </c>
    </row>
    <row r="1730" spans="1:11" x14ac:dyDescent="0.25">
      <c r="A1730" s="4" t="str">
        <f ca="1">IFERROR(__xludf.DUMMYFUNCTION("""COMPUTED_VALUE"""),"2911-B")</f>
        <v>2911-B</v>
      </c>
      <c r="B1730" s="5" t="str">
        <f ca="1">IFERROR(__xludf.DUMMYFUNCTION("""COMPUTED_VALUE"""),"المنيا")</f>
        <v>المنيا</v>
      </c>
      <c r="C1730" s="5" t="str">
        <f ca="1">IFERROR(__xludf.DUMMYFUNCTION("""COMPUTED_VALUE"""),"بني مزار")</f>
        <v>بني مزار</v>
      </c>
      <c r="D1730" s="5" t="str">
        <f ca="1">IFERROR(__xludf.DUMMYFUNCTION("""COMPUTED_VALUE"""),"معمل")</f>
        <v>معمل</v>
      </c>
      <c r="E1730" s="5" t="str">
        <f ca="1">IFERROR(__xludf.DUMMYFUNCTION("""COMPUTED_VALUE"""),"معمل")</f>
        <v>معمل</v>
      </c>
      <c r="F1730" s="5" t="str">
        <f ca="1">IFERROR(__xludf.DUMMYFUNCTION("""COMPUTED_VALUE"""),"معمل التحاليل الطبية")</f>
        <v>معمل التحاليل الطبية</v>
      </c>
      <c r="G1730" s="5" t="str">
        <f ca="1">IFERROR(__xludf.DUMMYFUNCTION("""COMPUTED_VALUE"""),"معامل البرج")</f>
        <v>معامل البرج</v>
      </c>
      <c r="H1730" s="5" t="str">
        <f ca="1">IFERROR(__xludf.DUMMYFUNCTION("""COMPUTED_VALUE"""),"شارع بورسعيد - تقسيم بني مزار - المنيا")</f>
        <v>شارع بورسعيد - تقسيم بني مزار - المنيا</v>
      </c>
      <c r="I1730" s="6"/>
      <c r="J1730" s="6" t="str">
        <f ca="1">IFERROR(__xludf.DUMMYFUNCTION("""COMPUTED_VALUE"""),"19911")</f>
        <v>19911</v>
      </c>
      <c r="K1730" s="6" t="str">
        <f ca="1">IFERROR(__xludf.DUMMYFUNCTION("""COMPUTED_VALUE"""),"20% على جميع الخدمات")</f>
        <v>20% على جميع الخدمات</v>
      </c>
    </row>
    <row r="1731" spans="1:11" x14ac:dyDescent="0.25">
      <c r="A1731" s="4" t="str">
        <f ca="1">IFERROR(__xludf.DUMMYFUNCTION("""COMPUTED_VALUE"""),"2911-B")</f>
        <v>2911-B</v>
      </c>
      <c r="B1731" s="5" t="str">
        <f ca="1">IFERROR(__xludf.DUMMYFUNCTION("""COMPUTED_VALUE"""),"المنيا")</f>
        <v>المنيا</v>
      </c>
      <c r="C1731" s="5" t="str">
        <f ca="1">IFERROR(__xludf.DUMMYFUNCTION("""COMPUTED_VALUE"""),"مغاغة")</f>
        <v>مغاغة</v>
      </c>
      <c r="D1731" s="5" t="str">
        <f ca="1">IFERROR(__xludf.DUMMYFUNCTION("""COMPUTED_VALUE"""),"معمل")</f>
        <v>معمل</v>
      </c>
      <c r="E1731" s="5" t="str">
        <f ca="1">IFERROR(__xludf.DUMMYFUNCTION("""COMPUTED_VALUE"""),"معمل")</f>
        <v>معمل</v>
      </c>
      <c r="F1731" s="5" t="str">
        <f ca="1">IFERROR(__xludf.DUMMYFUNCTION("""COMPUTED_VALUE"""),"معمل التحاليل الطبية")</f>
        <v>معمل التحاليل الطبية</v>
      </c>
      <c r="G1731" s="5" t="str">
        <f ca="1">IFERROR(__xludf.DUMMYFUNCTION("""COMPUTED_VALUE"""),"معامل البرج")</f>
        <v>معامل البرج</v>
      </c>
      <c r="H1731" s="5" t="str">
        <f ca="1">IFERROR(__xludf.DUMMYFUNCTION("""COMPUTED_VALUE"""),"8شارع الجمهورية-مغاغة -المنيا")</f>
        <v>8شارع الجمهورية-مغاغة -المنيا</v>
      </c>
      <c r="I1731" s="6"/>
      <c r="J1731" s="6" t="str">
        <f ca="1">IFERROR(__xludf.DUMMYFUNCTION("""COMPUTED_VALUE"""),"19911")</f>
        <v>19911</v>
      </c>
      <c r="K1731" s="6" t="str">
        <f ca="1">IFERROR(__xludf.DUMMYFUNCTION("""COMPUTED_VALUE"""),"20% على جميع الخدمات")</f>
        <v>20% على جميع الخدمات</v>
      </c>
    </row>
    <row r="1732" spans="1:11" x14ac:dyDescent="0.25">
      <c r="A1732" s="4" t="str">
        <f ca="1">IFERROR(__xludf.DUMMYFUNCTION("""COMPUTED_VALUE"""),"2911-B")</f>
        <v>2911-B</v>
      </c>
      <c r="B1732" s="5" t="str">
        <f ca="1">IFERROR(__xludf.DUMMYFUNCTION("""COMPUTED_VALUE"""),"المنيا")</f>
        <v>المنيا</v>
      </c>
      <c r="C1732" s="5" t="str">
        <f ca="1">IFERROR(__xludf.DUMMYFUNCTION("""COMPUTED_VALUE"""),"ملوي")</f>
        <v>ملوي</v>
      </c>
      <c r="D1732" s="5" t="str">
        <f ca="1">IFERROR(__xludf.DUMMYFUNCTION("""COMPUTED_VALUE"""),"معمل")</f>
        <v>معمل</v>
      </c>
      <c r="E1732" s="5" t="str">
        <f ca="1">IFERROR(__xludf.DUMMYFUNCTION("""COMPUTED_VALUE"""),"معمل")</f>
        <v>معمل</v>
      </c>
      <c r="F1732" s="5" t="str">
        <f ca="1">IFERROR(__xludf.DUMMYFUNCTION("""COMPUTED_VALUE"""),"معمل التحاليل الطبية")</f>
        <v>معمل التحاليل الطبية</v>
      </c>
      <c r="G1732" s="5" t="str">
        <f ca="1">IFERROR(__xludf.DUMMYFUNCTION("""COMPUTED_VALUE"""),"معامل البرج")</f>
        <v>معامل البرج</v>
      </c>
      <c r="H1732" s="5" t="str">
        <f ca="1">IFERROR(__xludf.DUMMYFUNCTION("""COMPUTED_VALUE"""),"10 شارع العرفاني - بجوار سنترال - ملوي  - المنيا")</f>
        <v>10 شارع العرفاني - بجوار سنترال - ملوي  - المنيا</v>
      </c>
      <c r="I1732" s="6"/>
      <c r="J1732" s="6" t="str">
        <f ca="1">IFERROR(__xludf.DUMMYFUNCTION("""COMPUTED_VALUE"""),"19911")</f>
        <v>19911</v>
      </c>
      <c r="K1732" s="6" t="str">
        <f ca="1">IFERROR(__xludf.DUMMYFUNCTION("""COMPUTED_VALUE"""),"20% على جميع الخدمات")</f>
        <v>20% على جميع الخدمات</v>
      </c>
    </row>
    <row r="1733" spans="1:11" x14ac:dyDescent="0.25">
      <c r="A1733" s="4" t="str">
        <f ca="1">IFERROR(__xludf.DUMMYFUNCTION("""COMPUTED_VALUE"""),"2911-B")</f>
        <v>2911-B</v>
      </c>
      <c r="B1733" s="5" t="str">
        <f ca="1">IFERROR(__xludf.DUMMYFUNCTION("""COMPUTED_VALUE"""),"أسوان")</f>
        <v>أسوان</v>
      </c>
      <c r="C1733" s="5" t="str">
        <f ca="1">IFERROR(__xludf.DUMMYFUNCTION("""COMPUTED_VALUE"""),"أسوان")</f>
        <v>أسوان</v>
      </c>
      <c r="D1733" s="5" t="str">
        <f ca="1">IFERROR(__xludf.DUMMYFUNCTION("""COMPUTED_VALUE"""),"معمل")</f>
        <v>معمل</v>
      </c>
      <c r="E1733" s="5" t="str">
        <f ca="1">IFERROR(__xludf.DUMMYFUNCTION("""COMPUTED_VALUE"""),"معمل")</f>
        <v>معمل</v>
      </c>
      <c r="F1733" s="5" t="str">
        <f ca="1">IFERROR(__xludf.DUMMYFUNCTION("""COMPUTED_VALUE"""),"معمل التحاليل الطبية")</f>
        <v>معمل التحاليل الطبية</v>
      </c>
      <c r="G1733" s="5" t="str">
        <f ca="1">IFERROR(__xludf.DUMMYFUNCTION("""COMPUTED_VALUE"""),"معامل البرج")</f>
        <v>معامل البرج</v>
      </c>
      <c r="H1733" s="5" t="str">
        <f ca="1">IFERROR(__xludf.DUMMYFUNCTION("""COMPUTED_VALUE"""),"93 كورنيش النيل اعلى بنك الأسكندرية-أسوان")</f>
        <v>93 كورنيش النيل اعلى بنك الأسكندرية-أسوان</v>
      </c>
      <c r="I1733" s="6"/>
      <c r="J1733" s="6" t="str">
        <f ca="1">IFERROR(__xludf.DUMMYFUNCTION("""COMPUTED_VALUE"""),"19911")</f>
        <v>19911</v>
      </c>
      <c r="K1733" s="6" t="str">
        <f ca="1">IFERROR(__xludf.DUMMYFUNCTION("""COMPUTED_VALUE"""),"20% على جميع الخدمات")</f>
        <v>20% على جميع الخدمات</v>
      </c>
    </row>
    <row r="1734" spans="1:11" x14ac:dyDescent="0.25">
      <c r="A1734" s="4" t="str">
        <f ca="1">IFERROR(__xludf.DUMMYFUNCTION("""COMPUTED_VALUE"""),"2911-B")</f>
        <v>2911-B</v>
      </c>
      <c r="B1734" s="5" t="str">
        <f ca="1">IFERROR(__xludf.DUMMYFUNCTION("""COMPUTED_VALUE"""),"أسوان")</f>
        <v>أسوان</v>
      </c>
      <c r="C1734" s="5" t="str">
        <f ca="1">IFERROR(__xludf.DUMMYFUNCTION("""COMPUTED_VALUE"""),"كوم امبو")</f>
        <v>كوم امبو</v>
      </c>
      <c r="D1734" s="5" t="str">
        <f ca="1">IFERROR(__xludf.DUMMYFUNCTION("""COMPUTED_VALUE"""),"معمل")</f>
        <v>معمل</v>
      </c>
      <c r="E1734" s="5" t="str">
        <f ca="1">IFERROR(__xludf.DUMMYFUNCTION("""COMPUTED_VALUE"""),"معمل")</f>
        <v>معمل</v>
      </c>
      <c r="F1734" s="5" t="str">
        <f ca="1">IFERROR(__xludf.DUMMYFUNCTION("""COMPUTED_VALUE"""),"معمل التحاليل الطبية")</f>
        <v>معمل التحاليل الطبية</v>
      </c>
      <c r="G1734" s="5" t="str">
        <f ca="1">IFERROR(__xludf.DUMMYFUNCTION("""COMPUTED_VALUE"""),"معامل البرج")</f>
        <v>معامل البرج</v>
      </c>
      <c r="H1734" s="5" t="str">
        <f ca="1">IFERROR(__xludf.DUMMYFUNCTION("""COMPUTED_VALUE"""),"76صلاح سالم أمام محطة القطار-كوم امبو-أسوان")</f>
        <v>76صلاح سالم أمام محطة القطار-كوم امبو-أسوان</v>
      </c>
      <c r="I1734" s="6"/>
      <c r="J1734" s="6" t="str">
        <f ca="1">IFERROR(__xludf.DUMMYFUNCTION("""COMPUTED_VALUE"""),"19911")</f>
        <v>19911</v>
      </c>
      <c r="K1734" s="6" t="str">
        <f ca="1">IFERROR(__xludf.DUMMYFUNCTION("""COMPUTED_VALUE"""),"20% على جميع الخدمات")</f>
        <v>20% على جميع الخدمات</v>
      </c>
    </row>
    <row r="1735" spans="1:11" x14ac:dyDescent="0.25">
      <c r="A1735" s="4" t="str">
        <f ca="1">IFERROR(__xludf.DUMMYFUNCTION("""COMPUTED_VALUE"""),"2911-B")</f>
        <v>2911-B</v>
      </c>
      <c r="B1735" s="5" t="str">
        <f ca="1">IFERROR(__xludf.DUMMYFUNCTION("""COMPUTED_VALUE"""),"أسيوط")</f>
        <v>أسيوط</v>
      </c>
      <c r="C1735" s="5" t="str">
        <f ca="1">IFERROR(__xludf.DUMMYFUNCTION("""COMPUTED_VALUE"""),"القوصية")</f>
        <v>القوصية</v>
      </c>
      <c r="D1735" s="5" t="str">
        <f ca="1">IFERROR(__xludf.DUMMYFUNCTION("""COMPUTED_VALUE"""),"معمل")</f>
        <v>معمل</v>
      </c>
      <c r="E1735" s="5" t="str">
        <f ca="1">IFERROR(__xludf.DUMMYFUNCTION("""COMPUTED_VALUE"""),"معمل")</f>
        <v>معمل</v>
      </c>
      <c r="F1735" s="5" t="str">
        <f ca="1">IFERROR(__xludf.DUMMYFUNCTION("""COMPUTED_VALUE"""),"معمل التحاليل الطبية")</f>
        <v>معمل التحاليل الطبية</v>
      </c>
      <c r="G1735" s="5" t="str">
        <f ca="1">IFERROR(__xludf.DUMMYFUNCTION("""COMPUTED_VALUE"""),"معامل البرج")</f>
        <v>معامل البرج</v>
      </c>
      <c r="H1735" s="5" t="str">
        <f ca="1">IFERROR(__xludf.DUMMYFUNCTION("""COMPUTED_VALUE"""),"شارع الجلاء-بجوار البنك الأهلى-أسيوط")</f>
        <v>شارع الجلاء-بجوار البنك الأهلى-أسيوط</v>
      </c>
      <c r="I1735" s="6"/>
      <c r="J1735" s="6" t="str">
        <f ca="1">IFERROR(__xludf.DUMMYFUNCTION("""COMPUTED_VALUE"""),"19911")</f>
        <v>19911</v>
      </c>
      <c r="K1735" s="6" t="str">
        <f ca="1">IFERROR(__xludf.DUMMYFUNCTION("""COMPUTED_VALUE"""),"20% على جميع الخدمات")</f>
        <v>20% على جميع الخدمات</v>
      </c>
    </row>
    <row r="1736" spans="1:11" x14ac:dyDescent="0.25">
      <c r="A1736" s="4" t="str">
        <f ca="1">IFERROR(__xludf.DUMMYFUNCTION("""COMPUTED_VALUE"""),"2911-B")</f>
        <v>2911-B</v>
      </c>
      <c r="B1736" s="5" t="str">
        <f ca="1">IFERROR(__xludf.DUMMYFUNCTION("""COMPUTED_VALUE"""),"أسيوط")</f>
        <v>أسيوط</v>
      </c>
      <c r="C1736" s="5" t="str">
        <f ca="1">IFERROR(__xludf.DUMMYFUNCTION("""COMPUTED_VALUE"""),"أسيوط")</f>
        <v>أسيوط</v>
      </c>
      <c r="D1736" s="5" t="str">
        <f ca="1">IFERROR(__xludf.DUMMYFUNCTION("""COMPUTED_VALUE"""),"معمل")</f>
        <v>معمل</v>
      </c>
      <c r="E1736" s="5" t="str">
        <f ca="1">IFERROR(__xludf.DUMMYFUNCTION("""COMPUTED_VALUE"""),"معمل")</f>
        <v>معمل</v>
      </c>
      <c r="F1736" s="5" t="str">
        <f ca="1">IFERROR(__xludf.DUMMYFUNCTION("""COMPUTED_VALUE"""),"معمل التحاليل الطبية")</f>
        <v>معمل التحاليل الطبية</v>
      </c>
      <c r="G1736" s="5" t="str">
        <f ca="1">IFERROR(__xludf.DUMMYFUNCTION("""COMPUTED_VALUE"""),"معامل البرج")</f>
        <v>معامل البرج</v>
      </c>
      <c r="H1736" s="5" t="str">
        <f ca="1">IFERROR(__xludf.DUMMYFUNCTION("""COMPUTED_VALUE"""),"19شارع الجمهورية برج الراعي- أسيوط")</f>
        <v>19شارع الجمهورية برج الراعي- أسيوط</v>
      </c>
      <c r="I1736" s="6"/>
      <c r="J1736" s="6" t="str">
        <f ca="1">IFERROR(__xludf.DUMMYFUNCTION("""COMPUTED_VALUE"""),"19911")</f>
        <v>19911</v>
      </c>
      <c r="K1736" s="6" t="str">
        <f ca="1">IFERROR(__xludf.DUMMYFUNCTION("""COMPUTED_VALUE"""),"20% على جميع الخدمات")</f>
        <v>20% على جميع الخدمات</v>
      </c>
    </row>
    <row r="1737" spans="1:11" x14ac:dyDescent="0.25">
      <c r="A1737" s="4" t="str">
        <f ca="1">IFERROR(__xludf.DUMMYFUNCTION("""COMPUTED_VALUE"""),"2911-B")</f>
        <v>2911-B</v>
      </c>
      <c r="B1737" s="5" t="str">
        <f ca="1">IFERROR(__xludf.DUMMYFUNCTION("""COMPUTED_VALUE"""),"أسيوط")</f>
        <v>أسيوط</v>
      </c>
      <c r="C1737" s="5" t="str">
        <f ca="1">IFERROR(__xludf.DUMMYFUNCTION("""COMPUTED_VALUE"""),"أسيوط")</f>
        <v>أسيوط</v>
      </c>
      <c r="D1737" s="5" t="str">
        <f ca="1">IFERROR(__xludf.DUMMYFUNCTION("""COMPUTED_VALUE"""),"معمل")</f>
        <v>معمل</v>
      </c>
      <c r="E1737" s="5" t="str">
        <f ca="1">IFERROR(__xludf.DUMMYFUNCTION("""COMPUTED_VALUE"""),"معمل")</f>
        <v>معمل</v>
      </c>
      <c r="F1737" s="5" t="str">
        <f ca="1">IFERROR(__xludf.DUMMYFUNCTION("""COMPUTED_VALUE"""),"معمل التحاليل الطبية")</f>
        <v>معمل التحاليل الطبية</v>
      </c>
      <c r="G1737" s="5" t="str">
        <f ca="1">IFERROR(__xludf.DUMMYFUNCTION("""COMPUTED_VALUE"""),"معامل البرج")</f>
        <v>معامل البرج</v>
      </c>
      <c r="H1737" s="5" t="str">
        <f ca="1">IFERROR(__xludf.DUMMYFUNCTION("""COMPUTED_VALUE"""),"2ميدان المحطة أبراج خالد بن الواليد- أسيوط")</f>
        <v>2ميدان المحطة أبراج خالد بن الواليد- أسيوط</v>
      </c>
      <c r="I1737" s="6"/>
      <c r="J1737" s="6" t="str">
        <f ca="1">IFERROR(__xludf.DUMMYFUNCTION("""COMPUTED_VALUE"""),"19911")</f>
        <v>19911</v>
      </c>
      <c r="K1737" s="6" t="str">
        <f ca="1">IFERROR(__xludf.DUMMYFUNCTION("""COMPUTED_VALUE"""),"20% على جميع الخدمات")</f>
        <v>20% على جميع الخدمات</v>
      </c>
    </row>
    <row r="1738" spans="1:11" x14ac:dyDescent="0.25">
      <c r="A1738" s="4" t="str">
        <f ca="1">IFERROR(__xludf.DUMMYFUNCTION("""COMPUTED_VALUE"""),"2911-B")</f>
        <v>2911-B</v>
      </c>
      <c r="B1738" s="5" t="str">
        <f ca="1">IFERROR(__xludf.DUMMYFUNCTION("""COMPUTED_VALUE"""),"بني سويف")</f>
        <v>بني سويف</v>
      </c>
      <c r="C1738" s="5" t="str">
        <f ca="1">IFERROR(__xludf.DUMMYFUNCTION("""COMPUTED_VALUE"""),"الفشن")</f>
        <v>الفشن</v>
      </c>
      <c r="D1738" s="5" t="str">
        <f ca="1">IFERROR(__xludf.DUMMYFUNCTION("""COMPUTED_VALUE"""),"معمل")</f>
        <v>معمل</v>
      </c>
      <c r="E1738" s="5" t="str">
        <f ca="1">IFERROR(__xludf.DUMMYFUNCTION("""COMPUTED_VALUE"""),"معمل")</f>
        <v>معمل</v>
      </c>
      <c r="F1738" s="5" t="str">
        <f ca="1">IFERROR(__xludf.DUMMYFUNCTION("""COMPUTED_VALUE"""),"معمل التحاليل الطبية")</f>
        <v>معمل التحاليل الطبية</v>
      </c>
      <c r="G1738" s="5" t="str">
        <f ca="1">IFERROR(__xludf.DUMMYFUNCTION("""COMPUTED_VALUE"""),"معامل البرج")</f>
        <v>معامل البرج</v>
      </c>
      <c r="H1738" s="5" t="str">
        <f ca="1">IFERROR(__xludf.DUMMYFUNCTION("""COMPUTED_VALUE"""),"شارع الابراهيمية - برج الاطباء - مركز الفشن - بنى سويف")</f>
        <v>شارع الابراهيمية - برج الاطباء - مركز الفشن - بنى سويف</v>
      </c>
      <c r="I1738" s="6"/>
      <c r="J1738" s="6" t="str">
        <f ca="1">IFERROR(__xludf.DUMMYFUNCTION("""COMPUTED_VALUE"""),"19911")</f>
        <v>19911</v>
      </c>
      <c r="K1738" s="6" t="str">
        <f ca="1">IFERROR(__xludf.DUMMYFUNCTION("""COMPUTED_VALUE"""),"20% على جميع الخدمات")</f>
        <v>20% على جميع الخدمات</v>
      </c>
    </row>
    <row r="1739" spans="1:11" x14ac:dyDescent="0.25">
      <c r="A1739" s="4" t="str">
        <f ca="1">IFERROR(__xludf.DUMMYFUNCTION("""COMPUTED_VALUE"""),"2911-B")</f>
        <v>2911-B</v>
      </c>
      <c r="B1739" s="5" t="str">
        <f ca="1">IFERROR(__xludf.DUMMYFUNCTION("""COMPUTED_VALUE"""),"بني سويف")</f>
        <v>بني سويف</v>
      </c>
      <c r="C1739" s="5" t="str">
        <f ca="1">IFERROR(__xludf.DUMMYFUNCTION("""COMPUTED_VALUE"""),"ببا")</f>
        <v>ببا</v>
      </c>
      <c r="D1739" s="5" t="str">
        <f ca="1">IFERROR(__xludf.DUMMYFUNCTION("""COMPUTED_VALUE"""),"معمل")</f>
        <v>معمل</v>
      </c>
      <c r="E1739" s="5" t="str">
        <f ca="1">IFERROR(__xludf.DUMMYFUNCTION("""COMPUTED_VALUE"""),"معمل")</f>
        <v>معمل</v>
      </c>
      <c r="F1739" s="5" t="str">
        <f ca="1">IFERROR(__xludf.DUMMYFUNCTION("""COMPUTED_VALUE"""),"معمل التحاليل الطبية")</f>
        <v>معمل التحاليل الطبية</v>
      </c>
      <c r="G1739" s="5" t="str">
        <f ca="1">IFERROR(__xludf.DUMMYFUNCTION("""COMPUTED_VALUE"""),"معامل البرج")</f>
        <v>معامل البرج</v>
      </c>
      <c r="H1739" s="5" t="str">
        <f ca="1">IFERROR(__xludf.DUMMYFUNCTION("""COMPUTED_VALUE"""),"شارع بورسعيد بجوار الاسعاف -بني سويف")</f>
        <v>شارع بورسعيد بجوار الاسعاف -بني سويف</v>
      </c>
      <c r="I1739" s="6"/>
      <c r="J1739" s="6" t="str">
        <f ca="1">IFERROR(__xludf.DUMMYFUNCTION("""COMPUTED_VALUE"""),"19911")</f>
        <v>19911</v>
      </c>
      <c r="K1739" s="6" t="str">
        <f ca="1">IFERROR(__xludf.DUMMYFUNCTION("""COMPUTED_VALUE"""),"20% على جميع الخدمات")</f>
        <v>20% على جميع الخدمات</v>
      </c>
    </row>
    <row r="1740" spans="1:11" x14ac:dyDescent="0.25">
      <c r="A1740" s="4" t="str">
        <f ca="1">IFERROR(__xludf.DUMMYFUNCTION("""COMPUTED_VALUE"""),"2911-B")</f>
        <v>2911-B</v>
      </c>
      <c r="B1740" s="5" t="str">
        <f ca="1">IFERROR(__xludf.DUMMYFUNCTION("""COMPUTED_VALUE"""),"بني سويف")</f>
        <v>بني سويف</v>
      </c>
      <c r="C1740" s="5" t="str">
        <f ca="1">IFERROR(__xludf.DUMMYFUNCTION("""COMPUTED_VALUE"""),"بني سويف")</f>
        <v>بني سويف</v>
      </c>
      <c r="D1740" s="5" t="str">
        <f ca="1">IFERROR(__xludf.DUMMYFUNCTION("""COMPUTED_VALUE"""),"معمل")</f>
        <v>معمل</v>
      </c>
      <c r="E1740" s="5" t="str">
        <f ca="1">IFERROR(__xludf.DUMMYFUNCTION("""COMPUTED_VALUE"""),"معمل")</f>
        <v>معمل</v>
      </c>
      <c r="F1740" s="5" t="str">
        <f ca="1">IFERROR(__xludf.DUMMYFUNCTION("""COMPUTED_VALUE"""),"معمل التحاليل الطبية")</f>
        <v>معمل التحاليل الطبية</v>
      </c>
      <c r="G1740" s="5" t="str">
        <f ca="1">IFERROR(__xludf.DUMMYFUNCTION("""COMPUTED_VALUE"""),"معامل البرج")</f>
        <v>معامل البرج</v>
      </c>
      <c r="H1740" s="5" t="str">
        <f ca="1">IFERROR(__xludf.DUMMYFUNCTION("""COMPUTED_VALUE"""),"3شارع د/علي شافعي المتعافي بجوار عمر أفندي-بني سويف")</f>
        <v>3شارع د/علي شافعي المتعافي بجوار عمر أفندي-بني سويف</v>
      </c>
      <c r="I1740" s="6"/>
      <c r="J1740" s="6" t="str">
        <f ca="1">IFERROR(__xludf.DUMMYFUNCTION("""COMPUTED_VALUE"""),"19911")</f>
        <v>19911</v>
      </c>
      <c r="K1740" s="6" t="str">
        <f ca="1">IFERROR(__xludf.DUMMYFUNCTION("""COMPUTED_VALUE"""),"20% على جميع الخدمات")</f>
        <v>20% على جميع الخدمات</v>
      </c>
    </row>
    <row r="1741" spans="1:11" x14ac:dyDescent="0.25">
      <c r="A1741" s="4" t="str">
        <f ca="1">IFERROR(__xludf.DUMMYFUNCTION("""COMPUTED_VALUE"""),"2911-B")</f>
        <v>2911-B</v>
      </c>
      <c r="B1741" s="5" t="str">
        <f ca="1">IFERROR(__xludf.DUMMYFUNCTION("""COMPUTED_VALUE"""),"بورسعيد")</f>
        <v>بورسعيد</v>
      </c>
      <c r="C1741" s="5" t="str">
        <f ca="1">IFERROR(__xludf.DUMMYFUNCTION("""COMPUTED_VALUE"""),"بورسعيد")</f>
        <v>بورسعيد</v>
      </c>
      <c r="D1741" s="5" t="str">
        <f ca="1">IFERROR(__xludf.DUMMYFUNCTION("""COMPUTED_VALUE"""),"معمل")</f>
        <v>معمل</v>
      </c>
      <c r="E1741" s="5" t="str">
        <f ca="1">IFERROR(__xludf.DUMMYFUNCTION("""COMPUTED_VALUE"""),"معمل")</f>
        <v>معمل</v>
      </c>
      <c r="F1741" s="5" t="str">
        <f ca="1">IFERROR(__xludf.DUMMYFUNCTION("""COMPUTED_VALUE"""),"معمل التحاليل الطبية")</f>
        <v>معمل التحاليل الطبية</v>
      </c>
      <c r="G1741" s="5" t="str">
        <f ca="1">IFERROR(__xludf.DUMMYFUNCTION("""COMPUTED_VALUE"""),"معامل البرج")</f>
        <v>معامل البرج</v>
      </c>
      <c r="H1741" s="5" t="str">
        <f ca="1">IFERROR(__xludf.DUMMYFUNCTION("""COMPUTED_VALUE"""),"102شارع الجيش وصفية زغلول - أوجينا-بورسعيد")</f>
        <v>102شارع الجيش وصفية زغلول - أوجينا-بورسعيد</v>
      </c>
      <c r="I1741" s="6"/>
      <c r="J1741" s="6" t="str">
        <f ca="1">IFERROR(__xludf.DUMMYFUNCTION("""COMPUTED_VALUE"""),"19911")</f>
        <v>19911</v>
      </c>
      <c r="K1741" s="6" t="str">
        <f ca="1">IFERROR(__xludf.DUMMYFUNCTION("""COMPUTED_VALUE"""),"20% على جميع الخدمات")</f>
        <v>20% على جميع الخدمات</v>
      </c>
    </row>
    <row r="1742" spans="1:11" x14ac:dyDescent="0.25">
      <c r="A1742" s="4" t="str">
        <f ca="1">IFERROR(__xludf.DUMMYFUNCTION("""COMPUTED_VALUE"""),"2911-B")</f>
        <v>2911-B</v>
      </c>
      <c r="B1742" s="5" t="str">
        <f ca="1">IFERROR(__xludf.DUMMYFUNCTION("""COMPUTED_VALUE"""),"بورسعيد")</f>
        <v>بورسعيد</v>
      </c>
      <c r="C1742" s="5" t="str">
        <f ca="1">IFERROR(__xludf.DUMMYFUNCTION("""COMPUTED_VALUE"""),"بورسعيد")</f>
        <v>بورسعيد</v>
      </c>
      <c r="D1742" s="5" t="str">
        <f ca="1">IFERROR(__xludf.DUMMYFUNCTION("""COMPUTED_VALUE"""),"معمل")</f>
        <v>معمل</v>
      </c>
      <c r="E1742" s="5" t="str">
        <f ca="1">IFERROR(__xludf.DUMMYFUNCTION("""COMPUTED_VALUE"""),"معمل")</f>
        <v>معمل</v>
      </c>
      <c r="F1742" s="5" t="str">
        <f ca="1">IFERROR(__xludf.DUMMYFUNCTION("""COMPUTED_VALUE"""),"معمل التحاليل الطبية")</f>
        <v>معمل التحاليل الطبية</v>
      </c>
      <c r="G1742" s="5" t="str">
        <f ca="1">IFERROR(__xludf.DUMMYFUNCTION("""COMPUTED_VALUE"""),"معامل البرج")</f>
        <v>معامل البرج</v>
      </c>
      <c r="H1742" s="5" t="str">
        <f ca="1">IFERROR(__xludf.DUMMYFUNCTION("""COMPUTED_VALUE"""),"تعاونية الزهور امام مستشفى النصر اعلى صيدلية الاسكندرانىي-بورسعيد")</f>
        <v>تعاونية الزهور امام مستشفى النصر اعلى صيدلية الاسكندرانىي-بورسعيد</v>
      </c>
      <c r="I1742" s="6"/>
      <c r="J1742" s="6" t="str">
        <f ca="1">IFERROR(__xludf.DUMMYFUNCTION("""COMPUTED_VALUE"""),"19911")</f>
        <v>19911</v>
      </c>
      <c r="K1742" s="6" t="str">
        <f ca="1">IFERROR(__xludf.DUMMYFUNCTION("""COMPUTED_VALUE"""),"20% على جميع الخدمات")</f>
        <v>20% على جميع الخدمات</v>
      </c>
    </row>
    <row r="1743" spans="1:11" x14ac:dyDescent="0.25">
      <c r="A1743" s="4" t="str">
        <f ca="1">IFERROR(__xludf.DUMMYFUNCTION("""COMPUTED_VALUE"""),"2911-B")</f>
        <v>2911-B</v>
      </c>
      <c r="B1743" s="5" t="str">
        <f ca="1">IFERROR(__xludf.DUMMYFUNCTION("""COMPUTED_VALUE"""),"بورسعيد")</f>
        <v>بورسعيد</v>
      </c>
      <c r="C1743" s="5" t="str">
        <f ca="1">IFERROR(__xludf.DUMMYFUNCTION("""COMPUTED_VALUE"""),"بورسعيد")</f>
        <v>بورسعيد</v>
      </c>
      <c r="D1743" s="5" t="str">
        <f ca="1">IFERROR(__xludf.DUMMYFUNCTION("""COMPUTED_VALUE"""),"معمل")</f>
        <v>معمل</v>
      </c>
      <c r="E1743" s="5" t="str">
        <f ca="1">IFERROR(__xludf.DUMMYFUNCTION("""COMPUTED_VALUE"""),"معمل")</f>
        <v>معمل</v>
      </c>
      <c r="F1743" s="5" t="str">
        <f ca="1">IFERROR(__xludf.DUMMYFUNCTION("""COMPUTED_VALUE"""),"معمل التحاليل الطبية")</f>
        <v>معمل التحاليل الطبية</v>
      </c>
      <c r="G1743" s="5" t="str">
        <f ca="1">IFERROR(__xludf.DUMMYFUNCTION("""COMPUTED_VALUE"""),"معامل البرج")</f>
        <v>معامل البرج</v>
      </c>
      <c r="H1743" s="5" t="str">
        <f ca="1">IFERROR(__xludf.DUMMYFUNCTION("""COMPUTED_VALUE"""),"شارع التعمير بجوار حي الضواحي - مركز الرباط الطبي-بورسعيد")</f>
        <v>شارع التعمير بجوار حي الضواحي - مركز الرباط الطبي-بورسعيد</v>
      </c>
      <c r="I1743" s="6"/>
      <c r="J1743" s="6" t="str">
        <f ca="1">IFERROR(__xludf.DUMMYFUNCTION("""COMPUTED_VALUE"""),"19911")</f>
        <v>19911</v>
      </c>
      <c r="K1743" s="6" t="str">
        <f ca="1">IFERROR(__xludf.DUMMYFUNCTION("""COMPUTED_VALUE"""),"20% على جميع الخدمات")</f>
        <v>20% على جميع الخدمات</v>
      </c>
    </row>
    <row r="1744" spans="1:11" x14ac:dyDescent="0.25">
      <c r="A1744" s="4" t="str">
        <f ca="1">IFERROR(__xludf.DUMMYFUNCTION("""COMPUTED_VALUE"""),"2911-B")</f>
        <v>2911-B</v>
      </c>
      <c r="B1744" s="5" t="str">
        <f ca="1">IFERROR(__xludf.DUMMYFUNCTION("""COMPUTED_VALUE"""),"بورسعيد")</f>
        <v>بورسعيد</v>
      </c>
      <c r="C1744" s="5" t="str">
        <f ca="1">IFERROR(__xludf.DUMMYFUNCTION("""COMPUTED_VALUE"""),"بورفؤاد")</f>
        <v>بورفؤاد</v>
      </c>
      <c r="D1744" s="5" t="str">
        <f ca="1">IFERROR(__xludf.DUMMYFUNCTION("""COMPUTED_VALUE"""),"معمل")</f>
        <v>معمل</v>
      </c>
      <c r="E1744" s="5" t="str">
        <f ca="1">IFERROR(__xludf.DUMMYFUNCTION("""COMPUTED_VALUE"""),"معمل")</f>
        <v>معمل</v>
      </c>
      <c r="F1744" s="5" t="str">
        <f ca="1">IFERROR(__xludf.DUMMYFUNCTION("""COMPUTED_VALUE"""),"معمل التحاليل الطبية")</f>
        <v>معمل التحاليل الطبية</v>
      </c>
      <c r="G1744" s="5" t="str">
        <f ca="1">IFERROR(__xludf.DUMMYFUNCTION("""COMPUTED_VALUE"""),"معامل البرج")</f>
        <v>معامل البرج</v>
      </c>
      <c r="H1744" s="5" t="str">
        <f ca="1">IFERROR(__xludf.DUMMYFUNCTION("""COMPUTED_VALUE"""),"عمارت الروضة امام مسجد الشعراوى بجوار معرض ناشيونال  - بورفؤاد - بورسعيد")</f>
        <v>عمارت الروضة امام مسجد الشعراوى بجوار معرض ناشيونال  - بورفؤاد - بورسعيد</v>
      </c>
      <c r="I1744" s="6"/>
      <c r="J1744" s="6" t="str">
        <f ca="1">IFERROR(__xludf.DUMMYFUNCTION("""COMPUTED_VALUE"""),"19911")</f>
        <v>19911</v>
      </c>
      <c r="K1744" s="6" t="str">
        <f ca="1">IFERROR(__xludf.DUMMYFUNCTION("""COMPUTED_VALUE"""),"20% على جميع الخدمات")</f>
        <v>20% على جميع الخدمات</v>
      </c>
    </row>
    <row r="1745" spans="1:11" x14ac:dyDescent="0.25">
      <c r="A1745" s="4" t="str">
        <f ca="1">IFERROR(__xludf.DUMMYFUNCTION("""COMPUTED_VALUE"""),"2911-B")</f>
        <v>2911-B</v>
      </c>
      <c r="B1745" s="5" t="str">
        <f ca="1">IFERROR(__xludf.DUMMYFUNCTION("""COMPUTED_VALUE"""),"دمياط")</f>
        <v>دمياط</v>
      </c>
      <c r="C1745" s="5" t="str">
        <f ca="1">IFERROR(__xludf.DUMMYFUNCTION("""COMPUTED_VALUE"""),"دمياط")</f>
        <v>دمياط</v>
      </c>
      <c r="D1745" s="5" t="str">
        <f ca="1">IFERROR(__xludf.DUMMYFUNCTION("""COMPUTED_VALUE"""),"معمل")</f>
        <v>معمل</v>
      </c>
      <c r="E1745" s="5" t="str">
        <f ca="1">IFERROR(__xludf.DUMMYFUNCTION("""COMPUTED_VALUE"""),"معمل")</f>
        <v>معمل</v>
      </c>
      <c r="F1745" s="5" t="str">
        <f ca="1">IFERROR(__xludf.DUMMYFUNCTION("""COMPUTED_VALUE"""),"معمل التحاليل الطبية")</f>
        <v>معمل التحاليل الطبية</v>
      </c>
      <c r="G1745" s="5" t="str">
        <f ca="1">IFERROR(__xludf.DUMMYFUNCTION("""COMPUTED_VALUE"""),"معامل البرج")</f>
        <v>معامل البرج</v>
      </c>
      <c r="H1745" s="5" t="str">
        <f ca="1">IFERROR(__xludf.DUMMYFUNCTION("""COMPUTED_VALUE"""),"2 أبراج الصفوة (المقاولون العرب)- كورنيش النيل-دمياط")</f>
        <v>2 أبراج الصفوة (المقاولون العرب)- كورنيش النيل-دمياط</v>
      </c>
      <c r="I1745" s="6"/>
      <c r="J1745" s="6" t="str">
        <f ca="1">IFERROR(__xludf.DUMMYFUNCTION("""COMPUTED_VALUE"""),"19911")</f>
        <v>19911</v>
      </c>
      <c r="K1745" s="6" t="str">
        <f ca="1">IFERROR(__xludf.DUMMYFUNCTION("""COMPUTED_VALUE"""),"20% على جميع الخدمات")</f>
        <v>20% على جميع الخدمات</v>
      </c>
    </row>
    <row r="1746" spans="1:11" x14ac:dyDescent="0.25">
      <c r="A1746" s="4" t="str">
        <f ca="1">IFERROR(__xludf.DUMMYFUNCTION("""COMPUTED_VALUE"""),"2911-B")</f>
        <v>2911-B</v>
      </c>
      <c r="B1746" s="5" t="str">
        <f ca="1">IFERROR(__xludf.DUMMYFUNCTION("""COMPUTED_VALUE"""),"دمياط")</f>
        <v>دمياط</v>
      </c>
      <c r="C1746" s="5" t="str">
        <f ca="1">IFERROR(__xludf.DUMMYFUNCTION("""COMPUTED_VALUE"""),"دمياط الجديدة")</f>
        <v>دمياط الجديدة</v>
      </c>
      <c r="D1746" s="5" t="str">
        <f ca="1">IFERROR(__xludf.DUMMYFUNCTION("""COMPUTED_VALUE"""),"معمل")</f>
        <v>معمل</v>
      </c>
      <c r="E1746" s="5" t="str">
        <f ca="1">IFERROR(__xludf.DUMMYFUNCTION("""COMPUTED_VALUE"""),"معمل")</f>
        <v>معمل</v>
      </c>
      <c r="F1746" s="5" t="str">
        <f ca="1">IFERROR(__xludf.DUMMYFUNCTION("""COMPUTED_VALUE"""),"معمل التحاليل الطبية")</f>
        <v>معمل التحاليل الطبية</v>
      </c>
      <c r="G1746" s="5" t="str">
        <f ca="1">IFERROR(__xludf.DUMMYFUNCTION("""COMPUTED_VALUE"""),"معامل البرج")</f>
        <v>معامل البرج</v>
      </c>
      <c r="H1746" s="5" t="str">
        <f ca="1">IFERROR(__xludf.DUMMYFUNCTION("""COMPUTED_VALUE"""),"34/10 شارع حسب الله الكفراوي - الحي الثاني - المجاورة الثالثة -دمياط الجديدة-دمياط")</f>
        <v>34/10 شارع حسب الله الكفراوي - الحي الثاني - المجاورة الثالثة -دمياط الجديدة-دمياط</v>
      </c>
      <c r="I1746" s="6"/>
      <c r="J1746" s="6" t="str">
        <f ca="1">IFERROR(__xludf.DUMMYFUNCTION("""COMPUTED_VALUE"""),"19911")</f>
        <v>19911</v>
      </c>
      <c r="K1746" s="6" t="str">
        <f ca="1">IFERROR(__xludf.DUMMYFUNCTION("""COMPUTED_VALUE"""),"20% على جميع الخدمات")</f>
        <v>20% على جميع الخدمات</v>
      </c>
    </row>
    <row r="1747" spans="1:11" x14ac:dyDescent="0.25">
      <c r="A1747" s="4" t="str">
        <f ca="1">IFERROR(__xludf.DUMMYFUNCTION("""COMPUTED_VALUE"""),"2911-B")</f>
        <v>2911-B</v>
      </c>
      <c r="B1747" s="5" t="str">
        <f ca="1">IFERROR(__xludf.DUMMYFUNCTION("""COMPUTED_VALUE"""),"سوهاج")</f>
        <v>سوهاج</v>
      </c>
      <c r="C1747" s="5" t="str">
        <f ca="1">IFERROR(__xludf.DUMMYFUNCTION("""COMPUTED_VALUE"""),"جرجا")</f>
        <v>جرجا</v>
      </c>
      <c r="D1747" s="5" t="str">
        <f ca="1">IFERROR(__xludf.DUMMYFUNCTION("""COMPUTED_VALUE"""),"معمل")</f>
        <v>معمل</v>
      </c>
      <c r="E1747" s="5" t="str">
        <f ca="1">IFERROR(__xludf.DUMMYFUNCTION("""COMPUTED_VALUE"""),"معمل")</f>
        <v>معمل</v>
      </c>
      <c r="F1747" s="5" t="str">
        <f ca="1">IFERROR(__xludf.DUMMYFUNCTION("""COMPUTED_VALUE"""),"معمل التحاليل الطبية")</f>
        <v>معمل التحاليل الطبية</v>
      </c>
      <c r="G1747" s="5" t="str">
        <f ca="1">IFERROR(__xludf.DUMMYFUNCTION("""COMPUTED_VALUE"""),"معامل البرج")</f>
        <v>معامل البرج</v>
      </c>
      <c r="H1747" s="5" t="str">
        <f ca="1">IFERROR(__xludf.DUMMYFUNCTION("""COMPUTED_VALUE"""),"شارع المزلقان القبلي أمام مسجد البارود-جرجا-سوهاج")</f>
        <v>شارع المزلقان القبلي أمام مسجد البارود-جرجا-سوهاج</v>
      </c>
      <c r="I1747" s="6"/>
      <c r="J1747" s="6" t="str">
        <f ca="1">IFERROR(__xludf.DUMMYFUNCTION("""COMPUTED_VALUE"""),"19911")</f>
        <v>19911</v>
      </c>
      <c r="K1747" s="6" t="str">
        <f ca="1">IFERROR(__xludf.DUMMYFUNCTION("""COMPUTED_VALUE"""),"20% على جميع الخدمات")</f>
        <v>20% على جميع الخدمات</v>
      </c>
    </row>
    <row r="1748" spans="1:11" x14ac:dyDescent="0.25">
      <c r="A1748" s="4" t="str">
        <f ca="1">IFERROR(__xludf.DUMMYFUNCTION("""COMPUTED_VALUE"""),"2911-B")</f>
        <v>2911-B</v>
      </c>
      <c r="B1748" s="5" t="str">
        <f ca="1">IFERROR(__xludf.DUMMYFUNCTION("""COMPUTED_VALUE"""),"سوهاج")</f>
        <v>سوهاج</v>
      </c>
      <c r="C1748" s="5" t="str">
        <f ca="1">IFERROR(__xludf.DUMMYFUNCTION("""COMPUTED_VALUE"""),"سوهاج")</f>
        <v>سوهاج</v>
      </c>
      <c r="D1748" s="5" t="str">
        <f ca="1">IFERROR(__xludf.DUMMYFUNCTION("""COMPUTED_VALUE"""),"معمل")</f>
        <v>معمل</v>
      </c>
      <c r="E1748" s="5" t="str">
        <f ca="1">IFERROR(__xludf.DUMMYFUNCTION("""COMPUTED_VALUE"""),"معمل")</f>
        <v>معمل</v>
      </c>
      <c r="F1748" s="5" t="str">
        <f ca="1">IFERROR(__xludf.DUMMYFUNCTION("""COMPUTED_VALUE"""),"معمل التحاليل الطبية")</f>
        <v>معمل التحاليل الطبية</v>
      </c>
      <c r="G1748" s="5" t="str">
        <f ca="1">IFERROR(__xludf.DUMMYFUNCTION("""COMPUTED_VALUE"""),"معامل البرج")</f>
        <v>معامل البرج</v>
      </c>
      <c r="H1748" s="5" t="str">
        <f ca="1">IFERROR(__xludf.DUMMYFUNCTION("""COMPUTED_VALUE"""),"شارع كورنيش النيل تقاطع شارع الحرية , مدخل مسجد العارف-سوهاج")</f>
        <v>شارع كورنيش النيل تقاطع شارع الحرية , مدخل مسجد العارف-سوهاج</v>
      </c>
      <c r="I1748" s="6"/>
      <c r="J1748" s="6" t="str">
        <f ca="1">IFERROR(__xludf.DUMMYFUNCTION("""COMPUTED_VALUE"""),"19911")</f>
        <v>19911</v>
      </c>
      <c r="K1748" s="6" t="str">
        <f ca="1">IFERROR(__xludf.DUMMYFUNCTION("""COMPUTED_VALUE"""),"20% على جميع الخدمات")</f>
        <v>20% على جميع الخدمات</v>
      </c>
    </row>
    <row r="1749" spans="1:11" x14ac:dyDescent="0.25">
      <c r="A1749" s="4" t="str">
        <f ca="1">IFERROR(__xludf.DUMMYFUNCTION("""COMPUTED_VALUE"""),"2911-B")</f>
        <v>2911-B</v>
      </c>
      <c r="B1749" s="5" t="str">
        <f ca="1">IFERROR(__xludf.DUMMYFUNCTION("""COMPUTED_VALUE"""),"قنا")</f>
        <v>قنا</v>
      </c>
      <c r="C1749" s="5" t="str">
        <f ca="1">IFERROR(__xludf.DUMMYFUNCTION("""COMPUTED_VALUE"""),"قنا")</f>
        <v>قنا</v>
      </c>
      <c r="D1749" s="5" t="str">
        <f ca="1">IFERROR(__xludf.DUMMYFUNCTION("""COMPUTED_VALUE"""),"معمل")</f>
        <v>معمل</v>
      </c>
      <c r="E1749" s="5" t="str">
        <f ca="1">IFERROR(__xludf.DUMMYFUNCTION("""COMPUTED_VALUE"""),"معمل")</f>
        <v>معمل</v>
      </c>
      <c r="F1749" s="5" t="str">
        <f ca="1">IFERROR(__xludf.DUMMYFUNCTION("""COMPUTED_VALUE"""),"معمل التحاليل الطبية")</f>
        <v>معمل التحاليل الطبية</v>
      </c>
      <c r="G1749" s="5" t="str">
        <f ca="1">IFERROR(__xludf.DUMMYFUNCTION("""COMPUTED_VALUE"""),"معامل البرج")</f>
        <v>معامل البرج</v>
      </c>
      <c r="H1749" s="5" t="str">
        <f ca="1">IFERROR(__xludf.DUMMYFUNCTION("""COMPUTED_VALUE"""),"1ميدان المحطة-قنا")</f>
        <v>1ميدان المحطة-قنا</v>
      </c>
      <c r="I1749" s="6"/>
      <c r="J1749" s="6" t="str">
        <f ca="1">IFERROR(__xludf.DUMMYFUNCTION("""COMPUTED_VALUE"""),"19911")</f>
        <v>19911</v>
      </c>
      <c r="K1749" s="6" t="str">
        <f ca="1">IFERROR(__xludf.DUMMYFUNCTION("""COMPUTED_VALUE"""),"20% على جميع الخدمات")</f>
        <v>20% على جميع الخدمات</v>
      </c>
    </row>
    <row r="1750" spans="1:11" x14ac:dyDescent="0.25">
      <c r="A1750" s="4" t="str">
        <f ca="1">IFERROR(__xludf.DUMMYFUNCTION("""COMPUTED_VALUE"""),"2911-B")</f>
        <v>2911-B</v>
      </c>
      <c r="B1750" s="5" t="str">
        <f ca="1">IFERROR(__xludf.DUMMYFUNCTION("""COMPUTED_VALUE"""),"قنا")</f>
        <v>قنا</v>
      </c>
      <c r="C1750" s="5" t="str">
        <f ca="1">IFERROR(__xludf.DUMMYFUNCTION("""COMPUTED_VALUE"""),"نجع حمادى")</f>
        <v>نجع حمادى</v>
      </c>
      <c r="D1750" s="5" t="str">
        <f ca="1">IFERROR(__xludf.DUMMYFUNCTION("""COMPUTED_VALUE"""),"معمل")</f>
        <v>معمل</v>
      </c>
      <c r="E1750" s="5" t="str">
        <f ca="1">IFERROR(__xludf.DUMMYFUNCTION("""COMPUTED_VALUE"""),"معمل")</f>
        <v>معمل</v>
      </c>
      <c r="F1750" s="5" t="str">
        <f ca="1">IFERROR(__xludf.DUMMYFUNCTION("""COMPUTED_VALUE"""),"معمل التحاليل الطبية")</f>
        <v>معمل التحاليل الطبية</v>
      </c>
      <c r="G1750" s="5" t="str">
        <f ca="1">IFERROR(__xludf.DUMMYFUNCTION("""COMPUTED_VALUE"""),"معامل البرج")</f>
        <v>معامل البرج</v>
      </c>
      <c r="H1750" s="5" t="str">
        <f ca="1">IFERROR(__xludf.DUMMYFUNCTION("""COMPUTED_VALUE"""),"شارع حسنى مبارك عمارة النائب أحمد فخرى-نجع حمادى-قنا")</f>
        <v>شارع حسنى مبارك عمارة النائب أحمد فخرى-نجع حمادى-قنا</v>
      </c>
      <c r="I1750" s="6"/>
      <c r="J1750" s="6" t="str">
        <f ca="1">IFERROR(__xludf.DUMMYFUNCTION("""COMPUTED_VALUE"""),"19911")</f>
        <v>19911</v>
      </c>
      <c r="K1750" s="6" t="str">
        <f ca="1">IFERROR(__xludf.DUMMYFUNCTION("""COMPUTED_VALUE"""),"20% على جميع الخدمات")</f>
        <v>20% على جميع الخدمات</v>
      </c>
    </row>
    <row r="1751" spans="1:11" x14ac:dyDescent="0.25">
      <c r="A1751" s="4" t="str">
        <f ca="1">IFERROR(__xludf.DUMMYFUNCTION("""COMPUTED_VALUE"""),"2911-B")</f>
        <v>2911-B</v>
      </c>
      <c r="B1751" s="5" t="str">
        <f ca="1">IFERROR(__xludf.DUMMYFUNCTION("""COMPUTED_VALUE"""),"كفر الشيخ")</f>
        <v>كفر الشيخ</v>
      </c>
      <c r="C1751" s="5" t="str">
        <f ca="1">IFERROR(__xludf.DUMMYFUNCTION("""COMPUTED_VALUE"""),"دسوق")</f>
        <v>دسوق</v>
      </c>
      <c r="D1751" s="5" t="str">
        <f ca="1">IFERROR(__xludf.DUMMYFUNCTION("""COMPUTED_VALUE"""),"معمل")</f>
        <v>معمل</v>
      </c>
      <c r="E1751" s="5" t="str">
        <f ca="1">IFERROR(__xludf.DUMMYFUNCTION("""COMPUTED_VALUE"""),"معمل")</f>
        <v>معمل</v>
      </c>
      <c r="F1751" s="5" t="str">
        <f ca="1">IFERROR(__xludf.DUMMYFUNCTION("""COMPUTED_VALUE"""),"معمل التحاليل الطبية")</f>
        <v>معمل التحاليل الطبية</v>
      </c>
      <c r="G1751" s="5" t="str">
        <f ca="1">IFERROR(__xludf.DUMMYFUNCTION("""COMPUTED_VALUE"""),"معامل البرج")</f>
        <v>معامل البرج</v>
      </c>
      <c r="H1751" s="5" t="str">
        <f ca="1">IFERROR(__xludf.DUMMYFUNCTION("""COMPUTED_VALUE"""),"برج مبرة دسوق تقاطع شارع الجيش والشركات-دسوق-كفر الشيخ")</f>
        <v>برج مبرة دسوق تقاطع شارع الجيش والشركات-دسوق-كفر الشيخ</v>
      </c>
      <c r="I1751" s="6"/>
      <c r="J1751" s="6" t="str">
        <f ca="1">IFERROR(__xludf.DUMMYFUNCTION("""COMPUTED_VALUE"""),"19911")</f>
        <v>19911</v>
      </c>
      <c r="K1751" s="6" t="str">
        <f ca="1">IFERROR(__xludf.DUMMYFUNCTION("""COMPUTED_VALUE"""),"20% على جميع الخدمات")</f>
        <v>20% على جميع الخدمات</v>
      </c>
    </row>
    <row r="1752" spans="1:11" x14ac:dyDescent="0.25">
      <c r="A1752" s="4" t="str">
        <f ca="1">IFERROR(__xludf.DUMMYFUNCTION("""COMPUTED_VALUE"""),"2911-B")</f>
        <v>2911-B</v>
      </c>
      <c r="B1752" s="5" t="str">
        <f ca="1">IFERROR(__xludf.DUMMYFUNCTION("""COMPUTED_VALUE"""),"كفر الشيخ")</f>
        <v>كفر الشيخ</v>
      </c>
      <c r="C1752" s="5" t="str">
        <f ca="1">IFERROR(__xludf.DUMMYFUNCTION("""COMPUTED_VALUE"""),"سيدي سالم")</f>
        <v>سيدي سالم</v>
      </c>
      <c r="D1752" s="5" t="str">
        <f ca="1">IFERROR(__xludf.DUMMYFUNCTION("""COMPUTED_VALUE"""),"معمل")</f>
        <v>معمل</v>
      </c>
      <c r="E1752" s="5" t="str">
        <f ca="1">IFERROR(__xludf.DUMMYFUNCTION("""COMPUTED_VALUE"""),"معمل")</f>
        <v>معمل</v>
      </c>
      <c r="F1752" s="5" t="str">
        <f ca="1">IFERROR(__xludf.DUMMYFUNCTION("""COMPUTED_VALUE"""),"معمل التحاليل الطبية")</f>
        <v>معمل التحاليل الطبية</v>
      </c>
      <c r="G1752" s="5" t="str">
        <f ca="1">IFERROR(__xludf.DUMMYFUNCTION("""COMPUTED_VALUE"""),"معامل البرج")</f>
        <v>معامل البرج</v>
      </c>
      <c r="H1752" s="5" t="str">
        <f ca="1">IFERROR(__xludf.DUMMYFUNCTION("""COMPUTED_VALUE"""),"شارع 23 يوليو - الميدان - امام المسجد الكبير-سيدي سالم-كفر الشيخ")</f>
        <v>شارع 23 يوليو - الميدان - امام المسجد الكبير-سيدي سالم-كفر الشيخ</v>
      </c>
      <c r="I1752" s="6"/>
      <c r="J1752" s="6" t="str">
        <f ca="1">IFERROR(__xludf.DUMMYFUNCTION("""COMPUTED_VALUE"""),"19911")</f>
        <v>19911</v>
      </c>
      <c r="K1752" s="6" t="str">
        <f ca="1">IFERROR(__xludf.DUMMYFUNCTION("""COMPUTED_VALUE"""),"20% على جميع الخدمات")</f>
        <v>20% على جميع الخدمات</v>
      </c>
    </row>
    <row r="1753" spans="1:11" x14ac:dyDescent="0.25">
      <c r="A1753" s="4" t="str">
        <f ca="1">IFERROR(__xludf.DUMMYFUNCTION("""COMPUTED_VALUE"""),"2911-B")</f>
        <v>2911-B</v>
      </c>
      <c r="B1753" s="5" t="str">
        <f ca="1">IFERROR(__xludf.DUMMYFUNCTION("""COMPUTED_VALUE"""),"كفر الشيخ")</f>
        <v>كفر الشيخ</v>
      </c>
      <c r="C1753" s="5" t="str">
        <f ca="1">IFERROR(__xludf.DUMMYFUNCTION("""COMPUTED_VALUE"""),"كفر الشيخ")</f>
        <v>كفر الشيخ</v>
      </c>
      <c r="D1753" s="5" t="str">
        <f ca="1">IFERROR(__xludf.DUMMYFUNCTION("""COMPUTED_VALUE"""),"معمل")</f>
        <v>معمل</v>
      </c>
      <c r="E1753" s="5" t="str">
        <f ca="1">IFERROR(__xludf.DUMMYFUNCTION("""COMPUTED_VALUE"""),"معمل")</f>
        <v>معمل</v>
      </c>
      <c r="F1753" s="5" t="str">
        <f ca="1">IFERROR(__xludf.DUMMYFUNCTION("""COMPUTED_VALUE"""),"معمل التحاليل الطبية")</f>
        <v>معمل التحاليل الطبية</v>
      </c>
      <c r="G1753" s="5" t="str">
        <f ca="1">IFERROR(__xludf.DUMMYFUNCTION("""COMPUTED_VALUE"""),"معامل البرج")</f>
        <v>معامل البرج</v>
      </c>
      <c r="H1753" s="5" t="str">
        <f ca="1">IFERROR(__xludf.DUMMYFUNCTION("""COMPUTED_VALUE"""),"6 شارع  محمد عبده - امام المستشفى العام -كفر الشيخ")</f>
        <v>6 شارع  محمد عبده - امام المستشفى العام -كفر الشيخ</v>
      </c>
      <c r="I1753" s="6"/>
      <c r="J1753" s="6" t="str">
        <f ca="1">IFERROR(__xludf.DUMMYFUNCTION("""COMPUTED_VALUE"""),"19911")</f>
        <v>19911</v>
      </c>
      <c r="K1753" s="6" t="str">
        <f ca="1">IFERROR(__xludf.DUMMYFUNCTION("""COMPUTED_VALUE"""),"20% على جميع الخدمات")</f>
        <v>20% على جميع الخدمات</v>
      </c>
    </row>
    <row r="1754" spans="1:11" x14ac:dyDescent="0.25">
      <c r="A1754" s="4" t="str">
        <f ca="1">IFERROR(__xludf.DUMMYFUNCTION("""COMPUTED_VALUE"""),"2911-B")</f>
        <v>2911-B</v>
      </c>
      <c r="B1754" s="5" t="str">
        <f ca="1">IFERROR(__xludf.DUMMYFUNCTION("""COMPUTED_VALUE"""),"أسوان")</f>
        <v>أسوان</v>
      </c>
      <c r="C1754" s="5" t="str">
        <f ca="1">IFERROR(__xludf.DUMMYFUNCTION("""COMPUTED_VALUE"""),"ادفو")</f>
        <v>ادفو</v>
      </c>
      <c r="D1754" s="5" t="str">
        <f ca="1">IFERROR(__xludf.DUMMYFUNCTION("""COMPUTED_VALUE"""),"معمل")</f>
        <v>معمل</v>
      </c>
      <c r="E1754" s="5" t="str">
        <f ca="1">IFERROR(__xludf.DUMMYFUNCTION("""COMPUTED_VALUE"""),"معمل")</f>
        <v>معمل</v>
      </c>
      <c r="F1754" s="5" t="str">
        <f ca="1">IFERROR(__xludf.DUMMYFUNCTION("""COMPUTED_VALUE"""),"معمل التحاليل الطبية")</f>
        <v>معمل التحاليل الطبية</v>
      </c>
      <c r="G1754" s="5" t="str">
        <f ca="1">IFERROR(__xludf.DUMMYFUNCTION("""COMPUTED_VALUE"""),"معامل البرج")</f>
        <v>معامل البرج</v>
      </c>
      <c r="H1754" s="5" t="str">
        <f ca="1">IFERROR(__xludf.DUMMYFUNCTION("""COMPUTED_VALUE"""),"تقاطع شارع 23يوليو مع مجلس المدينة - امام سنترال ادفو - أسوان")</f>
        <v>تقاطع شارع 23يوليو مع مجلس المدينة - امام سنترال ادفو - أسوان</v>
      </c>
      <c r="I1754" s="6"/>
      <c r="J1754" s="6" t="str">
        <f ca="1">IFERROR(__xludf.DUMMYFUNCTION("""COMPUTED_VALUE"""),"19911")</f>
        <v>19911</v>
      </c>
      <c r="K1754" s="6" t="str">
        <f ca="1">IFERROR(__xludf.DUMMYFUNCTION("""COMPUTED_VALUE"""),"20% على جميع الخدمات")</f>
        <v>20% على جميع الخدمات</v>
      </c>
    </row>
    <row r="1755" spans="1:11" x14ac:dyDescent="0.25">
      <c r="A1755" s="4" t="str">
        <f ca="1">IFERROR(__xludf.DUMMYFUNCTION("""COMPUTED_VALUE"""),"2911-B")</f>
        <v>2911-B</v>
      </c>
      <c r="B1755" s="5" t="str">
        <f ca="1">IFERROR(__xludf.DUMMYFUNCTION("""COMPUTED_VALUE"""),"الغربية")</f>
        <v>الغربية</v>
      </c>
      <c r="C1755" s="5" t="str">
        <f ca="1">IFERROR(__xludf.DUMMYFUNCTION("""COMPUTED_VALUE"""),"السنطة")</f>
        <v>السنطة</v>
      </c>
      <c r="D1755" s="5" t="str">
        <f ca="1">IFERROR(__xludf.DUMMYFUNCTION("""COMPUTED_VALUE"""),"معمل")</f>
        <v>معمل</v>
      </c>
      <c r="E1755" s="5" t="str">
        <f ca="1">IFERROR(__xludf.DUMMYFUNCTION("""COMPUTED_VALUE"""),"معمل")</f>
        <v>معمل</v>
      </c>
      <c r="F1755" s="5" t="str">
        <f ca="1">IFERROR(__xludf.DUMMYFUNCTION("""COMPUTED_VALUE"""),"معمل التحاليل الطبية")</f>
        <v>معمل التحاليل الطبية</v>
      </c>
      <c r="G1755" s="5" t="str">
        <f ca="1">IFERROR(__xludf.DUMMYFUNCTION("""COMPUTED_VALUE"""),"معامل البرج")</f>
        <v>معامل البرج</v>
      </c>
      <c r="H1755" s="5" t="str">
        <f ca="1">IFERROR(__xludf.DUMMYFUNCTION("""COMPUTED_VALUE"""),"شارع الجلاء – برج سلام – أمام التأمين الصحى - السنطة  - الغربية")</f>
        <v>شارع الجلاء – برج سلام – أمام التأمين الصحى - السنطة  - الغربية</v>
      </c>
      <c r="I1755" s="6"/>
      <c r="J1755" s="6" t="str">
        <f ca="1">IFERROR(__xludf.DUMMYFUNCTION("""COMPUTED_VALUE"""),"19911")</f>
        <v>19911</v>
      </c>
      <c r="K1755" s="6" t="str">
        <f ca="1">IFERROR(__xludf.DUMMYFUNCTION("""COMPUTED_VALUE"""),"20% على جميع الخدمات")</f>
        <v>20% على جميع الخدمات</v>
      </c>
    </row>
    <row r="1756" spans="1:11" x14ac:dyDescent="0.25">
      <c r="A1756" s="4" t="str">
        <f ca="1">IFERROR(__xludf.DUMMYFUNCTION("""COMPUTED_VALUE"""),"104446")</f>
        <v>104446</v>
      </c>
      <c r="B1756" s="5" t="str">
        <f ca="1">IFERROR(__xludf.DUMMYFUNCTION("""COMPUTED_VALUE"""),"القاهرة")</f>
        <v>القاهرة</v>
      </c>
      <c r="C1756" s="5" t="str">
        <f ca="1">IFERROR(__xludf.DUMMYFUNCTION("""COMPUTED_VALUE"""),"المنيل")</f>
        <v>المنيل</v>
      </c>
      <c r="D1756" s="5" t="str">
        <f ca="1">IFERROR(__xludf.DUMMYFUNCTION("""COMPUTED_VALUE"""),"هيئة الأطباء")</f>
        <v>هيئة الأطباء</v>
      </c>
      <c r="E1756" s="5" t="str">
        <f ca="1">IFERROR(__xludf.DUMMYFUNCTION("""COMPUTED_VALUE"""),"أنف وأذن وحنجرة")</f>
        <v>أنف وأذن وحنجرة</v>
      </c>
      <c r="F1756" s="5" t="str">
        <f ca="1">IFERROR(__xludf.DUMMYFUNCTION("""COMPUTED_VALUE"""),"أنف وأذن وحنجرة")</f>
        <v>أنف وأذن وحنجرة</v>
      </c>
      <c r="G1756" s="5" t="str">
        <f ca="1">IFERROR(__xludf.DUMMYFUNCTION("""COMPUTED_VALUE"""),"د/ طارق محمد فهيم")</f>
        <v>د/ طارق محمد فهيم</v>
      </c>
      <c r="H1756" s="5" t="str">
        <f ca="1">IFERROR(__xludf.DUMMYFUNCTION("""COMPUTED_VALUE"""),"80ش المنيل - فوق بنك قطر الوطني - الدور الخامس - المنيل - القاهرة")</f>
        <v>80ش المنيل - فوق بنك قطر الوطني - الدور الخامس - المنيل - القاهرة</v>
      </c>
      <c r="I1756" s="6" t="str">
        <f ca="1">IFERROR(__xludf.DUMMYFUNCTION("""COMPUTED_VALUE"""),"201021533675")</f>
        <v>201021533675</v>
      </c>
      <c r="J1756" s="6"/>
      <c r="K1756" s="6" t="str">
        <f ca="1">IFERROR(__xludf.DUMMYFUNCTION("""COMPUTED_VALUE"""),"خصم 40% علي الاسعار النقدي")</f>
        <v>خصم 40% علي الاسعار النقدي</v>
      </c>
    </row>
    <row r="1757" spans="1:11" x14ac:dyDescent="0.25">
      <c r="A1757" s="4" t="str">
        <f ca="1">IFERROR(__xludf.DUMMYFUNCTION("""COMPUTED_VALUE"""),"1753-B")</f>
        <v>1753-B</v>
      </c>
      <c r="B1757" s="5" t="str">
        <f ca="1">IFERROR(__xludf.DUMMYFUNCTION("""COMPUTED_VALUE"""),"الجيزة")</f>
        <v>الجيزة</v>
      </c>
      <c r="C1757" s="5" t="str">
        <f ca="1">IFERROR(__xludf.DUMMYFUNCTION("""COMPUTED_VALUE"""),"الشيخ زايد")</f>
        <v>الشيخ زايد</v>
      </c>
      <c r="D1757" s="5" t="str">
        <f ca="1">IFERROR(__xludf.DUMMYFUNCTION("""COMPUTED_VALUE"""),"مركز أشعة")</f>
        <v>مركز أشعة</v>
      </c>
      <c r="E1757" s="5" t="str">
        <f ca="1">IFERROR(__xludf.DUMMYFUNCTION("""COMPUTED_VALUE"""),"مركز أشعة")</f>
        <v>مركز أشعة</v>
      </c>
      <c r="F1757" s="5" t="str">
        <f ca="1">IFERROR(__xludf.DUMMYFUNCTION("""COMPUTED_VALUE"""),"مركز الأشعة التشخيصية")</f>
        <v>مركز الأشعة التشخيصية</v>
      </c>
      <c r="G1757" s="5" t="str">
        <f ca="1">IFERROR(__xludf.DUMMYFUNCTION("""COMPUTED_VALUE"""),"ألفا سكان")</f>
        <v>ألفا سكان</v>
      </c>
      <c r="H1757" s="5" t="str">
        <f ca="1">IFERROR(__xludf.DUMMYFUNCTION("""COMPUTED_VALUE"""),"اركان مول-مدخل زايد 2000-الدور 3 -الشيخ زايد- الجيزة")</f>
        <v>اركان مول-مدخل زايد 2000-الدور 3 -الشيخ زايد- الجيزة</v>
      </c>
      <c r="I1757" s="6" t="str">
        <f ca="1">IFERROR(__xludf.DUMMYFUNCTION("""COMPUTED_VALUE"""),"20237966256/7")</f>
        <v>20237966256/7</v>
      </c>
      <c r="J1757" s="6" t="str">
        <f ca="1">IFERROR(__xludf.DUMMYFUNCTION("""COMPUTED_VALUE"""),"16171")</f>
        <v>16171</v>
      </c>
      <c r="K1757" s="6" t="str">
        <f ca="1">IFERROR(__xludf.DUMMYFUNCTION("""COMPUTED_VALUE"""),"10% على جميع الخدمات المقدمة")</f>
        <v>10% على جميع الخدمات المقدمة</v>
      </c>
    </row>
    <row r="1758" spans="1:11" x14ac:dyDescent="0.25">
      <c r="A1758" s="4" t="str">
        <f ca="1">IFERROR(__xludf.DUMMYFUNCTION("""COMPUTED_VALUE"""),"1753-B")</f>
        <v>1753-B</v>
      </c>
      <c r="B1758" s="5" t="str">
        <f ca="1">IFERROR(__xludf.DUMMYFUNCTION("""COMPUTED_VALUE"""),"القاهرة")</f>
        <v>القاهرة</v>
      </c>
      <c r="C1758" s="5" t="str">
        <f ca="1">IFERROR(__xludf.DUMMYFUNCTION("""COMPUTED_VALUE"""),"القاهرة الجديدة")</f>
        <v>القاهرة الجديدة</v>
      </c>
      <c r="D1758" s="5" t="str">
        <f ca="1">IFERROR(__xludf.DUMMYFUNCTION("""COMPUTED_VALUE"""),"مركز أشعة")</f>
        <v>مركز أشعة</v>
      </c>
      <c r="E1758" s="5" t="str">
        <f ca="1">IFERROR(__xludf.DUMMYFUNCTION("""COMPUTED_VALUE"""),"مركز أشعة")</f>
        <v>مركز أشعة</v>
      </c>
      <c r="F1758" s="5" t="str">
        <f ca="1">IFERROR(__xludf.DUMMYFUNCTION("""COMPUTED_VALUE"""),"مركز الأشعة التشخيصية")</f>
        <v>مركز الأشعة التشخيصية</v>
      </c>
      <c r="G1758" s="5" t="str">
        <f ca="1">IFERROR(__xludf.DUMMYFUNCTION("""COMPUTED_VALUE"""),"ألفا سكان")</f>
        <v>ألفا سكان</v>
      </c>
      <c r="H1758" s="5" t="str">
        <f ca="1">IFERROR(__xludf.DUMMYFUNCTION("""COMPUTED_VALUE"""),"شارع التسعيين الجنوبى - مول كونكورد بلازا - الدور الثاني - القاهرة الجديدة -القاهرة")</f>
        <v>شارع التسعيين الجنوبى - مول كونكورد بلازا - الدور الثاني - القاهرة الجديدة -القاهرة</v>
      </c>
      <c r="I1758" s="6" t="str">
        <f ca="1">IFERROR(__xludf.DUMMYFUNCTION("""COMPUTED_VALUE"""),"20225364050/1")</f>
        <v>20225364050/1</v>
      </c>
      <c r="J1758" s="6" t="str">
        <f ca="1">IFERROR(__xludf.DUMMYFUNCTION("""COMPUTED_VALUE"""),"16171")</f>
        <v>16171</v>
      </c>
      <c r="K1758" s="6" t="str">
        <f ca="1">IFERROR(__xludf.DUMMYFUNCTION("""COMPUTED_VALUE"""),"10% على جميع الخدمات المقدمة")</f>
        <v>10% على جميع الخدمات المقدمة</v>
      </c>
    </row>
    <row r="1759" spans="1:11" x14ac:dyDescent="0.25">
      <c r="A1759" s="4" t="str">
        <f ca="1">IFERROR(__xludf.DUMMYFUNCTION("""COMPUTED_VALUE"""),"1753-B")</f>
        <v>1753-B</v>
      </c>
      <c r="B1759" s="5" t="str">
        <f ca="1">IFERROR(__xludf.DUMMYFUNCTION("""COMPUTED_VALUE"""),"القاهرة")</f>
        <v>القاهرة</v>
      </c>
      <c r="C1759" s="5" t="str">
        <f ca="1">IFERROR(__xludf.DUMMYFUNCTION("""COMPUTED_VALUE"""),"المعادى")</f>
        <v>المعادى</v>
      </c>
      <c r="D1759" s="5" t="str">
        <f ca="1">IFERROR(__xludf.DUMMYFUNCTION("""COMPUTED_VALUE"""),"مركز أشعة")</f>
        <v>مركز أشعة</v>
      </c>
      <c r="E1759" s="5" t="str">
        <f ca="1">IFERROR(__xludf.DUMMYFUNCTION("""COMPUTED_VALUE"""),"مركز أشعة")</f>
        <v>مركز أشعة</v>
      </c>
      <c r="F1759" s="5" t="str">
        <f ca="1">IFERROR(__xludf.DUMMYFUNCTION("""COMPUTED_VALUE"""),"مركز الأشعة التشخيصية")</f>
        <v>مركز الأشعة التشخيصية</v>
      </c>
      <c r="G1759" s="5" t="str">
        <f ca="1">IFERROR(__xludf.DUMMYFUNCTION("""COMPUTED_VALUE"""),"ألفا سكان")</f>
        <v>ألفا سكان</v>
      </c>
      <c r="H1759" s="5" t="str">
        <f ca="1">IFERROR(__xludf.DUMMYFUNCTION("""COMPUTED_VALUE"""),"برج السلام - كورنيش النيل -المعادي-القاهرة")</f>
        <v>برج السلام - كورنيش النيل -المعادي-القاهرة</v>
      </c>
      <c r="I1759" s="6" t="str">
        <f ca="1">IFERROR(__xludf.DUMMYFUNCTION("""COMPUTED_VALUE"""),"20225284888")</f>
        <v>20225284888</v>
      </c>
      <c r="J1759" s="6" t="str">
        <f ca="1">IFERROR(__xludf.DUMMYFUNCTION("""COMPUTED_VALUE"""),"16171")</f>
        <v>16171</v>
      </c>
      <c r="K1759" s="6" t="str">
        <f ca="1">IFERROR(__xludf.DUMMYFUNCTION("""COMPUTED_VALUE"""),"10% على جميع الخدمات المقدمة")</f>
        <v>10% على جميع الخدمات المقدمة</v>
      </c>
    </row>
    <row r="1760" spans="1:11" x14ac:dyDescent="0.25">
      <c r="A1760" s="4" t="str">
        <f ca="1">IFERROR(__xludf.DUMMYFUNCTION("""COMPUTED_VALUE"""),"1753")</f>
        <v>1753</v>
      </c>
      <c r="B1760" s="5" t="str">
        <f ca="1">IFERROR(__xludf.DUMMYFUNCTION("""COMPUTED_VALUE"""),"الجيزة")</f>
        <v>الجيزة</v>
      </c>
      <c r="C1760" s="5" t="str">
        <f ca="1">IFERROR(__xludf.DUMMYFUNCTION("""COMPUTED_VALUE"""),"المهندسين")</f>
        <v>المهندسين</v>
      </c>
      <c r="D1760" s="5" t="str">
        <f ca="1">IFERROR(__xludf.DUMMYFUNCTION("""COMPUTED_VALUE"""),"مركز أشعة")</f>
        <v>مركز أشعة</v>
      </c>
      <c r="E1760" s="5" t="str">
        <f ca="1">IFERROR(__xludf.DUMMYFUNCTION("""COMPUTED_VALUE"""),"مركز أشعة")</f>
        <v>مركز أشعة</v>
      </c>
      <c r="F1760" s="5" t="str">
        <f ca="1">IFERROR(__xludf.DUMMYFUNCTION("""COMPUTED_VALUE"""),"مركز الأشعة التشخيصية")</f>
        <v>مركز الأشعة التشخيصية</v>
      </c>
      <c r="G1760" s="5" t="str">
        <f ca="1">IFERROR(__xludf.DUMMYFUNCTION("""COMPUTED_VALUE"""),"ألفا سكان")</f>
        <v>ألفا سكان</v>
      </c>
      <c r="H1760" s="5" t="str">
        <f ca="1">IFERROR(__xludf.DUMMYFUNCTION("""COMPUTED_VALUE"""),"35شارع عدن - تقاطع شارع الحجاز - برج الصفا الطبى-المهندسين- الجيزة")</f>
        <v>35شارع عدن - تقاطع شارع الحجاز - برج الصفا الطبى-المهندسين- الجيزة</v>
      </c>
      <c r="I1760" s="6" t="str">
        <f ca="1">IFERROR(__xludf.DUMMYFUNCTION("""COMPUTED_VALUE"""),"201006684412")</f>
        <v>201006684412</v>
      </c>
      <c r="J1760" s="6" t="str">
        <f ca="1">IFERROR(__xludf.DUMMYFUNCTION("""COMPUTED_VALUE"""),"16171")</f>
        <v>16171</v>
      </c>
      <c r="K1760" s="6" t="str">
        <f ca="1">IFERROR(__xludf.DUMMYFUNCTION("""COMPUTED_VALUE"""),"10% على جميع الخدمات المقدمة")</f>
        <v>10% على جميع الخدمات المقدمة</v>
      </c>
    </row>
    <row r="1761" spans="1:11" x14ac:dyDescent="0.25">
      <c r="A1761" s="4" t="str">
        <f ca="1">IFERROR(__xludf.DUMMYFUNCTION("""COMPUTED_VALUE"""),"1753-B")</f>
        <v>1753-B</v>
      </c>
      <c r="B1761" s="5" t="str">
        <f ca="1">IFERROR(__xludf.DUMMYFUNCTION("""COMPUTED_VALUE"""),"القاهرة")</f>
        <v>القاهرة</v>
      </c>
      <c r="C1761" s="5" t="str">
        <f ca="1">IFERROR(__xludf.DUMMYFUNCTION("""COMPUTED_VALUE"""),"مصر الجديدة")</f>
        <v>مصر الجديدة</v>
      </c>
      <c r="D1761" s="5" t="str">
        <f ca="1">IFERROR(__xludf.DUMMYFUNCTION("""COMPUTED_VALUE"""),"مركز أشعة")</f>
        <v>مركز أشعة</v>
      </c>
      <c r="E1761" s="5" t="str">
        <f ca="1">IFERROR(__xludf.DUMMYFUNCTION("""COMPUTED_VALUE"""),"مركز أشعة")</f>
        <v>مركز أشعة</v>
      </c>
      <c r="F1761" s="5" t="str">
        <f ca="1">IFERROR(__xludf.DUMMYFUNCTION("""COMPUTED_VALUE"""),"مركز الأشعة التشخيصية")</f>
        <v>مركز الأشعة التشخيصية</v>
      </c>
      <c r="G1761" s="5" t="str">
        <f ca="1">IFERROR(__xludf.DUMMYFUNCTION("""COMPUTED_VALUE"""),"ألفا سكان")</f>
        <v>ألفا سكان</v>
      </c>
      <c r="H1761" s="5" t="str">
        <f ca="1">IFERROR(__xludf.DUMMYFUNCTION("""COMPUTED_VALUE"""),"73 شارع الميرغني -مصر الجديدة-القاهرة")</f>
        <v>73 شارع الميرغني -مصر الجديدة-القاهرة</v>
      </c>
      <c r="I1761" s="6" t="str">
        <f ca="1">IFERROR(__xludf.DUMMYFUNCTION("""COMPUTED_VALUE"""),"20224175556")</f>
        <v>20224175556</v>
      </c>
      <c r="J1761" s="6" t="str">
        <f ca="1">IFERROR(__xludf.DUMMYFUNCTION("""COMPUTED_VALUE"""),"16171")</f>
        <v>16171</v>
      </c>
      <c r="K1761" s="6" t="str">
        <f ca="1">IFERROR(__xludf.DUMMYFUNCTION("""COMPUTED_VALUE"""),"10% على جميع الخدمات المقدمة")</f>
        <v>10% على جميع الخدمات المقدمة</v>
      </c>
    </row>
    <row r="1762" spans="1:11" x14ac:dyDescent="0.25">
      <c r="A1762" s="4" t="str">
        <f ca="1">IFERROR(__xludf.DUMMYFUNCTION("""COMPUTED_VALUE"""),"2911-B")</f>
        <v>2911-B</v>
      </c>
      <c r="B1762" s="5" t="str">
        <f ca="1">IFERROR(__xludf.DUMMYFUNCTION("""COMPUTED_VALUE"""),"الجيزة")</f>
        <v>الجيزة</v>
      </c>
      <c r="C1762" s="5" t="str">
        <f ca="1">IFERROR(__xludf.DUMMYFUNCTION("""COMPUTED_VALUE"""),"فيصل")</f>
        <v>فيصل</v>
      </c>
      <c r="D1762" s="5" t="str">
        <f ca="1">IFERROR(__xludf.DUMMYFUNCTION("""COMPUTED_VALUE"""),"معمل")</f>
        <v>معمل</v>
      </c>
      <c r="E1762" s="5" t="str">
        <f ca="1">IFERROR(__xludf.DUMMYFUNCTION("""COMPUTED_VALUE"""),"معمل")</f>
        <v>معمل</v>
      </c>
      <c r="F1762" s="5" t="str">
        <f ca="1">IFERROR(__xludf.DUMMYFUNCTION("""COMPUTED_VALUE"""),"معمل التحاليل الطبية")</f>
        <v>معمل التحاليل الطبية</v>
      </c>
      <c r="G1762" s="5" t="str">
        <f ca="1">IFERROR(__xludf.DUMMYFUNCTION("""COMPUTED_VALUE"""),"معامل البرج")</f>
        <v>معامل البرج</v>
      </c>
      <c r="H1762" s="5" t="str">
        <f ca="1">IFERROR(__xludf.DUMMYFUNCTION("""COMPUTED_VALUE"""),"362شارع الملك فيصل - محطة الطالبية -فوق صيدلية العزبى")</f>
        <v>362شارع الملك فيصل - محطة الطالبية -فوق صيدلية العزبى</v>
      </c>
      <c r="I1762" s="6"/>
      <c r="J1762" s="6" t="str">
        <f ca="1">IFERROR(__xludf.DUMMYFUNCTION("""COMPUTED_VALUE"""),"19911")</f>
        <v>19911</v>
      </c>
      <c r="K1762" s="6" t="str">
        <f ca="1">IFERROR(__xludf.DUMMYFUNCTION("""COMPUTED_VALUE"""),"20% على جميع الخدمات")</f>
        <v>20% على جميع الخدمات</v>
      </c>
    </row>
    <row r="1763" spans="1:11" x14ac:dyDescent="0.25">
      <c r="A1763" s="4" t="str">
        <f ca="1">IFERROR(__xludf.DUMMYFUNCTION("""COMPUTED_VALUE"""),"2911-B")</f>
        <v>2911-B</v>
      </c>
      <c r="B1763" s="5" t="str">
        <f ca="1">IFERROR(__xludf.DUMMYFUNCTION("""COMPUTED_VALUE"""),"الجيزة")</f>
        <v>الجيزة</v>
      </c>
      <c r="C1763" s="5" t="str">
        <f ca="1">IFERROR(__xludf.DUMMYFUNCTION("""COMPUTED_VALUE"""),"الجيزة")</f>
        <v>الجيزة</v>
      </c>
      <c r="D1763" s="5" t="str">
        <f ca="1">IFERROR(__xludf.DUMMYFUNCTION("""COMPUTED_VALUE"""),"معمل")</f>
        <v>معمل</v>
      </c>
      <c r="E1763" s="5" t="str">
        <f ca="1">IFERROR(__xludf.DUMMYFUNCTION("""COMPUTED_VALUE"""),"معمل")</f>
        <v>معمل</v>
      </c>
      <c r="F1763" s="5" t="str">
        <f ca="1">IFERROR(__xludf.DUMMYFUNCTION("""COMPUTED_VALUE"""),"معمل التحاليل الطبية")</f>
        <v>معمل التحاليل الطبية</v>
      </c>
      <c r="G1763" s="5" t="str">
        <f ca="1">IFERROR(__xludf.DUMMYFUNCTION("""COMPUTED_VALUE"""),"معامل البرج")</f>
        <v>معامل البرج</v>
      </c>
      <c r="H1763" s="5" t="str">
        <f ca="1">IFERROR(__xludf.DUMMYFUNCTION("""COMPUTED_VALUE"""),"21 شارع مراد - امام عمر افندى -الدور الثانى")</f>
        <v>21 شارع مراد - امام عمر افندى -الدور الثانى</v>
      </c>
      <c r="I1763" s="6"/>
      <c r="J1763" s="6" t="str">
        <f ca="1">IFERROR(__xludf.DUMMYFUNCTION("""COMPUTED_VALUE"""),"19911")</f>
        <v>19911</v>
      </c>
      <c r="K1763" s="6" t="str">
        <f ca="1">IFERROR(__xludf.DUMMYFUNCTION("""COMPUTED_VALUE"""),"20% على جميع الخدمات")</f>
        <v>20% على جميع الخدمات</v>
      </c>
    </row>
    <row r="1764" spans="1:11" x14ac:dyDescent="0.25">
      <c r="A1764" s="4" t="str">
        <f ca="1">IFERROR(__xludf.DUMMYFUNCTION("""COMPUTED_VALUE"""),"2911-B")</f>
        <v>2911-B</v>
      </c>
      <c r="B1764" s="5" t="str">
        <f ca="1">IFERROR(__xludf.DUMMYFUNCTION("""COMPUTED_VALUE"""),"الجيزة")</f>
        <v>الجيزة</v>
      </c>
      <c r="C1764" s="5" t="str">
        <f ca="1">IFERROR(__xludf.DUMMYFUNCTION("""COMPUTED_VALUE"""),"السادس من اكتوبر")</f>
        <v>السادس من اكتوبر</v>
      </c>
      <c r="D1764" s="5" t="str">
        <f ca="1">IFERROR(__xludf.DUMMYFUNCTION("""COMPUTED_VALUE"""),"معمل")</f>
        <v>معمل</v>
      </c>
      <c r="E1764" s="5" t="str">
        <f ca="1">IFERROR(__xludf.DUMMYFUNCTION("""COMPUTED_VALUE"""),"معمل")</f>
        <v>معمل</v>
      </c>
      <c r="F1764" s="5" t="str">
        <f ca="1">IFERROR(__xludf.DUMMYFUNCTION("""COMPUTED_VALUE"""),"معمل التحاليل الطبية")</f>
        <v>معمل التحاليل الطبية</v>
      </c>
      <c r="G1764" s="5" t="str">
        <f ca="1">IFERROR(__xludf.DUMMYFUNCTION("""COMPUTED_VALUE"""),"معامل البرج")</f>
        <v>معامل البرج</v>
      </c>
      <c r="H1764" s="5" t="str">
        <f ca="1">IFERROR(__xludf.DUMMYFUNCTION("""COMPUTED_VALUE"""),"الحى السابع - 6 اكتوبر - سنتر الاردنية")</f>
        <v>الحى السابع - 6 اكتوبر - سنتر الاردنية</v>
      </c>
      <c r="I1764" s="6"/>
      <c r="J1764" s="6" t="str">
        <f ca="1">IFERROR(__xludf.DUMMYFUNCTION("""COMPUTED_VALUE"""),"19911")</f>
        <v>19911</v>
      </c>
      <c r="K1764" s="6" t="str">
        <f ca="1">IFERROR(__xludf.DUMMYFUNCTION("""COMPUTED_VALUE"""),"20% على جميع الخدمات")</f>
        <v>20% على جميع الخدمات</v>
      </c>
    </row>
    <row r="1765" spans="1:11" x14ac:dyDescent="0.25">
      <c r="A1765" s="4" t="str">
        <f ca="1">IFERROR(__xludf.DUMMYFUNCTION("""COMPUTED_VALUE"""),"2911-B")</f>
        <v>2911-B</v>
      </c>
      <c r="B1765" s="5" t="str">
        <f ca="1">IFERROR(__xludf.DUMMYFUNCTION("""COMPUTED_VALUE"""),"الجيزة")</f>
        <v>الجيزة</v>
      </c>
      <c r="C1765" s="5" t="str">
        <f ca="1">IFERROR(__xludf.DUMMYFUNCTION("""COMPUTED_VALUE"""),"الشيخ زايد")</f>
        <v>الشيخ زايد</v>
      </c>
      <c r="D1765" s="5" t="str">
        <f ca="1">IFERROR(__xludf.DUMMYFUNCTION("""COMPUTED_VALUE"""),"معمل")</f>
        <v>معمل</v>
      </c>
      <c r="E1765" s="5" t="str">
        <f ca="1">IFERROR(__xludf.DUMMYFUNCTION("""COMPUTED_VALUE"""),"معمل")</f>
        <v>معمل</v>
      </c>
      <c r="F1765" s="5" t="str">
        <f ca="1">IFERROR(__xludf.DUMMYFUNCTION("""COMPUTED_VALUE"""),"معمل التحاليل الطبية")</f>
        <v>معمل التحاليل الطبية</v>
      </c>
      <c r="G1765" s="5" t="str">
        <f ca="1">IFERROR(__xludf.DUMMYFUNCTION("""COMPUTED_VALUE"""),"معامل البرج")</f>
        <v>معامل البرج</v>
      </c>
      <c r="H1765" s="5" t="str">
        <f ca="1">IFERROR(__xludf.DUMMYFUNCTION("""COMPUTED_VALUE"""),"داون تاون - الشيخ زايد")</f>
        <v>داون تاون - الشيخ زايد</v>
      </c>
      <c r="I1765" s="6"/>
      <c r="J1765" s="6" t="str">
        <f ca="1">IFERROR(__xludf.DUMMYFUNCTION("""COMPUTED_VALUE"""),"19911")</f>
        <v>19911</v>
      </c>
      <c r="K1765" s="6" t="str">
        <f ca="1">IFERROR(__xludf.DUMMYFUNCTION("""COMPUTED_VALUE"""),"20% على جميع الخدمات")</f>
        <v>20% على جميع الخدمات</v>
      </c>
    </row>
    <row r="1766" spans="1:11" x14ac:dyDescent="0.25">
      <c r="A1766" s="4" t="str">
        <f ca="1">IFERROR(__xludf.DUMMYFUNCTION("""COMPUTED_VALUE"""),"2911-B")</f>
        <v>2911-B</v>
      </c>
      <c r="B1766" s="5" t="str">
        <f ca="1">IFERROR(__xludf.DUMMYFUNCTION("""COMPUTED_VALUE"""),"القاهرة")</f>
        <v>القاهرة</v>
      </c>
      <c r="C1766" s="5" t="str">
        <f ca="1">IFERROR(__xludf.DUMMYFUNCTION("""COMPUTED_VALUE"""),"حلوان")</f>
        <v>حلوان</v>
      </c>
      <c r="D1766" s="5" t="str">
        <f ca="1">IFERROR(__xludf.DUMMYFUNCTION("""COMPUTED_VALUE"""),"معمل")</f>
        <v>معمل</v>
      </c>
      <c r="E1766" s="5" t="str">
        <f ca="1">IFERROR(__xludf.DUMMYFUNCTION("""COMPUTED_VALUE"""),"معمل")</f>
        <v>معمل</v>
      </c>
      <c r="F1766" s="5" t="str">
        <f ca="1">IFERROR(__xludf.DUMMYFUNCTION("""COMPUTED_VALUE"""),"معمل التحاليل الطبية")</f>
        <v>معمل التحاليل الطبية</v>
      </c>
      <c r="G1766" s="5" t="str">
        <f ca="1">IFERROR(__xludf.DUMMYFUNCTION("""COMPUTED_VALUE"""),"معامل البرج")</f>
        <v>معامل البرج</v>
      </c>
      <c r="H1766" s="5" t="str">
        <f ca="1">IFERROR(__xludf.DUMMYFUNCTION("""COMPUTED_VALUE"""),"18 شارع خالد بن الوليد - امام محكمة الاسرة - حلوان - القاهرة")</f>
        <v>18 شارع خالد بن الوليد - امام محكمة الاسرة - حلوان - القاهرة</v>
      </c>
      <c r="I1766" s="6"/>
      <c r="J1766" s="6" t="str">
        <f ca="1">IFERROR(__xludf.DUMMYFUNCTION("""COMPUTED_VALUE"""),"19911")</f>
        <v>19911</v>
      </c>
      <c r="K1766" s="6" t="str">
        <f ca="1">IFERROR(__xludf.DUMMYFUNCTION("""COMPUTED_VALUE"""),"20% على جميع الخدمات")</f>
        <v>20% على جميع الخدمات</v>
      </c>
    </row>
    <row r="1767" spans="1:11" x14ac:dyDescent="0.25">
      <c r="A1767" s="4" t="str">
        <f ca="1">IFERROR(__xludf.DUMMYFUNCTION("""COMPUTED_VALUE"""),"2911-B")</f>
        <v>2911-B</v>
      </c>
      <c r="B1767" s="5" t="str">
        <f ca="1">IFERROR(__xludf.DUMMYFUNCTION("""COMPUTED_VALUE"""),"القاهرة")</f>
        <v>القاهرة</v>
      </c>
      <c r="C1767" s="5" t="str">
        <f ca="1">IFERROR(__xludf.DUMMYFUNCTION("""COMPUTED_VALUE"""),"مصر الجديدة")</f>
        <v>مصر الجديدة</v>
      </c>
      <c r="D1767" s="5" t="str">
        <f ca="1">IFERROR(__xludf.DUMMYFUNCTION("""COMPUTED_VALUE"""),"معمل")</f>
        <v>معمل</v>
      </c>
      <c r="E1767" s="5" t="str">
        <f ca="1">IFERROR(__xludf.DUMMYFUNCTION("""COMPUTED_VALUE"""),"معمل")</f>
        <v>معمل</v>
      </c>
      <c r="F1767" s="5" t="str">
        <f ca="1">IFERROR(__xludf.DUMMYFUNCTION("""COMPUTED_VALUE"""),"معمل التحاليل الطبية")</f>
        <v>معمل التحاليل الطبية</v>
      </c>
      <c r="G1767" s="5" t="str">
        <f ca="1">IFERROR(__xludf.DUMMYFUNCTION("""COMPUTED_VALUE"""),"معامل البرج")</f>
        <v>معامل البرج</v>
      </c>
      <c r="H1767" s="5" t="str">
        <f ca="1">IFERROR(__xludf.DUMMYFUNCTION("""COMPUTED_VALUE"""),"170شارع النزهة - سانت فاتيما بجوار بنك كريدى اجريكول - مصر الجديدة")</f>
        <v>170شارع النزهة - سانت فاتيما بجوار بنك كريدى اجريكول - مصر الجديدة</v>
      </c>
      <c r="I1767" s="6"/>
      <c r="J1767" s="6" t="str">
        <f ca="1">IFERROR(__xludf.DUMMYFUNCTION("""COMPUTED_VALUE"""),"19911")</f>
        <v>19911</v>
      </c>
      <c r="K1767" s="6" t="str">
        <f ca="1">IFERROR(__xludf.DUMMYFUNCTION("""COMPUTED_VALUE"""),"20% على جميع الخدمات")</f>
        <v>20% على جميع الخدمات</v>
      </c>
    </row>
    <row r="1768" spans="1:11" x14ac:dyDescent="0.25">
      <c r="A1768" s="4" t="str">
        <f ca="1">IFERROR(__xludf.DUMMYFUNCTION("""COMPUTED_VALUE"""),"2911-B")</f>
        <v>2911-B</v>
      </c>
      <c r="B1768" s="5" t="str">
        <f ca="1">IFERROR(__xludf.DUMMYFUNCTION("""COMPUTED_VALUE"""),"القاهرة")</f>
        <v>القاهرة</v>
      </c>
      <c r="C1768" s="5" t="str">
        <f ca="1">IFERROR(__xludf.DUMMYFUNCTION("""COMPUTED_VALUE"""),"مصر الجديدة")</f>
        <v>مصر الجديدة</v>
      </c>
      <c r="D1768" s="5" t="str">
        <f ca="1">IFERROR(__xludf.DUMMYFUNCTION("""COMPUTED_VALUE"""),"معمل")</f>
        <v>معمل</v>
      </c>
      <c r="E1768" s="5" t="str">
        <f ca="1">IFERROR(__xludf.DUMMYFUNCTION("""COMPUTED_VALUE"""),"معمل")</f>
        <v>معمل</v>
      </c>
      <c r="F1768" s="5" t="str">
        <f ca="1">IFERROR(__xludf.DUMMYFUNCTION("""COMPUTED_VALUE"""),"معمل التحاليل الطبية")</f>
        <v>معمل التحاليل الطبية</v>
      </c>
      <c r="G1768" s="5" t="str">
        <f ca="1">IFERROR(__xludf.DUMMYFUNCTION("""COMPUTED_VALUE"""),"معامل البرج")</f>
        <v>معامل البرج</v>
      </c>
      <c r="H1768" s="5" t="str">
        <f ca="1">IFERROR(__xludf.DUMMYFUNCTION("""COMPUTED_VALUE"""),"70شارع الميرغنى  الدور الثالث - مصر الجديدة")</f>
        <v>70شارع الميرغنى  الدور الثالث - مصر الجديدة</v>
      </c>
      <c r="I1768" s="6"/>
      <c r="J1768" s="6" t="str">
        <f ca="1">IFERROR(__xludf.DUMMYFUNCTION("""COMPUTED_VALUE"""),"19911")</f>
        <v>19911</v>
      </c>
      <c r="K1768" s="6" t="str">
        <f ca="1">IFERROR(__xludf.DUMMYFUNCTION("""COMPUTED_VALUE"""),"20% على جميع الخدمات")</f>
        <v>20% على جميع الخدمات</v>
      </c>
    </row>
    <row r="1769" spans="1:11" x14ac:dyDescent="0.25">
      <c r="A1769" s="4" t="str">
        <f ca="1">IFERROR(__xludf.DUMMYFUNCTION("""COMPUTED_VALUE"""),"2911-B")</f>
        <v>2911-B</v>
      </c>
      <c r="B1769" s="5" t="str">
        <f ca="1">IFERROR(__xludf.DUMMYFUNCTION("""COMPUTED_VALUE"""),"القليوبية")</f>
        <v>القليوبية</v>
      </c>
      <c r="C1769" s="5" t="str">
        <f ca="1">IFERROR(__xludf.DUMMYFUNCTION("""COMPUTED_VALUE"""),"قليوب")</f>
        <v>قليوب</v>
      </c>
      <c r="D1769" s="5" t="str">
        <f ca="1">IFERROR(__xludf.DUMMYFUNCTION("""COMPUTED_VALUE"""),"معمل")</f>
        <v>معمل</v>
      </c>
      <c r="E1769" s="5" t="str">
        <f ca="1">IFERROR(__xludf.DUMMYFUNCTION("""COMPUTED_VALUE"""),"معمل")</f>
        <v>معمل</v>
      </c>
      <c r="F1769" s="5" t="str">
        <f ca="1">IFERROR(__xludf.DUMMYFUNCTION("""COMPUTED_VALUE"""),"معمل التحاليل الطبية")</f>
        <v>معمل التحاليل الطبية</v>
      </c>
      <c r="G1769" s="5" t="str">
        <f ca="1">IFERROR(__xludf.DUMMYFUNCTION("""COMPUTED_VALUE"""),"معامل البرج")</f>
        <v>معامل البرج</v>
      </c>
      <c r="H1769" s="5" t="str">
        <f ca="1">IFERROR(__xludf.DUMMYFUNCTION("""COMPUTED_VALUE"""),"3 شارع السلام من شارع العاشر من رمضان  بجوار بنك القاهرة  -قليوب - القليوبية")</f>
        <v>3 شارع السلام من شارع العاشر من رمضان  بجوار بنك القاهرة  -قليوب - القليوبية</v>
      </c>
      <c r="I1769" s="6"/>
      <c r="J1769" s="6" t="str">
        <f ca="1">IFERROR(__xludf.DUMMYFUNCTION("""COMPUTED_VALUE"""),"19911")</f>
        <v>19911</v>
      </c>
      <c r="K1769" s="6" t="str">
        <f ca="1">IFERROR(__xludf.DUMMYFUNCTION("""COMPUTED_VALUE"""),"20% على جميع الخدمات")</f>
        <v>20% على جميع الخدمات</v>
      </c>
    </row>
    <row r="1770" spans="1:11" x14ac:dyDescent="0.25">
      <c r="A1770" s="4" t="str">
        <f ca="1">IFERROR(__xludf.DUMMYFUNCTION("""COMPUTED_VALUE"""),"2911-B")</f>
        <v>2911-B</v>
      </c>
      <c r="B1770" s="5" t="str">
        <f ca="1">IFERROR(__xludf.DUMMYFUNCTION("""COMPUTED_VALUE"""),"القليوبية")</f>
        <v>القليوبية</v>
      </c>
      <c r="C1770" s="5" t="str">
        <f ca="1">IFERROR(__xludf.DUMMYFUNCTION("""COMPUTED_VALUE"""),"الخصوص")</f>
        <v>الخصوص</v>
      </c>
      <c r="D1770" s="5" t="str">
        <f ca="1">IFERROR(__xludf.DUMMYFUNCTION("""COMPUTED_VALUE"""),"معمل")</f>
        <v>معمل</v>
      </c>
      <c r="E1770" s="5" t="str">
        <f ca="1">IFERROR(__xludf.DUMMYFUNCTION("""COMPUTED_VALUE"""),"معمل")</f>
        <v>معمل</v>
      </c>
      <c r="F1770" s="5" t="str">
        <f ca="1">IFERROR(__xludf.DUMMYFUNCTION("""COMPUTED_VALUE"""),"معمل التحاليل الطبية")</f>
        <v>معمل التحاليل الطبية</v>
      </c>
      <c r="G1770" s="5" t="str">
        <f ca="1">IFERROR(__xludf.DUMMYFUNCTION("""COMPUTED_VALUE"""),"معامل البرج")</f>
        <v>معامل البرج</v>
      </c>
      <c r="H1770" s="5" t="str">
        <f ca="1">IFERROR(__xludf.DUMMYFUNCTION("""COMPUTED_VALUE"""),"2شارع المهندس عبد العظيم من شارع الخصوص الرئيسي - بجوار القسم الجديد - الخصوص - القليوبية")</f>
        <v>2شارع المهندس عبد العظيم من شارع الخصوص الرئيسي - بجوار القسم الجديد - الخصوص - القليوبية</v>
      </c>
      <c r="I1770" s="6"/>
      <c r="J1770" s="6" t="str">
        <f ca="1">IFERROR(__xludf.DUMMYFUNCTION("""COMPUTED_VALUE"""),"19911")</f>
        <v>19911</v>
      </c>
      <c r="K1770" s="6" t="str">
        <f ca="1">IFERROR(__xludf.DUMMYFUNCTION("""COMPUTED_VALUE"""),"20% على جميع الخدمات")</f>
        <v>20% على جميع الخدمات</v>
      </c>
    </row>
    <row r="1771" spans="1:11" x14ac:dyDescent="0.25">
      <c r="A1771" s="4" t="str">
        <f ca="1">IFERROR(__xludf.DUMMYFUNCTION("""COMPUTED_VALUE"""),"2911-B")</f>
        <v>2911-B</v>
      </c>
      <c r="B1771" s="5" t="str">
        <f ca="1">IFERROR(__xludf.DUMMYFUNCTION("""COMPUTED_VALUE"""),"القاهرة")</f>
        <v>القاهرة</v>
      </c>
      <c r="C1771" s="5" t="str">
        <f ca="1">IFERROR(__xludf.DUMMYFUNCTION("""COMPUTED_VALUE"""),"مدينة نصر")</f>
        <v>مدينة نصر</v>
      </c>
      <c r="D1771" s="5" t="str">
        <f ca="1">IFERROR(__xludf.DUMMYFUNCTION("""COMPUTED_VALUE"""),"معمل")</f>
        <v>معمل</v>
      </c>
      <c r="E1771" s="5" t="str">
        <f ca="1">IFERROR(__xludf.DUMMYFUNCTION("""COMPUTED_VALUE"""),"معمل")</f>
        <v>معمل</v>
      </c>
      <c r="F1771" s="5" t="str">
        <f ca="1">IFERROR(__xludf.DUMMYFUNCTION("""COMPUTED_VALUE"""),"معمل التحاليل الطبية")</f>
        <v>معمل التحاليل الطبية</v>
      </c>
      <c r="G1771" s="5" t="str">
        <f ca="1">IFERROR(__xludf.DUMMYFUNCTION("""COMPUTED_VALUE"""),"معامل البرج")</f>
        <v>معامل البرج</v>
      </c>
      <c r="H1771" s="5" t="str">
        <f ca="1">IFERROR(__xludf.DUMMYFUNCTION("""COMPUTED_VALUE"""),"15 شارع سمير فرحات -امتداد شارع مكرم عبيد -مدينة نصر- القاهرة")</f>
        <v>15 شارع سمير فرحات -امتداد شارع مكرم عبيد -مدينة نصر- القاهرة</v>
      </c>
      <c r="I1771" s="6"/>
      <c r="J1771" s="6" t="str">
        <f ca="1">IFERROR(__xludf.DUMMYFUNCTION("""COMPUTED_VALUE"""),"19911")</f>
        <v>19911</v>
      </c>
      <c r="K1771" s="6" t="str">
        <f ca="1">IFERROR(__xludf.DUMMYFUNCTION("""COMPUTED_VALUE"""),"20% على جميع الخدمات")</f>
        <v>20% على جميع الخدمات</v>
      </c>
    </row>
    <row r="1772" spans="1:11" x14ac:dyDescent="0.25">
      <c r="A1772" s="4" t="str">
        <f ca="1">IFERROR(__xludf.DUMMYFUNCTION("""COMPUTED_VALUE"""),"2911-B")</f>
        <v>2911-B</v>
      </c>
      <c r="B1772" s="5" t="str">
        <f ca="1">IFERROR(__xludf.DUMMYFUNCTION("""COMPUTED_VALUE"""),"القاهرة")</f>
        <v>القاهرة</v>
      </c>
      <c r="C1772" s="5" t="str">
        <f ca="1">IFERROR(__xludf.DUMMYFUNCTION("""COMPUTED_VALUE"""),"مدينة نصر")</f>
        <v>مدينة نصر</v>
      </c>
      <c r="D1772" s="5" t="str">
        <f ca="1">IFERROR(__xludf.DUMMYFUNCTION("""COMPUTED_VALUE"""),"معمل")</f>
        <v>معمل</v>
      </c>
      <c r="E1772" s="5" t="str">
        <f ca="1">IFERROR(__xludf.DUMMYFUNCTION("""COMPUTED_VALUE"""),"معمل")</f>
        <v>معمل</v>
      </c>
      <c r="F1772" s="5" t="str">
        <f ca="1">IFERROR(__xludf.DUMMYFUNCTION("""COMPUTED_VALUE"""),"معمل التحاليل الطبية")</f>
        <v>معمل التحاليل الطبية</v>
      </c>
      <c r="G1772" s="5" t="str">
        <f ca="1">IFERROR(__xludf.DUMMYFUNCTION("""COMPUTED_VALUE"""),"معامل البرج")</f>
        <v>معامل البرج</v>
      </c>
      <c r="H1772" s="5" t="str">
        <f ca="1">IFERROR(__xludf.DUMMYFUNCTION("""COMPUTED_VALUE"""),"9 شارع حسن المامون - مدينة نصر - القاهرة")</f>
        <v>9 شارع حسن المامون - مدينة نصر - القاهرة</v>
      </c>
      <c r="I1772" s="6"/>
      <c r="J1772" s="6" t="str">
        <f ca="1">IFERROR(__xludf.DUMMYFUNCTION("""COMPUTED_VALUE"""),"19911")</f>
        <v>19911</v>
      </c>
      <c r="K1772" s="6" t="str">
        <f ca="1">IFERROR(__xludf.DUMMYFUNCTION("""COMPUTED_VALUE"""),"20% على جميع الخدمات")</f>
        <v>20% على جميع الخدمات</v>
      </c>
    </row>
    <row r="1773" spans="1:11" x14ac:dyDescent="0.25">
      <c r="A1773" s="4" t="str">
        <f ca="1">IFERROR(__xludf.DUMMYFUNCTION("""COMPUTED_VALUE"""),"2911-B")</f>
        <v>2911-B</v>
      </c>
      <c r="B1773" s="5" t="str">
        <f ca="1">IFERROR(__xludf.DUMMYFUNCTION("""COMPUTED_VALUE"""),"القاهرة")</f>
        <v>القاهرة</v>
      </c>
      <c r="C1773" s="5" t="str">
        <f ca="1">IFERROR(__xludf.DUMMYFUNCTION("""COMPUTED_VALUE"""),"مدينة نصر")</f>
        <v>مدينة نصر</v>
      </c>
      <c r="D1773" s="5" t="str">
        <f ca="1">IFERROR(__xludf.DUMMYFUNCTION("""COMPUTED_VALUE"""),"معمل")</f>
        <v>معمل</v>
      </c>
      <c r="E1773" s="5" t="str">
        <f ca="1">IFERROR(__xludf.DUMMYFUNCTION("""COMPUTED_VALUE"""),"معمل")</f>
        <v>معمل</v>
      </c>
      <c r="F1773" s="5" t="str">
        <f ca="1">IFERROR(__xludf.DUMMYFUNCTION("""COMPUTED_VALUE"""),"معمل التحاليل الطبية")</f>
        <v>معمل التحاليل الطبية</v>
      </c>
      <c r="G1773" s="5" t="str">
        <f ca="1">IFERROR(__xludf.DUMMYFUNCTION("""COMPUTED_VALUE"""),"معامل البرج")</f>
        <v>معامل البرج</v>
      </c>
      <c r="H1773" s="5" t="str">
        <f ca="1">IFERROR(__xludf.DUMMYFUNCTION("""COMPUTED_VALUE"""),"28 شارع عبد الله العربى امتداد شارع الطيران الحى السابع  - مدينة نصر - القاهرة")</f>
        <v>28 شارع عبد الله العربى امتداد شارع الطيران الحى السابع  - مدينة نصر - القاهرة</v>
      </c>
      <c r="I1773" s="6"/>
      <c r="J1773" s="6" t="str">
        <f ca="1">IFERROR(__xludf.DUMMYFUNCTION("""COMPUTED_VALUE"""),"19911")</f>
        <v>19911</v>
      </c>
      <c r="K1773" s="6" t="str">
        <f ca="1">IFERROR(__xludf.DUMMYFUNCTION("""COMPUTED_VALUE"""),"20% على جميع الخدمات")</f>
        <v>20% على جميع الخدمات</v>
      </c>
    </row>
    <row r="1774" spans="1:11" x14ac:dyDescent="0.25">
      <c r="A1774" s="4" t="str">
        <f ca="1">IFERROR(__xludf.DUMMYFUNCTION("""COMPUTED_VALUE"""),"2911-B")</f>
        <v>2911-B</v>
      </c>
      <c r="B1774" s="5" t="str">
        <f ca="1">IFERROR(__xludf.DUMMYFUNCTION("""COMPUTED_VALUE"""),"مرسى مطروح")</f>
        <v>مرسى مطروح</v>
      </c>
      <c r="C1774" s="5" t="str">
        <f ca="1">IFERROR(__xludf.DUMMYFUNCTION("""COMPUTED_VALUE"""),"مرسى مطروح")</f>
        <v>مرسى مطروح</v>
      </c>
      <c r="D1774" s="5" t="str">
        <f ca="1">IFERROR(__xludf.DUMMYFUNCTION("""COMPUTED_VALUE"""),"معمل")</f>
        <v>معمل</v>
      </c>
      <c r="E1774" s="5" t="str">
        <f ca="1">IFERROR(__xludf.DUMMYFUNCTION("""COMPUTED_VALUE"""),"معمل")</f>
        <v>معمل</v>
      </c>
      <c r="F1774" s="5" t="str">
        <f ca="1">IFERROR(__xludf.DUMMYFUNCTION("""COMPUTED_VALUE"""),"معمل التحاليل الطبية")</f>
        <v>معمل التحاليل الطبية</v>
      </c>
      <c r="G1774" s="5" t="str">
        <f ca="1">IFERROR(__xludf.DUMMYFUNCTION("""COMPUTED_VALUE"""),"معامل البرج")</f>
        <v>معامل البرج</v>
      </c>
      <c r="H1774" s="5" t="str">
        <f ca="1">IFERROR(__xludf.DUMMYFUNCTION("""COMPUTED_VALUE"""),"18 شارع تحرير تقاطع شارع الاسكندرية - مرسي مطروح")</f>
        <v>18 شارع تحرير تقاطع شارع الاسكندرية - مرسي مطروح</v>
      </c>
      <c r="I1774" s="6"/>
      <c r="J1774" s="6" t="str">
        <f ca="1">IFERROR(__xludf.DUMMYFUNCTION("""COMPUTED_VALUE"""),"19911")</f>
        <v>19911</v>
      </c>
      <c r="K1774" s="6" t="str">
        <f ca="1">IFERROR(__xludf.DUMMYFUNCTION("""COMPUTED_VALUE"""),"20% على جميع الخدمات")</f>
        <v>20% على جميع الخدمات</v>
      </c>
    </row>
    <row r="1775" spans="1:11" x14ac:dyDescent="0.25">
      <c r="A1775" s="4" t="str">
        <f ca="1">IFERROR(__xludf.DUMMYFUNCTION("""COMPUTED_VALUE"""),"2911-B")</f>
        <v>2911-B</v>
      </c>
      <c r="B1775" s="5" t="str">
        <f ca="1">IFERROR(__xludf.DUMMYFUNCTION("""COMPUTED_VALUE"""),"الدقهلية")</f>
        <v>الدقهلية</v>
      </c>
      <c r="C1775" s="5" t="str">
        <f ca="1">IFERROR(__xludf.DUMMYFUNCTION("""COMPUTED_VALUE"""),"المنصورة")</f>
        <v>المنصورة</v>
      </c>
      <c r="D1775" s="5" t="str">
        <f ca="1">IFERROR(__xludf.DUMMYFUNCTION("""COMPUTED_VALUE"""),"معمل")</f>
        <v>معمل</v>
      </c>
      <c r="E1775" s="5" t="str">
        <f ca="1">IFERROR(__xludf.DUMMYFUNCTION("""COMPUTED_VALUE"""),"معمل")</f>
        <v>معمل</v>
      </c>
      <c r="F1775" s="5" t="str">
        <f ca="1">IFERROR(__xludf.DUMMYFUNCTION("""COMPUTED_VALUE"""),"معمل التحاليل الطبية")</f>
        <v>معمل التحاليل الطبية</v>
      </c>
      <c r="G1775" s="5" t="str">
        <f ca="1">IFERROR(__xludf.DUMMYFUNCTION("""COMPUTED_VALUE"""),"معامل البرج")</f>
        <v>معامل البرج</v>
      </c>
      <c r="H1775" s="5" t="str">
        <f ca="1">IFERROR(__xludf.DUMMYFUNCTION("""COMPUTED_VALUE"""),"ميدان المحافظة اعلى البنك العقارى - المنصورة-الدقهلية")</f>
        <v>ميدان المحافظة اعلى البنك العقارى - المنصورة-الدقهلية</v>
      </c>
      <c r="I1775" s="6"/>
      <c r="J1775" s="6" t="str">
        <f ca="1">IFERROR(__xludf.DUMMYFUNCTION("""COMPUTED_VALUE"""),"19911")</f>
        <v>19911</v>
      </c>
      <c r="K1775" s="6" t="str">
        <f ca="1">IFERROR(__xludf.DUMMYFUNCTION("""COMPUTED_VALUE"""),"20% على جميع الخدمات")</f>
        <v>20% على جميع الخدمات</v>
      </c>
    </row>
    <row r="1776" spans="1:11" x14ac:dyDescent="0.25">
      <c r="A1776" s="4" t="str">
        <f ca="1">IFERROR(__xludf.DUMMYFUNCTION("""COMPUTED_VALUE"""),"2911-B")</f>
        <v>2911-B</v>
      </c>
      <c r="B1776" s="5" t="str">
        <f ca="1">IFERROR(__xludf.DUMMYFUNCTION("""COMPUTED_VALUE"""),"الدقهلية")</f>
        <v>الدقهلية</v>
      </c>
      <c r="C1776" s="5" t="str">
        <f ca="1">IFERROR(__xludf.DUMMYFUNCTION("""COMPUTED_VALUE"""),"السنبلاوين")</f>
        <v>السنبلاوين</v>
      </c>
      <c r="D1776" s="5" t="str">
        <f ca="1">IFERROR(__xludf.DUMMYFUNCTION("""COMPUTED_VALUE"""),"معمل")</f>
        <v>معمل</v>
      </c>
      <c r="E1776" s="5" t="str">
        <f ca="1">IFERROR(__xludf.DUMMYFUNCTION("""COMPUTED_VALUE"""),"معمل")</f>
        <v>معمل</v>
      </c>
      <c r="F1776" s="5" t="str">
        <f ca="1">IFERROR(__xludf.DUMMYFUNCTION("""COMPUTED_VALUE"""),"معمل التحاليل الطبية")</f>
        <v>معمل التحاليل الطبية</v>
      </c>
      <c r="G1776" s="5" t="str">
        <f ca="1">IFERROR(__xludf.DUMMYFUNCTION("""COMPUTED_VALUE"""),"معامل البرج")</f>
        <v>معامل البرج</v>
      </c>
      <c r="H1776" s="5" t="str">
        <f ca="1">IFERROR(__xludf.DUMMYFUNCTION("""COMPUTED_VALUE"""),"برج النمس بجوار بنك القاهرة- السنبلاوين - الدقهلية.")</f>
        <v>برج النمس بجوار بنك القاهرة- السنبلاوين - الدقهلية.</v>
      </c>
      <c r="I1776" s="6"/>
      <c r="J1776" s="6" t="str">
        <f ca="1">IFERROR(__xludf.DUMMYFUNCTION("""COMPUTED_VALUE"""),"19911")</f>
        <v>19911</v>
      </c>
      <c r="K1776" s="6" t="str">
        <f ca="1">IFERROR(__xludf.DUMMYFUNCTION("""COMPUTED_VALUE"""),"20% على جميع الخدمات")</f>
        <v>20% على جميع الخدمات</v>
      </c>
    </row>
    <row r="1777" spans="1:11" x14ac:dyDescent="0.25">
      <c r="A1777" s="4" t="str">
        <f ca="1">IFERROR(__xludf.DUMMYFUNCTION("""COMPUTED_VALUE"""),"2911-B")</f>
        <v>2911-B</v>
      </c>
      <c r="B1777" s="5" t="str">
        <f ca="1">IFERROR(__xludf.DUMMYFUNCTION("""COMPUTED_VALUE"""),"دمياط")</f>
        <v>دمياط</v>
      </c>
      <c r="C1777" s="5" t="str">
        <f ca="1">IFERROR(__xludf.DUMMYFUNCTION("""COMPUTED_VALUE"""),"دمياط")</f>
        <v>دمياط</v>
      </c>
      <c r="D1777" s="5" t="str">
        <f ca="1">IFERROR(__xludf.DUMMYFUNCTION("""COMPUTED_VALUE"""),"معمل")</f>
        <v>معمل</v>
      </c>
      <c r="E1777" s="5" t="str">
        <f ca="1">IFERROR(__xludf.DUMMYFUNCTION("""COMPUTED_VALUE"""),"معمل")</f>
        <v>معمل</v>
      </c>
      <c r="F1777" s="5" t="str">
        <f ca="1">IFERROR(__xludf.DUMMYFUNCTION("""COMPUTED_VALUE"""),"معمل التحاليل الطبية")</f>
        <v>معمل التحاليل الطبية</v>
      </c>
      <c r="G1777" s="5" t="str">
        <f ca="1">IFERROR(__xludf.DUMMYFUNCTION("""COMPUTED_VALUE"""),"معامل البرج")</f>
        <v>معامل البرج</v>
      </c>
      <c r="H1777" s="5" t="str">
        <f ca="1">IFERROR(__xludf.DUMMYFUNCTION("""COMPUTED_VALUE"""),"103شارع المعلمين - الطريق السريع - امام بنك مصر- دمياط")</f>
        <v>103شارع المعلمين - الطريق السريع - امام بنك مصر- دمياط</v>
      </c>
      <c r="I1777" s="6"/>
      <c r="J1777" s="6" t="str">
        <f ca="1">IFERROR(__xludf.DUMMYFUNCTION("""COMPUTED_VALUE"""),"19911")</f>
        <v>19911</v>
      </c>
      <c r="K1777" s="6" t="str">
        <f ca="1">IFERROR(__xludf.DUMMYFUNCTION("""COMPUTED_VALUE"""),"20% على جميع الخدمات")</f>
        <v>20% على جميع الخدمات</v>
      </c>
    </row>
    <row r="1778" spans="1:11" x14ac:dyDescent="0.25">
      <c r="A1778" s="4" t="str">
        <f ca="1">IFERROR(__xludf.DUMMYFUNCTION("""COMPUTED_VALUE"""),"2911-B")</f>
        <v>2911-B</v>
      </c>
      <c r="B1778" s="5" t="str">
        <f ca="1">IFERROR(__xludf.DUMMYFUNCTION("""COMPUTED_VALUE"""),"الشرقية")</f>
        <v>الشرقية</v>
      </c>
      <c r="C1778" s="5" t="str">
        <f ca="1">IFERROR(__xludf.DUMMYFUNCTION("""COMPUTED_VALUE"""),"العاشر من رمضان")</f>
        <v>العاشر من رمضان</v>
      </c>
      <c r="D1778" s="5" t="str">
        <f ca="1">IFERROR(__xludf.DUMMYFUNCTION("""COMPUTED_VALUE"""),"معمل")</f>
        <v>معمل</v>
      </c>
      <c r="E1778" s="5" t="str">
        <f ca="1">IFERROR(__xludf.DUMMYFUNCTION("""COMPUTED_VALUE"""),"معمل")</f>
        <v>معمل</v>
      </c>
      <c r="F1778" s="5" t="str">
        <f ca="1">IFERROR(__xludf.DUMMYFUNCTION("""COMPUTED_VALUE"""),"معمل التحاليل الطبية")</f>
        <v>معمل التحاليل الطبية</v>
      </c>
      <c r="G1778" s="5" t="str">
        <f ca="1">IFERROR(__xludf.DUMMYFUNCTION("""COMPUTED_VALUE"""),"معامل البرج")</f>
        <v>معامل البرج</v>
      </c>
      <c r="H1778" s="5" t="str">
        <f ca="1">IFERROR(__xludf.DUMMYFUNCTION("""COMPUTED_VALUE"""),"عمارة 10 بلوك 43 بجوار محطة الاتوبيس- العاشر من رمضان - الشرقية")</f>
        <v>عمارة 10 بلوك 43 بجوار محطة الاتوبيس- العاشر من رمضان - الشرقية</v>
      </c>
      <c r="I1778" s="6"/>
      <c r="J1778" s="6" t="str">
        <f ca="1">IFERROR(__xludf.DUMMYFUNCTION("""COMPUTED_VALUE"""),"19911")</f>
        <v>19911</v>
      </c>
      <c r="K1778" s="6" t="str">
        <f ca="1">IFERROR(__xludf.DUMMYFUNCTION("""COMPUTED_VALUE"""),"20% على جميع الخدمات")</f>
        <v>20% على جميع الخدمات</v>
      </c>
    </row>
    <row r="1779" spans="1:11" x14ac:dyDescent="0.25">
      <c r="A1779" s="4" t="str">
        <f ca="1">IFERROR(__xludf.DUMMYFUNCTION("""COMPUTED_VALUE"""),"2911-B")</f>
        <v>2911-B</v>
      </c>
      <c r="B1779" s="5" t="str">
        <f ca="1">IFERROR(__xludf.DUMMYFUNCTION("""COMPUTED_VALUE"""),"الشرقية")</f>
        <v>الشرقية</v>
      </c>
      <c r="C1779" s="5" t="str">
        <f ca="1">IFERROR(__xludf.DUMMYFUNCTION("""COMPUTED_VALUE"""),"مشتول السوق")</f>
        <v>مشتول السوق</v>
      </c>
      <c r="D1779" s="5" t="str">
        <f ca="1">IFERROR(__xludf.DUMMYFUNCTION("""COMPUTED_VALUE"""),"معمل")</f>
        <v>معمل</v>
      </c>
      <c r="E1779" s="5" t="str">
        <f ca="1">IFERROR(__xludf.DUMMYFUNCTION("""COMPUTED_VALUE"""),"معمل")</f>
        <v>معمل</v>
      </c>
      <c r="F1779" s="5" t="str">
        <f ca="1">IFERROR(__xludf.DUMMYFUNCTION("""COMPUTED_VALUE"""),"معمل التحاليل الطبية")</f>
        <v>معمل التحاليل الطبية</v>
      </c>
      <c r="G1779" s="5" t="str">
        <f ca="1">IFERROR(__xludf.DUMMYFUNCTION("""COMPUTED_VALUE"""),"معامل البرج")</f>
        <v>معامل البرج</v>
      </c>
      <c r="H1779" s="5" t="str">
        <f ca="1">IFERROR(__xludf.DUMMYFUNCTION("""COMPUTED_VALUE"""),"1شارع المدينة المنورة - امام التامين الصحى - الدور الاول - الشرقية")</f>
        <v>1شارع المدينة المنورة - امام التامين الصحى - الدور الاول - الشرقية</v>
      </c>
      <c r="I1779" s="6"/>
      <c r="J1779" s="6" t="str">
        <f ca="1">IFERROR(__xludf.DUMMYFUNCTION("""COMPUTED_VALUE"""),"19911")</f>
        <v>19911</v>
      </c>
      <c r="K1779" s="6" t="str">
        <f ca="1">IFERROR(__xludf.DUMMYFUNCTION("""COMPUTED_VALUE"""),"20% على جميع الخدمات")</f>
        <v>20% على جميع الخدمات</v>
      </c>
    </row>
    <row r="1780" spans="1:11" x14ac:dyDescent="0.25">
      <c r="A1780" s="4" t="str">
        <f ca="1">IFERROR(__xludf.DUMMYFUNCTION("""COMPUTED_VALUE"""),"2911-B")</f>
        <v>2911-B</v>
      </c>
      <c r="B1780" s="5" t="str">
        <f ca="1">IFERROR(__xludf.DUMMYFUNCTION("""COMPUTED_VALUE"""),"الشرقية")</f>
        <v>الشرقية</v>
      </c>
      <c r="C1780" s="5" t="str">
        <f ca="1">IFERROR(__xludf.DUMMYFUNCTION("""COMPUTED_VALUE"""),"ههيا")</f>
        <v>ههيا</v>
      </c>
      <c r="D1780" s="5" t="str">
        <f ca="1">IFERROR(__xludf.DUMMYFUNCTION("""COMPUTED_VALUE"""),"معمل")</f>
        <v>معمل</v>
      </c>
      <c r="E1780" s="5" t="str">
        <f ca="1">IFERROR(__xludf.DUMMYFUNCTION("""COMPUTED_VALUE"""),"معمل")</f>
        <v>معمل</v>
      </c>
      <c r="F1780" s="5" t="str">
        <f ca="1">IFERROR(__xludf.DUMMYFUNCTION("""COMPUTED_VALUE"""),"معمل التحاليل الطبية")</f>
        <v>معمل التحاليل الطبية</v>
      </c>
      <c r="G1780" s="5" t="str">
        <f ca="1">IFERROR(__xludf.DUMMYFUNCTION("""COMPUTED_VALUE"""),"معامل البرج")</f>
        <v>معامل البرج</v>
      </c>
      <c r="H1780" s="5" t="str">
        <f ca="1">IFERROR(__xludf.DUMMYFUNCTION("""COMPUTED_VALUE"""),"3شارع ترعة الروض من شارع احمد عرابى بجوار التامين الصحى - (المجمع الطبى)")</f>
        <v>3شارع ترعة الروض من شارع احمد عرابى بجوار التامين الصحى - (المجمع الطبى)</v>
      </c>
      <c r="I1780" s="6"/>
      <c r="J1780" s="6" t="str">
        <f ca="1">IFERROR(__xludf.DUMMYFUNCTION("""COMPUTED_VALUE"""),"19911")</f>
        <v>19911</v>
      </c>
      <c r="K1780" s="6" t="str">
        <f ca="1">IFERROR(__xludf.DUMMYFUNCTION("""COMPUTED_VALUE"""),"20% على جميع الخدمات")</f>
        <v>20% على جميع الخدمات</v>
      </c>
    </row>
    <row r="1781" spans="1:11" x14ac:dyDescent="0.25">
      <c r="A1781" s="4" t="str">
        <f ca="1">IFERROR(__xludf.DUMMYFUNCTION("""COMPUTED_VALUE"""),"2911-B")</f>
        <v>2911-B</v>
      </c>
      <c r="B1781" s="5" t="str">
        <f ca="1">IFERROR(__xludf.DUMMYFUNCTION("""COMPUTED_VALUE"""),"بني سويف")</f>
        <v>بني سويف</v>
      </c>
      <c r="C1781" s="5" t="str">
        <f ca="1">IFERROR(__xludf.DUMMYFUNCTION("""COMPUTED_VALUE"""),"الواسطى")</f>
        <v>الواسطى</v>
      </c>
      <c r="D1781" s="5" t="str">
        <f ca="1">IFERROR(__xludf.DUMMYFUNCTION("""COMPUTED_VALUE"""),"معمل")</f>
        <v>معمل</v>
      </c>
      <c r="E1781" s="5" t="str">
        <f ca="1">IFERROR(__xludf.DUMMYFUNCTION("""COMPUTED_VALUE"""),"معمل")</f>
        <v>معمل</v>
      </c>
      <c r="F1781" s="5" t="str">
        <f ca="1">IFERROR(__xludf.DUMMYFUNCTION("""COMPUTED_VALUE"""),"معمل التحاليل الطبية")</f>
        <v>معمل التحاليل الطبية</v>
      </c>
      <c r="G1781" s="5" t="str">
        <f ca="1">IFERROR(__xludf.DUMMYFUNCTION("""COMPUTED_VALUE"""),"معامل البرج")</f>
        <v>معامل البرج</v>
      </c>
      <c r="H1781" s="5" t="str">
        <f ca="1">IFERROR(__xludf.DUMMYFUNCTION("""COMPUTED_VALUE"""),"تقاطع شارع سعد زغلول مع شارع المدارس - بنى سويف")</f>
        <v>تقاطع شارع سعد زغلول مع شارع المدارس - بنى سويف</v>
      </c>
      <c r="I1781" s="6"/>
      <c r="J1781" s="6" t="str">
        <f ca="1">IFERROR(__xludf.DUMMYFUNCTION("""COMPUTED_VALUE"""),"19911")</f>
        <v>19911</v>
      </c>
      <c r="K1781" s="6" t="str">
        <f ca="1">IFERROR(__xludf.DUMMYFUNCTION("""COMPUTED_VALUE"""),"20% على جميع الخدمات")</f>
        <v>20% على جميع الخدمات</v>
      </c>
    </row>
    <row r="1782" spans="1:11" x14ac:dyDescent="0.25">
      <c r="A1782" s="4" t="str">
        <f ca="1">IFERROR(__xludf.DUMMYFUNCTION("""COMPUTED_VALUE"""),"2911-B")</f>
        <v>2911-B</v>
      </c>
      <c r="B1782" s="5" t="str">
        <f ca="1">IFERROR(__xludf.DUMMYFUNCTION("""COMPUTED_VALUE"""),"المنيا")</f>
        <v>المنيا</v>
      </c>
      <c r="C1782" s="5" t="str">
        <f ca="1">IFERROR(__xludf.DUMMYFUNCTION("""COMPUTED_VALUE"""),"سمالوط")</f>
        <v>سمالوط</v>
      </c>
      <c r="D1782" s="5" t="str">
        <f ca="1">IFERROR(__xludf.DUMMYFUNCTION("""COMPUTED_VALUE"""),"معمل")</f>
        <v>معمل</v>
      </c>
      <c r="E1782" s="5" t="str">
        <f ca="1">IFERROR(__xludf.DUMMYFUNCTION("""COMPUTED_VALUE"""),"معمل")</f>
        <v>معمل</v>
      </c>
      <c r="F1782" s="5" t="str">
        <f ca="1">IFERROR(__xludf.DUMMYFUNCTION("""COMPUTED_VALUE"""),"معمل التحاليل الطبية")</f>
        <v>معمل التحاليل الطبية</v>
      </c>
      <c r="G1782" s="5" t="str">
        <f ca="1">IFERROR(__xludf.DUMMYFUNCTION("""COMPUTED_VALUE"""),"معامل البرج")</f>
        <v>معامل البرج</v>
      </c>
      <c r="H1782" s="5" t="str">
        <f ca="1">IFERROR(__xludf.DUMMYFUNCTION("""COMPUTED_VALUE"""),"شارع موقف المنيا بالقرب من ميدان الاحمدى - سمالوط - المنيا")</f>
        <v>شارع موقف المنيا بالقرب من ميدان الاحمدى - سمالوط - المنيا</v>
      </c>
      <c r="I1782" s="6"/>
      <c r="J1782" s="6" t="str">
        <f ca="1">IFERROR(__xludf.DUMMYFUNCTION("""COMPUTED_VALUE"""),"19911")</f>
        <v>19911</v>
      </c>
      <c r="K1782" s="6" t="str">
        <f ca="1">IFERROR(__xludf.DUMMYFUNCTION("""COMPUTED_VALUE"""),"20% على جميع الخدمات")</f>
        <v>20% على جميع الخدمات</v>
      </c>
    </row>
    <row r="1783" spans="1:11" x14ac:dyDescent="0.25">
      <c r="A1783" s="4" t="str">
        <f ca="1">IFERROR(__xludf.DUMMYFUNCTION("""COMPUTED_VALUE"""),"2911-B")</f>
        <v>2911-B</v>
      </c>
      <c r="B1783" s="5" t="str">
        <f ca="1">IFERROR(__xludf.DUMMYFUNCTION("""COMPUTED_VALUE"""),"سوهاج")</f>
        <v>سوهاج</v>
      </c>
      <c r="C1783" s="5" t="str">
        <f ca="1">IFERROR(__xludf.DUMMYFUNCTION("""COMPUTED_VALUE"""),"سوهاج")</f>
        <v>سوهاج</v>
      </c>
      <c r="D1783" s="5" t="str">
        <f ca="1">IFERROR(__xludf.DUMMYFUNCTION("""COMPUTED_VALUE"""),"معمل")</f>
        <v>معمل</v>
      </c>
      <c r="E1783" s="5" t="str">
        <f ca="1">IFERROR(__xludf.DUMMYFUNCTION("""COMPUTED_VALUE"""),"معمل")</f>
        <v>معمل</v>
      </c>
      <c r="F1783" s="5" t="str">
        <f ca="1">IFERROR(__xludf.DUMMYFUNCTION("""COMPUTED_VALUE"""),"معمل التحاليل الطبية")</f>
        <v>معمل التحاليل الطبية</v>
      </c>
      <c r="G1783" s="5" t="str">
        <f ca="1">IFERROR(__xludf.DUMMYFUNCTION("""COMPUTED_VALUE"""),"معامل البرج")</f>
        <v>معامل البرج</v>
      </c>
      <c r="H1783" s="5" t="str">
        <f ca="1">IFERROR(__xludf.DUMMYFUNCTION("""COMPUTED_VALUE"""),"45 شارع 15 شارع النصر - سوهاج")</f>
        <v>45 شارع 15 شارع النصر - سوهاج</v>
      </c>
      <c r="I1783" s="6"/>
      <c r="J1783" s="6" t="str">
        <f ca="1">IFERROR(__xludf.DUMMYFUNCTION("""COMPUTED_VALUE"""),"19911")</f>
        <v>19911</v>
      </c>
      <c r="K1783" s="6" t="str">
        <f ca="1">IFERROR(__xludf.DUMMYFUNCTION("""COMPUTED_VALUE"""),"20% على جميع الخدمات")</f>
        <v>20% على جميع الخدمات</v>
      </c>
    </row>
    <row r="1784" spans="1:11" x14ac:dyDescent="0.25">
      <c r="A1784" s="4" t="str">
        <f ca="1">IFERROR(__xludf.DUMMYFUNCTION("""COMPUTED_VALUE"""),"2911-B")</f>
        <v>2911-B</v>
      </c>
      <c r="B1784" s="5" t="str">
        <f ca="1">IFERROR(__xludf.DUMMYFUNCTION("""COMPUTED_VALUE"""),"سوهاج")</f>
        <v>سوهاج</v>
      </c>
      <c r="C1784" s="5" t="str">
        <f ca="1">IFERROR(__xludf.DUMMYFUNCTION("""COMPUTED_VALUE"""),"طهطا")</f>
        <v>طهطا</v>
      </c>
      <c r="D1784" s="5" t="str">
        <f ca="1">IFERROR(__xludf.DUMMYFUNCTION("""COMPUTED_VALUE"""),"معمل")</f>
        <v>معمل</v>
      </c>
      <c r="E1784" s="5" t="str">
        <f ca="1">IFERROR(__xludf.DUMMYFUNCTION("""COMPUTED_VALUE"""),"معمل")</f>
        <v>معمل</v>
      </c>
      <c r="F1784" s="5" t="str">
        <f ca="1">IFERROR(__xludf.DUMMYFUNCTION("""COMPUTED_VALUE"""),"معمل التحاليل الطبية")</f>
        <v>معمل التحاليل الطبية</v>
      </c>
      <c r="G1784" s="5" t="str">
        <f ca="1">IFERROR(__xludf.DUMMYFUNCTION("""COMPUTED_VALUE"""),"معامل البرج")</f>
        <v>معامل البرج</v>
      </c>
      <c r="H1784" s="5" t="str">
        <f ca="1">IFERROR(__xludf.DUMMYFUNCTION("""COMPUTED_VALUE"""),"شارع احمد عنبر (المستشفى العام) امام شركة سامسونج  - طهطا - سوهاج")</f>
        <v>شارع احمد عنبر (المستشفى العام) امام شركة سامسونج  - طهطا - سوهاج</v>
      </c>
      <c r="I1784" s="6"/>
      <c r="J1784" s="6" t="str">
        <f ca="1">IFERROR(__xludf.DUMMYFUNCTION("""COMPUTED_VALUE"""),"19911")</f>
        <v>19911</v>
      </c>
      <c r="K1784" s="6" t="str">
        <f ca="1">IFERROR(__xludf.DUMMYFUNCTION("""COMPUTED_VALUE"""),"20% على جميع الخدمات")</f>
        <v>20% على جميع الخدمات</v>
      </c>
    </row>
    <row r="1785" spans="1:11" x14ac:dyDescent="0.25">
      <c r="A1785" s="4" t="str">
        <f ca="1">IFERROR(__xludf.DUMMYFUNCTION("""COMPUTED_VALUE"""),"2911-B")</f>
        <v>2911-B</v>
      </c>
      <c r="B1785" s="5" t="str">
        <f ca="1">IFERROR(__xludf.DUMMYFUNCTION("""COMPUTED_VALUE"""),"البحر الاحمر")</f>
        <v>البحر الاحمر</v>
      </c>
      <c r="C1785" s="5" t="str">
        <f ca="1">IFERROR(__xludf.DUMMYFUNCTION("""COMPUTED_VALUE"""),"الغردقة")</f>
        <v>الغردقة</v>
      </c>
      <c r="D1785" s="5" t="str">
        <f ca="1">IFERROR(__xludf.DUMMYFUNCTION("""COMPUTED_VALUE"""),"معمل")</f>
        <v>معمل</v>
      </c>
      <c r="E1785" s="5" t="str">
        <f ca="1">IFERROR(__xludf.DUMMYFUNCTION("""COMPUTED_VALUE"""),"معمل")</f>
        <v>معمل</v>
      </c>
      <c r="F1785" s="5" t="str">
        <f ca="1">IFERROR(__xludf.DUMMYFUNCTION("""COMPUTED_VALUE"""),"معمل التحاليل الطبية")</f>
        <v>معمل التحاليل الطبية</v>
      </c>
      <c r="G1785" s="5" t="str">
        <f ca="1">IFERROR(__xludf.DUMMYFUNCTION("""COMPUTED_VALUE"""),"معامل البرج")</f>
        <v>معامل البرج</v>
      </c>
      <c r="H1785" s="5" t="str">
        <f ca="1">IFERROR(__xludf.DUMMYFUNCTION("""COMPUTED_VALUE"""),"شارع النصر امام مكتب بريد الغردقة الرئيسي - الغردقة - البحر الأحمر")</f>
        <v>شارع النصر امام مكتب بريد الغردقة الرئيسي - الغردقة - البحر الأحمر</v>
      </c>
      <c r="I1785" s="6"/>
      <c r="J1785" s="6" t="str">
        <f ca="1">IFERROR(__xludf.DUMMYFUNCTION("""COMPUTED_VALUE"""),"19911")</f>
        <v>19911</v>
      </c>
      <c r="K1785" s="6" t="str">
        <f ca="1">IFERROR(__xludf.DUMMYFUNCTION("""COMPUTED_VALUE"""),"20% على جميع الخدمات")</f>
        <v>20% على جميع الخدمات</v>
      </c>
    </row>
    <row r="1786" spans="1:11" x14ac:dyDescent="0.25">
      <c r="A1786" s="4" t="str">
        <f ca="1">IFERROR(__xludf.DUMMYFUNCTION("""COMPUTED_VALUE"""),"2911-B")</f>
        <v>2911-B</v>
      </c>
      <c r="B1786" s="5" t="str">
        <f ca="1">IFERROR(__xludf.DUMMYFUNCTION("""COMPUTED_VALUE"""),"الوادى الجديد")</f>
        <v>الوادى الجديد</v>
      </c>
      <c r="C1786" s="5" t="str">
        <f ca="1">IFERROR(__xludf.DUMMYFUNCTION("""COMPUTED_VALUE"""),"الخارجة")</f>
        <v>الخارجة</v>
      </c>
      <c r="D1786" s="5" t="str">
        <f ca="1">IFERROR(__xludf.DUMMYFUNCTION("""COMPUTED_VALUE"""),"معمل")</f>
        <v>معمل</v>
      </c>
      <c r="E1786" s="5" t="str">
        <f ca="1">IFERROR(__xludf.DUMMYFUNCTION("""COMPUTED_VALUE"""),"معمل")</f>
        <v>معمل</v>
      </c>
      <c r="F1786" s="5" t="str">
        <f ca="1">IFERROR(__xludf.DUMMYFUNCTION("""COMPUTED_VALUE"""),"معمل التحاليل الطبية")</f>
        <v>معمل التحاليل الطبية</v>
      </c>
      <c r="G1786" s="5" t="str">
        <f ca="1">IFERROR(__xludf.DUMMYFUNCTION("""COMPUTED_VALUE"""),"معامل البرج")</f>
        <v>معامل البرج</v>
      </c>
      <c r="H1786" s="5" t="str">
        <f ca="1">IFERROR(__xludf.DUMMYFUNCTION("""COMPUTED_VALUE"""),"4شارع العدل -ميدان البساتين - الخارجة - الوادى الجديد.")</f>
        <v>4شارع العدل -ميدان البساتين - الخارجة - الوادى الجديد.</v>
      </c>
      <c r="I1786" s="6"/>
      <c r="J1786" s="6" t="str">
        <f ca="1">IFERROR(__xludf.DUMMYFUNCTION("""COMPUTED_VALUE"""),"19911")</f>
        <v>19911</v>
      </c>
      <c r="K1786" s="6" t="str">
        <f ca="1">IFERROR(__xludf.DUMMYFUNCTION("""COMPUTED_VALUE"""),"20% على جميع الخدمات")</f>
        <v>20% على جميع الخدمات</v>
      </c>
    </row>
    <row r="1787" spans="1:11" x14ac:dyDescent="0.25">
      <c r="A1787" s="4" t="str">
        <f ca="1">IFERROR(__xludf.DUMMYFUNCTION("""COMPUTED_VALUE"""),"104971")</f>
        <v>104971</v>
      </c>
      <c r="B1787" s="5" t="str">
        <f ca="1">IFERROR(__xludf.DUMMYFUNCTION("""COMPUTED_VALUE"""),"الجيزة")</f>
        <v>الجيزة</v>
      </c>
      <c r="C1787" s="5" t="str">
        <f ca="1">IFERROR(__xludf.DUMMYFUNCTION("""COMPUTED_VALUE"""),"امبابة")</f>
        <v>امبابة</v>
      </c>
      <c r="D1787" s="5" t="str">
        <f ca="1">IFERROR(__xludf.DUMMYFUNCTION("""COMPUTED_VALUE"""),"صيدلية")</f>
        <v>صيدلية</v>
      </c>
      <c r="E1787" s="5" t="str">
        <f ca="1">IFERROR(__xludf.DUMMYFUNCTION("""COMPUTED_VALUE"""),"صيدلية")</f>
        <v>صيدلية</v>
      </c>
      <c r="F1787" s="5" t="str">
        <f ca="1">IFERROR(__xludf.DUMMYFUNCTION("""COMPUTED_VALUE"""),"صيدلية (أدوية ومستلزمات طبية)")</f>
        <v>صيدلية (أدوية ومستلزمات طبية)</v>
      </c>
      <c r="G1787" s="5" t="str">
        <f ca="1">IFERROR(__xludf.DUMMYFUNCTION("""COMPUTED_VALUE"""),"صيدلية د/ مايكل فكرى -امبابة-القاهرة")</f>
        <v>صيدلية د/ مايكل فكرى -امبابة-القاهرة</v>
      </c>
      <c r="H1787" s="5" t="str">
        <f ca="1">IFERROR(__xludf.DUMMYFUNCTION("""COMPUTED_VALUE"""),"شارع ممدوح المهدلى - من شارع القومية -امبابة- القاهرة")</f>
        <v>شارع ممدوح المهدلى - من شارع القومية -امبابة- القاهرة</v>
      </c>
      <c r="I1787" s="6" t="str">
        <f ca="1">IFERROR(__xludf.DUMMYFUNCTION("""COMPUTED_VALUE"""),"20233168014")</f>
        <v>20233168014</v>
      </c>
      <c r="J1787" s="6"/>
      <c r="K1787" s="6" t="str">
        <f ca="1">IFERROR(__xludf.DUMMYFUNCTION("""COMPUTED_VALUE"""),"خصم 13% علي المحلي و 6% علي المستورد")</f>
        <v>خصم 13% علي المحلي و 6% علي المستورد</v>
      </c>
    </row>
    <row r="1788" spans="1:11" x14ac:dyDescent="0.25">
      <c r="A1788" s="4" t="str">
        <f ca="1">IFERROR(__xludf.DUMMYFUNCTION("""COMPUTED_VALUE"""),"105066")</f>
        <v>105066</v>
      </c>
      <c r="B1788" s="5" t="str">
        <f ca="1">IFERROR(__xludf.DUMMYFUNCTION("""COMPUTED_VALUE"""),"القاهرة")</f>
        <v>القاهرة</v>
      </c>
      <c r="C1788" s="5" t="str">
        <f ca="1">IFERROR(__xludf.DUMMYFUNCTION("""COMPUTED_VALUE"""),"مصر الجديدة")</f>
        <v>مصر الجديدة</v>
      </c>
      <c r="D1788" s="5" t="str">
        <f ca="1">IFERROR(__xludf.DUMMYFUNCTION("""COMPUTED_VALUE"""),"صيدلية")</f>
        <v>صيدلية</v>
      </c>
      <c r="E1788" s="5" t="str">
        <f ca="1">IFERROR(__xludf.DUMMYFUNCTION("""COMPUTED_VALUE"""),"صيدلية")</f>
        <v>صيدلية</v>
      </c>
      <c r="F1788" s="5" t="str">
        <f ca="1">IFERROR(__xludf.DUMMYFUNCTION("""COMPUTED_VALUE"""),"صيدلية (أدوية ومستلزمات طبية)")</f>
        <v>صيدلية (أدوية ومستلزمات طبية)</v>
      </c>
      <c r="G1788" s="5" t="str">
        <f ca="1">IFERROR(__xludf.DUMMYFUNCTION("""COMPUTED_VALUE"""),"صيدلية د/أحمد سامي ابراهيم حواس")</f>
        <v>صيدلية د/أحمد سامي ابراهيم حواس</v>
      </c>
      <c r="H1788" s="5" t="str">
        <f ca="1">IFERROR(__xludf.DUMMYFUNCTION("""COMPUTED_VALUE"""),"9ش سيد عد - ش طه حسين -النزهة الجديدة - مصر الجديدة - القاهرة")</f>
        <v>9ش سيد عد - ش طه حسين -النزهة الجديدة - مصر الجديدة - القاهرة</v>
      </c>
      <c r="I1788" s="6" t="str">
        <f ca="1">IFERROR(__xludf.DUMMYFUNCTION("""COMPUTED_VALUE"""),"201023211539")</f>
        <v>201023211539</v>
      </c>
      <c r="J1788" s="6"/>
      <c r="K1788" s="6" t="str">
        <f ca="1">IFERROR(__xludf.DUMMYFUNCTION("""COMPUTED_VALUE"""),"خصم 13% علي المحلي و 7% علي المستورد")</f>
        <v>خصم 13% علي المحلي و 7% علي المستورد</v>
      </c>
    </row>
    <row r="1789" spans="1:11" x14ac:dyDescent="0.25">
      <c r="A1789" s="4" t="str">
        <f ca="1">IFERROR(__xludf.DUMMYFUNCTION("""COMPUTED_VALUE"""),"105086")</f>
        <v>105086</v>
      </c>
      <c r="B1789" s="5" t="str">
        <f ca="1">IFERROR(__xludf.DUMMYFUNCTION("""COMPUTED_VALUE"""),"القاهرة")</f>
        <v>القاهرة</v>
      </c>
      <c r="C1789" s="5" t="str">
        <f ca="1">IFERROR(__xludf.DUMMYFUNCTION("""COMPUTED_VALUE"""),"عين شمس")</f>
        <v>عين شمس</v>
      </c>
      <c r="D1789" s="5" t="str">
        <f ca="1">IFERROR(__xludf.DUMMYFUNCTION("""COMPUTED_VALUE"""),"مستشفى")</f>
        <v>مستشفى</v>
      </c>
      <c r="E1789" s="5" t="str">
        <f ca="1">IFERROR(__xludf.DUMMYFUNCTION("""COMPUTED_VALUE"""),"مستشفي طبي متكامل")</f>
        <v>مستشفي طبي متكامل</v>
      </c>
      <c r="F1789" s="5" t="str">
        <f ca="1">IFERROR(__xludf.DUMMYFUNCTION("""COMPUTED_VALUE"""),"جميع التخصصات الطبية")</f>
        <v>جميع التخصصات الطبية</v>
      </c>
      <c r="G1789" s="5" t="str">
        <f ca="1">IFERROR(__xludf.DUMMYFUNCTION("""COMPUTED_VALUE"""),"مستشفى البطريق التخصصي")</f>
        <v>مستشفى البطريق التخصصي</v>
      </c>
      <c r="H1789" s="5" t="str">
        <f ca="1">IFERROR(__xludf.DUMMYFUNCTION("""COMPUTED_VALUE"""),"2 شارع محمد عباس - متفرع من شارع العشرين  - عين شمس - القاهرة")</f>
        <v>2 شارع محمد عباس - متفرع من شارع العشرين  - عين شمس - القاهرة</v>
      </c>
      <c r="I1789" s="6" t="str">
        <f ca="1">IFERROR(__xludf.DUMMYFUNCTION("""COMPUTED_VALUE"""),"201023705955")</f>
        <v>201023705955</v>
      </c>
      <c r="J1789" s="6"/>
      <c r="K1789" s="6" t="str">
        <f ca="1">IFERROR(__xludf.DUMMYFUNCTION("""COMPUTED_VALUE"""),"20% علي الكشف ، 10% علي العمليات،15% علي باقي الخدمات ماعدا المستلزمات الطبية والادوية واتعاب الاطباء ")</f>
        <v xml:space="preserve">20% علي الكشف ، 10% علي العمليات،15% علي باقي الخدمات ماعدا المستلزمات الطبية والادوية واتعاب الاطباء </v>
      </c>
    </row>
    <row r="1790" spans="1:11" x14ac:dyDescent="0.25">
      <c r="A1790" s="4" t="str">
        <f ca="1">IFERROR(__xludf.DUMMYFUNCTION("""COMPUTED_VALUE"""),"105370")</f>
        <v>105370</v>
      </c>
      <c r="B1790" s="5" t="str">
        <f ca="1">IFERROR(__xludf.DUMMYFUNCTION("""COMPUTED_VALUE"""),"القاهرة")</f>
        <v>القاهرة</v>
      </c>
      <c r="C1790" s="5" t="str">
        <f ca="1">IFERROR(__xludf.DUMMYFUNCTION("""COMPUTED_VALUE"""),"المرج")</f>
        <v>المرج</v>
      </c>
      <c r="D1790" s="5" t="str">
        <f ca="1">IFERROR(__xludf.DUMMYFUNCTION("""COMPUTED_VALUE"""),"مركز أشعة")</f>
        <v>مركز أشعة</v>
      </c>
      <c r="E1790" s="5" t="str">
        <f ca="1">IFERROR(__xludf.DUMMYFUNCTION("""COMPUTED_VALUE"""),"مركز أشعة")</f>
        <v>مركز أشعة</v>
      </c>
      <c r="F1790" s="5" t="str">
        <f ca="1">IFERROR(__xludf.DUMMYFUNCTION("""COMPUTED_VALUE"""),"مركز الأشعة التشخيصية")</f>
        <v>مركز الأشعة التشخيصية</v>
      </c>
      <c r="G1790" s="5" t="str">
        <f ca="1">IFERROR(__xludf.DUMMYFUNCTION("""COMPUTED_VALUE"""),"د/ عبد النبى بيومى محمد مرزوق ( مركز د/ عبدالنبى للاشعة)")</f>
        <v>د/ عبد النبى بيومى محمد مرزوق ( مركز د/ عبدالنبى للاشعة)</v>
      </c>
      <c r="H1790" s="5" t="str">
        <f ca="1">IFERROR(__xludf.DUMMYFUNCTION("""COMPUTED_VALUE"""),"123 شارع المحطة - امام مترو المرج القديم - المرج- القاهرة")</f>
        <v>123 شارع المحطة - امام مترو المرج القديم - المرج- القاهرة</v>
      </c>
      <c r="I1790" s="6" t="str">
        <f ca="1">IFERROR(__xludf.DUMMYFUNCTION("""COMPUTED_VALUE"""),"201150622323")</f>
        <v>201150622323</v>
      </c>
      <c r="J1790" s="6"/>
      <c r="K1790" s="6" t="str">
        <f ca="1">IFERROR(__xludf.DUMMYFUNCTION("""COMPUTED_VALUE"""),"20% على جميع الخدمات المقدمة")</f>
        <v>20% على جميع الخدمات المقدمة</v>
      </c>
    </row>
    <row r="1791" spans="1:11" x14ac:dyDescent="0.25">
      <c r="A1791" s="4" t="str">
        <f ca="1">IFERROR(__xludf.DUMMYFUNCTION("""COMPUTED_VALUE"""),"105373")</f>
        <v>105373</v>
      </c>
      <c r="B1791" s="5" t="str">
        <f ca="1">IFERROR(__xludf.DUMMYFUNCTION("""COMPUTED_VALUE"""),"القاهرة")</f>
        <v>القاهرة</v>
      </c>
      <c r="C1791" s="5" t="str">
        <f ca="1">IFERROR(__xludf.DUMMYFUNCTION("""COMPUTED_VALUE"""),"مدينة نصر")</f>
        <v>مدينة نصر</v>
      </c>
      <c r="D1791" s="5" t="str">
        <f ca="1">IFERROR(__xludf.DUMMYFUNCTION("""COMPUTED_VALUE"""),"مستشفى")</f>
        <v>مستشفى</v>
      </c>
      <c r="E1791" s="5" t="str">
        <f ca="1">IFERROR(__xludf.DUMMYFUNCTION("""COMPUTED_VALUE"""),"مستشفي طبي متكامل")</f>
        <v>مستشفي طبي متكامل</v>
      </c>
      <c r="F1791" s="5" t="str">
        <f ca="1">IFERROR(__xludf.DUMMYFUNCTION("""COMPUTED_VALUE"""),"جميع التخصصات الطبية")</f>
        <v>جميع التخصصات الطبية</v>
      </c>
      <c r="G1791" s="5" t="str">
        <f ca="1">IFERROR(__xludf.DUMMYFUNCTION("""COMPUTED_VALUE"""),"شركة بدايات للتنمية العمرانية (مستشفى بدايات التخصصى)")</f>
        <v>شركة بدايات للتنمية العمرانية (مستشفى بدايات التخصصى)</v>
      </c>
      <c r="H1791" s="5" t="str">
        <f ca="1">IFERROR(__xludf.DUMMYFUNCTION("""COMPUTED_VALUE"""),"42 شارع حسن المامون - مدينة نصر  - القاهرة")</f>
        <v>42 شارع حسن المامون - مدينة نصر  - القاهرة</v>
      </c>
      <c r="I1791" s="6" t="str">
        <f ca="1">IFERROR(__xludf.DUMMYFUNCTION("""COMPUTED_VALUE"""),"201223838901")</f>
        <v>201223838901</v>
      </c>
      <c r="J1791" s="6"/>
      <c r="K1791" s="6" t="str">
        <f ca="1">IFERROR(__xludf.DUMMYFUNCTION("""COMPUTED_VALUE"""),"30% على جميع الخدمات")</f>
        <v>30% على جميع الخدمات</v>
      </c>
    </row>
    <row r="1792" spans="1:11" x14ac:dyDescent="0.25">
      <c r="A1792" s="4" t="str">
        <f ca="1">IFERROR(__xludf.DUMMYFUNCTION("""COMPUTED_VALUE"""),"104971-B")</f>
        <v>104971-B</v>
      </c>
      <c r="B1792" s="5" t="str">
        <f ca="1">IFERROR(__xludf.DUMMYFUNCTION("""COMPUTED_VALUE"""),"الجيزة")</f>
        <v>الجيزة</v>
      </c>
      <c r="C1792" s="5" t="str">
        <f ca="1">IFERROR(__xludf.DUMMYFUNCTION("""COMPUTED_VALUE"""),"بشتيل")</f>
        <v>بشتيل</v>
      </c>
      <c r="D1792" s="5" t="str">
        <f ca="1">IFERROR(__xludf.DUMMYFUNCTION("""COMPUTED_VALUE"""),"صيدلية")</f>
        <v>صيدلية</v>
      </c>
      <c r="E1792" s="5" t="str">
        <f ca="1">IFERROR(__xludf.DUMMYFUNCTION("""COMPUTED_VALUE"""),"صيدلية")</f>
        <v>صيدلية</v>
      </c>
      <c r="F1792" s="5" t="str">
        <f ca="1">IFERROR(__xludf.DUMMYFUNCTION("""COMPUTED_VALUE"""),"صيدلية (أدوية ومستلزمات طبية)")</f>
        <v>صيدلية (أدوية ومستلزمات طبية)</v>
      </c>
      <c r="G1792" s="5" t="str">
        <f ca="1">IFERROR(__xludf.DUMMYFUNCTION("""COMPUTED_VALUE"""),"صيدلية د/ مايكل فكرى عبد الملك ( صيدلية رامي )")</f>
        <v>صيدلية د/ مايكل فكرى عبد الملك ( صيدلية رامي )</v>
      </c>
      <c r="H1792" s="5" t="str">
        <f ca="1">IFERROR(__xludf.DUMMYFUNCTION("""COMPUTED_VALUE"""),"شارع جوهر إبراهيم  - شارع ترعة الزمر - بشتيل")</f>
        <v>شارع جوهر إبراهيم  - شارع ترعة الزمر - بشتيل</v>
      </c>
      <c r="I1792" s="6" t="str">
        <f ca="1">IFERROR(__xludf.DUMMYFUNCTION("""COMPUTED_VALUE"""),"2037094465")</f>
        <v>2037094465</v>
      </c>
      <c r="J1792" s="6"/>
      <c r="K1792" s="6" t="str">
        <f ca="1">IFERROR(__xludf.DUMMYFUNCTION("""COMPUTED_VALUE"""),"خصم 13% علي المحلي و 6% علي المستورد")</f>
        <v>خصم 13% علي المحلي و 6% علي المستورد</v>
      </c>
    </row>
    <row r="1793" spans="1:11" x14ac:dyDescent="0.25">
      <c r="A1793" s="4" t="str">
        <f ca="1">IFERROR(__xludf.DUMMYFUNCTION("""COMPUTED_VALUE"""),"2911-B")</f>
        <v>2911-B</v>
      </c>
      <c r="B1793" s="5" t="str">
        <f ca="1">IFERROR(__xludf.DUMMYFUNCTION("""COMPUTED_VALUE"""),"القاهرة")</f>
        <v>القاهرة</v>
      </c>
      <c r="C1793" s="5" t="str">
        <f ca="1">IFERROR(__xludf.DUMMYFUNCTION("""COMPUTED_VALUE"""),"مدينة نصر")</f>
        <v>مدينة نصر</v>
      </c>
      <c r="D1793" s="5" t="str">
        <f ca="1">IFERROR(__xludf.DUMMYFUNCTION("""COMPUTED_VALUE"""),"معمل")</f>
        <v>معمل</v>
      </c>
      <c r="E1793" s="5" t="str">
        <f ca="1">IFERROR(__xludf.DUMMYFUNCTION("""COMPUTED_VALUE"""),"معمل")</f>
        <v>معمل</v>
      </c>
      <c r="F1793" s="5" t="str">
        <f ca="1">IFERROR(__xludf.DUMMYFUNCTION("""COMPUTED_VALUE"""),"معمل التحاليل الطبية")</f>
        <v>معمل التحاليل الطبية</v>
      </c>
      <c r="G1793" s="5" t="str">
        <f ca="1">IFERROR(__xludf.DUMMYFUNCTION("""COMPUTED_VALUE"""),"معامل البرج")</f>
        <v>معامل البرج</v>
      </c>
      <c r="H1793" s="5" t="str">
        <f ca="1">IFERROR(__xludf.DUMMYFUNCTION("""COMPUTED_VALUE"""),"18 عمارات المدفعيه - ارض الجولف - مدينه نصر- القاهرة")</f>
        <v>18 عمارات المدفعيه - ارض الجولف - مدينه نصر- القاهرة</v>
      </c>
      <c r="I1793" s="6"/>
      <c r="J1793" s="6" t="str">
        <f ca="1">IFERROR(__xludf.DUMMYFUNCTION("""COMPUTED_VALUE"""),"19911")</f>
        <v>19911</v>
      </c>
      <c r="K1793" s="6" t="str">
        <f ca="1">IFERROR(__xludf.DUMMYFUNCTION("""COMPUTED_VALUE"""),"20% على جميع الخدمات")</f>
        <v>20% على جميع الخدمات</v>
      </c>
    </row>
    <row r="1794" spans="1:11" x14ac:dyDescent="0.25">
      <c r="A1794" s="4" t="str">
        <f ca="1">IFERROR(__xludf.DUMMYFUNCTION("""COMPUTED_VALUE"""),"2911-B")</f>
        <v>2911-B</v>
      </c>
      <c r="B1794" s="5" t="str">
        <f ca="1">IFERROR(__xludf.DUMMYFUNCTION("""COMPUTED_VALUE"""),"القاهرة")</f>
        <v>القاهرة</v>
      </c>
      <c r="C1794" s="5" t="str">
        <f ca="1">IFERROR(__xludf.DUMMYFUNCTION("""COMPUTED_VALUE"""),"مدينة نصر")</f>
        <v>مدينة نصر</v>
      </c>
      <c r="D1794" s="5" t="str">
        <f ca="1">IFERROR(__xludf.DUMMYFUNCTION("""COMPUTED_VALUE"""),"معمل")</f>
        <v>معمل</v>
      </c>
      <c r="E1794" s="5" t="str">
        <f ca="1">IFERROR(__xludf.DUMMYFUNCTION("""COMPUTED_VALUE"""),"معمل")</f>
        <v>معمل</v>
      </c>
      <c r="F1794" s="5" t="str">
        <f ca="1">IFERROR(__xludf.DUMMYFUNCTION("""COMPUTED_VALUE"""),"معمل التحاليل الطبية")</f>
        <v>معمل التحاليل الطبية</v>
      </c>
      <c r="G1794" s="5" t="str">
        <f ca="1">IFERROR(__xludf.DUMMYFUNCTION("""COMPUTED_VALUE"""),"معامل البرج")</f>
        <v>معامل البرج</v>
      </c>
      <c r="H1794" s="5" t="str">
        <f ca="1">IFERROR(__xludf.DUMMYFUNCTION("""COMPUTED_VALUE"""),"112ش مصطفى النحاس - اعلى بنك QNB - مدينه نصر - القاهره")</f>
        <v>112ش مصطفى النحاس - اعلى بنك QNB - مدينه نصر - القاهره</v>
      </c>
      <c r="I1794" s="6"/>
      <c r="J1794" s="6" t="str">
        <f ca="1">IFERROR(__xludf.DUMMYFUNCTION("""COMPUTED_VALUE"""),"19911")</f>
        <v>19911</v>
      </c>
      <c r="K1794" s="6" t="str">
        <f ca="1">IFERROR(__xludf.DUMMYFUNCTION("""COMPUTED_VALUE"""),"20% على جميع الخدمات")</f>
        <v>20% على جميع الخدمات</v>
      </c>
    </row>
    <row r="1795" spans="1:11" x14ac:dyDescent="0.25">
      <c r="A1795" s="4" t="str">
        <f ca="1">IFERROR(__xludf.DUMMYFUNCTION("""COMPUTED_VALUE"""),"2911-B")</f>
        <v>2911-B</v>
      </c>
      <c r="B1795" s="5" t="str">
        <f ca="1">IFERROR(__xludf.DUMMYFUNCTION("""COMPUTED_VALUE"""),"القاهرة")</f>
        <v>القاهرة</v>
      </c>
      <c r="C1795" s="5" t="str">
        <f ca="1">IFERROR(__xludf.DUMMYFUNCTION("""COMPUTED_VALUE"""),"مصر الجديدة")</f>
        <v>مصر الجديدة</v>
      </c>
      <c r="D1795" s="5" t="str">
        <f ca="1">IFERROR(__xludf.DUMMYFUNCTION("""COMPUTED_VALUE"""),"معمل")</f>
        <v>معمل</v>
      </c>
      <c r="E1795" s="5" t="str">
        <f ca="1">IFERROR(__xludf.DUMMYFUNCTION("""COMPUTED_VALUE"""),"معمل")</f>
        <v>معمل</v>
      </c>
      <c r="F1795" s="5" t="str">
        <f ca="1">IFERROR(__xludf.DUMMYFUNCTION("""COMPUTED_VALUE"""),"معمل التحاليل الطبية")</f>
        <v>معمل التحاليل الطبية</v>
      </c>
      <c r="G1795" s="5" t="str">
        <f ca="1">IFERROR(__xludf.DUMMYFUNCTION("""COMPUTED_VALUE"""),"معامل البرج")</f>
        <v>معامل البرج</v>
      </c>
      <c r="H1795" s="5" t="str">
        <f ca="1">IFERROR(__xludf.DUMMYFUNCTION("""COMPUTED_VALUE"""),"17 ش طه حسين - أمام معهد تدريب القوات المسلحة - مصر الجديدة - القاهرة
")</f>
        <v xml:space="preserve">17 ش طه حسين - أمام معهد تدريب القوات المسلحة - مصر الجديدة - القاهرة
</v>
      </c>
      <c r="I1795" s="6"/>
      <c r="J1795" s="6" t="str">
        <f ca="1">IFERROR(__xludf.DUMMYFUNCTION("""COMPUTED_VALUE"""),"19911")</f>
        <v>19911</v>
      </c>
      <c r="K1795" s="6" t="str">
        <f ca="1">IFERROR(__xludf.DUMMYFUNCTION("""COMPUTED_VALUE"""),"20% على جميع الخدمات")</f>
        <v>20% على جميع الخدمات</v>
      </c>
    </row>
    <row r="1796" spans="1:11" x14ac:dyDescent="0.25">
      <c r="A1796" s="4" t="str">
        <f ca="1">IFERROR(__xludf.DUMMYFUNCTION("""COMPUTED_VALUE"""),"2911-B")</f>
        <v>2911-B</v>
      </c>
      <c r="B1796" s="5" t="str">
        <f ca="1">IFERROR(__xludf.DUMMYFUNCTION("""COMPUTED_VALUE"""),"القاهرة")</f>
        <v>القاهرة</v>
      </c>
      <c r="C1796" s="5" t="str">
        <f ca="1">IFERROR(__xludf.DUMMYFUNCTION("""COMPUTED_VALUE"""),"مدينة نصر")</f>
        <v>مدينة نصر</v>
      </c>
      <c r="D1796" s="5" t="str">
        <f ca="1">IFERROR(__xludf.DUMMYFUNCTION("""COMPUTED_VALUE"""),"معمل")</f>
        <v>معمل</v>
      </c>
      <c r="E1796" s="5" t="str">
        <f ca="1">IFERROR(__xludf.DUMMYFUNCTION("""COMPUTED_VALUE"""),"معمل")</f>
        <v>معمل</v>
      </c>
      <c r="F1796" s="5" t="str">
        <f ca="1">IFERROR(__xludf.DUMMYFUNCTION("""COMPUTED_VALUE"""),"معمل التحاليل الطبية")</f>
        <v>معمل التحاليل الطبية</v>
      </c>
      <c r="G1796" s="5" t="str">
        <f ca="1">IFERROR(__xludf.DUMMYFUNCTION("""COMPUTED_VALUE"""),"معامل البرج")</f>
        <v>معامل البرج</v>
      </c>
      <c r="H1796" s="5" t="str">
        <f ca="1">IFERROR(__xludf.DUMMYFUNCTION("""COMPUTED_VALUE"""),"42ش عباس العقاد - أعلى مستشفى العيسوي التخصصي - مدينه نصر - القاهره")</f>
        <v>42ش عباس العقاد - أعلى مستشفى العيسوي التخصصي - مدينه نصر - القاهره</v>
      </c>
      <c r="I1796" s="6"/>
      <c r="J1796" s="6" t="str">
        <f ca="1">IFERROR(__xludf.DUMMYFUNCTION("""COMPUTED_VALUE"""),"19911")</f>
        <v>19911</v>
      </c>
      <c r="K1796" s="6" t="str">
        <f ca="1">IFERROR(__xludf.DUMMYFUNCTION("""COMPUTED_VALUE"""),"20% على جميع الخدمات")</f>
        <v>20% على جميع الخدمات</v>
      </c>
    </row>
    <row r="1797" spans="1:11" x14ac:dyDescent="0.25">
      <c r="A1797" s="4" t="str">
        <f ca="1">IFERROR(__xludf.DUMMYFUNCTION("""COMPUTED_VALUE"""),"2911-B")</f>
        <v>2911-B</v>
      </c>
      <c r="B1797" s="5" t="str">
        <f ca="1">IFERROR(__xludf.DUMMYFUNCTION("""COMPUTED_VALUE"""),"القاهرة")</f>
        <v>القاهرة</v>
      </c>
      <c r="C1797" s="5" t="str">
        <f ca="1">IFERROR(__xludf.DUMMYFUNCTION("""COMPUTED_VALUE"""),"جسر السويس")</f>
        <v>جسر السويس</v>
      </c>
      <c r="D1797" s="5" t="str">
        <f ca="1">IFERROR(__xludf.DUMMYFUNCTION("""COMPUTED_VALUE"""),"معمل")</f>
        <v>معمل</v>
      </c>
      <c r="E1797" s="5" t="str">
        <f ca="1">IFERROR(__xludf.DUMMYFUNCTION("""COMPUTED_VALUE"""),"معمل")</f>
        <v>معمل</v>
      </c>
      <c r="F1797" s="5" t="str">
        <f ca="1">IFERROR(__xludf.DUMMYFUNCTION("""COMPUTED_VALUE"""),"معمل التحاليل الطبية")</f>
        <v>معمل التحاليل الطبية</v>
      </c>
      <c r="G1797" s="5" t="str">
        <f ca="1">IFERROR(__xludf.DUMMYFUNCTION("""COMPUTED_VALUE"""),"معامل البرج")</f>
        <v>معامل البرج</v>
      </c>
      <c r="H1797" s="5" t="str">
        <f ca="1">IFERROR(__xludf.DUMMYFUNCTION("""COMPUTED_VALUE"""),"282 شارع جمال عبد الناصر- منطقة الحرفيين-السلام- جسر السويس")</f>
        <v>282 شارع جمال عبد الناصر- منطقة الحرفيين-السلام- جسر السويس</v>
      </c>
      <c r="I1797" s="6"/>
      <c r="J1797" s="6" t="str">
        <f ca="1">IFERROR(__xludf.DUMMYFUNCTION("""COMPUTED_VALUE"""),"19911")</f>
        <v>19911</v>
      </c>
      <c r="K1797" s="6" t="str">
        <f ca="1">IFERROR(__xludf.DUMMYFUNCTION("""COMPUTED_VALUE"""),"20% على جميع الخدمات")</f>
        <v>20% على جميع الخدمات</v>
      </c>
    </row>
    <row r="1798" spans="1:11" x14ac:dyDescent="0.25">
      <c r="A1798" s="4" t="str">
        <f ca="1">IFERROR(__xludf.DUMMYFUNCTION("""COMPUTED_VALUE"""),"2911-B")</f>
        <v>2911-B</v>
      </c>
      <c r="B1798" s="5" t="str">
        <f ca="1">IFERROR(__xludf.DUMMYFUNCTION("""COMPUTED_VALUE"""),"الجيزة")</f>
        <v>الجيزة</v>
      </c>
      <c r="C1798" s="5" t="str">
        <f ca="1">IFERROR(__xludf.DUMMYFUNCTION("""COMPUTED_VALUE"""),"حدائق الاهرام")</f>
        <v>حدائق الاهرام</v>
      </c>
      <c r="D1798" s="5" t="str">
        <f ca="1">IFERROR(__xludf.DUMMYFUNCTION("""COMPUTED_VALUE"""),"معمل")</f>
        <v>معمل</v>
      </c>
      <c r="E1798" s="5" t="str">
        <f ca="1">IFERROR(__xludf.DUMMYFUNCTION("""COMPUTED_VALUE"""),"معمل")</f>
        <v>معمل</v>
      </c>
      <c r="F1798" s="5" t="str">
        <f ca="1">IFERROR(__xludf.DUMMYFUNCTION("""COMPUTED_VALUE"""),"معمل التحاليل الطبية")</f>
        <v>معمل التحاليل الطبية</v>
      </c>
      <c r="G1798" s="5" t="str">
        <f ca="1">IFERROR(__xludf.DUMMYFUNCTION("""COMPUTED_VALUE"""),"معامل البرج")</f>
        <v>معامل البرج</v>
      </c>
      <c r="H1798" s="5" t="str">
        <f ca="1">IFERROR(__xludf.DUMMYFUNCTION("""COMPUTED_VALUE"""),"294منطقة ع حدائق الأهرام بجوار بوابة مينا - حدائق الاهرام")</f>
        <v>294منطقة ع حدائق الأهرام بجوار بوابة مينا - حدائق الاهرام</v>
      </c>
      <c r="I1798" s="6"/>
      <c r="J1798" s="6" t="str">
        <f ca="1">IFERROR(__xludf.DUMMYFUNCTION("""COMPUTED_VALUE"""),"19911")</f>
        <v>19911</v>
      </c>
      <c r="K1798" s="6" t="str">
        <f ca="1">IFERROR(__xludf.DUMMYFUNCTION("""COMPUTED_VALUE"""),"20% على جميع الخدمات")</f>
        <v>20% على جميع الخدمات</v>
      </c>
    </row>
    <row r="1799" spans="1:11" x14ac:dyDescent="0.25">
      <c r="A1799" s="4" t="str">
        <f ca="1">IFERROR(__xludf.DUMMYFUNCTION("""COMPUTED_VALUE"""),"2911-B")</f>
        <v>2911-B</v>
      </c>
      <c r="B1799" s="5" t="str">
        <f ca="1">IFERROR(__xludf.DUMMYFUNCTION("""COMPUTED_VALUE"""),"الجيزة")</f>
        <v>الجيزة</v>
      </c>
      <c r="C1799" s="5" t="str">
        <f ca="1">IFERROR(__xludf.DUMMYFUNCTION("""COMPUTED_VALUE"""),"السادس من اكتوبر")</f>
        <v>السادس من اكتوبر</v>
      </c>
      <c r="D1799" s="5" t="str">
        <f ca="1">IFERROR(__xludf.DUMMYFUNCTION("""COMPUTED_VALUE"""),"معمل")</f>
        <v>معمل</v>
      </c>
      <c r="E1799" s="5" t="str">
        <f ca="1">IFERROR(__xludf.DUMMYFUNCTION("""COMPUTED_VALUE"""),"معمل")</f>
        <v>معمل</v>
      </c>
      <c r="F1799" s="5" t="str">
        <f ca="1">IFERROR(__xludf.DUMMYFUNCTION("""COMPUTED_VALUE"""),"معمل التحاليل الطبية")</f>
        <v>معمل التحاليل الطبية</v>
      </c>
      <c r="G1799" s="5" t="str">
        <f ca="1">IFERROR(__xludf.DUMMYFUNCTION("""COMPUTED_VALUE"""),"معامل البرج")</f>
        <v>معامل البرج</v>
      </c>
      <c r="H1799" s="5" t="str">
        <f ca="1">IFERROR(__xludf.DUMMYFUNCTION("""COMPUTED_VALUE"""),"مول أكتوبر هاوس - مدخل الحي المتميز- أعلى بنك مصر - 6 اكتوبر")</f>
        <v>مول أكتوبر هاوس - مدخل الحي المتميز- أعلى بنك مصر - 6 اكتوبر</v>
      </c>
      <c r="I1799" s="6"/>
      <c r="J1799" s="6" t="str">
        <f ca="1">IFERROR(__xludf.DUMMYFUNCTION("""COMPUTED_VALUE"""),"19911")</f>
        <v>19911</v>
      </c>
      <c r="K1799" s="6" t="str">
        <f ca="1">IFERROR(__xludf.DUMMYFUNCTION("""COMPUTED_VALUE"""),"20% على جميع الخدمات")</f>
        <v>20% على جميع الخدمات</v>
      </c>
    </row>
    <row r="1800" spans="1:11" x14ac:dyDescent="0.25">
      <c r="A1800" s="4" t="str">
        <f ca="1">IFERROR(__xludf.DUMMYFUNCTION("""COMPUTED_VALUE"""),"2911-B")</f>
        <v>2911-B</v>
      </c>
      <c r="B1800" s="5" t="str">
        <f ca="1">IFERROR(__xludf.DUMMYFUNCTION("""COMPUTED_VALUE"""),"القاهرة")</f>
        <v>القاهرة</v>
      </c>
      <c r="C1800" s="5" t="str">
        <f ca="1">IFERROR(__xludf.DUMMYFUNCTION("""COMPUTED_VALUE"""),"مصر القديمة")</f>
        <v>مصر القديمة</v>
      </c>
      <c r="D1800" s="5" t="str">
        <f ca="1">IFERROR(__xludf.DUMMYFUNCTION("""COMPUTED_VALUE"""),"معمل")</f>
        <v>معمل</v>
      </c>
      <c r="E1800" s="5" t="str">
        <f ca="1">IFERROR(__xludf.DUMMYFUNCTION("""COMPUTED_VALUE"""),"معمل")</f>
        <v>معمل</v>
      </c>
      <c r="F1800" s="5" t="str">
        <f ca="1">IFERROR(__xludf.DUMMYFUNCTION("""COMPUTED_VALUE"""),"معمل التحاليل الطبية")</f>
        <v>معمل التحاليل الطبية</v>
      </c>
      <c r="G1800" s="5" t="str">
        <f ca="1">IFERROR(__xludf.DUMMYFUNCTION("""COMPUTED_VALUE"""),"معامل البرج")</f>
        <v>معامل البرج</v>
      </c>
      <c r="H1800" s="5" t="str">
        <f ca="1">IFERROR(__xludf.DUMMYFUNCTION("""COMPUTED_VALUE"""),"897 شارع  كورنيش النيل – الدور الأول – برج الجمل  - مصر القديمه")</f>
        <v>897 شارع  كورنيش النيل – الدور الأول – برج الجمل  - مصر القديمه</v>
      </c>
      <c r="I1800" s="6"/>
      <c r="J1800" s="6" t="str">
        <f ca="1">IFERROR(__xludf.DUMMYFUNCTION("""COMPUTED_VALUE"""),"19911")</f>
        <v>19911</v>
      </c>
      <c r="K1800" s="6" t="str">
        <f ca="1">IFERROR(__xludf.DUMMYFUNCTION("""COMPUTED_VALUE"""),"20% على جميع الخدمات")</f>
        <v>20% على جميع الخدمات</v>
      </c>
    </row>
    <row r="1801" spans="1:11" x14ac:dyDescent="0.25">
      <c r="A1801" s="4" t="str">
        <f ca="1">IFERROR(__xludf.DUMMYFUNCTION("""COMPUTED_VALUE"""),"2911-B")</f>
        <v>2911-B</v>
      </c>
      <c r="B1801" s="5" t="str">
        <f ca="1">IFERROR(__xludf.DUMMYFUNCTION("""COMPUTED_VALUE"""),"الجيزة")</f>
        <v>الجيزة</v>
      </c>
      <c r="C1801" s="5" t="str">
        <f ca="1">IFERROR(__xludf.DUMMYFUNCTION("""COMPUTED_VALUE"""),"الجيزة")</f>
        <v>الجيزة</v>
      </c>
      <c r="D1801" s="5" t="str">
        <f ca="1">IFERROR(__xludf.DUMMYFUNCTION("""COMPUTED_VALUE"""),"معمل")</f>
        <v>معمل</v>
      </c>
      <c r="E1801" s="5" t="str">
        <f ca="1">IFERROR(__xludf.DUMMYFUNCTION("""COMPUTED_VALUE"""),"معمل")</f>
        <v>معمل</v>
      </c>
      <c r="F1801" s="5" t="str">
        <f ca="1">IFERROR(__xludf.DUMMYFUNCTION("""COMPUTED_VALUE"""),"معمل التحاليل الطبية")</f>
        <v>معمل التحاليل الطبية</v>
      </c>
      <c r="G1801" s="5" t="str">
        <f ca="1">IFERROR(__xludf.DUMMYFUNCTION("""COMPUTED_VALUE"""),"معامل البرج")</f>
        <v>معامل البرج</v>
      </c>
      <c r="H1801" s="5" t="str">
        <f ca="1">IFERROR(__xludf.DUMMYFUNCTION("""COMPUTED_VALUE"""),"35ش القصر العيني بجوار البنك الأهلي -أمام معهد السكر")</f>
        <v>35ش القصر العيني بجوار البنك الأهلي -أمام معهد السكر</v>
      </c>
      <c r="I1801" s="6"/>
      <c r="J1801" s="6" t="str">
        <f ca="1">IFERROR(__xludf.DUMMYFUNCTION("""COMPUTED_VALUE"""),"19911")</f>
        <v>19911</v>
      </c>
      <c r="K1801" s="6" t="str">
        <f ca="1">IFERROR(__xludf.DUMMYFUNCTION("""COMPUTED_VALUE"""),"20% على جميع الخدمات")</f>
        <v>20% على جميع الخدمات</v>
      </c>
    </row>
    <row r="1802" spans="1:11" x14ac:dyDescent="0.25">
      <c r="A1802" s="4" t="str">
        <f ca="1">IFERROR(__xludf.DUMMYFUNCTION("""COMPUTED_VALUE"""),"2911-B")</f>
        <v>2911-B</v>
      </c>
      <c r="B1802" s="5" t="str">
        <f ca="1">IFERROR(__xludf.DUMMYFUNCTION("""COMPUTED_VALUE"""),"الجيزة")</f>
        <v>الجيزة</v>
      </c>
      <c r="C1802" s="5" t="str">
        <f ca="1">IFERROR(__xludf.DUMMYFUNCTION("""COMPUTED_VALUE"""),"الجيزة")</f>
        <v>الجيزة</v>
      </c>
      <c r="D1802" s="5" t="str">
        <f ca="1">IFERROR(__xludf.DUMMYFUNCTION("""COMPUTED_VALUE"""),"معمل")</f>
        <v>معمل</v>
      </c>
      <c r="E1802" s="5" t="str">
        <f ca="1">IFERROR(__xludf.DUMMYFUNCTION("""COMPUTED_VALUE"""),"معمل")</f>
        <v>معمل</v>
      </c>
      <c r="F1802" s="5" t="str">
        <f ca="1">IFERROR(__xludf.DUMMYFUNCTION("""COMPUTED_VALUE"""),"معمل التحاليل الطبية")</f>
        <v>معمل التحاليل الطبية</v>
      </c>
      <c r="G1802" s="5" t="str">
        <f ca="1">IFERROR(__xludf.DUMMYFUNCTION("""COMPUTED_VALUE"""),"معامل البرج")</f>
        <v>معامل البرج</v>
      </c>
      <c r="H1802" s="5" t="str">
        <f ca="1">IFERROR(__xludf.DUMMYFUNCTION("""COMPUTED_VALUE"""),"2شارع فرج عامر حمزة – شارع المدرسة - المنيب - الجيزه")</f>
        <v>2شارع فرج عامر حمزة – شارع المدرسة - المنيب - الجيزه</v>
      </c>
      <c r="I1802" s="6"/>
      <c r="J1802" s="6" t="str">
        <f ca="1">IFERROR(__xludf.DUMMYFUNCTION("""COMPUTED_VALUE"""),"19911")</f>
        <v>19911</v>
      </c>
      <c r="K1802" s="6" t="str">
        <f ca="1">IFERROR(__xludf.DUMMYFUNCTION("""COMPUTED_VALUE"""),"20% على جميع الخدمات")</f>
        <v>20% على جميع الخدمات</v>
      </c>
    </row>
    <row r="1803" spans="1:11" x14ac:dyDescent="0.25">
      <c r="A1803" s="4" t="str">
        <f ca="1">IFERROR(__xludf.DUMMYFUNCTION("""COMPUTED_VALUE"""),"2911-B")</f>
        <v>2911-B</v>
      </c>
      <c r="B1803" s="5" t="str">
        <f ca="1">IFERROR(__xludf.DUMMYFUNCTION("""COMPUTED_VALUE"""),"القاهرة")</f>
        <v>القاهرة</v>
      </c>
      <c r="C1803" s="5" t="str">
        <f ca="1">IFERROR(__xludf.DUMMYFUNCTION("""COMPUTED_VALUE"""),"القاهرة الجديدة")</f>
        <v>القاهرة الجديدة</v>
      </c>
      <c r="D1803" s="5" t="str">
        <f ca="1">IFERROR(__xludf.DUMMYFUNCTION("""COMPUTED_VALUE"""),"معمل")</f>
        <v>معمل</v>
      </c>
      <c r="E1803" s="5" t="str">
        <f ca="1">IFERROR(__xludf.DUMMYFUNCTION("""COMPUTED_VALUE"""),"معمل")</f>
        <v>معمل</v>
      </c>
      <c r="F1803" s="5" t="str">
        <f ca="1">IFERROR(__xludf.DUMMYFUNCTION("""COMPUTED_VALUE"""),"معمل التحاليل الطبية")</f>
        <v>معمل التحاليل الطبية</v>
      </c>
      <c r="G1803" s="5" t="str">
        <f ca="1">IFERROR(__xludf.DUMMYFUNCTION("""COMPUTED_VALUE"""),"معامل البرج")</f>
        <v>معامل البرج</v>
      </c>
      <c r="H1803" s="5" t="str">
        <f ca="1">IFERROR(__xludf.DUMMYFUNCTION("""COMPUTED_VALUE"""),"مول  the spot امام بوابة 4 بالجامعة الأمريكية – الدور الثانى  - التجمع الخامس")</f>
        <v>مول  the spot امام بوابة 4 بالجامعة الأمريكية – الدور الثانى  - التجمع الخامس</v>
      </c>
      <c r="I1803" s="6"/>
      <c r="J1803" s="6" t="str">
        <f ca="1">IFERROR(__xludf.DUMMYFUNCTION("""COMPUTED_VALUE"""),"19911")</f>
        <v>19911</v>
      </c>
      <c r="K1803" s="6" t="str">
        <f ca="1">IFERROR(__xludf.DUMMYFUNCTION("""COMPUTED_VALUE"""),"20% على جميع الخدمات")</f>
        <v>20% على جميع الخدمات</v>
      </c>
    </row>
    <row r="1804" spans="1:11" x14ac:dyDescent="0.25">
      <c r="A1804" s="4" t="str">
        <f ca="1">IFERROR(__xludf.DUMMYFUNCTION("""COMPUTED_VALUE"""),"2911-B")</f>
        <v>2911-B</v>
      </c>
      <c r="B1804" s="5" t="str">
        <f ca="1">IFERROR(__xludf.DUMMYFUNCTION("""COMPUTED_VALUE"""),"القاهرة")</f>
        <v>القاهرة</v>
      </c>
      <c r="C1804" s="5" t="str">
        <f ca="1">IFERROR(__xludf.DUMMYFUNCTION("""COMPUTED_VALUE"""),"مدينة الشروق")</f>
        <v>مدينة الشروق</v>
      </c>
      <c r="D1804" s="5" t="str">
        <f ca="1">IFERROR(__xludf.DUMMYFUNCTION("""COMPUTED_VALUE"""),"معمل")</f>
        <v>معمل</v>
      </c>
      <c r="E1804" s="5" t="str">
        <f ca="1">IFERROR(__xludf.DUMMYFUNCTION("""COMPUTED_VALUE"""),"معمل")</f>
        <v>معمل</v>
      </c>
      <c r="F1804" s="5" t="str">
        <f ca="1">IFERROR(__xludf.DUMMYFUNCTION("""COMPUTED_VALUE"""),"معمل التحاليل الطبية")</f>
        <v>معمل التحاليل الطبية</v>
      </c>
      <c r="G1804" s="5" t="str">
        <f ca="1">IFERROR(__xludf.DUMMYFUNCTION("""COMPUTED_VALUE"""),"معامل البرج")</f>
        <v>معامل البرج</v>
      </c>
      <c r="H1804" s="5" t="str">
        <f ca="1">IFERROR(__xludf.DUMMYFUNCTION("""COMPUTED_VALUE"""),"عمارات مركز المدينة (برج الأطباء) الوحدة التجارية رقم 4 - قطعة 9- الشروق")</f>
        <v>عمارات مركز المدينة (برج الأطباء) الوحدة التجارية رقم 4 - قطعة 9- الشروق</v>
      </c>
      <c r="I1804" s="6"/>
      <c r="J1804" s="6" t="str">
        <f ca="1">IFERROR(__xludf.DUMMYFUNCTION("""COMPUTED_VALUE"""),"19911")</f>
        <v>19911</v>
      </c>
      <c r="K1804" s="6" t="str">
        <f ca="1">IFERROR(__xludf.DUMMYFUNCTION("""COMPUTED_VALUE"""),"20% على جميع الخدمات")</f>
        <v>20% على جميع الخدمات</v>
      </c>
    </row>
    <row r="1805" spans="1:11" x14ac:dyDescent="0.25">
      <c r="A1805" s="4" t="str">
        <f ca="1">IFERROR(__xludf.DUMMYFUNCTION("""COMPUTED_VALUE"""),"2911-B")</f>
        <v>2911-B</v>
      </c>
      <c r="B1805" s="5" t="str">
        <f ca="1">IFERROR(__xludf.DUMMYFUNCTION("""COMPUTED_VALUE"""),"القاهرة")</f>
        <v>القاهرة</v>
      </c>
      <c r="C1805" s="5" t="str">
        <f ca="1">IFERROR(__xludf.DUMMYFUNCTION("""COMPUTED_VALUE"""),"وسط البلد")</f>
        <v>وسط البلد</v>
      </c>
      <c r="D1805" s="5" t="str">
        <f ca="1">IFERROR(__xludf.DUMMYFUNCTION("""COMPUTED_VALUE"""),"معمل")</f>
        <v>معمل</v>
      </c>
      <c r="E1805" s="5" t="str">
        <f ca="1">IFERROR(__xludf.DUMMYFUNCTION("""COMPUTED_VALUE"""),"معمل")</f>
        <v>معمل</v>
      </c>
      <c r="F1805" s="5" t="str">
        <f ca="1">IFERROR(__xludf.DUMMYFUNCTION("""COMPUTED_VALUE"""),"معمل التحاليل الطبية")</f>
        <v>معمل التحاليل الطبية</v>
      </c>
      <c r="G1805" s="5" t="str">
        <f ca="1">IFERROR(__xludf.DUMMYFUNCTION("""COMPUTED_VALUE"""),"معامل البرج")</f>
        <v>معامل البرج</v>
      </c>
      <c r="H1805" s="5" t="str">
        <f ca="1">IFERROR(__xludf.DUMMYFUNCTION("""COMPUTED_VALUE"""),"187ش المنصورية – الدور الأول – أعلى فرع بنك مصر - الدراسه")</f>
        <v>187ش المنصورية – الدور الأول – أعلى فرع بنك مصر - الدراسه</v>
      </c>
      <c r="I1805" s="6"/>
      <c r="J1805" s="6" t="str">
        <f ca="1">IFERROR(__xludf.DUMMYFUNCTION("""COMPUTED_VALUE"""),"19911")</f>
        <v>19911</v>
      </c>
      <c r="K1805" s="6" t="str">
        <f ca="1">IFERROR(__xludf.DUMMYFUNCTION("""COMPUTED_VALUE"""),"20% على جميع الخدمات")</f>
        <v>20% على جميع الخدمات</v>
      </c>
    </row>
    <row r="1806" spans="1:11" x14ac:dyDescent="0.25">
      <c r="A1806" s="4" t="str">
        <f ca="1">IFERROR(__xludf.DUMMYFUNCTION("""COMPUTED_VALUE"""),"2911-B")</f>
        <v>2911-B</v>
      </c>
      <c r="B1806" s="5" t="str">
        <f ca="1">IFERROR(__xludf.DUMMYFUNCTION("""COMPUTED_VALUE"""),"القاهرة")</f>
        <v>القاهرة</v>
      </c>
      <c r="C1806" s="5" t="str">
        <f ca="1">IFERROR(__xludf.DUMMYFUNCTION("""COMPUTED_VALUE"""),"مدينة السلام")</f>
        <v>مدينة السلام</v>
      </c>
      <c r="D1806" s="5" t="str">
        <f ca="1">IFERROR(__xludf.DUMMYFUNCTION("""COMPUTED_VALUE"""),"معمل")</f>
        <v>معمل</v>
      </c>
      <c r="E1806" s="5" t="str">
        <f ca="1">IFERROR(__xludf.DUMMYFUNCTION("""COMPUTED_VALUE"""),"معمل")</f>
        <v>معمل</v>
      </c>
      <c r="F1806" s="5" t="str">
        <f ca="1">IFERROR(__xludf.DUMMYFUNCTION("""COMPUTED_VALUE"""),"معمل التحاليل الطبية")</f>
        <v>معمل التحاليل الطبية</v>
      </c>
      <c r="G1806" s="5" t="str">
        <f ca="1">IFERROR(__xludf.DUMMYFUNCTION("""COMPUTED_VALUE"""),"معامل البرج")</f>
        <v>معامل البرج</v>
      </c>
      <c r="H1806" s="5" t="str">
        <f ca="1">IFERROR(__xludf.DUMMYFUNCTION("""COMPUTED_VALUE"""),"الوحدة رقم 1 - ش 6 أكتوبر –ميدان الاسكندرية   - مدينه السلام")</f>
        <v>الوحدة رقم 1 - ش 6 أكتوبر –ميدان الاسكندرية   - مدينه السلام</v>
      </c>
      <c r="I1806" s="6"/>
      <c r="J1806" s="6" t="str">
        <f ca="1">IFERROR(__xludf.DUMMYFUNCTION("""COMPUTED_VALUE"""),"19911")</f>
        <v>19911</v>
      </c>
      <c r="K1806" s="6" t="str">
        <f ca="1">IFERROR(__xludf.DUMMYFUNCTION("""COMPUTED_VALUE"""),"20% على جميع الخدمات")</f>
        <v>20% على جميع الخدمات</v>
      </c>
    </row>
    <row r="1807" spans="1:11" x14ac:dyDescent="0.25">
      <c r="A1807" s="4" t="str">
        <f ca="1">IFERROR(__xludf.DUMMYFUNCTION("""COMPUTED_VALUE"""),"2911-B")</f>
        <v>2911-B</v>
      </c>
      <c r="B1807" s="5" t="str">
        <f ca="1">IFERROR(__xludf.DUMMYFUNCTION("""COMPUTED_VALUE"""),"القاهرة")</f>
        <v>القاهرة</v>
      </c>
      <c r="C1807" s="5" t="str">
        <f ca="1">IFERROR(__xludf.DUMMYFUNCTION("""COMPUTED_VALUE"""),"حلمية الزيتون")</f>
        <v>حلمية الزيتون</v>
      </c>
      <c r="D1807" s="5" t="str">
        <f ca="1">IFERROR(__xludf.DUMMYFUNCTION("""COMPUTED_VALUE"""),"معمل")</f>
        <v>معمل</v>
      </c>
      <c r="E1807" s="5" t="str">
        <f ca="1">IFERROR(__xludf.DUMMYFUNCTION("""COMPUTED_VALUE"""),"معمل")</f>
        <v>معمل</v>
      </c>
      <c r="F1807" s="5" t="str">
        <f ca="1">IFERROR(__xludf.DUMMYFUNCTION("""COMPUTED_VALUE"""),"معمل التحاليل الطبية")</f>
        <v>معمل التحاليل الطبية</v>
      </c>
      <c r="G1807" s="5" t="str">
        <f ca="1">IFERROR(__xludf.DUMMYFUNCTION("""COMPUTED_VALUE"""),"معامل البرج")</f>
        <v>معامل البرج</v>
      </c>
      <c r="H1807" s="5" t="str">
        <f ca="1">IFERROR(__xludf.DUMMYFUNCTION("""COMPUTED_VALUE"""),"35/45 ش بن الحكم - عمارات بيت العز (أ) - ميدان بن الحكم -امام نادي 6 اكتوبر - حلميه الزيتون")</f>
        <v>35/45 ش بن الحكم - عمارات بيت العز (أ) - ميدان بن الحكم -امام نادي 6 اكتوبر - حلميه الزيتون</v>
      </c>
      <c r="I1807" s="6"/>
      <c r="J1807" s="6" t="str">
        <f ca="1">IFERROR(__xludf.DUMMYFUNCTION("""COMPUTED_VALUE"""),"19911")</f>
        <v>19911</v>
      </c>
      <c r="K1807" s="6" t="str">
        <f ca="1">IFERROR(__xludf.DUMMYFUNCTION("""COMPUTED_VALUE"""),"20% على جميع الخدمات")</f>
        <v>20% على جميع الخدمات</v>
      </c>
    </row>
    <row r="1808" spans="1:11" x14ac:dyDescent="0.25">
      <c r="A1808" s="4" t="str">
        <f ca="1">IFERROR(__xludf.DUMMYFUNCTION("""COMPUTED_VALUE"""),"2911-B")</f>
        <v>2911-B</v>
      </c>
      <c r="B1808" s="5" t="str">
        <f ca="1">IFERROR(__xludf.DUMMYFUNCTION("""COMPUTED_VALUE"""),"القاهرة")</f>
        <v>القاهرة</v>
      </c>
      <c r="C1808" s="5" t="str">
        <f ca="1">IFERROR(__xludf.DUMMYFUNCTION("""COMPUTED_VALUE"""),"المعادى")</f>
        <v>المعادى</v>
      </c>
      <c r="D1808" s="5" t="str">
        <f ca="1">IFERROR(__xludf.DUMMYFUNCTION("""COMPUTED_VALUE"""),"معمل")</f>
        <v>معمل</v>
      </c>
      <c r="E1808" s="5" t="str">
        <f ca="1">IFERROR(__xludf.DUMMYFUNCTION("""COMPUTED_VALUE"""),"معمل")</f>
        <v>معمل</v>
      </c>
      <c r="F1808" s="5" t="str">
        <f ca="1">IFERROR(__xludf.DUMMYFUNCTION("""COMPUTED_VALUE"""),"معمل التحاليل الطبية")</f>
        <v>معمل التحاليل الطبية</v>
      </c>
      <c r="G1808" s="5" t="str">
        <f ca="1">IFERROR(__xludf.DUMMYFUNCTION("""COMPUTED_VALUE"""),"معامل البرج")</f>
        <v>معامل البرج</v>
      </c>
      <c r="H1808" s="5" t="str">
        <f ca="1">IFERROR(__xludf.DUMMYFUNCTION("""COMPUTED_VALUE"""),"15أبراج بدر أعلى نفق كارفور الدائرى بجوار سيراميكا كيلوباترا  - المعادي")</f>
        <v>15أبراج بدر أعلى نفق كارفور الدائرى بجوار سيراميكا كيلوباترا  - المعادي</v>
      </c>
      <c r="I1808" s="6"/>
      <c r="J1808" s="6" t="str">
        <f ca="1">IFERROR(__xludf.DUMMYFUNCTION("""COMPUTED_VALUE"""),"19911")</f>
        <v>19911</v>
      </c>
      <c r="K1808" s="6" t="str">
        <f ca="1">IFERROR(__xludf.DUMMYFUNCTION("""COMPUTED_VALUE"""),"20% على جميع الخدمات")</f>
        <v>20% على جميع الخدمات</v>
      </c>
    </row>
    <row r="1809" spans="1:11" x14ac:dyDescent="0.25">
      <c r="A1809" s="4" t="str">
        <f ca="1">IFERROR(__xludf.DUMMYFUNCTION("""COMPUTED_VALUE"""),"2911-B")</f>
        <v>2911-B</v>
      </c>
      <c r="B1809" s="5" t="str">
        <f ca="1">IFERROR(__xludf.DUMMYFUNCTION("""COMPUTED_VALUE"""),"القاهرة")</f>
        <v>القاهرة</v>
      </c>
      <c r="C1809" s="5" t="str">
        <f ca="1">IFERROR(__xludf.DUMMYFUNCTION("""COMPUTED_VALUE"""),"المعادى")</f>
        <v>المعادى</v>
      </c>
      <c r="D1809" s="5" t="str">
        <f ca="1">IFERROR(__xludf.DUMMYFUNCTION("""COMPUTED_VALUE"""),"معمل")</f>
        <v>معمل</v>
      </c>
      <c r="E1809" s="5" t="str">
        <f ca="1">IFERROR(__xludf.DUMMYFUNCTION("""COMPUTED_VALUE"""),"معمل")</f>
        <v>معمل</v>
      </c>
      <c r="F1809" s="5" t="str">
        <f ca="1">IFERROR(__xludf.DUMMYFUNCTION("""COMPUTED_VALUE"""),"معمل التحاليل الطبية")</f>
        <v>معمل التحاليل الطبية</v>
      </c>
      <c r="G1809" s="5" t="str">
        <f ca="1">IFERROR(__xludf.DUMMYFUNCTION("""COMPUTED_VALUE"""),"معامل البرج")</f>
        <v>معامل البرج</v>
      </c>
      <c r="H1809" s="5" t="str">
        <f ca="1">IFERROR(__xludf.DUMMYFUNCTION("""COMPUTED_VALUE"""),"100 شارع المعادى-اعلى البنك الاهلى - المعادي")</f>
        <v>100 شارع المعادى-اعلى البنك الاهلى - المعادي</v>
      </c>
      <c r="I1809" s="6"/>
      <c r="J1809" s="6" t="str">
        <f ca="1">IFERROR(__xludf.DUMMYFUNCTION("""COMPUTED_VALUE"""),"19911")</f>
        <v>19911</v>
      </c>
      <c r="K1809" s="6" t="str">
        <f ca="1">IFERROR(__xludf.DUMMYFUNCTION("""COMPUTED_VALUE"""),"20% على جميع الخدمات")</f>
        <v>20% على جميع الخدمات</v>
      </c>
    </row>
    <row r="1810" spans="1:11" x14ac:dyDescent="0.25">
      <c r="A1810" s="4" t="str">
        <f ca="1">IFERROR(__xludf.DUMMYFUNCTION("""COMPUTED_VALUE"""),"2911-B")</f>
        <v>2911-B</v>
      </c>
      <c r="B1810" s="5" t="str">
        <f ca="1">IFERROR(__xludf.DUMMYFUNCTION("""COMPUTED_VALUE"""),"بني سويف")</f>
        <v>بني سويف</v>
      </c>
      <c r="C1810" s="5" t="str">
        <f ca="1">IFERROR(__xludf.DUMMYFUNCTION("""COMPUTED_VALUE"""),"بني سويف")</f>
        <v>بني سويف</v>
      </c>
      <c r="D1810" s="5" t="str">
        <f ca="1">IFERROR(__xludf.DUMMYFUNCTION("""COMPUTED_VALUE"""),"معمل")</f>
        <v>معمل</v>
      </c>
      <c r="E1810" s="5" t="str">
        <f ca="1">IFERROR(__xludf.DUMMYFUNCTION("""COMPUTED_VALUE"""),"معمل")</f>
        <v>معمل</v>
      </c>
      <c r="F1810" s="5" t="str">
        <f ca="1">IFERROR(__xludf.DUMMYFUNCTION("""COMPUTED_VALUE"""),"معمل التحاليل الطبية")</f>
        <v>معمل التحاليل الطبية</v>
      </c>
      <c r="G1810" s="5" t="str">
        <f ca="1">IFERROR(__xludf.DUMMYFUNCTION("""COMPUTED_VALUE"""),"معامل البرج")</f>
        <v>معامل البرج</v>
      </c>
      <c r="H1810" s="5" t="str">
        <f ca="1">IFERROR(__xludf.DUMMYFUNCTION("""COMPUTED_VALUE"""),"1030 حي البنوك - بجوار البنك الاهلي المصري - مدينه بني سويف الجديده - الدور الاول - بني سويف")</f>
        <v>1030 حي البنوك - بجوار البنك الاهلي المصري - مدينه بني سويف الجديده - الدور الاول - بني سويف</v>
      </c>
      <c r="I1810" s="6"/>
      <c r="J1810" s="6" t="str">
        <f ca="1">IFERROR(__xludf.DUMMYFUNCTION("""COMPUTED_VALUE"""),"19911")</f>
        <v>19911</v>
      </c>
      <c r="K1810" s="6" t="str">
        <f ca="1">IFERROR(__xludf.DUMMYFUNCTION("""COMPUTED_VALUE"""),"20% على جميع الخدمات")</f>
        <v>20% على جميع الخدمات</v>
      </c>
    </row>
    <row r="1811" spans="1:11" x14ac:dyDescent="0.25">
      <c r="A1811" s="4" t="str">
        <f ca="1">IFERROR(__xludf.DUMMYFUNCTION("""COMPUTED_VALUE"""),"2911-B")</f>
        <v>2911-B</v>
      </c>
      <c r="B1811" s="5" t="str">
        <f ca="1">IFERROR(__xludf.DUMMYFUNCTION("""COMPUTED_VALUE"""),"أسيوط")</f>
        <v>أسيوط</v>
      </c>
      <c r="C1811" s="5" t="str">
        <f ca="1">IFERROR(__xludf.DUMMYFUNCTION("""COMPUTED_VALUE"""),"أسيوط")</f>
        <v>أسيوط</v>
      </c>
      <c r="D1811" s="5" t="str">
        <f ca="1">IFERROR(__xludf.DUMMYFUNCTION("""COMPUTED_VALUE"""),"معمل")</f>
        <v>معمل</v>
      </c>
      <c r="E1811" s="5" t="str">
        <f ca="1">IFERROR(__xludf.DUMMYFUNCTION("""COMPUTED_VALUE"""),"معمل")</f>
        <v>معمل</v>
      </c>
      <c r="F1811" s="5" t="str">
        <f ca="1">IFERROR(__xludf.DUMMYFUNCTION("""COMPUTED_VALUE"""),"معمل التحاليل الطبية")</f>
        <v>معمل التحاليل الطبية</v>
      </c>
      <c r="G1811" s="5" t="str">
        <f ca="1">IFERROR(__xludf.DUMMYFUNCTION("""COMPUTED_VALUE"""),"معامل البرج")</f>
        <v>معامل البرج</v>
      </c>
      <c r="H1811" s="5" t="str">
        <f ca="1">IFERROR(__xludf.DUMMYFUNCTION("""COMPUTED_VALUE"""),"135 شارع جامعه الازهر امام مديريه الشئون الصحيه -برج د . عدوي نافع ( الدور الاول ) - اسيوط")</f>
        <v>135 شارع جامعه الازهر امام مديريه الشئون الصحيه -برج د . عدوي نافع ( الدور الاول ) - اسيوط</v>
      </c>
      <c r="I1811" s="6"/>
      <c r="J1811" s="6" t="str">
        <f ca="1">IFERROR(__xludf.DUMMYFUNCTION("""COMPUTED_VALUE"""),"19911")</f>
        <v>19911</v>
      </c>
      <c r="K1811" s="6" t="str">
        <f ca="1">IFERROR(__xludf.DUMMYFUNCTION("""COMPUTED_VALUE"""),"20% على جميع الخدمات")</f>
        <v>20% على جميع الخدمات</v>
      </c>
    </row>
    <row r="1812" spans="1:11" x14ac:dyDescent="0.25">
      <c r="A1812" s="4" t="str">
        <f ca="1">IFERROR(__xludf.DUMMYFUNCTION("""COMPUTED_VALUE"""),"2911-B")</f>
        <v>2911-B</v>
      </c>
      <c r="B1812" s="5" t="str">
        <f ca="1">IFERROR(__xludf.DUMMYFUNCTION("""COMPUTED_VALUE"""),"أسيوط")</f>
        <v>أسيوط</v>
      </c>
      <c r="C1812" s="5" t="str">
        <f ca="1">IFERROR(__xludf.DUMMYFUNCTION("""COMPUTED_VALUE"""),"أسيوط")</f>
        <v>أسيوط</v>
      </c>
      <c r="D1812" s="5" t="str">
        <f ca="1">IFERROR(__xludf.DUMMYFUNCTION("""COMPUTED_VALUE"""),"معمل")</f>
        <v>معمل</v>
      </c>
      <c r="E1812" s="5" t="str">
        <f ca="1">IFERROR(__xludf.DUMMYFUNCTION("""COMPUTED_VALUE"""),"معمل")</f>
        <v>معمل</v>
      </c>
      <c r="F1812" s="5" t="str">
        <f ca="1">IFERROR(__xludf.DUMMYFUNCTION("""COMPUTED_VALUE"""),"معمل التحاليل الطبية")</f>
        <v>معمل التحاليل الطبية</v>
      </c>
      <c r="G1812" s="5" t="str">
        <f ca="1">IFERROR(__xludf.DUMMYFUNCTION("""COMPUTED_VALUE"""),"معامل البرج")</f>
        <v>معامل البرج</v>
      </c>
      <c r="H1812" s="5" t="str">
        <f ca="1">IFERROR(__xludf.DUMMYFUNCTION("""COMPUTED_VALUE"""),"ش عثمان بن عفان تقسيم ابو جبل - بجوار مستشفي شندي - الدور الاول - اسيوط")</f>
        <v>ش عثمان بن عفان تقسيم ابو جبل - بجوار مستشفي شندي - الدور الاول - اسيوط</v>
      </c>
      <c r="I1812" s="6"/>
      <c r="J1812" s="6" t="str">
        <f ca="1">IFERROR(__xludf.DUMMYFUNCTION("""COMPUTED_VALUE"""),"19911")</f>
        <v>19911</v>
      </c>
      <c r="K1812" s="6" t="str">
        <f ca="1">IFERROR(__xludf.DUMMYFUNCTION("""COMPUTED_VALUE"""),"20% على جميع الخدمات")</f>
        <v>20% على جميع الخدمات</v>
      </c>
    </row>
    <row r="1813" spans="1:11" x14ac:dyDescent="0.25">
      <c r="A1813" s="4" t="str">
        <f ca="1">IFERROR(__xludf.DUMMYFUNCTION("""COMPUTED_VALUE"""),"2911-B")</f>
        <v>2911-B</v>
      </c>
      <c r="B1813" s="5" t="str">
        <f ca="1">IFERROR(__xludf.DUMMYFUNCTION("""COMPUTED_VALUE"""),"الأقصر")</f>
        <v>الأقصر</v>
      </c>
      <c r="C1813" s="5" t="str">
        <f ca="1">IFERROR(__xludf.DUMMYFUNCTION("""COMPUTED_VALUE"""),"الأقصر")</f>
        <v>الأقصر</v>
      </c>
      <c r="D1813" s="5" t="str">
        <f ca="1">IFERROR(__xludf.DUMMYFUNCTION("""COMPUTED_VALUE"""),"معمل")</f>
        <v>معمل</v>
      </c>
      <c r="E1813" s="5" t="str">
        <f ca="1">IFERROR(__xludf.DUMMYFUNCTION("""COMPUTED_VALUE"""),"معمل")</f>
        <v>معمل</v>
      </c>
      <c r="F1813" s="5" t="str">
        <f ca="1">IFERROR(__xludf.DUMMYFUNCTION("""COMPUTED_VALUE"""),"معمل التحاليل الطبية")</f>
        <v>معمل التحاليل الطبية</v>
      </c>
      <c r="G1813" s="5" t="str">
        <f ca="1">IFERROR(__xludf.DUMMYFUNCTION("""COMPUTED_VALUE"""),"معامل البرج")</f>
        <v>معامل البرج</v>
      </c>
      <c r="H1813" s="5" t="str">
        <f ca="1">IFERROR(__xludf.DUMMYFUNCTION("""COMPUTED_VALUE"""),"ش البحر - بجوار البنك الاهلي - اعلي توكيل سامسونج - الاقصر")</f>
        <v>ش البحر - بجوار البنك الاهلي - اعلي توكيل سامسونج - الاقصر</v>
      </c>
      <c r="I1813" s="6"/>
      <c r="J1813" s="6" t="str">
        <f ca="1">IFERROR(__xludf.DUMMYFUNCTION("""COMPUTED_VALUE"""),"19911")</f>
        <v>19911</v>
      </c>
      <c r="K1813" s="6" t="str">
        <f ca="1">IFERROR(__xludf.DUMMYFUNCTION("""COMPUTED_VALUE"""),"20% على جميع الخدمات")</f>
        <v>20% على جميع الخدمات</v>
      </c>
    </row>
    <row r="1814" spans="1:11" x14ac:dyDescent="0.25">
      <c r="A1814" s="4" t="str">
        <f ca="1">IFERROR(__xludf.DUMMYFUNCTION("""COMPUTED_VALUE"""),"2911-B")</f>
        <v>2911-B</v>
      </c>
      <c r="B1814" s="5" t="str">
        <f ca="1">IFERROR(__xludf.DUMMYFUNCTION("""COMPUTED_VALUE"""),"سوهاج")</f>
        <v>سوهاج</v>
      </c>
      <c r="C1814" s="5" t="str">
        <f ca="1">IFERROR(__xludf.DUMMYFUNCTION("""COMPUTED_VALUE"""),"طما")</f>
        <v>طما</v>
      </c>
      <c r="D1814" s="5" t="str">
        <f ca="1">IFERROR(__xludf.DUMMYFUNCTION("""COMPUTED_VALUE"""),"معمل")</f>
        <v>معمل</v>
      </c>
      <c r="E1814" s="5" t="str">
        <f ca="1">IFERROR(__xludf.DUMMYFUNCTION("""COMPUTED_VALUE"""),"معمل")</f>
        <v>معمل</v>
      </c>
      <c r="F1814" s="5" t="str">
        <f ca="1">IFERROR(__xludf.DUMMYFUNCTION("""COMPUTED_VALUE"""),"معمل التحاليل الطبية")</f>
        <v>معمل التحاليل الطبية</v>
      </c>
      <c r="G1814" s="5" t="str">
        <f ca="1">IFERROR(__xludf.DUMMYFUNCTION("""COMPUTED_VALUE"""),"معامل البرج")</f>
        <v>معامل البرج</v>
      </c>
      <c r="H1814" s="5" t="str">
        <f ca="1">IFERROR(__xludf.DUMMYFUNCTION("""COMPUTED_VALUE"""),"شارع اسيوط سوهاج - برج الحرم - امام مبني التامينات الاجتماعيه  - طما - سوهاج")</f>
        <v>شارع اسيوط سوهاج - برج الحرم - امام مبني التامينات الاجتماعيه  - طما - سوهاج</v>
      </c>
      <c r="I1814" s="6"/>
      <c r="J1814" s="6" t="str">
        <f ca="1">IFERROR(__xludf.DUMMYFUNCTION("""COMPUTED_VALUE"""),"19911")</f>
        <v>19911</v>
      </c>
      <c r="K1814" s="6" t="str">
        <f ca="1">IFERROR(__xludf.DUMMYFUNCTION("""COMPUTED_VALUE"""),"20% على جميع الخدمات")</f>
        <v>20% على جميع الخدمات</v>
      </c>
    </row>
    <row r="1815" spans="1:11" x14ac:dyDescent="0.25">
      <c r="A1815" s="4" t="str">
        <f ca="1">IFERROR(__xludf.DUMMYFUNCTION("""COMPUTED_VALUE"""),"2911-B")</f>
        <v>2911-B</v>
      </c>
      <c r="B1815" s="5" t="str">
        <f ca="1">IFERROR(__xludf.DUMMYFUNCTION("""COMPUTED_VALUE"""),"المنيا")</f>
        <v>المنيا</v>
      </c>
      <c r="C1815" s="5" t="str">
        <f ca="1">IFERROR(__xludf.DUMMYFUNCTION("""COMPUTED_VALUE"""),"مغاغة")</f>
        <v>مغاغة</v>
      </c>
      <c r="D1815" s="5" t="str">
        <f ca="1">IFERROR(__xludf.DUMMYFUNCTION("""COMPUTED_VALUE"""),"معمل")</f>
        <v>معمل</v>
      </c>
      <c r="E1815" s="5" t="str">
        <f ca="1">IFERROR(__xludf.DUMMYFUNCTION("""COMPUTED_VALUE"""),"معمل")</f>
        <v>معمل</v>
      </c>
      <c r="F1815" s="5" t="str">
        <f ca="1">IFERROR(__xludf.DUMMYFUNCTION("""COMPUTED_VALUE"""),"معمل التحاليل الطبية")</f>
        <v>معمل التحاليل الطبية</v>
      </c>
      <c r="G1815" s="5" t="str">
        <f ca="1">IFERROR(__xludf.DUMMYFUNCTION("""COMPUTED_VALUE"""),"معامل البرج")</f>
        <v>معامل البرج</v>
      </c>
      <c r="H1815" s="5" t="str">
        <f ca="1">IFERROR(__xludf.DUMMYFUNCTION("""COMPUTED_VALUE"""),"17 ش السلام البحري - برج الرحاب الحزب الوطني سابقا - اعلي مونجيني -مغاغة  -المنيا")</f>
        <v>17 ش السلام البحري - برج الرحاب الحزب الوطني سابقا - اعلي مونجيني -مغاغة  -المنيا</v>
      </c>
      <c r="I1815" s="6"/>
      <c r="J1815" s="6" t="str">
        <f ca="1">IFERROR(__xludf.DUMMYFUNCTION("""COMPUTED_VALUE"""),"19911")</f>
        <v>19911</v>
      </c>
      <c r="K1815" s="6" t="str">
        <f ca="1">IFERROR(__xludf.DUMMYFUNCTION("""COMPUTED_VALUE"""),"20% على جميع الخدمات")</f>
        <v>20% على جميع الخدمات</v>
      </c>
    </row>
    <row r="1816" spans="1:11" x14ac:dyDescent="0.25">
      <c r="A1816" s="4" t="str">
        <f ca="1">IFERROR(__xludf.DUMMYFUNCTION("""COMPUTED_VALUE"""),"2911-B")</f>
        <v>2911-B</v>
      </c>
      <c r="B1816" s="5" t="str">
        <f ca="1">IFERROR(__xludf.DUMMYFUNCTION("""COMPUTED_VALUE"""),"الاسكندرية")</f>
        <v>الاسكندرية</v>
      </c>
      <c r="C1816" s="5" t="str">
        <f ca="1">IFERROR(__xludf.DUMMYFUNCTION("""COMPUTED_VALUE"""),"السيوف")</f>
        <v>السيوف</v>
      </c>
      <c r="D1816" s="5" t="str">
        <f ca="1">IFERROR(__xludf.DUMMYFUNCTION("""COMPUTED_VALUE"""),"معمل")</f>
        <v>معمل</v>
      </c>
      <c r="E1816" s="5" t="str">
        <f ca="1">IFERROR(__xludf.DUMMYFUNCTION("""COMPUTED_VALUE"""),"معمل")</f>
        <v>معمل</v>
      </c>
      <c r="F1816" s="5" t="str">
        <f ca="1">IFERROR(__xludf.DUMMYFUNCTION("""COMPUTED_VALUE"""),"معمل التحاليل الطبية")</f>
        <v>معمل التحاليل الطبية</v>
      </c>
      <c r="G1816" s="5" t="str">
        <f ca="1">IFERROR(__xludf.DUMMYFUNCTION("""COMPUTED_VALUE"""),"معامل البرج")</f>
        <v>معامل البرج</v>
      </c>
      <c r="H1816" s="5" t="str">
        <f ca="1">IFERROR(__xludf.DUMMYFUNCTION("""COMPUTED_VALUE"""),"ناصيه تقاطع شارع امين حسونه مع ش عادل مصطفي شوقي - برج السرايا - اعلي بنك القاهره - السيوف -الاسكندرية")</f>
        <v>ناصيه تقاطع شارع امين حسونه مع ش عادل مصطفي شوقي - برج السرايا - اعلي بنك القاهره - السيوف -الاسكندرية</v>
      </c>
      <c r="I1816" s="6"/>
      <c r="J1816" s="6" t="str">
        <f ca="1">IFERROR(__xludf.DUMMYFUNCTION("""COMPUTED_VALUE"""),"19911")</f>
        <v>19911</v>
      </c>
      <c r="K1816" s="6" t="str">
        <f ca="1">IFERROR(__xludf.DUMMYFUNCTION("""COMPUTED_VALUE"""),"20% على جميع الخدمات")</f>
        <v>20% على جميع الخدمات</v>
      </c>
    </row>
    <row r="1817" spans="1:11" x14ac:dyDescent="0.25">
      <c r="A1817" s="4" t="str">
        <f ca="1">IFERROR(__xludf.DUMMYFUNCTION("""COMPUTED_VALUE"""),"2911-B")</f>
        <v>2911-B</v>
      </c>
      <c r="B1817" s="5" t="str">
        <f ca="1">IFERROR(__xludf.DUMMYFUNCTION("""COMPUTED_VALUE"""),"البحيرة")</f>
        <v>البحيرة</v>
      </c>
      <c r="C1817" s="5" t="str">
        <f ca="1">IFERROR(__xludf.DUMMYFUNCTION("""COMPUTED_VALUE"""),"رشيد")</f>
        <v>رشيد</v>
      </c>
      <c r="D1817" s="5" t="str">
        <f ca="1">IFERROR(__xludf.DUMMYFUNCTION("""COMPUTED_VALUE"""),"معمل")</f>
        <v>معمل</v>
      </c>
      <c r="E1817" s="5" t="str">
        <f ca="1">IFERROR(__xludf.DUMMYFUNCTION("""COMPUTED_VALUE"""),"معمل")</f>
        <v>معمل</v>
      </c>
      <c r="F1817" s="5" t="str">
        <f ca="1">IFERROR(__xludf.DUMMYFUNCTION("""COMPUTED_VALUE"""),"معمل التحاليل الطبية")</f>
        <v>معمل التحاليل الطبية</v>
      </c>
      <c r="G1817" s="5" t="str">
        <f ca="1">IFERROR(__xludf.DUMMYFUNCTION("""COMPUTED_VALUE"""),"معامل البرج")</f>
        <v>معامل البرج</v>
      </c>
      <c r="H1817" s="5" t="str">
        <f ca="1">IFERROR(__xludf.DUMMYFUNCTION("""COMPUTED_VALUE"""),"2 شارع الجيش مع ش جلال - بجوار   متحف رشيد - رشيد - البحيره")</f>
        <v>2 شارع الجيش مع ش جلال - بجوار   متحف رشيد - رشيد - البحيره</v>
      </c>
      <c r="I1817" s="6"/>
      <c r="J1817" s="6" t="str">
        <f ca="1">IFERROR(__xludf.DUMMYFUNCTION("""COMPUTED_VALUE"""),"19911")</f>
        <v>19911</v>
      </c>
      <c r="K1817" s="6" t="str">
        <f ca="1">IFERROR(__xludf.DUMMYFUNCTION("""COMPUTED_VALUE"""),"20% على جميع الخدمات")</f>
        <v>20% على جميع الخدمات</v>
      </c>
    </row>
    <row r="1818" spans="1:11" x14ac:dyDescent="0.25">
      <c r="A1818" s="4" t="str">
        <f ca="1">IFERROR(__xludf.DUMMYFUNCTION("""COMPUTED_VALUE"""),"2911-B")</f>
        <v>2911-B</v>
      </c>
      <c r="B1818" s="5" t="str">
        <f ca="1">IFERROR(__xludf.DUMMYFUNCTION("""COMPUTED_VALUE"""),"دمياط")</f>
        <v>دمياط</v>
      </c>
      <c r="C1818" s="5" t="str">
        <f ca="1">IFERROR(__xludf.DUMMYFUNCTION("""COMPUTED_VALUE"""),"دمياط")</f>
        <v>دمياط</v>
      </c>
      <c r="D1818" s="5" t="str">
        <f ca="1">IFERROR(__xludf.DUMMYFUNCTION("""COMPUTED_VALUE"""),"معمل")</f>
        <v>معمل</v>
      </c>
      <c r="E1818" s="5" t="str">
        <f ca="1">IFERROR(__xludf.DUMMYFUNCTION("""COMPUTED_VALUE"""),"معمل")</f>
        <v>معمل</v>
      </c>
      <c r="F1818" s="5" t="str">
        <f ca="1">IFERROR(__xludf.DUMMYFUNCTION("""COMPUTED_VALUE"""),"معمل التحاليل الطبية")</f>
        <v>معمل التحاليل الطبية</v>
      </c>
      <c r="G1818" s="5" t="str">
        <f ca="1">IFERROR(__xludf.DUMMYFUNCTION("""COMPUTED_VALUE"""),"معامل البرج")</f>
        <v>معامل البرج</v>
      </c>
      <c r="H1818" s="5" t="str">
        <f ca="1">IFERROR(__xludf.DUMMYFUNCTION("""COMPUTED_VALUE"""),"عماره رقم 5 طريق المنصوره دمياط - اعلي بنك الاسكندريه - امام موقف دمياط الجديد - الدور التاني علوي - فارسكور - دمياط")</f>
        <v>عماره رقم 5 طريق المنصوره دمياط - اعلي بنك الاسكندريه - امام موقف دمياط الجديد - الدور التاني علوي - فارسكور - دمياط</v>
      </c>
      <c r="I1818" s="6"/>
      <c r="J1818" s="6" t="str">
        <f ca="1">IFERROR(__xludf.DUMMYFUNCTION("""COMPUTED_VALUE"""),"19911")</f>
        <v>19911</v>
      </c>
      <c r="K1818" s="6" t="str">
        <f ca="1">IFERROR(__xludf.DUMMYFUNCTION("""COMPUTED_VALUE"""),"20% على جميع الخدمات")</f>
        <v>20% على جميع الخدمات</v>
      </c>
    </row>
    <row r="1819" spans="1:11" x14ac:dyDescent="0.25">
      <c r="A1819" s="4" t="str">
        <f ca="1">IFERROR(__xludf.DUMMYFUNCTION("""COMPUTED_VALUE"""),"2911-B")</f>
        <v>2911-B</v>
      </c>
      <c r="B1819" s="5" t="str">
        <f ca="1">IFERROR(__xludf.DUMMYFUNCTION("""COMPUTED_VALUE"""),"الغربية")</f>
        <v>الغربية</v>
      </c>
      <c r="C1819" s="5" t="str">
        <f ca="1">IFERROR(__xludf.DUMMYFUNCTION("""COMPUTED_VALUE"""),"قاطور")</f>
        <v>قاطور</v>
      </c>
      <c r="D1819" s="5" t="str">
        <f ca="1">IFERROR(__xludf.DUMMYFUNCTION("""COMPUTED_VALUE"""),"معمل")</f>
        <v>معمل</v>
      </c>
      <c r="E1819" s="5" t="str">
        <f ca="1">IFERROR(__xludf.DUMMYFUNCTION("""COMPUTED_VALUE"""),"معمل")</f>
        <v>معمل</v>
      </c>
      <c r="F1819" s="5" t="str">
        <f ca="1">IFERROR(__xludf.DUMMYFUNCTION("""COMPUTED_VALUE"""),"معمل التحاليل الطبية")</f>
        <v>معمل التحاليل الطبية</v>
      </c>
      <c r="G1819" s="5" t="str">
        <f ca="1">IFERROR(__xludf.DUMMYFUNCTION("""COMPUTED_VALUE"""),"معامل البرج")</f>
        <v>معامل البرج</v>
      </c>
      <c r="H1819" s="5" t="str">
        <f ca="1">IFERROR(__xludf.DUMMYFUNCTION("""COMPUTED_VALUE"""),"ش الجيش بجوار مكتب البريد - امام صيدناوي - قطور  - الغربية")</f>
        <v>ش الجيش بجوار مكتب البريد - امام صيدناوي - قطور  - الغربية</v>
      </c>
      <c r="I1819" s="6"/>
      <c r="J1819" s="6" t="str">
        <f ca="1">IFERROR(__xludf.DUMMYFUNCTION("""COMPUTED_VALUE"""),"19911")</f>
        <v>19911</v>
      </c>
      <c r="K1819" s="6" t="str">
        <f ca="1">IFERROR(__xludf.DUMMYFUNCTION("""COMPUTED_VALUE"""),"20% على جميع الخدمات")</f>
        <v>20% على جميع الخدمات</v>
      </c>
    </row>
    <row r="1820" spans="1:11" x14ac:dyDescent="0.25">
      <c r="A1820" s="4" t="str">
        <f ca="1">IFERROR(__xludf.DUMMYFUNCTION("""COMPUTED_VALUE"""),"1984")</f>
        <v>1984</v>
      </c>
      <c r="B1820" s="5" t="str">
        <f ca="1">IFERROR(__xludf.DUMMYFUNCTION("""COMPUTED_VALUE"""),"القاهرة")</f>
        <v>القاهرة</v>
      </c>
      <c r="C1820" s="5" t="str">
        <f ca="1">IFERROR(__xludf.DUMMYFUNCTION("""COMPUTED_VALUE"""),"مدينة نصر")</f>
        <v>مدينة نصر</v>
      </c>
      <c r="D1820" s="5" t="str">
        <f ca="1">IFERROR(__xludf.DUMMYFUNCTION("""COMPUTED_VALUE"""),"مركز علاج طبيعي")</f>
        <v>مركز علاج طبيعي</v>
      </c>
      <c r="E1820" s="5" t="str">
        <f ca="1">IFERROR(__xludf.DUMMYFUNCTION("""COMPUTED_VALUE"""),"علاج طبيعي")</f>
        <v>علاج طبيعي</v>
      </c>
      <c r="F1820" s="5" t="str">
        <f ca="1">IFERROR(__xludf.DUMMYFUNCTION("""COMPUTED_VALUE"""),"جلسات العلاج الطبيعي")</f>
        <v>جلسات العلاج الطبيعي</v>
      </c>
      <c r="G1820" s="5" t="str">
        <f ca="1">IFERROR(__xludf.DUMMYFUNCTION("""COMPUTED_VALUE"""),"مركز الجولف للعلاج الطبيعي و التاهيل")</f>
        <v>مركز الجولف للعلاج الطبيعي و التاهيل</v>
      </c>
      <c r="H1820" s="5" t="str">
        <f ca="1">IFERROR(__xludf.DUMMYFUNCTION("""COMPUTED_VALUE"""),"22 شارع الفريق محمد ابراهيم متفرع من محمد حسنين هيكل - مدينه نصر -القاهرة")</f>
        <v>22 شارع الفريق محمد ابراهيم متفرع من محمد حسنين هيكل - مدينه نصر -القاهرة</v>
      </c>
      <c r="I1820" s="6" t="str">
        <f ca="1">IFERROR(__xludf.DUMMYFUNCTION("""COMPUTED_VALUE"""),"20222718800")</f>
        <v>20222718800</v>
      </c>
      <c r="J1820" s="6"/>
      <c r="K1820" s="6" t="str">
        <f ca="1">IFERROR(__xludf.DUMMYFUNCTION("""COMPUTED_VALUE"""),"20% على جميع الخدمات")</f>
        <v>20% على جميع الخدمات</v>
      </c>
    </row>
    <row r="1821" spans="1:11" x14ac:dyDescent="0.25">
      <c r="A1821" s="4" t="str">
        <f ca="1">IFERROR(__xludf.DUMMYFUNCTION("""COMPUTED_VALUE"""),"105963")</f>
        <v>105963</v>
      </c>
      <c r="B1821" s="5" t="str">
        <f ca="1">IFERROR(__xludf.DUMMYFUNCTION("""COMPUTED_VALUE"""),"الجيزة")</f>
        <v>الجيزة</v>
      </c>
      <c r="C1821" s="5" t="str">
        <f ca="1">IFERROR(__xludf.DUMMYFUNCTION("""COMPUTED_VALUE"""),"السادس من اكتوبر")</f>
        <v>السادس من اكتوبر</v>
      </c>
      <c r="D1821" s="5" t="str">
        <f ca="1">IFERROR(__xludf.DUMMYFUNCTION("""COMPUTED_VALUE"""),"مستشفى")</f>
        <v>مستشفى</v>
      </c>
      <c r="E1821" s="5" t="str">
        <f ca="1">IFERROR(__xludf.DUMMYFUNCTION("""COMPUTED_VALUE"""),"مستشفي طبي متكامل")</f>
        <v>مستشفي طبي متكامل</v>
      </c>
      <c r="F1821" s="5" t="str">
        <f ca="1">IFERROR(__xludf.DUMMYFUNCTION("""COMPUTED_VALUE"""),"جميع التخصصات الطبية")</f>
        <v>جميع التخصصات الطبية</v>
      </c>
      <c r="G1821" s="5" t="str">
        <f ca="1">IFERROR(__xludf.DUMMYFUNCTION("""COMPUTED_VALUE"""),"شركه قدرات للخدمات الطبيه المتخصصه ( مستشفي الوادي )")</f>
        <v>شركه قدرات للخدمات الطبيه المتخصصه ( مستشفي الوادي )</v>
      </c>
      <c r="H1821" s="5" t="str">
        <f ca="1">IFERROR(__xludf.DUMMYFUNCTION("""COMPUTED_VALUE"""),"محور خدمات الحي الاول - الحصري - السادس من اكتوبر - الجيزه")</f>
        <v>محور خدمات الحي الاول - الحصري - السادس من اكتوبر - الجيزه</v>
      </c>
      <c r="I1821" s="6" t="str">
        <f ca="1">IFERROR(__xludf.DUMMYFUNCTION("""COMPUTED_VALUE"""),"01000090984")</f>
        <v>01000090984</v>
      </c>
      <c r="J1821" s="6"/>
      <c r="K1821" s="6" t="str">
        <f ca="1">IFERROR(__xludf.DUMMYFUNCTION("""COMPUTED_VALUE"""),"35% علي جميع الخدمات ماعدا الأدويه و المستلزمات علي الأسعار النقدي المعلنه")</f>
        <v>35% علي جميع الخدمات ماعدا الأدويه و المستلزمات علي الأسعار النقدي المعلنه</v>
      </c>
    </row>
    <row r="1822" spans="1:11" x14ac:dyDescent="0.25">
      <c r="A1822" s="4" t="str">
        <f ca="1">IFERROR(__xludf.DUMMYFUNCTION("""COMPUTED_VALUE"""),"2911-B")</f>
        <v>2911-B</v>
      </c>
      <c r="B1822" s="5" t="str">
        <f ca="1">IFERROR(__xludf.DUMMYFUNCTION("""COMPUTED_VALUE"""),"الجيزة")</f>
        <v>الجيزة</v>
      </c>
      <c r="C1822" s="5" t="str">
        <f ca="1">IFERROR(__xludf.DUMMYFUNCTION("""COMPUTED_VALUE"""),"الجيزة")</f>
        <v>الجيزة</v>
      </c>
      <c r="D1822" s="5" t="str">
        <f ca="1">IFERROR(__xludf.DUMMYFUNCTION("""COMPUTED_VALUE"""),"معمل")</f>
        <v>معمل</v>
      </c>
      <c r="E1822" s="5" t="str">
        <f ca="1">IFERROR(__xludf.DUMMYFUNCTION("""COMPUTED_VALUE"""),"معمل")</f>
        <v>معمل</v>
      </c>
      <c r="F1822" s="5" t="str">
        <f ca="1">IFERROR(__xludf.DUMMYFUNCTION("""COMPUTED_VALUE"""),"معمل التحاليل الطبية")</f>
        <v>معمل التحاليل الطبية</v>
      </c>
      <c r="G1822" s="5" t="str">
        <f ca="1">IFERROR(__xludf.DUMMYFUNCTION("""COMPUTED_VALUE"""),"معامل البرج")</f>
        <v>معامل البرج</v>
      </c>
      <c r="H1822" s="5" t="str">
        <f ca="1">IFERROR(__xludf.DUMMYFUNCTION("""COMPUTED_VALUE"""),"1 ش سعد زغلول - تقاطع المريوطية الغربي – كرداسة - الجيزة")</f>
        <v>1 ش سعد زغلول - تقاطع المريوطية الغربي – كرداسة - الجيزة</v>
      </c>
      <c r="I1822" s="6"/>
      <c r="J1822" s="6" t="str">
        <f ca="1">IFERROR(__xludf.DUMMYFUNCTION("""COMPUTED_VALUE"""),"19911")</f>
        <v>19911</v>
      </c>
      <c r="K1822" s="6" t="str">
        <f ca="1">IFERROR(__xludf.DUMMYFUNCTION("""COMPUTED_VALUE"""),"20% على جميع الخدمات")</f>
        <v>20% على جميع الخدمات</v>
      </c>
    </row>
    <row r="1823" spans="1:11" x14ac:dyDescent="0.25">
      <c r="A1823" s="4" t="str">
        <f ca="1">IFERROR(__xludf.DUMMYFUNCTION("""COMPUTED_VALUE"""),"1753-B")</f>
        <v>1753-B</v>
      </c>
      <c r="B1823" s="5" t="str">
        <f ca="1">IFERROR(__xludf.DUMMYFUNCTION("""COMPUTED_VALUE"""),"القاهرة")</f>
        <v>القاهرة</v>
      </c>
      <c r="C1823" s="5" t="str">
        <f ca="1">IFERROR(__xludf.DUMMYFUNCTION("""COMPUTED_VALUE"""),"مدينة نصر")</f>
        <v>مدينة نصر</v>
      </c>
      <c r="D1823" s="5" t="str">
        <f ca="1">IFERROR(__xludf.DUMMYFUNCTION("""COMPUTED_VALUE"""),"مركز أشعة")</f>
        <v>مركز أشعة</v>
      </c>
      <c r="E1823" s="5" t="str">
        <f ca="1">IFERROR(__xludf.DUMMYFUNCTION("""COMPUTED_VALUE"""),"مركز أشعة")</f>
        <v>مركز أشعة</v>
      </c>
      <c r="F1823" s="5" t="str">
        <f ca="1">IFERROR(__xludf.DUMMYFUNCTION("""COMPUTED_VALUE"""),"مركز الأشعة التشخيصية")</f>
        <v>مركز الأشعة التشخيصية</v>
      </c>
      <c r="G1823" s="5" t="str">
        <f ca="1">IFERROR(__xludf.DUMMYFUNCTION("""COMPUTED_VALUE"""),"ألفا سكان")</f>
        <v>ألفا سكان</v>
      </c>
      <c r="H1823" s="5" t="str">
        <f ca="1">IFERROR(__xludf.DUMMYFUNCTION("""COMPUTED_VALUE"""),"68 ش مكرم عبيد امام حديقه الطفل")</f>
        <v>68 ش مكرم عبيد امام حديقه الطفل</v>
      </c>
      <c r="I1823" s="6" t="str">
        <f ca="1">IFERROR(__xludf.DUMMYFUNCTION("""COMPUTED_VALUE"""),"02-22721799")</f>
        <v>02-22721799</v>
      </c>
      <c r="J1823" s="6" t="str">
        <f ca="1">IFERROR(__xludf.DUMMYFUNCTION("""COMPUTED_VALUE"""),"16171")</f>
        <v>16171</v>
      </c>
      <c r="K1823" s="6" t="str">
        <f ca="1">IFERROR(__xludf.DUMMYFUNCTION("""COMPUTED_VALUE"""),"10% على جميع الخدمات المقدمة")</f>
        <v>10% على جميع الخدمات المقدمة</v>
      </c>
    </row>
    <row r="1824" spans="1:11" x14ac:dyDescent="0.25">
      <c r="A1824" s="4" t="str">
        <f ca="1">IFERROR(__xludf.DUMMYFUNCTION("""COMPUTED_VALUE"""),"106090-B")</f>
        <v>106090-B</v>
      </c>
      <c r="B1824" s="5" t="str">
        <f ca="1">IFERROR(__xludf.DUMMYFUNCTION("""COMPUTED_VALUE"""),"القاهرة")</f>
        <v>القاهرة</v>
      </c>
      <c r="C1824" s="5" t="str">
        <f ca="1">IFERROR(__xludf.DUMMYFUNCTION("""COMPUTED_VALUE"""),"مدينة نصر")</f>
        <v>مدينة نصر</v>
      </c>
      <c r="D1824" s="5" t="str">
        <f ca="1">IFERROR(__xludf.DUMMYFUNCTION("""COMPUTED_VALUE"""),"مركز أشعة")</f>
        <v>مركز أشعة</v>
      </c>
      <c r="E1824" s="5" t="str">
        <f ca="1">IFERROR(__xludf.DUMMYFUNCTION("""COMPUTED_VALUE"""),"مركز أشعة")</f>
        <v>مركز أشعة</v>
      </c>
      <c r="F1824" s="5" t="str">
        <f ca="1">IFERROR(__xludf.DUMMYFUNCTION("""COMPUTED_VALUE"""),"مركز الأشعة التشخيصية")</f>
        <v>مركز الأشعة التشخيصية</v>
      </c>
      <c r="G1824" s="5" t="str">
        <f ca="1">IFERROR(__xludf.DUMMYFUNCTION("""COMPUTED_VALUE"""),"برو سكان للاشعة")</f>
        <v>برو سكان للاشعة</v>
      </c>
      <c r="H1824" s="5" t="str">
        <f ca="1">IFERROR(__xludf.DUMMYFUNCTION("""COMPUTED_VALUE"""),"مصطفى النحاس ، المنطقة الثمينة ، مدينة نصر ، محافظة القاهرة 4441596")</f>
        <v>مصطفى النحاس ، المنطقة الثمينة ، مدينة نصر ، محافظة القاهرة 4441596</v>
      </c>
      <c r="I1824" s="6" t="str">
        <f ca="1">IFERROR(__xludf.DUMMYFUNCTION("""COMPUTED_VALUE"""),"01010055111")</f>
        <v>01010055111</v>
      </c>
      <c r="J1824" s="6" t="str">
        <f ca="1">IFERROR(__xludf.DUMMYFUNCTION("""COMPUTED_VALUE"""),"15752")</f>
        <v>15752</v>
      </c>
      <c r="K1824" s="6" t="str">
        <f ca="1">IFERROR(__xludf.DUMMYFUNCTION("""COMPUTED_VALUE"""),"نقابه 2018")</f>
        <v>نقابه 2018</v>
      </c>
    </row>
    <row r="1825" spans="1:11" x14ac:dyDescent="0.25">
      <c r="A1825" s="4" t="str">
        <f ca="1">IFERROR(__xludf.DUMMYFUNCTION("""COMPUTED_VALUE"""),"106090-B")</f>
        <v>106090-B</v>
      </c>
      <c r="B1825" s="5" t="str">
        <f ca="1">IFERROR(__xludf.DUMMYFUNCTION("""COMPUTED_VALUE"""),"القاهرة")</f>
        <v>القاهرة</v>
      </c>
      <c r="C1825" s="5" t="str">
        <f ca="1">IFERROR(__xludf.DUMMYFUNCTION("""COMPUTED_VALUE"""),"القاهرة الجديدة")</f>
        <v>القاهرة الجديدة</v>
      </c>
      <c r="D1825" s="5" t="str">
        <f ca="1">IFERROR(__xludf.DUMMYFUNCTION("""COMPUTED_VALUE"""),"مركز أشعة")</f>
        <v>مركز أشعة</v>
      </c>
      <c r="E1825" s="5" t="str">
        <f ca="1">IFERROR(__xludf.DUMMYFUNCTION("""COMPUTED_VALUE"""),"مركز أشعة")</f>
        <v>مركز أشعة</v>
      </c>
      <c r="F1825" s="5" t="str">
        <f ca="1">IFERROR(__xludf.DUMMYFUNCTION("""COMPUTED_VALUE"""),"مركز الأشعة التشخيصية")</f>
        <v>مركز الأشعة التشخيصية</v>
      </c>
      <c r="G1825" s="5" t="str">
        <f ca="1">IFERROR(__xludf.DUMMYFUNCTION("""COMPUTED_VALUE"""),"برو سكان للاشعة")</f>
        <v>برو سكان للاشعة</v>
      </c>
      <c r="H1825" s="5" t="str">
        <f ca="1">IFERROR(__xludf.DUMMYFUNCTION("""COMPUTED_VALUE"""),"التسعين الشمالي ، القاهرة الجديدة 1 ، محافظة القاهرة")</f>
        <v>التسعين الشمالي ، القاهرة الجديدة 1 ، محافظة القاهرة</v>
      </c>
      <c r="I1825" s="6" t="str">
        <f ca="1">IFERROR(__xludf.DUMMYFUNCTION("""COMPUTED_VALUE"""),"01010055111")</f>
        <v>01010055111</v>
      </c>
      <c r="J1825" s="6" t="str">
        <f ca="1">IFERROR(__xludf.DUMMYFUNCTION("""COMPUTED_VALUE"""),"15752")</f>
        <v>15752</v>
      </c>
      <c r="K1825" s="6" t="str">
        <f ca="1">IFERROR(__xludf.DUMMYFUNCTION("""COMPUTED_VALUE"""),"نقابه 2018")</f>
        <v>نقابه 2018</v>
      </c>
    </row>
    <row r="1826" spans="1:11" x14ac:dyDescent="0.25">
      <c r="A1826" s="4" t="str">
        <f ca="1">IFERROR(__xludf.DUMMYFUNCTION("""COMPUTED_VALUE"""),"106129")</f>
        <v>106129</v>
      </c>
      <c r="B1826" s="5" t="str">
        <f ca="1">IFERROR(__xludf.DUMMYFUNCTION("""COMPUTED_VALUE"""),"الشرقية")</f>
        <v>الشرقية</v>
      </c>
      <c r="C1826" s="5" t="str">
        <f ca="1">IFERROR(__xludf.DUMMYFUNCTION("""COMPUTED_VALUE"""),"الزقازيق")</f>
        <v>الزقازيق</v>
      </c>
      <c r="D1826" s="5" t="str">
        <f ca="1">IFERROR(__xludf.DUMMYFUNCTION("""COMPUTED_VALUE"""),"هيئة الأطباء")</f>
        <v>هيئة الأطباء</v>
      </c>
      <c r="E1826" s="5" t="str">
        <f ca="1">IFERROR(__xludf.DUMMYFUNCTION("""COMPUTED_VALUE"""),"اسنان")</f>
        <v>اسنان</v>
      </c>
      <c r="F1826" s="5" t="str">
        <f ca="1">IFERROR(__xludf.DUMMYFUNCTION("""COMPUTED_VALUE"""),"جراحة الفم والأسنان")</f>
        <v>جراحة الفم والأسنان</v>
      </c>
      <c r="G1826" s="5" t="str">
        <f ca="1">IFERROR(__xludf.DUMMYFUNCTION("""COMPUTED_VALUE"""),"د.محمد احمد علي ابراهيم (مركز دكتور محمد ابو العلا)")</f>
        <v>د.محمد احمد علي ابراهيم (مركز دكتور محمد ابو العلا)</v>
      </c>
      <c r="H1826" s="5" t="str">
        <f ca="1">IFERROR(__xludf.DUMMYFUNCTION("""COMPUTED_VALUE"""),"شارع المحافظة امام البنك الاهلي وخلف ريماس الزقازيق-الشرقية")</f>
        <v>شارع المحافظة امام البنك الاهلي وخلف ريماس الزقازيق-الشرقية</v>
      </c>
      <c r="I1826" s="6" t="str">
        <f ca="1">IFERROR(__xludf.DUMMYFUNCTION("""COMPUTED_VALUE"""),"01060870525")</f>
        <v>01060870525</v>
      </c>
      <c r="J1826" s="6"/>
      <c r="K1826" s="6" t="str">
        <f ca="1">IFERROR(__xludf.DUMMYFUNCTION("""COMPUTED_VALUE"""),"خصم 30% علي الاسعار النقدي")</f>
        <v>خصم 30% علي الاسعار النقدي</v>
      </c>
    </row>
    <row r="1827" spans="1:11" x14ac:dyDescent="0.25">
      <c r="A1827" s="4" t="str">
        <f ca="1">IFERROR(__xludf.DUMMYFUNCTION("""COMPUTED_VALUE"""),"106131")</f>
        <v>106131</v>
      </c>
      <c r="B1827" s="5" t="str">
        <f ca="1">IFERROR(__xludf.DUMMYFUNCTION("""COMPUTED_VALUE"""),"البحر الاحمر")</f>
        <v>البحر الاحمر</v>
      </c>
      <c r="C1827" s="5" t="str">
        <f ca="1">IFERROR(__xludf.DUMMYFUNCTION("""COMPUTED_VALUE"""),"رأس غارب")</f>
        <v>رأس غارب</v>
      </c>
      <c r="D1827" s="5" t="str">
        <f ca="1">IFERROR(__xludf.DUMMYFUNCTION("""COMPUTED_VALUE"""),"صيدلية")</f>
        <v>صيدلية</v>
      </c>
      <c r="E1827" s="5" t="str">
        <f ca="1">IFERROR(__xludf.DUMMYFUNCTION("""COMPUTED_VALUE"""),"صيدلية")</f>
        <v>صيدلية</v>
      </c>
      <c r="F1827" s="5" t="str">
        <f ca="1">IFERROR(__xludf.DUMMYFUNCTION("""COMPUTED_VALUE"""),"صيدلية (أدوية ومستلزمات طبية)")</f>
        <v>صيدلية (أدوية ومستلزمات طبية)</v>
      </c>
      <c r="G1827" s="5" t="str">
        <f ca="1">IFERROR(__xludf.DUMMYFUNCTION("""COMPUTED_VALUE"""),"صيدلية د.اوليفيا ايمن شوقي بني")</f>
        <v>صيدلية د.اوليفيا ايمن شوقي بني</v>
      </c>
      <c r="H1827" s="5" t="str">
        <f ca="1">IFERROR(__xludf.DUMMYFUNCTION("""COMPUTED_VALUE"""),"19 راس غالب ش الاذاعة")</f>
        <v>19 راس غالب ش الاذاعة</v>
      </c>
      <c r="I1827" s="6" t="str">
        <f ca="1">IFERROR(__xludf.DUMMYFUNCTION("""COMPUTED_VALUE"""),"01203510460")</f>
        <v>01203510460</v>
      </c>
      <c r="J1827" s="6"/>
      <c r="K1827" s="6" t="str">
        <f ca="1">IFERROR(__xludf.DUMMYFUNCTION("""COMPUTED_VALUE"""),"14% على المحلى ,7% على المستورد")</f>
        <v>14% على المحلى ,7% على المستورد</v>
      </c>
    </row>
    <row r="1828" spans="1:11" x14ac:dyDescent="0.25">
      <c r="A1828" s="4" t="str">
        <f ca="1">IFERROR(__xludf.DUMMYFUNCTION("""COMPUTED_VALUE"""),"106135")</f>
        <v>106135</v>
      </c>
      <c r="B1828" s="5" t="str">
        <f ca="1">IFERROR(__xludf.DUMMYFUNCTION("""COMPUTED_VALUE"""),"البحيرة")</f>
        <v>البحيرة</v>
      </c>
      <c r="C1828" s="5" t="str">
        <f ca="1">IFERROR(__xludf.DUMMYFUNCTION("""COMPUTED_VALUE"""),"كوم حمادة")</f>
        <v>كوم حمادة</v>
      </c>
      <c r="D1828" s="5" t="str">
        <f ca="1">IFERROR(__xludf.DUMMYFUNCTION("""COMPUTED_VALUE"""),"مركز علاج طبيعي")</f>
        <v>مركز علاج طبيعي</v>
      </c>
      <c r="E1828" s="5" t="str">
        <f ca="1">IFERROR(__xludf.DUMMYFUNCTION("""COMPUTED_VALUE"""),"علاج طبيعي")</f>
        <v>علاج طبيعي</v>
      </c>
      <c r="F1828" s="5" t="str">
        <f ca="1">IFERROR(__xludf.DUMMYFUNCTION("""COMPUTED_VALUE"""),"جلسات العلاج الطبيعي")</f>
        <v>جلسات العلاج الطبيعي</v>
      </c>
      <c r="G1828" s="5" t="str">
        <f ca="1">IFERROR(__xludf.DUMMYFUNCTION("""COMPUTED_VALUE"""),"وليد محمد محمد حسن عبدالله (مركز الامل للعلاج الطبيعي)")</f>
        <v>وليد محمد محمد حسن عبدالله (مركز الامل للعلاج الطبيعي)</v>
      </c>
      <c r="H1828" s="5" t="str">
        <f ca="1">IFERROR(__xludf.DUMMYFUNCTION("""COMPUTED_VALUE"""),"كوم حماده-شارع الثروة-البحيرة")</f>
        <v>كوم حماده-شارع الثروة-البحيرة</v>
      </c>
      <c r="I1828" s="6" t="str">
        <f ca="1">IFERROR(__xludf.DUMMYFUNCTION("""COMPUTED_VALUE"""),"01028181010")</f>
        <v>01028181010</v>
      </c>
      <c r="J1828" s="6"/>
      <c r="K1828" s="6" t="str">
        <f ca="1">IFERROR(__xludf.DUMMYFUNCTION("""COMPUTED_VALUE"""),"خصم 25% علي الاسعار النقدي")</f>
        <v>خصم 25% علي الاسعار النقدي</v>
      </c>
    </row>
    <row r="1829" spans="1:11" x14ac:dyDescent="0.25">
      <c r="A1829" s="4" t="str">
        <f ca="1">IFERROR(__xludf.DUMMYFUNCTION("""COMPUTED_VALUE"""),"106136")</f>
        <v>106136</v>
      </c>
      <c r="B1829" s="5" t="str">
        <f ca="1">IFERROR(__xludf.DUMMYFUNCTION("""COMPUTED_VALUE"""),"الشرقية")</f>
        <v>الشرقية</v>
      </c>
      <c r="C1829" s="5" t="str">
        <f ca="1">IFERROR(__xludf.DUMMYFUNCTION("""COMPUTED_VALUE"""),"فاقوس")</f>
        <v>فاقوس</v>
      </c>
      <c r="D1829" s="5" t="str">
        <f ca="1">IFERROR(__xludf.DUMMYFUNCTION("""COMPUTED_VALUE"""),"هيئة الأطباء")</f>
        <v>هيئة الأطباء</v>
      </c>
      <c r="E1829" s="5" t="str">
        <f ca="1">IFERROR(__xludf.DUMMYFUNCTION("""COMPUTED_VALUE"""),"اسنان")</f>
        <v>اسنان</v>
      </c>
      <c r="F1829" s="5" t="str">
        <f ca="1">IFERROR(__xludf.DUMMYFUNCTION("""COMPUTED_VALUE"""),"جراحة الفم والأسنان")</f>
        <v>جراحة الفم والأسنان</v>
      </c>
      <c r="G1829" s="5" t="str">
        <f ca="1">IFERROR(__xludf.DUMMYFUNCTION("""COMPUTED_VALUE"""),"د/عمرو جمال ابراهيم حسن ضيف")</f>
        <v>د/عمرو جمال ابراهيم حسن ضيف</v>
      </c>
      <c r="H1829" s="5" t="str">
        <f ca="1">IFERROR(__xludf.DUMMYFUNCTION("""COMPUTED_VALUE"""),"فاقوس المنشية الجديدة برج ابو زيدان -الشرقية")</f>
        <v>فاقوس المنشية الجديدة برج ابو زيدان -الشرقية</v>
      </c>
      <c r="I1829" s="6" t="str">
        <f ca="1">IFERROR(__xludf.DUMMYFUNCTION("""COMPUTED_VALUE"""),"01550703565")</f>
        <v>01550703565</v>
      </c>
      <c r="J1829" s="6"/>
      <c r="K1829" s="6" t="str">
        <f ca="1">IFERROR(__xludf.DUMMYFUNCTION("""COMPUTED_VALUE"""),"خصم 30% علي الاسعار النقدي")</f>
        <v>خصم 30% علي الاسعار النقدي</v>
      </c>
    </row>
    <row r="1830" spans="1:11" x14ac:dyDescent="0.25">
      <c r="A1830" s="4" t="str">
        <f ca="1">IFERROR(__xludf.DUMMYFUNCTION("""COMPUTED_VALUE"""),"106138")</f>
        <v>106138</v>
      </c>
      <c r="B1830" s="5" t="str">
        <f ca="1">IFERROR(__xludf.DUMMYFUNCTION("""COMPUTED_VALUE"""),"الدقهلية")</f>
        <v>الدقهلية</v>
      </c>
      <c r="C1830" s="5" t="str">
        <f ca="1">IFERROR(__xludf.DUMMYFUNCTION("""COMPUTED_VALUE"""),"أجا")</f>
        <v>أجا</v>
      </c>
      <c r="D1830" s="5" t="str">
        <f ca="1">IFERROR(__xludf.DUMMYFUNCTION("""COMPUTED_VALUE"""),"معمل")</f>
        <v>معمل</v>
      </c>
      <c r="E1830" s="5" t="str">
        <f ca="1">IFERROR(__xludf.DUMMYFUNCTION("""COMPUTED_VALUE"""),"معمل")</f>
        <v>معمل</v>
      </c>
      <c r="F1830" s="5" t="str">
        <f ca="1">IFERROR(__xludf.DUMMYFUNCTION("""COMPUTED_VALUE"""),"معمل التحاليل الطبية")</f>
        <v>معمل التحاليل الطبية</v>
      </c>
      <c r="G1830" s="5" t="str">
        <f ca="1">IFERROR(__xludf.DUMMYFUNCTION("""COMPUTED_VALUE"""),"محمد محمود احمد محمد النحاس (معمل النحاس)")</f>
        <v>محمد محمود احمد محمد النحاس (معمل النحاس)</v>
      </c>
      <c r="H1830" s="5" t="str">
        <f ca="1">IFERROR(__xludf.DUMMYFUNCTION("""COMPUTED_VALUE"""),"شارع بنك مصر برج الصحابة  الدور السابع أمام صيدلية الطرشوبي المنصورة-الدقهلية")</f>
        <v>شارع بنك مصر برج الصحابة  الدور السابع أمام صيدلية الطرشوبي المنصورة-الدقهلية</v>
      </c>
      <c r="I1830" s="6"/>
      <c r="J1830" s="6" t="str">
        <f ca="1">IFERROR(__xludf.DUMMYFUNCTION("""COMPUTED_VALUE"""),"19244")</f>
        <v>19244</v>
      </c>
      <c r="K1830" s="6" t="str">
        <f ca="1">IFERROR(__xludf.DUMMYFUNCTION("""COMPUTED_VALUE"""),"خصم 40% علي الاسعار النقدي")</f>
        <v>خصم 40% علي الاسعار النقدي</v>
      </c>
    </row>
    <row r="1831" spans="1:11" x14ac:dyDescent="0.25">
      <c r="A1831" s="4" t="str">
        <f ca="1">IFERROR(__xludf.DUMMYFUNCTION("""COMPUTED_VALUE"""),"106139")</f>
        <v>106139</v>
      </c>
      <c r="B1831" s="5" t="str">
        <f ca="1">IFERROR(__xludf.DUMMYFUNCTION("""COMPUTED_VALUE"""),"سوهاج")</f>
        <v>سوهاج</v>
      </c>
      <c r="C1831" s="5" t="str">
        <f ca="1">IFERROR(__xludf.DUMMYFUNCTION("""COMPUTED_VALUE"""),"سوهاج")</f>
        <v>سوهاج</v>
      </c>
      <c r="D1831" s="5" t="str">
        <f ca="1">IFERROR(__xludf.DUMMYFUNCTION("""COMPUTED_VALUE"""),"شركة")</f>
        <v>شركة</v>
      </c>
      <c r="E1831" s="5" t="str">
        <f ca="1">IFERROR(__xludf.DUMMYFUNCTION("""COMPUTED_VALUE"""),"شركة اجهزة طبية")</f>
        <v>شركة اجهزة طبية</v>
      </c>
      <c r="F1831" s="5" t="str">
        <f ca="1">IFERROR(__xludf.DUMMYFUNCTION("""COMPUTED_VALUE"""),"مركز بصريات")</f>
        <v>مركز بصريات</v>
      </c>
      <c r="G1831" s="5" t="str">
        <f ca="1">IFERROR(__xludf.DUMMYFUNCTION("""COMPUTED_VALUE"""),"أ/عبدالعزيز محمود عبداللطيف محمد(نظارات عبدالعزيز)")</f>
        <v>أ/عبدالعزيز محمود عبداللطيف محمد(نظارات عبدالعزيز)</v>
      </c>
      <c r="H1831" s="5" t="str">
        <f ca="1">IFERROR(__xludf.DUMMYFUNCTION("""COMPUTED_VALUE"""),"17 شارع سعد زغلول-سوهاج")</f>
        <v>17 شارع سعد زغلول-سوهاج</v>
      </c>
      <c r="I1831" s="6" t="str">
        <f ca="1">IFERROR(__xludf.DUMMYFUNCTION("""COMPUTED_VALUE"""),"0932113908")</f>
        <v>0932113908</v>
      </c>
      <c r="J1831" s="6"/>
      <c r="K1831" s="6" t="str">
        <f ca="1">IFERROR(__xludf.DUMMYFUNCTION("""COMPUTED_VALUE"""),"خصم 30% علي الاسعار النقدي")</f>
        <v>خصم 30% علي الاسعار النقدي</v>
      </c>
    </row>
    <row r="1832" spans="1:11" x14ac:dyDescent="0.25">
      <c r="A1832" s="4" t="str">
        <f ca="1">IFERROR(__xludf.DUMMYFUNCTION("""COMPUTED_VALUE"""),"106140")</f>
        <v>106140</v>
      </c>
      <c r="B1832" s="5" t="str">
        <f ca="1">IFERROR(__xludf.DUMMYFUNCTION("""COMPUTED_VALUE"""),"القاهرة")</f>
        <v>القاهرة</v>
      </c>
      <c r="C1832" s="5" t="str">
        <f ca="1">IFERROR(__xludf.DUMMYFUNCTION("""COMPUTED_VALUE"""),"العباسية")</f>
        <v>العباسية</v>
      </c>
      <c r="D1832" s="5" t="str">
        <f ca="1">IFERROR(__xludf.DUMMYFUNCTION("""COMPUTED_VALUE"""),"مجمع عيادات")</f>
        <v>مجمع عيادات</v>
      </c>
      <c r="E1832" s="5" t="str">
        <f ca="1">IFERROR(__xludf.DUMMYFUNCTION("""COMPUTED_VALUE"""),"مجمع عيادات")</f>
        <v>مجمع عيادات</v>
      </c>
      <c r="F1832" s="5" t="str">
        <f ca="1">IFERROR(__xludf.DUMMYFUNCTION("""COMPUTED_VALUE"""),"جميع التخصصات الطبية")</f>
        <v>جميع التخصصات الطبية</v>
      </c>
      <c r="G1832" s="5" t="str">
        <f ca="1">IFERROR(__xludf.DUMMYFUNCTION("""COMPUTED_VALUE"""),"الصفوة لاقامة وادارة المراكز الطبية (محمد محمد فتحي محمد وشريكه)")</f>
        <v>الصفوة لاقامة وادارة المراكز الطبية (محمد محمد فتحي محمد وشريكه)</v>
      </c>
      <c r="H1832" s="5" t="str">
        <f ca="1">IFERROR(__xludf.DUMMYFUNCTION("""COMPUTED_VALUE"""),"3 شارع دانش باشا من ش السرجاني العباسية القاهرة")</f>
        <v>3 شارع دانش باشا من ش السرجاني العباسية القاهرة</v>
      </c>
      <c r="I1832" s="6" t="str">
        <f ca="1">IFERROR(__xludf.DUMMYFUNCTION("""COMPUTED_VALUE"""),"01021522118")</f>
        <v>01021522118</v>
      </c>
      <c r="J1832" s="6"/>
      <c r="K1832" s="6" t="str">
        <f ca="1">IFERROR(__xludf.DUMMYFUNCTION("""COMPUTED_VALUE"""),"خصم 50% علي الاسعار  المعلنة")</f>
        <v>خصم 50% علي الاسعار  المعلنة</v>
      </c>
    </row>
    <row r="1833" spans="1:11" x14ac:dyDescent="0.25">
      <c r="A1833" s="4" t="str">
        <f ca="1">IFERROR(__xludf.DUMMYFUNCTION("""COMPUTED_VALUE"""),"106141")</f>
        <v>106141</v>
      </c>
      <c r="B1833" s="5" t="str">
        <f ca="1">IFERROR(__xludf.DUMMYFUNCTION("""COMPUTED_VALUE"""),"القاهرة")</f>
        <v>القاهرة</v>
      </c>
      <c r="C1833" s="5" t="str">
        <f ca="1">IFERROR(__xludf.DUMMYFUNCTION("""COMPUTED_VALUE"""),"العباسية")</f>
        <v>العباسية</v>
      </c>
      <c r="D1833" s="5" t="str">
        <f ca="1">IFERROR(__xludf.DUMMYFUNCTION("""COMPUTED_VALUE"""),"مستشفى")</f>
        <v>مستشفى</v>
      </c>
      <c r="E1833" s="5" t="str">
        <f ca="1">IFERROR(__xludf.DUMMYFUNCTION("""COMPUTED_VALUE"""),"مستشفي طبي متخصص")</f>
        <v>مستشفي طبي متخصص</v>
      </c>
      <c r="F1833" s="5" t="str">
        <f ca="1">IFERROR(__xludf.DUMMYFUNCTION("""COMPUTED_VALUE"""),"قلب واوعية دموية")</f>
        <v>قلب واوعية دموية</v>
      </c>
      <c r="G1833" s="5" t="str">
        <f ca="1">IFERROR(__xludf.DUMMYFUNCTION("""COMPUTED_VALUE"""),"واحة الطب")</f>
        <v>واحة الطب</v>
      </c>
      <c r="H1833" s="5" t="str">
        <f ca="1">IFERROR(__xludf.DUMMYFUNCTION("""COMPUTED_VALUE"""),"19 شارع مصر والسودان حي الوايلي العباسية-القاهرة")</f>
        <v>19 شارع مصر والسودان حي الوايلي العباسية-القاهرة</v>
      </c>
      <c r="I1833" s="6" t="str">
        <f ca="1">IFERROR(__xludf.DUMMYFUNCTION("""COMPUTED_VALUE"""),"0224664254")</f>
        <v>0224664254</v>
      </c>
      <c r="J1833" s="6"/>
      <c r="K1833" s="6" t="str">
        <f ca="1">IFERROR(__xludf.DUMMYFUNCTION("""COMPUTED_VALUE"""),"خصم 30% علي الكشف والاشعة والتحاليل ، 15% علي العمليات ما عدا الادوية والمستلزمات الطبية واتعاب الاطباء")</f>
        <v>خصم 30% علي الكشف والاشعة والتحاليل ، 15% علي العمليات ما عدا الادوية والمستلزمات الطبية واتعاب الاطباء</v>
      </c>
    </row>
    <row r="1834" spans="1:11" x14ac:dyDescent="0.25">
      <c r="A1834" s="4" t="str">
        <f ca="1">IFERROR(__xludf.DUMMYFUNCTION("""COMPUTED_VALUE"""),"2911-B")</f>
        <v>2911-B</v>
      </c>
      <c r="B1834" s="5" t="str">
        <f ca="1">IFERROR(__xludf.DUMMYFUNCTION("""COMPUTED_VALUE"""),"الجيزة")</f>
        <v>الجيزة</v>
      </c>
      <c r="C1834" s="5" t="str">
        <f ca="1">IFERROR(__xludf.DUMMYFUNCTION("""COMPUTED_VALUE"""),"الهرم")</f>
        <v>الهرم</v>
      </c>
      <c r="D1834" s="5" t="str">
        <f ca="1">IFERROR(__xludf.DUMMYFUNCTION("""COMPUTED_VALUE"""),"معمل")</f>
        <v>معمل</v>
      </c>
      <c r="E1834" s="5" t="str">
        <f ca="1">IFERROR(__xludf.DUMMYFUNCTION("""COMPUTED_VALUE"""),"معمل")</f>
        <v>معمل</v>
      </c>
      <c r="F1834" s="5" t="str">
        <f ca="1">IFERROR(__xludf.DUMMYFUNCTION("""COMPUTED_VALUE"""),"معمل التحاليل الطبية")</f>
        <v>معمل التحاليل الطبية</v>
      </c>
      <c r="G1834" s="5" t="str">
        <f ca="1">IFERROR(__xludf.DUMMYFUNCTION("""COMPUTED_VALUE"""),"معامل البرج")</f>
        <v>معامل البرج</v>
      </c>
      <c r="H1834" s="5" t="str">
        <f ca="1">IFERROR(__xludf.DUMMYFUNCTION("""COMPUTED_VALUE"""),"3شارع اللبينى بجوار فندق سياج")</f>
        <v>3شارع اللبينى بجوار فندق سياج</v>
      </c>
      <c r="I1834" s="6"/>
      <c r="J1834" s="6" t="str">
        <f ca="1">IFERROR(__xludf.DUMMYFUNCTION("""COMPUTED_VALUE"""),"19911")</f>
        <v>19911</v>
      </c>
      <c r="K1834" s="6" t="str">
        <f ca="1">IFERROR(__xludf.DUMMYFUNCTION("""COMPUTED_VALUE"""),"20% على جميع الخدمات")</f>
        <v>20% على جميع الخدمات</v>
      </c>
    </row>
    <row r="1835" spans="1:11" x14ac:dyDescent="0.25">
      <c r="A1835" s="4" t="str">
        <f ca="1">IFERROR(__xludf.DUMMYFUNCTION("""COMPUTED_VALUE"""),"2911-B")</f>
        <v>2911-B</v>
      </c>
      <c r="B1835" s="5" t="str">
        <f ca="1">IFERROR(__xludf.DUMMYFUNCTION("""COMPUTED_VALUE"""),"الجيزة")</f>
        <v>الجيزة</v>
      </c>
      <c r="C1835" s="5" t="str">
        <f ca="1">IFERROR(__xludf.DUMMYFUNCTION("""COMPUTED_VALUE"""),"أرض اللواء")</f>
        <v>أرض اللواء</v>
      </c>
      <c r="D1835" s="5" t="str">
        <f ca="1">IFERROR(__xludf.DUMMYFUNCTION("""COMPUTED_VALUE"""),"معمل")</f>
        <v>معمل</v>
      </c>
      <c r="E1835" s="5" t="str">
        <f ca="1">IFERROR(__xludf.DUMMYFUNCTION("""COMPUTED_VALUE"""),"معمل")</f>
        <v>معمل</v>
      </c>
      <c r="F1835" s="5" t="str">
        <f ca="1">IFERROR(__xludf.DUMMYFUNCTION("""COMPUTED_VALUE"""),"معمل التحاليل الطبية")</f>
        <v>معمل التحاليل الطبية</v>
      </c>
      <c r="G1835" s="5" t="str">
        <f ca="1">IFERROR(__xludf.DUMMYFUNCTION("""COMPUTED_VALUE"""),"معامل البرج")</f>
        <v>معامل البرج</v>
      </c>
      <c r="H1835" s="5" t="str">
        <f ca="1">IFERROR(__xludf.DUMMYFUNCTION("""COMPUTED_VALUE"""),"8ش ترعه الزمر - بجوار التوحيد والنور ")</f>
        <v xml:space="preserve">8ش ترعه الزمر - بجوار التوحيد والنور </v>
      </c>
      <c r="I1835" s="6"/>
      <c r="J1835" s="6" t="str">
        <f ca="1">IFERROR(__xludf.DUMMYFUNCTION("""COMPUTED_VALUE"""),"19911")</f>
        <v>19911</v>
      </c>
      <c r="K1835" s="6" t="str">
        <f ca="1">IFERROR(__xludf.DUMMYFUNCTION("""COMPUTED_VALUE"""),"20% على جميع الخدمات")</f>
        <v>20% على جميع الخدمات</v>
      </c>
    </row>
    <row r="1836" spans="1:11" x14ac:dyDescent="0.25">
      <c r="A1836" s="4" t="str">
        <f ca="1">IFERROR(__xludf.DUMMYFUNCTION("""COMPUTED_VALUE"""),"2911-B")</f>
        <v>2911-B</v>
      </c>
      <c r="B1836" s="5" t="str">
        <f ca="1">IFERROR(__xludf.DUMMYFUNCTION("""COMPUTED_VALUE"""),"الجيزة")</f>
        <v>الجيزة</v>
      </c>
      <c r="C1836" s="5" t="str">
        <f ca="1">IFERROR(__xludf.DUMMYFUNCTION("""COMPUTED_VALUE"""),"المهندسين")</f>
        <v>المهندسين</v>
      </c>
      <c r="D1836" s="5" t="str">
        <f ca="1">IFERROR(__xludf.DUMMYFUNCTION("""COMPUTED_VALUE"""),"معمل")</f>
        <v>معمل</v>
      </c>
      <c r="E1836" s="5" t="str">
        <f ca="1">IFERROR(__xludf.DUMMYFUNCTION("""COMPUTED_VALUE"""),"معمل")</f>
        <v>معمل</v>
      </c>
      <c r="F1836" s="5" t="str">
        <f ca="1">IFERROR(__xludf.DUMMYFUNCTION("""COMPUTED_VALUE"""),"معمل التحاليل الطبية")</f>
        <v>معمل التحاليل الطبية</v>
      </c>
      <c r="G1836" s="5" t="str">
        <f ca="1">IFERROR(__xludf.DUMMYFUNCTION("""COMPUTED_VALUE"""),"معامل البرج")</f>
        <v>معامل البرج</v>
      </c>
      <c r="H1836" s="5" t="str">
        <f ca="1">IFERROR(__xludf.DUMMYFUNCTION("""COMPUTED_VALUE"""),"39 ش شهاب - المهندسين - د1 ش 2")</f>
        <v>39 ش شهاب - المهندسين - د1 ش 2</v>
      </c>
      <c r="I1836" s="6"/>
      <c r="J1836" s="6" t="str">
        <f ca="1">IFERROR(__xludf.DUMMYFUNCTION("""COMPUTED_VALUE"""),"19911")</f>
        <v>19911</v>
      </c>
      <c r="K1836" s="6" t="str">
        <f ca="1">IFERROR(__xludf.DUMMYFUNCTION("""COMPUTED_VALUE"""),"20% على جميع الخدمات")</f>
        <v>20% على جميع الخدمات</v>
      </c>
    </row>
    <row r="1837" spans="1:11" x14ac:dyDescent="0.25">
      <c r="A1837" s="4" t="str">
        <f ca="1">IFERROR(__xludf.DUMMYFUNCTION("""COMPUTED_VALUE"""),"2911-B")</f>
        <v>2911-B</v>
      </c>
      <c r="B1837" s="5" t="str">
        <f ca="1">IFERROR(__xludf.DUMMYFUNCTION("""COMPUTED_VALUE"""),"القاهرة")</f>
        <v>القاهرة</v>
      </c>
      <c r="C1837" s="5" t="str">
        <f ca="1">IFERROR(__xludf.DUMMYFUNCTION("""COMPUTED_VALUE"""),"القاهرة الجديدة")</f>
        <v>القاهرة الجديدة</v>
      </c>
      <c r="D1837" s="5" t="str">
        <f ca="1">IFERROR(__xludf.DUMMYFUNCTION("""COMPUTED_VALUE"""),"معمل")</f>
        <v>معمل</v>
      </c>
      <c r="E1837" s="5" t="str">
        <f ca="1">IFERROR(__xludf.DUMMYFUNCTION("""COMPUTED_VALUE"""),"معمل")</f>
        <v>معمل</v>
      </c>
      <c r="F1837" s="5" t="str">
        <f ca="1">IFERROR(__xludf.DUMMYFUNCTION("""COMPUTED_VALUE"""),"معمل التحاليل الطبية")</f>
        <v>معمل التحاليل الطبية</v>
      </c>
      <c r="G1837" s="5" t="str">
        <f ca="1">IFERROR(__xludf.DUMMYFUNCTION("""COMPUTED_VALUE"""),"معامل البرج")</f>
        <v>معامل البرج</v>
      </c>
      <c r="H1837" s="5" t="str">
        <f ca="1">IFERROR(__xludf.DUMMYFUNCTION("""COMPUTED_VALUE"""),"مركز مدينتي الطبي -دور 2 عيادة 207")</f>
        <v>مركز مدينتي الطبي -دور 2 عيادة 207</v>
      </c>
      <c r="I1837" s="6"/>
      <c r="J1837" s="6" t="str">
        <f ca="1">IFERROR(__xludf.DUMMYFUNCTION("""COMPUTED_VALUE"""),"19911")</f>
        <v>19911</v>
      </c>
      <c r="K1837" s="6" t="str">
        <f ca="1">IFERROR(__xludf.DUMMYFUNCTION("""COMPUTED_VALUE"""),"20% على جميع الخدمات")</f>
        <v>20% على جميع الخدمات</v>
      </c>
    </row>
    <row r="1838" spans="1:11" x14ac:dyDescent="0.25">
      <c r="A1838" s="4" t="str">
        <f ca="1">IFERROR(__xludf.DUMMYFUNCTION("""COMPUTED_VALUE"""),"2911-B")</f>
        <v>2911-B</v>
      </c>
      <c r="B1838" s="5" t="str">
        <f ca="1">IFERROR(__xludf.DUMMYFUNCTION("""COMPUTED_VALUE"""),"القاهرة")</f>
        <v>القاهرة</v>
      </c>
      <c r="C1838" s="5" t="str">
        <f ca="1">IFERROR(__xludf.DUMMYFUNCTION("""COMPUTED_VALUE"""),"مصر الجديدة")</f>
        <v>مصر الجديدة</v>
      </c>
      <c r="D1838" s="5" t="str">
        <f ca="1">IFERROR(__xludf.DUMMYFUNCTION("""COMPUTED_VALUE"""),"معمل")</f>
        <v>معمل</v>
      </c>
      <c r="E1838" s="5" t="str">
        <f ca="1">IFERROR(__xludf.DUMMYFUNCTION("""COMPUTED_VALUE"""),"معمل")</f>
        <v>معمل</v>
      </c>
      <c r="F1838" s="5" t="str">
        <f ca="1">IFERROR(__xludf.DUMMYFUNCTION("""COMPUTED_VALUE"""),"معمل التحاليل الطبية")</f>
        <v>معمل التحاليل الطبية</v>
      </c>
      <c r="G1838" s="5" t="str">
        <f ca="1">IFERROR(__xludf.DUMMYFUNCTION("""COMPUTED_VALUE"""),"معامل البرج")</f>
        <v>معامل البرج</v>
      </c>
      <c r="H1838" s="5" t="str">
        <f ca="1">IFERROR(__xludf.DUMMYFUNCTION("""COMPUTED_VALUE"""),"سكاي جيت مول – سور قاعدة الماظة الجوية – بجوار مستشفي مصر لطيران")</f>
        <v>سكاي جيت مول – سور قاعدة الماظة الجوية – بجوار مستشفي مصر لطيران</v>
      </c>
      <c r="I1838" s="6"/>
      <c r="J1838" s="6" t="str">
        <f ca="1">IFERROR(__xludf.DUMMYFUNCTION("""COMPUTED_VALUE"""),"19911")</f>
        <v>19911</v>
      </c>
      <c r="K1838" s="6" t="str">
        <f ca="1">IFERROR(__xludf.DUMMYFUNCTION("""COMPUTED_VALUE"""),"20% على جميع الخدمات")</f>
        <v>20% على جميع الخدمات</v>
      </c>
    </row>
    <row r="1839" spans="1:11" x14ac:dyDescent="0.25">
      <c r="A1839" s="4" t="str">
        <f ca="1">IFERROR(__xludf.DUMMYFUNCTION("""COMPUTED_VALUE"""),"2911-B")</f>
        <v>2911-B</v>
      </c>
      <c r="B1839" s="5" t="str">
        <f ca="1">IFERROR(__xludf.DUMMYFUNCTION("""COMPUTED_VALUE"""),"القليوبية")</f>
        <v>القليوبية</v>
      </c>
      <c r="C1839" s="5" t="str">
        <f ca="1">IFERROR(__xludf.DUMMYFUNCTION("""COMPUTED_VALUE"""),"مدينة العبور")</f>
        <v>مدينة العبور</v>
      </c>
      <c r="D1839" s="5" t="str">
        <f ca="1">IFERROR(__xludf.DUMMYFUNCTION("""COMPUTED_VALUE"""),"معمل")</f>
        <v>معمل</v>
      </c>
      <c r="E1839" s="5" t="str">
        <f ca="1">IFERROR(__xludf.DUMMYFUNCTION("""COMPUTED_VALUE"""),"معمل")</f>
        <v>معمل</v>
      </c>
      <c r="F1839" s="5" t="str">
        <f ca="1">IFERROR(__xludf.DUMMYFUNCTION("""COMPUTED_VALUE"""),"معمل التحاليل الطبية")</f>
        <v>معمل التحاليل الطبية</v>
      </c>
      <c r="G1839" s="5" t="str">
        <f ca="1">IFERROR(__xludf.DUMMYFUNCTION("""COMPUTED_VALUE"""),"معامل البرج")</f>
        <v>معامل البرج</v>
      </c>
      <c r="H1839" s="5" t="str">
        <f ca="1">IFERROR(__xludf.DUMMYFUNCTION("""COMPUTED_VALUE"""),"يوني مول – المنطقة الترفيهية – مدينة العبور")</f>
        <v>يوني مول – المنطقة الترفيهية – مدينة العبور</v>
      </c>
      <c r="I1839" s="6"/>
      <c r="J1839" s="6" t="str">
        <f ca="1">IFERROR(__xludf.DUMMYFUNCTION("""COMPUTED_VALUE"""),"19911")</f>
        <v>19911</v>
      </c>
      <c r="K1839" s="6" t="str">
        <f ca="1">IFERROR(__xludf.DUMMYFUNCTION("""COMPUTED_VALUE"""),"20% على جميع الخدمات")</f>
        <v>20% على جميع الخدمات</v>
      </c>
    </row>
    <row r="1840" spans="1:11" x14ac:dyDescent="0.25">
      <c r="A1840" s="4" t="str">
        <f ca="1">IFERROR(__xludf.DUMMYFUNCTION("""COMPUTED_VALUE"""),"2911-B")</f>
        <v>2911-B</v>
      </c>
      <c r="B1840" s="5" t="str">
        <f ca="1">IFERROR(__xludf.DUMMYFUNCTION("""COMPUTED_VALUE"""),"الجيزة")</f>
        <v>الجيزة</v>
      </c>
      <c r="C1840" s="5" t="str">
        <f ca="1">IFERROR(__xludf.DUMMYFUNCTION("""COMPUTED_VALUE"""),"الشيخ زايد")</f>
        <v>الشيخ زايد</v>
      </c>
      <c r="D1840" s="5" t="str">
        <f ca="1">IFERROR(__xludf.DUMMYFUNCTION("""COMPUTED_VALUE"""),"معمل")</f>
        <v>معمل</v>
      </c>
      <c r="E1840" s="5" t="str">
        <f ca="1">IFERROR(__xludf.DUMMYFUNCTION("""COMPUTED_VALUE"""),"معمل")</f>
        <v>معمل</v>
      </c>
      <c r="F1840" s="5" t="str">
        <f ca="1">IFERROR(__xludf.DUMMYFUNCTION("""COMPUTED_VALUE"""),"معمل التحاليل الطبية")</f>
        <v>معمل التحاليل الطبية</v>
      </c>
      <c r="G1840" s="5" t="str">
        <f ca="1">IFERROR(__xludf.DUMMYFUNCTION("""COMPUTED_VALUE"""),"معامل البرج")</f>
        <v>معامل البرج</v>
      </c>
      <c r="H1840" s="5" t="str">
        <f ca="1">IFERROR(__xludf.DUMMYFUNCTION("""COMPUTED_VALUE"""),"سنتر ويستاون الطبى بسويدك ويست بجوار مستشفى الندى –بوابه الفلل بيفرلى هيلز")</f>
        <v>سنتر ويستاون الطبى بسويدك ويست بجوار مستشفى الندى –بوابه الفلل بيفرلى هيلز</v>
      </c>
      <c r="I1840" s="6"/>
      <c r="J1840" s="6" t="str">
        <f ca="1">IFERROR(__xludf.DUMMYFUNCTION("""COMPUTED_VALUE"""),"19911")</f>
        <v>19911</v>
      </c>
      <c r="K1840" s="6" t="str">
        <f ca="1">IFERROR(__xludf.DUMMYFUNCTION("""COMPUTED_VALUE"""),"20% على جميع الخدمات")</f>
        <v>20% على جميع الخدمات</v>
      </c>
    </row>
    <row r="1841" spans="1:11" x14ac:dyDescent="0.25">
      <c r="A1841" s="4" t="str">
        <f ca="1">IFERROR(__xludf.DUMMYFUNCTION("""COMPUTED_VALUE"""),"2911-B")</f>
        <v>2911-B</v>
      </c>
      <c r="B1841" s="5" t="str">
        <f ca="1">IFERROR(__xludf.DUMMYFUNCTION("""COMPUTED_VALUE"""),"الجيزة")</f>
        <v>الجيزة</v>
      </c>
      <c r="C1841" s="5" t="str">
        <f ca="1">IFERROR(__xludf.DUMMYFUNCTION("""COMPUTED_VALUE"""),"السادس من اكتوبر")</f>
        <v>السادس من اكتوبر</v>
      </c>
      <c r="D1841" s="5" t="str">
        <f ca="1">IFERROR(__xludf.DUMMYFUNCTION("""COMPUTED_VALUE"""),"معمل")</f>
        <v>معمل</v>
      </c>
      <c r="E1841" s="5" t="str">
        <f ca="1">IFERROR(__xludf.DUMMYFUNCTION("""COMPUTED_VALUE"""),"معمل")</f>
        <v>معمل</v>
      </c>
      <c r="F1841" s="5" t="str">
        <f ca="1">IFERROR(__xludf.DUMMYFUNCTION("""COMPUTED_VALUE"""),"معمل التحاليل الطبية")</f>
        <v>معمل التحاليل الطبية</v>
      </c>
      <c r="G1841" s="5" t="str">
        <f ca="1">IFERROR(__xludf.DUMMYFUNCTION("""COMPUTED_VALUE"""),"معامل البرج")</f>
        <v>معامل البرج</v>
      </c>
      <c r="H1841" s="5" t="str">
        <f ca="1">IFERROR(__xludf.DUMMYFUNCTION("""COMPUTED_VALUE"""),"مول جولف كورنر فوق بنك الاسكان والتعمير اامام جولف رزيدنس كمبوند")</f>
        <v>مول جولف كورنر فوق بنك الاسكان والتعمير اامام جولف رزيدنس كمبوند</v>
      </c>
      <c r="I1841" s="6"/>
      <c r="J1841" s="6" t="str">
        <f ca="1">IFERROR(__xludf.DUMMYFUNCTION("""COMPUTED_VALUE"""),"19911")</f>
        <v>19911</v>
      </c>
      <c r="K1841" s="6" t="str">
        <f ca="1">IFERROR(__xludf.DUMMYFUNCTION("""COMPUTED_VALUE"""),"20% على جميع الخدمات")</f>
        <v>20% على جميع الخدمات</v>
      </c>
    </row>
    <row r="1842" spans="1:11" x14ac:dyDescent="0.25">
      <c r="A1842" s="4" t="str">
        <f ca="1">IFERROR(__xludf.DUMMYFUNCTION("""COMPUTED_VALUE"""),"2911-B")</f>
        <v>2911-B</v>
      </c>
      <c r="B1842" s="5" t="str">
        <f ca="1">IFERROR(__xludf.DUMMYFUNCTION("""COMPUTED_VALUE"""),"الجيزة")</f>
        <v>الجيزة</v>
      </c>
      <c r="C1842" s="5" t="str">
        <f ca="1">IFERROR(__xludf.DUMMYFUNCTION("""COMPUTED_VALUE"""),"العياط")</f>
        <v>العياط</v>
      </c>
      <c r="D1842" s="5" t="str">
        <f ca="1">IFERROR(__xludf.DUMMYFUNCTION("""COMPUTED_VALUE"""),"معمل")</f>
        <v>معمل</v>
      </c>
      <c r="E1842" s="5" t="str">
        <f ca="1">IFERROR(__xludf.DUMMYFUNCTION("""COMPUTED_VALUE"""),"معمل")</f>
        <v>معمل</v>
      </c>
      <c r="F1842" s="5" t="str">
        <f ca="1">IFERROR(__xludf.DUMMYFUNCTION("""COMPUTED_VALUE"""),"معمل التحاليل الطبية")</f>
        <v>معمل التحاليل الطبية</v>
      </c>
      <c r="G1842" s="5" t="str">
        <f ca="1">IFERROR(__xludf.DUMMYFUNCTION("""COMPUTED_VALUE"""),"معامل البرج")</f>
        <v>معامل البرج</v>
      </c>
      <c r="H1842" s="5" t="str">
        <f ca="1">IFERROR(__xludf.DUMMYFUNCTION("""COMPUTED_VALUE"""),"شارع الجمهوريه اعلي كازيون  - برج اللؤلؤه")</f>
        <v>شارع الجمهوريه اعلي كازيون  - برج اللؤلؤه</v>
      </c>
      <c r="I1842" s="6"/>
      <c r="J1842" s="6" t="str">
        <f ca="1">IFERROR(__xludf.DUMMYFUNCTION("""COMPUTED_VALUE"""),"19911")</f>
        <v>19911</v>
      </c>
      <c r="K1842" s="6" t="str">
        <f ca="1">IFERROR(__xludf.DUMMYFUNCTION("""COMPUTED_VALUE"""),"20% على جميع الخدمات")</f>
        <v>20% على جميع الخدمات</v>
      </c>
    </row>
    <row r="1843" spans="1:11" x14ac:dyDescent="0.25">
      <c r="A1843" s="4" t="str">
        <f ca="1">IFERROR(__xludf.DUMMYFUNCTION("""COMPUTED_VALUE"""),"2911-B")</f>
        <v>2911-B</v>
      </c>
      <c r="B1843" s="5" t="str">
        <f ca="1">IFERROR(__xludf.DUMMYFUNCTION("""COMPUTED_VALUE"""),"القاهرة")</f>
        <v>القاهرة</v>
      </c>
      <c r="C1843" s="5" t="str">
        <f ca="1">IFERROR(__xludf.DUMMYFUNCTION("""COMPUTED_VALUE"""),"المرج")</f>
        <v>المرج</v>
      </c>
      <c r="D1843" s="5" t="str">
        <f ca="1">IFERROR(__xludf.DUMMYFUNCTION("""COMPUTED_VALUE"""),"معمل")</f>
        <v>معمل</v>
      </c>
      <c r="E1843" s="5" t="str">
        <f ca="1">IFERROR(__xludf.DUMMYFUNCTION("""COMPUTED_VALUE"""),"معمل")</f>
        <v>معمل</v>
      </c>
      <c r="F1843" s="5" t="str">
        <f ca="1">IFERROR(__xludf.DUMMYFUNCTION("""COMPUTED_VALUE"""),"معمل التحاليل الطبية")</f>
        <v>معمل التحاليل الطبية</v>
      </c>
      <c r="G1843" s="5" t="str">
        <f ca="1">IFERROR(__xludf.DUMMYFUNCTION("""COMPUTED_VALUE"""),"معامل البرج")</f>
        <v>معامل البرج</v>
      </c>
      <c r="H1843" s="5" t="str">
        <f ca="1">IFERROR(__xludf.DUMMYFUNCTION("""COMPUTED_VALUE"""),"31 ش مؤسسه الزكاه - امام مستشفي جراحات اليوم الواحد")</f>
        <v>31 ش مؤسسه الزكاه - امام مستشفي جراحات اليوم الواحد</v>
      </c>
      <c r="I1843" s="6"/>
      <c r="J1843" s="6" t="str">
        <f ca="1">IFERROR(__xludf.DUMMYFUNCTION("""COMPUTED_VALUE"""),"19911")</f>
        <v>19911</v>
      </c>
      <c r="K1843" s="6" t="str">
        <f ca="1">IFERROR(__xludf.DUMMYFUNCTION("""COMPUTED_VALUE"""),"20% على جميع الخدمات")</f>
        <v>20% على جميع الخدمات</v>
      </c>
    </row>
    <row r="1844" spans="1:11" x14ac:dyDescent="0.25">
      <c r="A1844" s="4" t="str">
        <f ca="1">IFERROR(__xludf.DUMMYFUNCTION("""COMPUTED_VALUE"""),"2911-B")</f>
        <v>2911-B</v>
      </c>
      <c r="B1844" s="5" t="str">
        <f ca="1">IFERROR(__xludf.DUMMYFUNCTION("""COMPUTED_VALUE"""),"الجيزة")</f>
        <v>الجيزة</v>
      </c>
      <c r="C1844" s="5" t="str">
        <f ca="1">IFERROR(__xludf.DUMMYFUNCTION("""COMPUTED_VALUE"""),"السادس من اكتوبر")</f>
        <v>السادس من اكتوبر</v>
      </c>
      <c r="D1844" s="5" t="str">
        <f ca="1">IFERROR(__xludf.DUMMYFUNCTION("""COMPUTED_VALUE"""),"معمل")</f>
        <v>معمل</v>
      </c>
      <c r="E1844" s="5" t="str">
        <f ca="1">IFERROR(__xludf.DUMMYFUNCTION("""COMPUTED_VALUE"""),"معمل")</f>
        <v>معمل</v>
      </c>
      <c r="F1844" s="5" t="str">
        <f ca="1">IFERROR(__xludf.DUMMYFUNCTION("""COMPUTED_VALUE"""),"معمل التحاليل الطبية")</f>
        <v>معمل التحاليل الطبية</v>
      </c>
      <c r="G1844" s="5" t="str">
        <f ca="1">IFERROR(__xludf.DUMMYFUNCTION("""COMPUTED_VALUE"""),"معامل البرج")</f>
        <v>معامل البرج</v>
      </c>
      <c r="H1844" s="5" t="str">
        <f ca="1">IFERROR(__xludf.DUMMYFUNCTION("""COMPUTED_VALUE"""),"المجاورة الثانية قطعة رقم ٢ مدينة الفردوس ٦ اكتوبر")</f>
        <v>المجاورة الثانية قطعة رقم ٢ مدينة الفردوس ٦ اكتوبر</v>
      </c>
      <c r="I1844" s="6"/>
      <c r="J1844" s="6" t="str">
        <f ca="1">IFERROR(__xludf.DUMMYFUNCTION("""COMPUTED_VALUE"""),"19911")</f>
        <v>19911</v>
      </c>
      <c r="K1844" s="6" t="str">
        <f ca="1">IFERROR(__xludf.DUMMYFUNCTION("""COMPUTED_VALUE"""),"20% على جميع الخدمات")</f>
        <v>20% على جميع الخدمات</v>
      </c>
    </row>
    <row r="1845" spans="1:11" x14ac:dyDescent="0.25">
      <c r="A1845" s="4" t="str">
        <f ca="1">IFERROR(__xludf.DUMMYFUNCTION("""COMPUTED_VALUE"""),"2911-B")</f>
        <v>2911-B</v>
      </c>
      <c r="B1845" s="5" t="str">
        <f ca="1">IFERROR(__xludf.DUMMYFUNCTION("""COMPUTED_VALUE"""),"الجيزة")</f>
        <v>الجيزة</v>
      </c>
      <c r="C1845" s="5" t="str">
        <f ca="1">IFERROR(__xludf.DUMMYFUNCTION("""COMPUTED_VALUE"""),"الشيخ زايد")</f>
        <v>الشيخ زايد</v>
      </c>
      <c r="D1845" s="5" t="str">
        <f ca="1">IFERROR(__xludf.DUMMYFUNCTION("""COMPUTED_VALUE"""),"معمل")</f>
        <v>معمل</v>
      </c>
      <c r="E1845" s="5" t="str">
        <f ca="1">IFERROR(__xludf.DUMMYFUNCTION("""COMPUTED_VALUE"""),"معمل")</f>
        <v>معمل</v>
      </c>
      <c r="F1845" s="5" t="str">
        <f ca="1">IFERROR(__xludf.DUMMYFUNCTION("""COMPUTED_VALUE"""),"معمل التحاليل الطبية")</f>
        <v>معمل التحاليل الطبية</v>
      </c>
      <c r="G1845" s="5" t="str">
        <f ca="1">IFERROR(__xludf.DUMMYFUNCTION("""COMPUTED_VALUE"""),"معامل البرج")</f>
        <v>معامل البرج</v>
      </c>
      <c r="H1845" s="5" t="str">
        <f ca="1">IFERROR(__xludf.DUMMYFUNCTION("""COMPUTED_VALUE"""),"كابيتال بيزنيس بارك B5 الشيخ زايد")</f>
        <v>كابيتال بيزنيس بارك B5 الشيخ زايد</v>
      </c>
      <c r="I1845" s="6"/>
      <c r="J1845" s="6" t="str">
        <f ca="1">IFERROR(__xludf.DUMMYFUNCTION("""COMPUTED_VALUE"""),"19911")</f>
        <v>19911</v>
      </c>
      <c r="K1845" s="6" t="str">
        <f ca="1">IFERROR(__xludf.DUMMYFUNCTION("""COMPUTED_VALUE"""),"20% على جميع الخدمات")</f>
        <v>20% على جميع الخدمات</v>
      </c>
    </row>
    <row r="1846" spans="1:11" x14ac:dyDescent="0.25">
      <c r="A1846" s="4" t="str">
        <f ca="1">IFERROR(__xludf.DUMMYFUNCTION("""COMPUTED_VALUE"""),"2911-B")</f>
        <v>2911-B</v>
      </c>
      <c r="B1846" s="5" t="str">
        <f ca="1">IFERROR(__xludf.DUMMYFUNCTION("""COMPUTED_VALUE"""),"مرسى مطروح")</f>
        <v>مرسى مطروح</v>
      </c>
      <c r="C1846" s="5" t="str">
        <f ca="1">IFERROR(__xludf.DUMMYFUNCTION("""COMPUTED_VALUE"""),"مرسى مطروح")</f>
        <v>مرسى مطروح</v>
      </c>
      <c r="D1846" s="5" t="str">
        <f ca="1">IFERROR(__xludf.DUMMYFUNCTION("""COMPUTED_VALUE"""),"معمل")</f>
        <v>معمل</v>
      </c>
      <c r="E1846" s="5" t="str">
        <f ca="1">IFERROR(__xludf.DUMMYFUNCTION("""COMPUTED_VALUE"""),"معمل")</f>
        <v>معمل</v>
      </c>
      <c r="F1846" s="5" t="str">
        <f ca="1">IFERROR(__xludf.DUMMYFUNCTION("""COMPUTED_VALUE"""),"معمل التحاليل الطبية")</f>
        <v>معمل التحاليل الطبية</v>
      </c>
      <c r="G1846" s="5" t="str">
        <f ca="1">IFERROR(__xludf.DUMMYFUNCTION("""COMPUTED_VALUE"""),"معامل البرج")</f>
        <v>معامل البرج</v>
      </c>
      <c r="H1846" s="5" t="str">
        <f ca="1">IFERROR(__xludf.DUMMYFUNCTION("""COMPUTED_VALUE"""),"الكيلو 162  طريق مرسى مطروح- لا فيستا باي ")</f>
        <v xml:space="preserve">الكيلو 162  طريق مرسى مطروح- لا فيستا باي </v>
      </c>
      <c r="I1846" s="6"/>
      <c r="J1846" s="6" t="str">
        <f ca="1">IFERROR(__xludf.DUMMYFUNCTION("""COMPUTED_VALUE"""),"19911")</f>
        <v>19911</v>
      </c>
      <c r="K1846" s="6" t="str">
        <f ca="1">IFERROR(__xludf.DUMMYFUNCTION("""COMPUTED_VALUE"""),"20% على جميع الخدمات")</f>
        <v>20% على جميع الخدمات</v>
      </c>
    </row>
    <row r="1847" spans="1:11" x14ac:dyDescent="0.25">
      <c r="A1847" s="4" t="str">
        <f ca="1">IFERROR(__xludf.DUMMYFUNCTION("""COMPUTED_VALUE"""),"2911-B")</f>
        <v>2911-B</v>
      </c>
      <c r="B1847" s="5" t="str">
        <f ca="1">IFERROR(__xludf.DUMMYFUNCTION("""COMPUTED_VALUE"""),"مرسى مطروح")</f>
        <v>مرسى مطروح</v>
      </c>
      <c r="C1847" s="5" t="str">
        <f ca="1">IFERROR(__xludf.DUMMYFUNCTION("""COMPUTED_VALUE"""),"مرسى مطروح")</f>
        <v>مرسى مطروح</v>
      </c>
      <c r="D1847" s="5" t="str">
        <f ca="1">IFERROR(__xludf.DUMMYFUNCTION("""COMPUTED_VALUE"""),"معمل")</f>
        <v>معمل</v>
      </c>
      <c r="E1847" s="5" t="str">
        <f ca="1">IFERROR(__xludf.DUMMYFUNCTION("""COMPUTED_VALUE"""),"معمل")</f>
        <v>معمل</v>
      </c>
      <c r="F1847" s="5" t="str">
        <f ca="1">IFERROR(__xludf.DUMMYFUNCTION("""COMPUTED_VALUE"""),"معمل التحاليل الطبية")</f>
        <v>معمل التحاليل الطبية</v>
      </c>
      <c r="G1847" s="5" t="str">
        <f ca="1">IFERROR(__xludf.DUMMYFUNCTION("""COMPUTED_VALUE"""),"معامل البرج")</f>
        <v>معامل البرج</v>
      </c>
      <c r="H1847" s="5" t="str">
        <f ca="1">IFERROR(__xludf.DUMMYFUNCTION("""COMPUTED_VALUE"""),"وحدة رقم 3 - لافيستا كاسكادا")</f>
        <v>وحدة رقم 3 - لافيستا كاسكادا</v>
      </c>
      <c r="I1847" s="6"/>
      <c r="J1847" s="6" t="str">
        <f ca="1">IFERROR(__xludf.DUMMYFUNCTION("""COMPUTED_VALUE"""),"19911")</f>
        <v>19911</v>
      </c>
      <c r="K1847" s="6" t="str">
        <f ca="1">IFERROR(__xludf.DUMMYFUNCTION("""COMPUTED_VALUE"""),"20% على جميع الخدمات")</f>
        <v>20% على جميع الخدمات</v>
      </c>
    </row>
    <row r="1848" spans="1:11" x14ac:dyDescent="0.25">
      <c r="A1848" s="4" t="str">
        <f ca="1">IFERROR(__xludf.DUMMYFUNCTION("""COMPUTED_VALUE"""),"2911-B")</f>
        <v>2911-B</v>
      </c>
      <c r="B1848" s="5" t="str">
        <f ca="1">IFERROR(__xludf.DUMMYFUNCTION("""COMPUTED_VALUE"""),"البحيرة")</f>
        <v>البحيرة</v>
      </c>
      <c r="C1848" s="5" t="str">
        <f ca="1">IFERROR(__xludf.DUMMYFUNCTION("""COMPUTED_VALUE"""),"الدلنجات")</f>
        <v>الدلنجات</v>
      </c>
      <c r="D1848" s="5" t="str">
        <f ca="1">IFERROR(__xludf.DUMMYFUNCTION("""COMPUTED_VALUE"""),"معمل")</f>
        <v>معمل</v>
      </c>
      <c r="E1848" s="5" t="str">
        <f ca="1">IFERROR(__xludf.DUMMYFUNCTION("""COMPUTED_VALUE"""),"معمل")</f>
        <v>معمل</v>
      </c>
      <c r="F1848" s="5" t="str">
        <f ca="1">IFERROR(__xludf.DUMMYFUNCTION("""COMPUTED_VALUE"""),"معمل التحاليل الطبية")</f>
        <v>معمل التحاليل الطبية</v>
      </c>
      <c r="G1848" s="5" t="str">
        <f ca="1">IFERROR(__xludf.DUMMYFUNCTION("""COMPUTED_VALUE"""),"معامل البرج")</f>
        <v>معامل البرج</v>
      </c>
      <c r="H1848" s="5" t="str">
        <f ca="1">IFERROR(__xludf.DUMMYFUNCTION("""COMPUTED_VALUE"""),"شارع سكه حديد الدلتا - المنشيه الجديده")</f>
        <v>شارع سكه حديد الدلتا - المنشيه الجديده</v>
      </c>
      <c r="I1848" s="6"/>
      <c r="J1848" s="6" t="str">
        <f ca="1">IFERROR(__xludf.DUMMYFUNCTION("""COMPUTED_VALUE"""),"19911")</f>
        <v>19911</v>
      </c>
      <c r="K1848" s="6" t="str">
        <f ca="1">IFERROR(__xludf.DUMMYFUNCTION("""COMPUTED_VALUE"""),"20% على جميع الخدمات")</f>
        <v>20% على جميع الخدمات</v>
      </c>
    </row>
    <row r="1849" spans="1:11" x14ac:dyDescent="0.25">
      <c r="A1849" s="4" t="str">
        <f ca="1">IFERROR(__xludf.DUMMYFUNCTION("""COMPUTED_VALUE"""),"2911-B")</f>
        <v>2911-B</v>
      </c>
      <c r="B1849" s="5" t="str">
        <f ca="1">IFERROR(__xludf.DUMMYFUNCTION("""COMPUTED_VALUE"""),"القليوبية")</f>
        <v>القليوبية</v>
      </c>
      <c r="C1849" s="5" t="str">
        <f ca="1">IFERROR(__xludf.DUMMYFUNCTION("""COMPUTED_VALUE"""),"شبين القناطر")</f>
        <v>شبين القناطر</v>
      </c>
      <c r="D1849" s="5" t="str">
        <f ca="1">IFERROR(__xludf.DUMMYFUNCTION("""COMPUTED_VALUE"""),"معمل")</f>
        <v>معمل</v>
      </c>
      <c r="E1849" s="5" t="str">
        <f ca="1">IFERROR(__xludf.DUMMYFUNCTION("""COMPUTED_VALUE"""),"معمل")</f>
        <v>معمل</v>
      </c>
      <c r="F1849" s="5" t="str">
        <f ca="1">IFERROR(__xludf.DUMMYFUNCTION("""COMPUTED_VALUE"""),"معمل التحاليل الطبية")</f>
        <v>معمل التحاليل الطبية</v>
      </c>
      <c r="G1849" s="5" t="str">
        <f ca="1">IFERROR(__xludf.DUMMYFUNCTION("""COMPUTED_VALUE"""),"معامل البرج")</f>
        <v>معامل البرج</v>
      </c>
      <c r="H1849" s="5" t="str">
        <f ca="1">IFERROR(__xludf.DUMMYFUNCTION("""COMPUTED_VALUE"""),"1ش الشرقاوية الغربى بجوار السجل المدنى اعلي مونجيني")</f>
        <v>1ش الشرقاوية الغربى بجوار السجل المدنى اعلي مونجيني</v>
      </c>
      <c r="I1849" s="6"/>
      <c r="J1849" s="6" t="str">
        <f ca="1">IFERROR(__xludf.DUMMYFUNCTION("""COMPUTED_VALUE"""),"19911")</f>
        <v>19911</v>
      </c>
      <c r="K1849" s="6" t="str">
        <f ca="1">IFERROR(__xludf.DUMMYFUNCTION("""COMPUTED_VALUE"""),"20% على جميع الخدمات")</f>
        <v>20% على جميع الخدمات</v>
      </c>
    </row>
    <row r="1850" spans="1:11" x14ac:dyDescent="0.25">
      <c r="A1850" s="4" t="str">
        <f ca="1">IFERROR(__xludf.DUMMYFUNCTION("""COMPUTED_VALUE"""),"2911-B")</f>
        <v>2911-B</v>
      </c>
      <c r="B1850" s="5" t="str">
        <f ca="1">IFERROR(__xludf.DUMMYFUNCTION("""COMPUTED_VALUE"""),"المنوفية")</f>
        <v>المنوفية</v>
      </c>
      <c r="C1850" s="5" t="str">
        <f ca="1">IFERROR(__xludf.DUMMYFUNCTION("""COMPUTED_VALUE"""),"الباجور")</f>
        <v>الباجور</v>
      </c>
      <c r="D1850" s="5" t="str">
        <f ca="1">IFERROR(__xludf.DUMMYFUNCTION("""COMPUTED_VALUE"""),"معمل")</f>
        <v>معمل</v>
      </c>
      <c r="E1850" s="5" t="str">
        <f ca="1">IFERROR(__xludf.DUMMYFUNCTION("""COMPUTED_VALUE"""),"معمل")</f>
        <v>معمل</v>
      </c>
      <c r="F1850" s="5" t="str">
        <f ca="1">IFERROR(__xludf.DUMMYFUNCTION("""COMPUTED_VALUE"""),"معمل التحاليل الطبية")</f>
        <v>معمل التحاليل الطبية</v>
      </c>
      <c r="G1850" s="5" t="str">
        <f ca="1">IFERROR(__xludf.DUMMYFUNCTION("""COMPUTED_VALUE"""),"معامل البرج")</f>
        <v>معامل البرج</v>
      </c>
      <c r="H1850" s="5" t="str">
        <f ca="1">IFERROR(__xludf.DUMMYFUNCTION("""COMPUTED_VALUE"""),"182 ش الجيش - برج سليم امام النصب التذكاري  - المنوفيه")</f>
        <v>182 ش الجيش - برج سليم امام النصب التذكاري  - المنوفيه</v>
      </c>
      <c r="I1850" s="6"/>
      <c r="J1850" s="6" t="str">
        <f ca="1">IFERROR(__xludf.DUMMYFUNCTION("""COMPUTED_VALUE"""),"19911")</f>
        <v>19911</v>
      </c>
      <c r="K1850" s="6" t="str">
        <f ca="1">IFERROR(__xludf.DUMMYFUNCTION("""COMPUTED_VALUE"""),"20% على جميع الخدمات")</f>
        <v>20% على جميع الخدمات</v>
      </c>
    </row>
    <row r="1851" spans="1:11" x14ac:dyDescent="0.25">
      <c r="A1851" s="4" t="str">
        <f ca="1">IFERROR(__xludf.DUMMYFUNCTION("""COMPUTED_VALUE"""),"2911-B")</f>
        <v>2911-B</v>
      </c>
      <c r="B1851" s="5" t="str">
        <f ca="1">IFERROR(__xludf.DUMMYFUNCTION("""COMPUTED_VALUE"""),"القليوبية")</f>
        <v>القليوبية</v>
      </c>
      <c r="C1851" s="5" t="str">
        <f ca="1">IFERROR(__xludf.DUMMYFUNCTION("""COMPUTED_VALUE"""),"بنها")</f>
        <v>بنها</v>
      </c>
      <c r="D1851" s="5" t="str">
        <f ca="1">IFERROR(__xludf.DUMMYFUNCTION("""COMPUTED_VALUE"""),"معمل")</f>
        <v>معمل</v>
      </c>
      <c r="E1851" s="5" t="str">
        <f ca="1">IFERROR(__xludf.DUMMYFUNCTION("""COMPUTED_VALUE"""),"معمل")</f>
        <v>معمل</v>
      </c>
      <c r="F1851" s="5" t="str">
        <f ca="1">IFERROR(__xludf.DUMMYFUNCTION("""COMPUTED_VALUE"""),"معمل التحاليل الطبية")</f>
        <v>معمل التحاليل الطبية</v>
      </c>
      <c r="G1851" s="5" t="str">
        <f ca="1">IFERROR(__xludf.DUMMYFUNCTION("""COMPUTED_VALUE"""),"معامل البرج")</f>
        <v>معامل البرج</v>
      </c>
      <c r="H1851" s="5" t="str">
        <f ca="1">IFERROR(__xludf.DUMMYFUNCTION("""COMPUTED_VALUE"""),"5ش طريق الفحص - برج جومانا منطقه الفيلات - اعلي بيم  - القليوبيه")</f>
        <v>5ش طريق الفحص - برج جومانا منطقه الفيلات - اعلي بيم  - القليوبيه</v>
      </c>
      <c r="I1851" s="6"/>
      <c r="J1851" s="6" t="str">
        <f ca="1">IFERROR(__xludf.DUMMYFUNCTION("""COMPUTED_VALUE"""),"19911")</f>
        <v>19911</v>
      </c>
      <c r="K1851" s="6" t="str">
        <f ca="1">IFERROR(__xludf.DUMMYFUNCTION("""COMPUTED_VALUE"""),"20% على جميع الخدمات")</f>
        <v>20% على جميع الخدمات</v>
      </c>
    </row>
    <row r="1852" spans="1:11" x14ac:dyDescent="0.25">
      <c r="A1852" s="4" t="str">
        <f ca="1">IFERROR(__xludf.DUMMYFUNCTION("""COMPUTED_VALUE"""),"2911-B")</f>
        <v>2911-B</v>
      </c>
      <c r="B1852" s="5" t="str">
        <f ca="1">IFERROR(__xludf.DUMMYFUNCTION("""COMPUTED_VALUE"""),"القليوبية")</f>
        <v>القليوبية</v>
      </c>
      <c r="C1852" s="5" t="str">
        <f ca="1">IFERROR(__xludf.DUMMYFUNCTION("""COMPUTED_VALUE"""),"طوخ")</f>
        <v>طوخ</v>
      </c>
      <c r="D1852" s="5" t="str">
        <f ca="1">IFERROR(__xludf.DUMMYFUNCTION("""COMPUTED_VALUE"""),"معمل")</f>
        <v>معمل</v>
      </c>
      <c r="E1852" s="5" t="str">
        <f ca="1">IFERROR(__xludf.DUMMYFUNCTION("""COMPUTED_VALUE"""),"معمل")</f>
        <v>معمل</v>
      </c>
      <c r="F1852" s="5" t="str">
        <f ca="1">IFERROR(__xludf.DUMMYFUNCTION("""COMPUTED_VALUE"""),"معمل التحاليل الطبية")</f>
        <v>معمل التحاليل الطبية</v>
      </c>
      <c r="G1852" s="5" t="str">
        <f ca="1">IFERROR(__xludf.DUMMYFUNCTION("""COMPUTED_VALUE"""),"معامل البرج")</f>
        <v>معامل البرج</v>
      </c>
      <c r="H1852" s="5" t="str">
        <f ca="1">IFERROR(__xludf.DUMMYFUNCTION("""COMPUTED_VALUE"""),"20تقاطع شارع الحاج عطيه الفيومي والشهيد صلاح سالم - امام السنترال - برج المدينه المنوره د1")</f>
        <v>20تقاطع شارع الحاج عطيه الفيومي والشهيد صلاح سالم - امام السنترال - برج المدينه المنوره د1</v>
      </c>
      <c r="I1852" s="6"/>
      <c r="J1852" s="6" t="str">
        <f ca="1">IFERROR(__xludf.DUMMYFUNCTION("""COMPUTED_VALUE"""),"19911")</f>
        <v>19911</v>
      </c>
      <c r="K1852" s="6" t="str">
        <f ca="1">IFERROR(__xludf.DUMMYFUNCTION("""COMPUTED_VALUE"""),"20% على جميع الخدمات")</f>
        <v>20% على جميع الخدمات</v>
      </c>
    </row>
    <row r="1853" spans="1:11" x14ac:dyDescent="0.25">
      <c r="A1853" s="4" t="str">
        <f ca="1">IFERROR(__xludf.DUMMYFUNCTION("""COMPUTED_VALUE"""),"2911-B")</f>
        <v>2911-B</v>
      </c>
      <c r="B1853" s="5" t="str">
        <f ca="1">IFERROR(__xludf.DUMMYFUNCTION("""COMPUTED_VALUE"""),"الإسماعيلية")</f>
        <v>الإسماعيلية</v>
      </c>
      <c r="C1853" s="5" t="str">
        <f ca="1">IFERROR(__xludf.DUMMYFUNCTION("""COMPUTED_VALUE"""),"الإسماعيلية")</f>
        <v>الإسماعيلية</v>
      </c>
      <c r="D1853" s="5" t="str">
        <f ca="1">IFERROR(__xludf.DUMMYFUNCTION("""COMPUTED_VALUE"""),"معمل")</f>
        <v>معمل</v>
      </c>
      <c r="E1853" s="5" t="str">
        <f ca="1">IFERROR(__xludf.DUMMYFUNCTION("""COMPUTED_VALUE"""),"معمل")</f>
        <v>معمل</v>
      </c>
      <c r="F1853" s="5" t="str">
        <f ca="1">IFERROR(__xludf.DUMMYFUNCTION("""COMPUTED_VALUE"""),"معمل التحاليل الطبية")</f>
        <v>معمل التحاليل الطبية</v>
      </c>
      <c r="G1853" s="5" t="str">
        <f ca="1">IFERROR(__xludf.DUMMYFUNCTION("""COMPUTED_VALUE"""),"معامل البرج")</f>
        <v>معامل البرج</v>
      </c>
      <c r="H1853" s="5" t="str">
        <f ca="1">IFERROR(__xludf.DUMMYFUNCTION("""COMPUTED_VALUE"""),"35 مربع(5/ه)برج الأميره تقاطع شبين الكوم مع رفاعه الطهطاوى الدور الأول")</f>
        <v>35 مربع(5/ه)برج الأميره تقاطع شبين الكوم مع رفاعه الطهطاوى الدور الأول</v>
      </c>
      <c r="I1853" s="6"/>
      <c r="J1853" s="6" t="str">
        <f ca="1">IFERROR(__xludf.DUMMYFUNCTION("""COMPUTED_VALUE"""),"19911")</f>
        <v>19911</v>
      </c>
      <c r="K1853" s="6" t="str">
        <f ca="1">IFERROR(__xludf.DUMMYFUNCTION("""COMPUTED_VALUE"""),"20% على جميع الخدمات")</f>
        <v>20% على جميع الخدمات</v>
      </c>
    </row>
    <row r="1854" spans="1:11" x14ac:dyDescent="0.25">
      <c r="A1854" s="4" t="str">
        <f ca="1">IFERROR(__xludf.DUMMYFUNCTION("""COMPUTED_VALUE"""),"2911-B")</f>
        <v>2911-B</v>
      </c>
      <c r="B1854" s="5" t="str">
        <f ca="1">IFERROR(__xludf.DUMMYFUNCTION("""COMPUTED_VALUE"""),"السويس")</f>
        <v>السويس</v>
      </c>
      <c r="C1854" s="5" t="str">
        <f ca="1">IFERROR(__xludf.DUMMYFUNCTION("""COMPUTED_VALUE"""),"السويس")</f>
        <v>السويس</v>
      </c>
      <c r="D1854" s="5" t="str">
        <f ca="1">IFERROR(__xludf.DUMMYFUNCTION("""COMPUTED_VALUE"""),"معمل")</f>
        <v>معمل</v>
      </c>
      <c r="E1854" s="5" t="str">
        <f ca="1">IFERROR(__xludf.DUMMYFUNCTION("""COMPUTED_VALUE"""),"معمل")</f>
        <v>معمل</v>
      </c>
      <c r="F1854" s="5" t="str">
        <f ca="1">IFERROR(__xludf.DUMMYFUNCTION("""COMPUTED_VALUE"""),"معمل التحاليل الطبية")</f>
        <v>معمل التحاليل الطبية</v>
      </c>
      <c r="G1854" s="5" t="str">
        <f ca="1">IFERROR(__xludf.DUMMYFUNCTION("""COMPUTED_VALUE"""),"معامل البرج")</f>
        <v>معامل البرج</v>
      </c>
      <c r="H1854" s="5" t="str">
        <f ca="1">IFERROR(__xludf.DUMMYFUNCTION("""COMPUTED_VALUE"""),"1 شارع الجيش -الأربعين-السويس")</f>
        <v>1 شارع الجيش -الأربعين-السويس</v>
      </c>
      <c r="I1854" s="6"/>
      <c r="J1854" s="6" t="str">
        <f ca="1">IFERROR(__xludf.DUMMYFUNCTION("""COMPUTED_VALUE"""),"19911")</f>
        <v>19911</v>
      </c>
      <c r="K1854" s="6" t="str">
        <f ca="1">IFERROR(__xludf.DUMMYFUNCTION("""COMPUTED_VALUE"""),"20% على جميع الخدمات")</f>
        <v>20% على جميع الخدمات</v>
      </c>
    </row>
    <row r="1855" spans="1:11" x14ac:dyDescent="0.25">
      <c r="A1855" s="4" t="str">
        <f ca="1">IFERROR(__xludf.DUMMYFUNCTION("""COMPUTED_VALUE"""),"2911-B")</f>
        <v>2911-B</v>
      </c>
      <c r="B1855" s="5" t="str">
        <f ca="1">IFERROR(__xludf.DUMMYFUNCTION("""COMPUTED_VALUE"""),"جنوب سيناء")</f>
        <v>جنوب سيناء</v>
      </c>
      <c r="C1855" s="5" t="str">
        <f ca="1">IFERROR(__xludf.DUMMYFUNCTION("""COMPUTED_VALUE"""),"شرم الشيخ")</f>
        <v>شرم الشيخ</v>
      </c>
      <c r="D1855" s="5" t="str">
        <f ca="1">IFERROR(__xludf.DUMMYFUNCTION("""COMPUTED_VALUE"""),"معمل")</f>
        <v>معمل</v>
      </c>
      <c r="E1855" s="5" t="str">
        <f ca="1">IFERROR(__xludf.DUMMYFUNCTION("""COMPUTED_VALUE"""),"معمل")</f>
        <v>معمل</v>
      </c>
      <c r="F1855" s="5" t="str">
        <f ca="1">IFERROR(__xludf.DUMMYFUNCTION("""COMPUTED_VALUE"""),"معمل التحاليل الطبية")</f>
        <v>معمل التحاليل الطبية</v>
      </c>
      <c r="G1855" s="5" t="str">
        <f ca="1">IFERROR(__xludf.DUMMYFUNCTION("""COMPUTED_VALUE"""),"معامل البرج")</f>
        <v>معامل البرج</v>
      </c>
      <c r="H1855" s="5" t="str">
        <f ca="1">IFERROR(__xludf.DUMMYFUNCTION("""COMPUTED_VALUE"""),"جنينة سيتي مول -القطعة 38 هضبة نعمة باي ")</f>
        <v xml:space="preserve">جنينة سيتي مول -القطعة 38 هضبة نعمة باي </v>
      </c>
      <c r="I1855" s="6"/>
      <c r="J1855" s="6" t="str">
        <f ca="1">IFERROR(__xludf.DUMMYFUNCTION("""COMPUTED_VALUE"""),"19911")</f>
        <v>19911</v>
      </c>
      <c r="K1855" s="6" t="str">
        <f ca="1">IFERROR(__xludf.DUMMYFUNCTION("""COMPUTED_VALUE"""),"20% على جميع الخدمات")</f>
        <v>20% على جميع الخدمات</v>
      </c>
    </row>
    <row r="1856" spans="1:11" x14ac:dyDescent="0.25">
      <c r="A1856" s="4" t="str">
        <f ca="1">IFERROR(__xludf.DUMMYFUNCTION("""COMPUTED_VALUE"""),"2911-B")</f>
        <v>2911-B</v>
      </c>
      <c r="B1856" s="5" t="str">
        <f ca="1">IFERROR(__xludf.DUMMYFUNCTION("""COMPUTED_VALUE"""),"سوهاج")</f>
        <v>سوهاج</v>
      </c>
      <c r="C1856" s="5" t="str">
        <f ca="1">IFERROR(__xludf.DUMMYFUNCTION("""COMPUTED_VALUE"""),"بلينا")</f>
        <v>بلينا</v>
      </c>
      <c r="D1856" s="5" t="str">
        <f ca="1">IFERROR(__xludf.DUMMYFUNCTION("""COMPUTED_VALUE"""),"معمل")</f>
        <v>معمل</v>
      </c>
      <c r="E1856" s="5" t="str">
        <f ca="1">IFERROR(__xludf.DUMMYFUNCTION("""COMPUTED_VALUE"""),"معمل")</f>
        <v>معمل</v>
      </c>
      <c r="F1856" s="5" t="str">
        <f ca="1">IFERROR(__xludf.DUMMYFUNCTION("""COMPUTED_VALUE"""),"معمل التحاليل الطبية")</f>
        <v>معمل التحاليل الطبية</v>
      </c>
      <c r="G1856" s="5" t="str">
        <f ca="1">IFERROR(__xludf.DUMMYFUNCTION("""COMPUTED_VALUE"""),"معامل البرج")</f>
        <v>معامل البرج</v>
      </c>
      <c r="H1856" s="5" t="str">
        <f ca="1">IFERROR(__xludf.DUMMYFUNCTION("""COMPUTED_VALUE"""),"24 مكرر شارع الجمهوريه بجوار محطه السكه الحديد")</f>
        <v>24 مكرر شارع الجمهوريه بجوار محطه السكه الحديد</v>
      </c>
      <c r="I1856" s="6"/>
      <c r="J1856" s="6" t="str">
        <f ca="1">IFERROR(__xludf.DUMMYFUNCTION("""COMPUTED_VALUE"""),"19911")</f>
        <v>19911</v>
      </c>
      <c r="K1856" s="6" t="str">
        <f ca="1">IFERROR(__xludf.DUMMYFUNCTION("""COMPUTED_VALUE"""),"20% على جميع الخدمات")</f>
        <v>20% على جميع الخدمات</v>
      </c>
    </row>
    <row r="1857" spans="1:11" x14ac:dyDescent="0.25">
      <c r="A1857" s="4" t="str">
        <f ca="1">IFERROR(__xludf.DUMMYFUNCTION("""COMPUTED_VALUE"""),"2911-B")</f>
        <v>2911-B</v>
      </c>
      <c r="B1857" s="5" t="str">
        <f ca="1">IFERROR(__xludf.DUMMYFUNCTION("""COMPUTED_VALUE"""),"القليوبية")</f>
        <v>القليوبية</v>
      </c>
      <c r="C1857" s="5" t="str">
        <f ca="1">IFERROR(__xludf.DUMMYFUNCTION("""COMPUTED_VALUE"""),"الخانكة")</f>
        <v>الخانكة</v>
      </c>
      <c r="D1857" s="5" t="str">
        <f ca="1">IFERROR(__xludf.DUMMYFUNCTION("""COMPUTED_VALUE"""),"معمل")</f>
        <v>معمل</v>
      </c>
      <c r="E1857" s="5" t="str">
        <f ca="1">IFERROR(__xludf.DUMMYFUNCTION("""COMPUTED_VALUE"""),"معمل")</f>
        <v>معمل</v>
      </c>
      <c r="F1857" s="5" t="str">
        <f ca="1">IFERROR(__xludf.DUMMYFUNCTION("""COMPUTED_VALUE"""),"معمل التحاليل الطبية")</f>
        <v>معمل التحاليل الطبية</v>
      </c>
      <c r="G1857" s="5" t="str">
        <f ca="1">IFERROR(__xludf.DUMMYFUNCTION("""COMPUTED_VALUE"""),"معامل البرج")</f>
        <v>معامل البرج</v>
      </c>
      <c r="H1857" s="5" t="str">
        <f ca="1">IFERROR(__xludf.DUMMYFUNCTION("""COMPUTED_VALUE"""),"٢ شارع الجمهورية غرب العبايدة القليوبية")</f>
        <v>٢ شارع الجمهورية غرب العبايدة القليوبية</v>
      </c>
      <c r="I1857" s="6"/>
      <c r="J1857" s="6" t="str">
        <f ca="1">IFERROR(__xludf.DUMMYFUNCTION("""COMPUTED_VALUE"""),"19911")</f>
        <v>19911</v>
      </c>
      <c r="K1857" s="6" t="str">
        <f ca="1">IFERROR(__xludf.DUMMYFUNCTION("""COMPUTED_VALUE"""),"20% على جميع الخدمات")</f>
        <v>20% على جميع الخدمات</v>
      </c>
    </row>
    <row r="1858" spans="1:11" x14ac:dyDescent="0.25">
      <c r="A1858" s="4" t="str">
        <f ca="1">IFERROR(__xludf.DUMMYFUNCTION("""COMPUTED_VALUE"""),"106142")</f>
        <v>106142</v>
      </c>
      <c r="B1858" s="5" t="str">
        <f ca="1">IFERROR(__xludf.DUMMYFUNCTION("""COMPUTED_VALUE"""),"القليوبية")</f>
        <v>القليوبية</v>
      </c>
      <c r="C1858" s="5" t="str">
        <f ca="1">IFERROR(__xludf.DUMMYFUNCTION("""COMPUTED_VALUE"""),"شبين القناطر")</f>
        <v>شبين القناطر</v>
      </c>
      <c r="D1858" s="5" t="str">
        <f ca="1">IFERROR(__xludf.DUMMYFUNCTION("""COMPUTED_VALUE"""),"هيئة الأطباء")</f>
        <v>هيئة الأطباء</v>
      </c>
      <c r="E1858" s="5" t="str">
        <f ca="1">IFERROR(__xludf.DUMMYFUNCTION("""COMPUTED_VALUE"""),"جراحة")</f>
        <v>جراحة</v>
      </c>
      <c r="F1858" s="5" t="str">
        <f ca="1">IFERROR(__xludf.DUMMYFUNCTION("""COMPUTED_VALUE"""),"جراحة عامة")</f>
        <v>جراحة عامة</v>
      </c>
      <c r="G1858" s="5" t="str">
        <f ca="1">IFERROR(__xludf.DUMMYFUNCTION("""COMPUTED_VALUE"""),"د/رفعت سلامه سلامه احمد")</f>
        <v>د/رفعت سلامه سلامه احمد</v>
      </c>
      <c r="H1858" s="5" t="str">
        <f ca="1">IFERROR(__xludf.DUMMYFUNCTION("""COMPUTED_VALUE"""),"شارع عبدالعزيز بركات-عزبة بدر-شبين القناطر")</f>
        <v>شارع عبدالعزيز بركات-عزبة بدر-شبين القناطر</v>
      </c>
      <c r="I1858" s="6" t="str">
        <f ca="1">IFERROR(__xludf.DUMMYFUNCTION("""COMPUTED_VALUE"""),"01127570702")</f>
        <v>01127570702</v>
      </c>
      <c r="J1858" s="6"/>
      <c r="K1858" s="6" t="str">
        <f ca="1">IFERROR(__xludf.DUMMYFUNCTION("""COMPUTED_VALUE"""),"خصم 35% علي الكشوفات وخصم 20% علي اتعاب الطبيب")</f>
        <v>خصم 35% علي الكشوفات وخصم 20% علي اتعاب الطبيب</v>
      </c>
    </row>
    <row r="1859" spans="1:11" x14ac:dyDescent="0.25">
      <c r="A1859" s="4" t="str">
        <f ca="1">IFERROR(__xludf.DUMMYFUNCTION("""COMPUTED_VALUE"""),"105926-B")</f>
        <v>105926-B</v>
      </c>
      <c r="B1859" s="5" t="str">
        <f ca="1">IFERROR(__xludf.DUMMYFUNCTION("""COMPUTED_VALUE"""),"الغربية")</f>
        <v>الغربية</v>
      </c>
      <c r="C1859" s="5" t="str">
        <f ca="1">IFERROR(__xludf.DUMMYFUNCTION("""COMPUTED_VALUE"""),"طنطا")</f>
        <v>طنطا</v>
      </c>
      <c r="D1859" s="5" t="str">
        <f ca="1">IFERROR(__xludf.DUMMYFUNCTION("""COMPUTED_VALUE"""),"مركز علاج طبيعي")</f>
        <v>مركز علاج طبيعي</v>
      </c>
      <c r="E1859" s="5" t="str">
        <f ca="1">IFERROR(__xludf.DUMMYFUNCTION("""COMPUTED_VALUE"""),"علاج طبيعي")</f>
        <v>علاج طبيعي</v>
      </c>
      <c r="F1859" s="5" t="str">
        <f ca="1">IFERROR(__xludf.DUMMYFUNCTION("""COMPUTED_VALUE"""),"جلسات العلاج الطبيعي")</f>
        <v>جلسات العلاج الطبيعي</v>
      </c>
      <c r="G1859" s="5" t="str">
        <f ca="1">IFERROR(__xludf.DUMMYFUNCTION("""COMPUTED_VALUE"""),"د/ ابراهيم محمد ابراهيم حموده ( المركز المصري للعلاج الطبيعي )")</f>
        <v>د/ ابراهيم محمد ابراهيم حموده ( المركز المصري للعلاج الطبيعي )</v>
      </c>
      <c r="H1859" s="5" t="str">
        <f ca="1">IFERROR(__xludf.DUMMYFUNCTION("""COMPUTED_VALUE"""),"سبرباي أمام الموقف الدور الثاني - الغربيه")</f>
        <v>سبرباي أمام الموقف الدور الثاني - الغربيه</v>
      </c>
      <c r="I1859" s="6" t="str">
        <f ca="1">IFERROR(__xludf.DUMMYFUNCTION("""COMPUTED_VALUE"""),"01111138758")</f>
        <v>01111138758</v>
      </c>
      <c r="J1859" s="6"/>
      <c r="K1859" s="6" t="str">
        <f ca="1">IFERROR(__xludf.DUMMYFUNCTION("""COMPUTED_VALUE"""),"One organ:50 LE , Two organ : 70 LE , three organ : 90 LE")</f>
        <v>One organ:50 LE , Two organ : 70 LE , three organ : 90 LE</v>
      </c>
    </row>
    <row r="1860" spans="1:11" x14ac:dyDescent="0.25">
      <c r="A1860" s="4" t="str">
        <f ca="1">IFERROR(__xludf.DUMMYFUNCTION("""COMPUTED_VALUE"""),"106144")</f>
        <v>106144</v>
      </c>
      <c r="B1860" s="5" t="str">
        <f ca="1">IFERROR(__xludf.DUMMYFUNCTION("""COMPUTED_VALUE"""),"بورسعيد")</f>
        <v>بورسعيد</v>
      </c>
      <c r="C1860" s="5" t="str">
        <f ca="1">IFERROR(__xludf.DUMMYFUNCTION("""COMPUTED_VALUE"""),"بورسعيد")</f>
        <v>بورسعيد</v>
      </c>
      <c r="D1860" s="5" t="str">
        <f ca="1">IFERROR(__xludf.DUMMYFUNCTION("""COMPUTED_VALUE"""),"معمل")</f>
        <v>معمل</v>
      </c>
      <c r="E1860" s="5" t="str">
        <f ca="1">IFERROR(__xludf.DUMMYFUNCTION("""COMPUTED_VALUE"""),"معمل")</f>
        <v>معمل</v>
      </c>
      <c r="F1860" s="5" t="str">
        <f ca="1">IFERROR(__xludf.DUMMYFUNCTION("""COMPUTED_VALUE"""),"معمل التحاليل الطبية")</f>
        <v>معمل التحاليل الطبية</v>
      </c>
      <c r="G1860" s="5" t="str">
        <f ca="1">IFERROR(__xludf.DUMMYFUNCTION("""COMPUTED_VALUE"""),"بريميم هيلثكير جروب (معامل سيتي لاب)")</f>
        <v>بريميم هيلثكير جروب (معامل سيتي لاب)</v>
      </c>
      <c r="H1860" s="5" t="str">
        <f ca="1">IFERROR(__xludf.DUMMYFUNCTION("""COMPUTED_VALUE"""),"5 شارع الدقهلية و النصر المناخ بورسعيد")</f>
        <v>5 شارع الدقهلية و النصر المناخ بورسعيد</v>
      </c>
      <c r="I1860" s="6" t="str">
        <f ca="1">IFERROR(__xludf.DUMMYFUNCTION("""COMPUTED_VALUE"""),"02330001")</f>
        <v>02330001</v>
      </c>
      <c r="J1860" s="6"/>
      <c r="K1860" s="6" t="str">
        <f ca="1">IFERROR(__xludf.DUMMYFUNCTION("""COMPUTED_VALUE"""),"خصم 30% علي الاسعار النقدي ")</f>
        <v xml:space="preserve">خصم 30% علي الاسعار النقدي </v>
      </c>
    </row>
    <row r="1861" spans="1:11" x14ac:dyDescent="0.25">
      <c r="A1861" s="4" t="str">
        <f ca="1">IFERROR(__xludf.DUMMYFUNCTION("""COMPUTED_VALUE"""),"106145")</f>
        <v>106145</v>
      </c>
      <c r="B1861" s="5" t="str">
        <f ca="1">IFERROR(__xludf.DUMMYFUNCTION("""COMPUTED_VALUE"""),"بورسعيد")</f>
        <v>بورسعيد</v>
      </c>
      <c r="C1861" s="5" t="str">
        <f ca="1">IFERROR(__xludf.DUMMYFUNCTION("""COMPUTED_VALUE"""),"بورسعيد")</f>
        <v>بورسعيد</v>
      </c>
      <c r="D1861" s="5" t="str">
        <f ca="1">IFERROR(__xludf.DUMMYFUNCTION("""COMPUTED_VALUE"""),"صيدلية")</f>
        <v>صيدلية</v>
      </c>
      <c r="E1861" s="5" t="str">
        <f ca="1">IFERROR(__xludf.DUMMYFUNCTION("""COMPUTED_VALUE"""),"صيدلية")</f>
        <v>صيدلية</v>
      </c>
      <c r="F1861" s="5" t="str">
        <f ca="1">IFERROR(__xludf.DUMMYFUNCTION("""COMPUTED_VALUE"""),"صيدلية (أدوية ومستلزمات طبية)")</f>
        <v>صيدلية (أدوية ومستلزمات طبية)</v>
      </c>
      <c r="G1861" s="5" t="str">
        <f ca="1">IFERROR(__xludf.DUMMYFUNCTION("""COMPUTED_VALUE"""),"سنيه احمد ادريس علي (صيدلية ادريس)")</f>
        <v>سنيه احمد ادريس علي (صيدلية ادريس)</v>
      </c>
      <c r="H1861" s="5" t="str">
        <f ca="1">IFERROR(__xludf.DUMMYFUNCTION("""COMPUTED_VALUE"""),"محافظة بورسعيد ـ شارع سعد زغلول")</f>
        <v>محافظة بورسعيد ـ شارع سعد زغلول</v>
      </c>
      <c r="I1861" s="6" t="str">
        <f ca="1">IFERROR(__xludf.DUMMYFUNCTION("""COMPUTED_VALUE"""),"01008032797")</f>
        <v>01008032797</v>
      </c>
      <c r="J1861" s="6"/>
      <c r="K1861" s="6" t="str">
        <f ca="1">IFERROR(__xludf.DUMMYFUNCTION("""COMPUTED_VALUE"""),"خصم 15% علي الأدويه المحليه و 15% علي المستورد")</f>
        <v>خصم 15% علي الأدويه المحليه و 15% علي المستورد</v>
      </c>
    </row>
    <row r="1862" spans="1:11" x14ac:dyDescent="0.25">
      <c r="A1862" s="4" t="str">
        <f ca="1">IFERROR(__xludf.DUMMYFUNCTION("""COMPUTED_VALUE"""),"106146")</f>
        <v>106146</v>
      </c>
      <c r="B1862" s="5" t="str">
        <f ca="1">IFERROR(__xludf.DUMMYFUNCTION("""COMPUTED_VALUE"""),"الدقهلية")</f>
        <v>الدقهلية</v>
      </c>
      <c r="C1862" s="5" t="str">
        <f ca="1">IFERROR(__xludf.DUMMYFUNCTION("""COMPUTED_VALUE"""),"المنزلة")</f>
        <v>المنزلة</v>
      </c>
      <c r="D1862" s="5" t="str">
        <f ca="1">IFERROR(__xludf.DUMMYFUNCTION("""COMPUTED_VALUE"""),"صيدلية")</f>
        <v>صيدلية</v>
      </c>
      <c r="E1862" s="5" t="str">
        <f ca="1">IFERROR(__xludf.DUMMYFUNCTION("""COMPUTED_VALUE"""),"صيدلية")</f>
        <v>صيدلية</v>
      </c>
      <c r="F1862" s="5" t="str">
        <f ca="1">IFERROR(__xludf.DUMMYFUNCTION("""COMPUTED_VALUE"""),"صيدلية (أدوية ومستلزمات طبية)")</f>
        <v>صيدلية (أدوية ومستلزمات طبية)</v>
      </c>
      <c r="G1862" s="5" t="str">
        <f ca="1">IFERROR(__xludf.DUMMYFUNCTION("""COMPUTED_VALUE"""),"صيدليه د/ أحمد رجب حتاته")</f>
        <v>صيدليه د/ أحمد رجب حتاته</v>
      </c>
      <c r="H1862" s="5" t="str">
        <f ca="1">IFERROR(__xludf.DUMMYFUNCTION("""COMPUTED_VALUE"""),"ش الزيني - المنزله - الدقهليه")</f>
        <v>ش الزيني - المنزله - الدقهليه</v>
      </c>
      <c r="I1862" s="6" t="str">
        <f ca="1">IFERROR(__xludf.DUMMYFUNCTION("""COMPUTED_VALUE"""),"01274648912")</f>
        <v>01274648912</v>
      </c>
      <c r="J1862" s="6"/>
      <c r="K1862" s="6" t="str">
        <f ca="1">IFERROR(__xludf.DUMMYFUNCTION("""COMPUTED_VALUE"""),"خصم 17% علي الأدويع المحليه و 17% علي المستورد")</f>
        <v>خصم 17% علي الأدويع المحليه و 17% علي المستورد</v>
      </c>
    </row>
    <row r="1863" spans="1:11" x14ac:dyDescent="0.25">
      <c r="A1863" s="4" t="str">
        <f ca="1">IFERROR(__xludf.DUMMYFUNCTION("""COMPUTED_VALUE"""),"106178")</f>
        <v>106178</v>
      </c>
      <c r="B1863" s="5" t="str">
        <f ca="1">IFERROR(__xludf.DUMMYFUNCTION("""COMPUTED_VALUE"""),"كفر الشيخ")</f>
        <v>كفر الشيخ</v>
      </c>
      <c r="C1863" s="5" t="str">
        <f ca="1">IFERROR(__xludf.DUMMYFUNCTION("""COMPUTED_VALUE"""),"الحامول")</f>
        <v>الحامول</v>
      </c>
      <c r="D1863" s="5" t="str">
        <f ca="1">IFERROR(__xludf.DUMMYFUNCTION("""COMPUTED_VALUE"""),"معمل")</f>
        <v>معمل</v>
      </c>
      <c r="E1863" s="5" t="str">
        <f ca="1">IFERROR(__xludf.DUMMYFUNCTION("""COMPUTED_VALUE"""),"معمل")</f>
        <v>معمل</v>
      </c>
      <c r="F1863" s="5" t="str">
        <f ca="1">IFERROR(__xludf.DUMMYFUNCTION("""COMPUTED_VALUE"""),"معمل التحاليل الطبية")</f>
        <v>معمل التحاليل الطبية</v>
      </c>
      <c r="G1863" s="5" t="str">
        <f ca="1">IFERROR(__xludf.DUMMYFUNCTION("""COMPUTED_VALUE"""),"معامل عاشور")</f>
        <v>معامل عاشور</v>
      </c>
      <c r="H1863" s="5" t="str">
        <f ca="1">IFERROR(__xludf.DUMMYFUNCTION("""COMPUTED_VALUE"""),"الحامول مدخل تريان مركز الحامول - كفر الشيخ")</f>
        <v>الحامول مدخل تريان مركز الحامول - كفر الشيخ</v>
      </c>
      <c r="I1863" s="6" t="str">
        <f ca="1">IFERROR(__xludf.DUMMYFUNCTION("""COMPUTED_VALUE"""),"1004977677")</f>
        <v>1004977677</v>
      </c>
      <c r="J1863" s="6"/>
      <c r="K1863" s="6" t="str">
        <f ca="1">IFERROR(__xludf.DUMMYFUNCTION("""COMPUTED_VALUE"""),"خصم 20% علي الاسعار النقدي")</f>
        <v>خصم 20% علي الاسعار النقدي</v>
      </c>
    </row>
    <row r="1864" spans="1:11" x14ac:dyDescent="0.25">
      <c r="A1864" s="4" t="str">
        <f ca="1">IFERROR(__xludf.DUMMYFUNCTION("""COMPUTED_VALUE"""),"106094-B")</f>
        <v>106094-B</v>
      </c>
      <c r="B1864" s="5" t="str">
        <f ca="1">IFERROR(__xludf.DUMMYFUNCTION("""COMPUTED_VALUE"""),"البحيرة")</f>
        <v>البحيرة</v>
      </c>
      <c r="C1864" s="5" t="str">
        <f ca="1">IFERROR(__xludf.DUMMYFUNCTION("""COMPUTED_VALUE"""),"كوم حمادة")</f>
        <v>كوم حمادة</v>
      </c>
      <c r="D1864" s="5" t="str">
        <f ca="1">IFERROR(__xludf.DUMMYFUNCTION("""COMPUTED_VALUE"""),"صيدلية")</f>
        <v>صيدلية</v>
      </c>
      <c r="E1864" s="5" t="str">
        <f ca="1">IFERROR(__xludf.DUMMYFUNCTION("""COMPUTED_VALUE"""),"صيدلية")</f>
        <v>صيدلية</v>
      </c>
      <c r="F1864" s="5" t="str">
        <f ca="1">IFERROR(__xludf.DUMMYFUNCTION("""COMPUTED_VALUE"""),"صيدلية (أدوية ومستلزمات طبية)")</f>
        <v>صيدلية (أدوية ومستلزمات طبية)</v>
      </c>
      <c r="G1864" s="5" t="str">
        <f ca="1">IFERROR(__xludf.DUMMYFUNCTION("""COMPUTED_VALUE"""),"صيدلية د.فادي محمد احمد ناجي (صيدلية الحجاز)")</f>
        <v>صيدلية د.فادي محمد احمد ناجي (صيدلية الحجاز)</v>
      </c>
      <c r="H1864" s="5" t="str">
        <f ca="1">IFERROR(__xludf.DUMMYFUNCTION("""COMPUTED_VALUE"""),"تقاطع شارع الثورة مع شارع المصنع بجانب التأمينات الأجتماعية (ملف عبد القوى)
")</f>
        <v xml:space="preserve">تقاطع شارع الثورة مع شارع المصنع بجانب التأمينات الأجتماعية (ملف عبد القوى)
</v>
      </c>
      <c r="I1864" s="6" t="str">
        <f ca="1">IFERROR(__xludf.DUMMYFUNCTION("""COMPUTED_VALUE"""),"0453682710")</f>
        <v>0453682710</v>
      </c>
      <c r="J1864" s="6"/>
      <c r="K1864" s="6" t="str">
        <f ca="1">IFERROR(__xludf.DUMMYFUNCTION("""COMPUTED_VALUE"""),"15%على المحلى,8% على المستورد")</f>
        <v>15%على المحلى,8% على المستورد</v>
      </c>
    </row>
    <row r="1865" spans="1:11" x14ac:dyDescent="0.25">
      <c r="A1865" s="4" t="str">
        <f ca="1">IFERROR(__xludf.DUMMYFUNCTION("""COMPUTED_VALUE"""),"106203")</f>
        <v>106203</v>
      </c>
      <c r="B1865" s="5" t="str">
        <f ca="1">IFERROR(__xludf.DUMMYFUNCTION("""COMPUTED_VALUE"""),"الشرقية")</f>
        <v>الشرقية</v>
      </c>
      <c r="C1865" s="5" t="str">
        <f ca="1">IFERROR(__xludf.DUMMYFUNCTION("""COMPUTED_VALUE"""),"الزقازيق")</f>
        <v>الزقازيق</v>
      </c>
      <c r="D1865" s="5" t="str">
        <f ca="1">IFERROR(__xludf.DUMMYFUNCTION("""COMPUTED_VALUE"""),"مركز أشعة و تحاليل")</f>
        <v>مركز أشعة و تحاليل</v>
      </c>
      <c r="E1865" s="5" t="str">
        <f ca="1">IFERROR(__xludf.DUMMYFUNCTION("""COMPUTED_VALUE""")," أشعة و تحاليل")</f>
        <v xml:space="preserve"> أشعة و تحاليل</v>
      </c>
      <c r="F1865" s="5" t="str">
        <f ca="1">IFERROR(__xludf.DUMMYFUNCTION("""COMPUTED_VALUE""")," أشعة و تحاليل")</f>
        <v xml:space="preserve"> أشعة و تحاليل</v>
      </c>
      <c r="G1865" s="5" t="str">
        <f ca="1">IFERROR(__xludf.DUMMYFUNCTION("""COMPUTED_VALUE"""),"شركة مركز لكوظ الطبي")</f>
        <v>شركة مركز لكوظ الطبي</v>
      </c>
      <c r="H1865" s="5" t="str">
        <f ca="1">IFERROR(__xludf.DUMMYFUNCTION("""COMPUTED_VALUE"""),"40 ش احمد عرابي الزقازيق-الشرقية")</f>
        <v>40 ش احمد عرابي الزقازيق-الشرقية</v>
      </c>
      <c r="I1865" s="6" t="str">
        <f ca="1">IFERROR(__xludf.DUMMYFUNCTION("""COMPUTED_VALUE"""),"1128772929")</f>
        <v>1128772929</v>
      </c>
      <c r="J1865" s="6"/>
      <c r="K1865" s="6" t="str">
        <f ca="1">IFERROR(__xludf.DUMMYFUNCTION("""COMPUTED_VALUE"""),"خصم 25% علي الاسعار المعلنة")</f>
        <v>خصم 25% علي الاسعار المعلنة</v>
      </c>
    </row>
    <row r="1866" spans="1:11" x14ac:dyDescent="0.25">
      <c r="A1866" s="4" t="str">
        <f ca="1">IFERROR(__xludf.DUMMYFUNCTION("""COMPUTED_VALUE"""),"106213-B")</f>
        <v>106213-B</v>
      </c>
      <c r="B1866" s="5" t="str">
        <f ca="1">IFERROR(__xludf.DUMMYFUNCTION("""COMPUTED_VALUE"""),"الجيزة")</f>
        <v>الجيزة</v>
      </c>
      <c r="C1866" s="5" t="str">
        <f ca="1">IFERROR(__xludf.DUMMYFUNCTION("""COMPUTED_VALUE"""),"السادس من اكتوبر")</f>
        <v>السادس من اكتوبر</v>
      </c>
      <c r="D1866" s="5" t="str">
        <f ca="1">IFERROR(__xludf.DUMMYFUNCTION("""COMPUTED_VALUE"""),"مجمع عيادات")</f>
        <v>مجمع عيادات</v>
      </c>
      <c r="E1866" s="5" t="str">
        <f ca="1">IFERROR(__xludf.DUMMYFUNCTION("""COMPUTED_VALUE"""),"جميع التخصصات")</f>
        <v>جميع التخصصات</v>
      </c>
      <c r="F1866" s="5" t="str">
        <f ca="1">IFERROR(__xludf.DUMMYFUNCTION("""COMPUTED_VALUE"""),"جميع التخصصات الطبية")</f>
        <v>جميع التخصصات الطبية</v>
      </c>
      <c r="G1866" s="5" t="str">
        <f ca="1">IFERROR(__xludf.DUMMYFUNCTION("""COMPUTED_VALUE"""),"شركة داوي لتجهيز المنشات الطبية")</f>
        <v>شركة داوي لتجهيز المنشات الطبية</v>
      </c>
      <c r="H1866" s="5" t="str">
        <f ca="1">IFERROR(__xludf.DUMMYFUNCTION("""COMPUTED_VALUE"""),"قطعه 297 المحور المركزي الحي السابع")</f>
        <v>قطعه 297 المحور المركزي الحي السابع</v>
      </c>
      <c r="I1866" s="6" t="str">
        <f ca="1">IFERROR(__xludf.DUMMYFUNCTION("""COMPUTED_VALUE"""),"01279048142")</f>
        <v>01279048142</v>
      </c>
      <c r="J1866" s="6" t="str">
        <f ca="1">IFERROR(__xludf.DUMMYFUNCTION("""COMPUTED_VALUE"""),"16850")</f>
        <v>16850</v>
      </c>
      <c r="K1866" s="6" t="str">
        <f ca="1">IFERROR(__xludf.DUMMYFUNCTION("""COMPUTED_VALUE"""),"خصم 25% علي جميع الخدمات و20% علي خدمات الاسنان")</f>
        <v>خصم 25% علي جميع الخدمات و20% علي خدمات الاسنان</v>
      </c>
    </row>
    <row r="1867" spans="1:11" x14ac:dyDescent="0.25">
      <c r="A1867" s="4" t="str">
        <f ca="1">IFERROR(__xludf.DUMMYFUNCTION("""COMPUTED_VALUE"""),"1816-B")</f>
        <v>1816-B</v>
      </c>
      <c r="B1867" s="5" t="str">
        <f ca="1">IFERROR(__xludf.DUMMYFUNCTION("""COMPUTED_VALUE"""),"مرسى مطروح")</f>
        <v>مرسى مطروح</v>
      </c>
      <c r="C1867" s="5" t="str">
        <f ca="1">IFERROR(__xludf.DUMMYFUNCTION("""COMPUTED_VALUE"""),"مرسى مطروح")</f>
        <v>مرسى مطروح</v>
      </c>
      <c r="D1867" s="5" t="str">
        <f ca="1">IFERROR(__xludf.DUMMYFUNCTION("""COMPUTED_VALUE"""),"معمل")</f>
        <v>معمل</v>
      </c>
      <c r="E1867" s="5" t="str">
        <f ca="1">IFERROR(__xludf.DUMMYFUNCTION("""COMPUTED_VALUE"""),"معمل")</f>
        <v>معمل</v>
      </c>
      <c r="F1867" s="5" t="str">
        <f ca="1">IFERROR(__xludf.DUMMYFUNCTION("""COMPUTED_VALUE"""),"معمل التحاليل الطبية")</f>
        <v>معمل التحاليل الطبية</v>
      </c>
      <c r="G1867" s="5" t="str">
        <f ca="1">IFERROR(__xludf.DUMMYFUNCTION("""COMPUTED_VALUE"""),"معامل ميترا")</f>
        <v>معامل ميترا</v>
      </c>
      <c r="H1867" s="5" t="str">
        <f ca="1">IFERROR(__xludf.DUMMYFUNCTION("""COMPUTED_VALUE"""),"20شارع( التحرير) أسكندرية – الدور التاني –برج زهره المدينه -  شقه 4  
")</f>
        <v xml:space="preserve">20شارع( التحرير) أسكندرية – الدور التاني –برج زهره المدينه -  شقه 4  
</v>
      </c>
      <c r="I1867" s="6" t="str">
        <f ca="1">IFERROR(__xludf.DUMMYFUNCTION("""COMPUTED_VALUE"""),"01006677058
")</f>
        <v xml:space="preserve">01006677058
</v>
      </c>
      <c r="J1867" s="6" t="str">
        <f ca="1">IFERROR(__xludf.DUMMYFUNCTION("""COMPUTED_VALUE"""),"15232")</f>
        <v>15232</v>
      </c>
      <c r="K1867" s="6" t="str">
        <f ca="1">IFERROR(__xludf.DUMMYFUNCTION("""COMPUTED_VALUE"""),"خصم 40% علي الاسعار النقدي")</f>
        <v>خصم 40% علي الاسعار النقدي</v>
      </c>
    </row>
    <row r="1868" spans="1:11" x14ac:dyDescent="0.25">
      <c r="A1868" s="4" t="str">
        <f ca="1">IFERROR(__xludf.DUMMYFUNCTION("""COMPUTED_VALUE"""),"1816-B")</f>
        <v>1816-B</v>
      </c>
      <c r="B1868" s="5" t="str">
        <f ca="1">IFERROR(__xludf.DUMMYFUNCTION("""COMPUTED_VALUE"""),"الغربية")</f>
        <v>الغربية</v>
      </c>
      <c r="C1868" s="5" t="str">
        <f ca="1">IFERROR(__xludf.DUMMYFUNCTION("""COMPUTED_VALUE"""),"طنطا")</f>
        <v>طنطا</v>
      </c>
      <c r="D1868" s="5" t="str">
        <f ca="1">IFERROR(__xludf.DUMMYFUNCTION("""COMPUTED_VALUE"""),"معمل")</f>
        <v>معمل</v>
      </c>
      <c r="E1868" s="5" t="str">
        <f ca="1">IFERROR(__xludf.DUMMYFUNCTION("""COMPUTED_VALUE"""),"معمل")</f>
        <v>معمل</v>
      </c>
      <c r="F1868" s="5" t="str">
        <f ca="1">IFERROR(__xludf.DUMMYFUNCTION("""COMPUTED_VALUE"""),"معمل التحاليل الطبية")</f>
        <v>معمل التحاليل الطبية</v>
      </c>
      <c r="G1868" s="5" t="str">
        <f ca="1">IFERROR(__xludf.DUMMYFUNCTION("""COMPUTED_VALUE"""),"معامل ميترا")</f>
        <v>معامل ميترا</v>
      </c>
      <c r="H1868" s="5" t="str">
        <f ca="1">IFERROR(__xludf.DUMMYFUNCTION("""COMPUTED_VALUE"""),"سيرباي – الدور الرابع برج لاند مارك فوق كشري عدس      
")</f>
        <v xml:space="preserve">سيرباي – الدور الرابع برج لاند مارك فوق كشري عدس      
</v>
      </c>
      <c r="I1868" s="6" t="str">
        <f ca="1">IFERROR(__xludf.DUMMYFUNCTION("""COMPUTED_VALUE"""),"201099719959")</f>
        <v>201099719959</v>
      </c>
      <c r="J1868" s="6" t="str">
        <f ca="1">IFERROR(__xludf.DUMMYFUNCTION("""COMPUTED_VALUE"""),"15232")</f>
        <v>15232</v>
      </c>
      <c r="K1868" s="6" t="str">
        <f ca="1">IFERROR(__xludf.DUMMYFUNCTION("""COMPUTED_VALUE"""),"خصم 40% علي الاسعار النقدي")</f>
        <v>خصم 40% علي الاسعار النقدي</v>
      </c>
    </row>
    <row r="1869" spans="1:11" x14ac:dyDescent="0.25">
      <c r="A1869" s="4" t="str">
        <f ca="1">IFERROR(__xludf.DUMMYFUNCTION("""COMPUTED_VALUE"""),"1816-B")</f>
        <v>1816-B</v>
      </c>
      <c r="B1869" s="5" t="str">
        <f ca="1">IFERROR(__xludf.DUMMYFUNCTION("""COMPUTED_VALUE"""),"الشرقية")</f>
        <v>الشرقية</v>
      </c>
      <c r="C1869" s="5" t="str">
        <f ca="1">IFERROR(__xludf.DUMMYFUNCTION("""COMPUTED_VALUE"""),"فاقوس")</f>
        <v>فاقوس</v>
      </c>
      <c r="D1869" s="5" t="str">
        <f ca="1">IFERROR(__xludf.DUMMYFUNCTION("""COMPUTED_VALUE"""),"معمل")</f>
        <v>معمل</v>
      </c>
      <c r="E1869" s="5" t="str">
        <f ca="1">IFERROR(__xludf.DUMMYFUNCTION("""COMPUTED_VALUE"""),"معمل")</f>
        <v>معمل</v>
      </c>
      <c r="F1869" s="5" t="str">
        <f ca="1">IFERROR(__xludf.DUMMYFUNCTION("""COMPUTED_VALUE"""),"معمل التحاليل الطبية")</f>
        <v>معمل التحاليل الطبية</v>
      </c>
      <c r="G1869" s="5" t="str">
        <f ca="1">IFERROR(__xludf.DUMMYFUNCTION("""COMPUTED_VALUE"""),"معامل ميترا")</f>
        <v>معامل ميترا</v>
      </c>
      <c r="H1869" s="5" t="str">
        <f ca="1">IFERROR(__xludf.DUMMYFUNCTION("""COMPUTED_VALUE"""),"شارع الثوره امام الخواطره الطبي – الدور التاني
")</f>
        <v xml:space="preserve">شارع الثوره امام الخواطره الطبي – الدور التاني
</v>
      </c>
      <c r="I1869" s="6" t="str">
        <f ca="1">IFERROR(__xludf.DUMMYFUNCTION("""COMPUTED_VALUE"""),"201098811928")</f>
        <v>201098811928</v>
      </c>
      <c r="J1869" s="6" t="str">
        <f ca="1">IFERROR(__xludf.DUMMYFUNCTION("""COMPUTED_VALUE"""),"15232")</f>
        <v>15232</v>
      </c>
      <c r="K1869" s="6" t="str">
        <f ca="1">IFERROR(__xludf.DUMMYFUNCTION("""COMPUTED_VALUE"""),"خصم 40% علي الاسعار النقدي")</f>
        <v>خصم 40% علي الاسعار النقدي</v>
      </c>
    </row>
    <row r="1870" spans="1:11" x14ac:dyDescent="0.25">
      <c r="A1870" s="4" t="str">
        <f ca="1">IFERROR(__xludf.DUMMYFUNCTION("""COMPUTED_VALUE"""),"106239")</f>
        <v>106239</v>
      </c>
      <c r="B1870" s="5" t="str">
        <f ca="1">IFERROR(__xludf.DUMMYFUNCTION("""COMPUTED_VALUE"""),"الدقهلية")</f>
        <v>الدقهلية</v>
      </c>
      <c r="C1870" s="5" t="str">
        <f ca="1">IFERROR(__xludf.DUMMYFUNCTION("""COMPUTED_VALUE"""),"ميت غمر")</f>
        <v>ميت غمر</v>
      </c>
      <c r="D1870" s="5" t="str">
        <f ca="1">IFERROR(__xludf.DUMMYFUNCTION("""COMPUTED_VALUE"""),"صيدلية")</f>
        <v>صيدلية</v>
      </c>
      <c r="E1870" s="5" t="str">
        <f ca="1">IFERROR(__xludf.DUMMYFUNCTION("""COMPUTED_VALUE"""),"صيدلية")</f>
        <v>صيدلية</v>
      </c>
      <c r="F1870" s="5" t="str">
        <f ca="1">IFERROR(__xludf.DUMMYFUNCTION("""COMPUTED_VALUE"""),"صيدلية (أدوية ومستلزمات طبية)")</f>
        <v>صيدلية (أدوية ومستلزمات طبية)</v>
      </c>
      <c r="G1870" s="5" t="str">
        <f ca="1">IFERROR(__xludf.DUMMYFUNCTION("""COMPUTED_VALUE"""),"صيدلية أحمد يوسف محمد السيد عبده")</f>
        <v>صيدلية أحمد يوسف محمد السيد عبده</v>
      </c>
      <c r="H1870" s="5" t="str">
        <f ca="1">IFERROR(__xludf.DUMMYFUNCTION("""COMPUTED_VALUE"""),"ميت غمر-ش النبي دانيال-ش مكة المكرمة-منزل محمد محمود")</f>
        <v>ميت غمر-ش النبي دانيال-ش مكة المكرمة-منزل محمد محمود</v>
      </c>
      <c r="I1870" s="6" t="str">
        <f ca="1">IFERROR(__xludf.DUMMYFUNCTION("""COMPUTED_VALUE"""),"1013731762")</f>
        <v>1013731762</v>
      </c>
      <c r="J1870" s="6"/>
      <c r="K1870" s="6" t="str">
        <f ca="1">IFERROR(__xludf.DUMMYFUNCTION("""COMPUTED_VALUE"""),"خصم 17% علي جميع الادوية")</f>
        <v>خصم 17% علي جميع الادوية</v>
      </c>
    </row>
    <row r="1871" spans="1:11" x14ac:dyDescent="0.25">
      <c r="A1871" s="4" t="str">
        <f ca="1">IFERROR(__xludf.DUMMYFUNCTION("""COMPUTED_VALUE"""),"106255")</f>
        <v>106255</v>
      </c>
      <c r="B1871" s="5" t="str">
        <f ca="1">IFERROR(__xludf.DUMMYFUNCTION("""COMPUTED_VALUE"""),"أسيوط")</f>
        <v>أسيوط</v>
      </c>
      <c r="C1871" s="5" t="str">
        <f ca="1">IFERROR(__xludf.DUMMYFUNCTION("""COMPUTED_VALUE"""),"أسيوط")</f>
        <v>أسيوط</v>
      </c>
      <c r="D1871" s="5" t="str">
        <f ca="1">IFERROR(__xludf.DUMMYFUNCTION("""COMPUTED_VALUE"""),"مستشفى")</f>
        <v>مستشفى</v>
      </c>
      <c r="E1871" s="5" t="str">
        <f ca="1">IFERROR(__xludf.DUMMYFUNCTION("""COMPUTED_VALUE"""),"مستشفي طبي متكامل")</f>
        <v>مستشفي طبي متكامل</v>
      </c>
      <c r="F1871" s="5" t="str">
        <f ca="1">IFERROR(__xludf.DUMMYFUNCTION("""COMPUTED_VALUE"""),"جميع التخصصات الطبية")</f>
        <v>جميع التخصصات الطبية</v>
      </c>
      <c r="G1871" s="5" t="str">
        <f ca="1">IFERROR(__xludf.DUMMYFUNCTION("""COMPUTED_VALUE"""),"مستشفى الرواد أسيوط التخصصي")</f>
        <v>مستشفى الرواد أسيوط التخصصي</v>
      </c>
      <c r="H1871" s="5" t="str">
        <f ca="1">IFERROR(__xludf.DUMMYFUNCTION("""COMPUTED_VALUE"""),"13 شارع التحرير بجوار مدرسة الفرنسيسكان- أسيوط")</f>
        <v>13 شارع التحرير بجوار مدرسة الفرنسيسكان- أسيوط</v>
      </c>
      <c r="I1871" s="6" t="str">
        <f ca="1">IFERROR(__xludf.DUMMYFUNCTION("""COMPUTED_VALUE"""),"01020002207")</f>
        <v>01020002207</v>
      </c>
      <c r="J1871" s="6"/>
      <c r="K1871" s="6" t="str">
        <f ca="1">IFERROR(__xludf.DUMMYFUNCTION("""COMPUTED_VALUE"""),"خصم 30% علي الاسعار النقدي المعلنة")</f>
        <v>خصم 30% علي الاسعار النقدي المعلنة</v>
      </c>
    </row>
    <row r="1872" spans="1:11" x14ac:dyDescent="0.25">
      <c r="A1872" s="4" t="str">
        <f ca="1">IFERROR(__xludf.DUMMYFUNCTION("""COMPUTED_VALUE"""),"2911-B")</f>
        <v>2911-B</v>
      </c>
      <c r="B1872" s="5" t="str">
        <f ca="1">IFERROR(__xludf.DUMMYFUNCTION("""COMPUTED_VALUE"""),"البحيرة")</f>
        <v>البحيرة</v>
      </c>
      <c r="C1872" s="5" t="str">
        <f ca="1">IFERROR(__xludf.DUMMYFUNCTION("""COMPUTED_VALUE"""),"النوبارية")</f>
        <v>النوبارية</v>
      </c>
      <c r="D1872" s="5" t="str">
        <f ca="1">IFERROR(__xludf.DUMMYFUNCTION("""COMPUTED_VALUE"""),"معمل")</f>
        <v>معمل</v>
      </c>
      <c r="E1872" s="5" t="str">
        <f ca="1">IFERROR(__xludf.DUMMYFUNCTION("""COMPUTED_VALUE"""),"معمل")</f>
        <v>معمل</v>
      </c>
      <c r="F1872" s="5" t="str">
        <f ca="1">IFERROR(__xludf.DUMMYFUNCTION("""COMPUTED_VALUE"""),"معمل التحاليل الطبية")</f>
        <v>معمل التحاليل الطبية</v>
      </c>
      <c r="G1872" s="5" t="str">
        <f ca="1">IFERROR(__xludf.DUMMYFUNCTION("""COMPUTED_VALUE"""),"معامل البرج")</f>
        <v>معامل البرج</v>
      </c>
      <c r="H1872" s="5" t="str">
        <f ca="1">IFERROR(__xludf.DUMMYFUNCTION("""COMPUTED_VALUE"""),"9 مول وردة الصحراء 80 كم طريق القاهرة الإسكندرية النوبارية الجديدة
")</f>
        <v xml:space="preserve">9 مول وردة الصحراء 80 كم طريق القاهرة الإسكندرية النوبارية الجديدة
</v>
      </c>
      <c r="I1872" s="6"/>
      <c r="J1872" s="6" t="str">
        <f ca="1">IFERROR(__xludf.DUMMYFUNCTION("""COMPUTED_VALUE"""),"19911")</f>
        <v>19911</v>
      </c>
      <c r="K1872" s="6" t="str">
        <f ca="1">IFERROR(__xludf.DUMMYFUNCTION("""COMPUTED_VALUE"""),"20% على جميع الخدمات")</f>
        <v>20% على جميع الخدمات</v>
      </c>
    </row>
    <row r="1873" spans="1:11" x14ac:dyDescent="0.25">
      <c r="A1873" s="4" t="str">
        <f ca="1">IFERROR(__xludf.DUMMYFUNCTION("""COMPUTED_VALUE"""),"2911-B")</f>
        <v>2911-B</v>
      </c>
      <c r="B1873" s="5" t="str">
        <f ca="1">IFERROR(__xludf.DUMMYFUNCTION("""COMPUTED_VALUE"""),"الجيزة")</f>
        <v>الجيزة</v>
      </c>
      <c r="C1873" s="5" t="str">
        <f ca="1">IFERROR(__xludf.DUMMYFUNCTION("""COMPUTED_VALUE"""),"العمرانية")</f>
        <v>العمرانية</v>
      </c>
      <c r="D1873" s="5" t="str">
        <f ca="1">IFERROR(__xludf.DUMMYFUNCTION("""COMPUTED_VALUE"""),"معمل")</f>
        <v>معمل</v>
      </c>
      <c r="E1873" s="5" t="str">
        <f ca="1">IFERROR(__xludf.DUMMYFUNCTION("""COMPUTED_VALUE"""),"معمل")</f>
        <v>معمل</v>
      </c>
      <c r="F1873" s="5" t="str">
        <f ca="1">IFERROR(__xludf.DUMMYFUNCTION("""COMPUTED_VALUE"""),"معمل التحاليل الطبية")</f>
        <v>معمل التحاليل الطبية</v>
      </c>
      <c r="G1873" s="5" t="str">
        <f ca="1">IFERROR(__xludf.DUMMYFUNCTION("""COMPUTED_VALUE"""),"معامل البرج")</f>
        <v>معامل البرج</v>
      </c>
      <c r="H1873" s="5" t="str">
        <f ca="1">IFERROR(__xludf.DUMMYFUNCTION("""COMPUTED_VALUE"""),"57 ش خاتم المرسلين، العمرانية بجوار تلي مصر
")</f>
        <v xml:space="preserve">57 ش خاتم المرسلين، العمرانية بجوار تلي مصر
</v>
      </c>
      <c r="I1873" s="6"/>
      <c r="J1873" s="6" t="str">
        <f ca="1">IFERROR(__xludf.DUMMYFUNCTION("""COMPUTED_VALUE"""),"19911")</f>
        <v>19911</v>
      </c>
      <c r="K1873" s="6" t="str">
        <f ca="1">IFERROR(__xludf.DUMMYFUNCTION("""COMPUTED_VALUE"""),"20% على جميع الخدمات")</f>
        <v>20% على جميع الخدمات</v>
      </c>
    </row>
    <row r="1874" spans="1:11" x14ac:dyDescent="0.25">
      <c r="A1874" s="4" t="str">
        <f ca="1">IFERROR(__xludf.DUMMYFUNCTION("""COMPUTED_VALUE"""),"2273-B")</f>
        <v>2273-B</v>
      </c>
      <c r="B1874" s="5" t="str">
        <f ca="1">IFERROR(__xludf.DUMMYFUNCTION("""COMPUTED_VALUE"""),"القاهرة")</f>
        <v>القاهرة</v>
      </c>
      <c r="C1874" s="5" t="str">
        <f ca="1">IFERROR(__xludf.DUMMYFUNCTION("""COMPUTED_VALUE"""),"المعادى")</f>
        <v>المعادى</v>
      </c>
      <c r="D1874" s="5" t="str">
        <f ca="1">IFERROR(__xludf.DUMMYFUNCTION("""COMPUTED_VALUE"""),"مركز أشعة")</f>
        <v>مركز أشعة</v>
      </c>
      <c r="E1874" s="5" t="str">
        <f ca="1">IFERROR(__xludf.DUMMYFUNCTION("""COMPUTED_VALUE"""),"مركز أشعة")</f>
        <v>مركز أشعة</v>
      </c>
      <c r="F1874" s="5" t="str">
        <f ca="1">IFERROR(__xludf.DUMMYFUNCTION("""COMPUTED_VALUE"""),"مركز الأشعة التشخيصية")</f>
        <v>مركز الأشعة التشخيصية</v>
      </c>
      <c r="G1874" s="5" t="str">
        <f ca="1">IFERROR(__xludf.DUMMYFUNCTION("""COMPUTED_VALUE"""),"تكنوسكان")</f>
        <v>تكنوسكان</v>
      </c>
      <c r="H1874" s="5" t="str">
        <f ca="1">IFERROR(__xludf.DUMMYFUNCTION("""COMPUTED_VALUE"""),"عماره 15 ابراج بدر مدينه الزهور الطريق الدائري بجوار كارفور المعادي")</f>
        <v>عماره 15 ابراج بدر مدينه الزهور الطريق الدائري بجوار كارفور المعادي</v>
      </c>
      <c r="I1874" s="6"/>
      <c r="J1874" s="6" t="str">
        <f ca="1">IFERROR(__xludf.DUMMYFUNCTION("""COMPUTED_VALUE"""),"19989")</f>
        <v>19989</v>
      </c>
      <c r="K1874" s="6" t="str">
        <f ca="1">IFERROR(__xludf.DUMMYFUNCTION("""COMPUTED_VALUE"""),"29% على جميع الخدمات")</f>
        <v>29% على جميع الخدمات</v>
      </c>
    </row>
    <row r="1875" spans="1:11" x14ac:dyDescent="0.25">
      <c r="A1875" s="4" t="str">
        <f ca="1">IFERROR(__xludf.DUMMYFUNCTION("""COMPUTED_VALUE"""),"3798-B")</f>
        <v>3798-B</v>
      </c>
      <c r="B1875" s="5" t="str">
        <f ca="1">IFERROR(__xludf.DUMMYFUNCTION("""COMPUTED_VALUE"""),"الجيزة")</f>
        <v>الجيزة</v>
      </c>
      <c r="C1875" s="5" t="str">
        <f ca="1">IFERROR(__xludf.DUMMYFUNCTION("""COMPUTED_VALUE"""),"فيصل")</f>
        <v>فيصل</v>
      </c>
      <c r="D1875" s="5" t="str">
        <f ca="1">IFERROR(__xludf.DUMMYFUNCTION("""COMPUTED_VALUE"""),"معمل")</f>
        <v>معمل</v>
      </c>
      <c r="E1875" s="5" t="str">
        <f ca="1">IFERROR(__xludf.DUMMYFUNCTION("""COMPUTED_VALUE"""),"معمل")</f>
        <v>معمل</v>
      </c>
      <c r="F1875" s="5" t="str">
        <f ca="1">IFERROR(__xludf.DUMMYFUNCTION("""COMPUTED_VALUE"""),"معمل التحاليل الطبية")</f>
        <v>معمل التحاليل الطبية</v>
      </c>
      <c r="G1875" s="5" t="str">
        <f ca="1">IFERROR(__xludf.DUMMYFUNCTION("""COMPUTED_VALUE"""),"معمل الدكتورة/ أمينة حساب")</f>
        <v>معمل الدكتورة/ أمينة حساب</v>
      </c>
      <c r="H1875" s="5" t="str">
        <f ca="1">IFERROR(__xludf.DUMMYFUNCTION("""COMPUTED_VALUE"""),"109 مكرر شارع الملك فيصل الرئيسي أمام مستشفى الجابري أعلى حلوانى بلبن")</f>
        <v>109 مكرر شارع الملك فيصل الرئيسي أمام مستشفى الجابري أعلى حلوانى بلبن</v>
      </c>
      <c r="I1875" s="6"/>
      <c r="J1875" s="6" t="str">
        <f ca="1">IFERROR(__xludf.DUMMYFUNCTION("""COMPUTED_VALUE"""),"16987")</f>
        <v>16987</v>
      </c>
      <c r="K1875" s="6" t="str">
        <f ca="1">IFERROR(__xludf.DUMMYFUNCTION("""COMPUTED_VALUE"""),"30% على جميع الخدمات         ")</f>
        <v xml:space="preserve">30% على جميع الخدمات         </v>
      </c>
    </row>
    <row r="1876" spans="1:11" x14ac:dyDescent="0.25">
      <c r="A1876" s="4" t="str">
        <f ca="1">IFERROR(__xludf.DUMMYFUNCTION("""COMPUTED_VALUE"""),"3798-B")</f>
        <v>3798-B</v>
      </c>
      <c r="B1876" s="5" t="str">
        <f ca="1">IFERROR(__xludf.DUMMYFUNCTION("""COMPUTED_VALUE"""),"الجيزة")</f>
        <v>الجيزة</v>
      </c>
      <c r="C1876" s="5" t="str">
        <f ca="1">IFERROR(__xludf.DUMMYFUNCTION("""COMPUTED_VALUE"""),"الجيزة")</f>
        <v>الجيزة</v>
      </c>
      <c r="D1876" s="5" t="str">
        <f ca="1">IFERROR(__xludf.DUMMYFUNCTION("""COMPUTED_VALUE"""),"معمل")</f>
        <v>معمل</v>
      </c>
      <c r="E1876" s="5" t="str">
        <f ca="1">IFERROR(__xludf.DUMMYFUNCTION("""COMPUTED_VALUE"""),"معمل")</f>
        <v>معمل</v>
      </c>
      <c r="F1876" s="5" t="str">
        <f ca="1">IFERROR(__xludf.DUMMYFUNCTION("""COMPUTED_VALUE"""),"معمل التحاليل الطبية")</f>
        <v>معمل التحاليل الطبية</v>
      </c>
      <c r="G1876" s="5" t="str">
        <f ca="1">IFERROR(__xludf.DUMMYFUNCTION("""COMPUTED_VALUE"""),"معمل الدكتورة/ أمينة حساب")</f>
        <v>معمل الدكتورة/ أمينة حساب</v>
      </c>
      <c r="H1876" s="5" t="str">
        <f ca="1">IFERROR(__xludf.DUMMYFUNCTION("""COMPUTED_VALUE"""),"ميدان الجيزة - عمارة النصر - أعلى بنك مصر
")</f>
        <v xml:space="preserve">ميدان الجيزة - عمارة النصر - أعلى بنك مصر
</v>
      </c>
      <c r="I1876" s="6"/>
      <c r="J1876" s="6" t="str">
        <f ca="1">IFERROR(__xludf.DUMMYFUNCTION("""COMPUTED_VALUE"""),"16987")</f>
        <v>16987</v>
      </c>
      <c r="K1876" s="6" t="str">
        <f ca="1">IFERROR(__xludf.DUMMYFUNCTION("""COMPUTED_VALUE"""),"30% على جميع الخدمات         ")</f>
        <v xml:space="preserve">30% على جميع الخدمات         </v>
      </c>
    </row>
    <row r="1877" spans="1:11" x14ac:dyDescent="0.25">
      <c r="A1877" s="4" t="str">
        <f ca="1">IFERROR(__xludf.DUMMYFUNCTION("""COMPUTED_VALUE"""),"3798-B")</f>
        <v>3798-B</v>
      </c>
      <c r="B1877" s="5" t="str">
        <f ca="1">IFERROR(__xludf.DUMMYFUNCTION("""COMPUTED_VALUE"""),"الشرقية")</f>
        <v>الشرقية</v>
      </c>
      <c r="C1877" s="5" t="str">
        <f ca="1">IFERROR(__xludf.DUMMYFUNCTION("""COMPUTED_VALUE"""),"العاشر من رمضان")</f>
        <v>العاشر من رمضان</v>
      </c>
      <c r="D1877" s="5" t="str">
        <f ca="1">IFERROR(__xludf.DUMMYFUNCTION("""COMPUTED_VALUE"""),"معمل")</f>
        <v>معمل</v>
      </c>
      <c r="E1877" s="5" t="str">
        <f ca="1">IFERROR(__xludf.DUMMYFUNCTION("""COMPUTED_VALUE"""),"معمل")</f>
        <v>معمل</v>
      </c>
      <c r="F1877" s="5" t="str">
        <f ca="1">IFERROR(__xludf.DUMMYFUNCTION("""COMPUTED_VALUE"""),"معمل التحاليل الطبية")</f>
        <v>معمل التحاليل الطبية</v>
      </c>
      <c r="G1877" s="5" t="str">
        <f ca="1">IFERROR(__xludf.DUMMYFUNCTION("""COMPUTED_VALUE"""),"معمل الدكتورة/ أمينة حساب")</f>
        <v>معمل الدكتورة/ أمينة حساب</v>
      </c>
      <c r="H1877" s="5" t="str">
        <f ca="1">IFERROR(__xludf.DUMMYFUNCTION("""COMPUTED_VALUE"""),"مركز أبو النجا التجارى بجوار مول الدوحة - الأردنية")</f>
        <v>مركز أبو النجا التجارى بجوار مول الدوحة - الأردنية</v>
      </c>
      <c r="I1877" s="6"/>
      <c r="J1877" s="6" t="str">
        <f ca="1">IFERROR(__xludf.DUMMYFUNCTION("""COMPUTED_VALUE"""),"16987")</f>
        <v>16987</v>
      </c>
      <c r="K1877" s="6" t="str">
        <f ca="1">IFERROR(__xludf.DUMMYFUNCTION("""COMPUTED_VALUE"""),"30% على جميع الخدمات         ")</f>
        <v xml:space="preserve">30% على جميع الخدمات         </v>
      </c>
    </row>
    <row r="1878" spans="1:11" x14ac:dyDescent="0.25">
      <c r="A1878" s="4" t="str">
        <f ca="1">IFERROR(__xludf.DUMMYFUNCTION("""COMPUTED_VALUE"""),"106078-B")</f>
        <v>106078-B</v>
      </c>
      <c r="B1878" s="5" t="str">
        <f ca="1">IFERROR(__xludf.DUMMYFUNCTION("""COMPUTED_VALUE"""),"الدقهلية")</f>
        <v>الدقهلية</v>
      </c>
      <c r="C1878" s="5" t="str">
        <f ca="1">IFERROR(__xludf.DUMMYFUNCTION("""COMPUTED_VALUE"""),"شربين")</f>
        <v>شربين</v>
      </c>
      <c r="D1878" s="5" t="str">
        <f ca="1">IFERROR(__xludf.DUMMYFUNCTION("""COMPUTED_VALUE"""),"صيدلية")</f>
        <v>صيدلية</v>
      </c>
      <c r="E1878" s="5" t="str">
        <f ca="1">IFERROR(__xludf.DUMMYFUNCTION("""COMPUTED_VALUE"""),"صيدلية")</f>
        <v>صيدلية</v>
      </c>
      <c r="F1878" s="5" t="str">
        <f ca="1">IFERROR(__xludf.DUMMYFUNCTION("""COMPUTED_VALUE"""),"صيدلية (أدوية ومستلزمات طبية)")</f>
        <v>صيدلية (أدوية ومستلزمات طبية)</v>
      </c>
      <c r="G1878" s="5" t="str">
        <f ca="1">IFERROR(__xludf.DUMMYFUNCTION("""COMPUTED_VALUE"""),"صيدلية د.محمد حامد علي الدنف")</f>
        <v>صيدلية د.محمد حامد علي الدنف</v>
      </c>
      <c r="H1878" s="5" t="str">
        <f ca="1">IFERROR(__xludf.DUMMYFUNCTION("""COMPUTED_VALUE"""),"شربين بجوار مسجد عصر امام التامينات")</f>
        <v>شربين بجوار مسجد عصر امام التامينات</v>
      </c>
      <c r="I1878" s="6" t="str">
        <f ca="1">IFERROR(__xludf.DUMMYFUNCTION("""COMPUTED_VALUE"""),"0507932601 ")</f>
        <v xml:space="preserve">0507932601 </v>
      </c>
      <c r="J1878" s="6"/>
      <c r="K1878" s="6" t="str">
        <f ca="1">IFERROR(__xludf.DUMMYFUNCTION("""COMPUTED_VALUE"""),"خصم 15% علي المحلي و 14% علي المستورد")</f>
        <v>خصم 15% علي المحلي و 14% علي المستورد</v>
      </c>
    </row>
    <row r="1879" spans="1:11" x14ac:dyDescent="0.25">
      <c r="A1879" s="4" t="str">
        <f ca="1">IFERROR(__xludf.DUMMYFUNCTION("""COMPUTED_VALUE"""),"106078-B")</f>
        <v>106078-B</v>
      </c>
      <c r="B1879" s="5" t="str">
        <f ca="1">IFERROR(__xludf.DUMMYFUNCTION("""COMPUTED_VALUE"""),"الدقهلية")</f>
        <v>الدقهلية</v>
      </c>
      <c r="C1879" s="5" t="str">
        <f ca="1">IFERROR(__xludf.DUMMYFUNCTION("""COMPUTED_VALUE"""),"شربين")</f>
        <v>شربين</v>
      </c>
      <c r="D1879" s="5" t="str">
        <f ca="1">IFERROR(__xludf.DUMMYFUNCTION("""COMPUTED_VALUE"""),"صيدلية")</f>
        <v>صيدلية</v>
      </c>
      <c r="E1879" s="5" t="str">
        <f ca="1">IFERROR(__xludf.DUMMYFUNCTION("""COMPUTED_VALUE"""),"صيدلية")</f>
        <v>صيدلية</v>
      </c>
      <c r="F1879" s="5" t="str">
        <f ca="1">IFERROR(__xludf.DUMMYFUNCTION("""COMPUTED_VALUE"""),"صيدلية (أدوية ومستلزمات طبية)")</f>
        <v>صيدلية (أدوية ومستلزمات طبية)</v>
      </c>
      <c r="G1879" s="5" t="str">
        <f ca="1">IFERROR(__xludf.DUMMYFUNCTION("""COMPUTED_VALUE"""),"صيدلية د.محمد حامد علي الدنف")</f>
        <v>صيدلية د.محمد حامد علي الدنف</v>
      </c>
      <c r="H1879" s="5" t="str">
        <f ca="1">IFERROR(__xludf.DUMMYFUNCTION("""COMPUTED_VALUE"""),"شربين محله انجاق بجوار الجامع الكبير")</f>
        <v>شربين محله انجاق بجوار الجامع الكبير</v>
      </c>
      <c r="I1879" s="6" t="str">
        <f ca="1">IFERROR(__xludf.DUMMYFUNCTION("""COMPUTED_VALUE"""),"0503937814")</f>
        <v>0503937814</v>
      </c>
      <c r="J1879" s="6"/>
      <c r="K1879" s="6" t="str">
        <f ca="1">IFERROR(__xludf.DUMMYFUNCTION("""COMPUTED_VALUE"""),"خصم 15% علي المحلي و 14% علي المستورد")</f>
        <v>خصم 15% علي المحلي و 14% علي المستورد</v>
      </c>
    </row>
    <row r="1880" spans="1:11" x14ac:dyDescent="0.25">
      <c r="A1880" s="4" t="str">
        <f ca="1">IFERROR(__xludf.DUMMYFUNCTION("""COMPUTED_VALUE"""),"106078-B")</f>
        <v>106078-B</v>
      </c>
      <c r="B1880" s="5" t="str">
        <f ca="1">IFERROR(__xludf.DUMMYFUNCTION("""COMPUTED_VALUE"""),"الدقهلية")</f>
        <v>الدقهلية</v>
      </c>
      <c r="C1880" s="5" t="str">
        <f ca="1">IFERROR(__xludf.DUMMYFUNCTION("""COMPUTED_VALUE"""),"شربين")</f>
        <v>شربين</v>
      </c>
      <c r="D1880" s="5" t="str">
        <f ca="1">IFERROR(__xludf.DUMMYFUNCTION("""COMPUTED_VALUE"""),"صيدلية")</f>
        <v>صيدلية</v>
      </c>
      <c r="E1880" s="5" t="str">
        <f ca="1">IFERROR(__xludf.DUMMYFUNCTION("""COMPUTED_VALUE"""),"صيدلية")</f>
        <v>صيدلية</v>
      </c>
      <c r="F1880" s="5" t="str">
        <f ca="1">IFERROR(__xludf.DUMMYFUNCTION("""COMPUTED_VALUE"""),"صيدلية (أدوية ومستلزمات طبية)")</f>
        <v>صيدلية (أدوية ومستلزمات طبية)</v>
      </c>
      <c r="G1880" s="5" t="str">
        <f ca="1">IFERROR(__xludf.DUMMYFUNCTION("""COMPUTED_VALUE"""),"صيدلية د.محمد حامد علي الدنف")</f>
        <v>صيدلية د.محمد حامد علي الدنف</v>
      </c>
      <c r="H1880" s="5" t="str">
        <f ca="1">IFERROR(__xludf.DUMMYFUNCTION("""COMPUTED_VALUE"""),"شربين محله انجاق طريق شربين المنصوره بجوار الحاج فؤاد
")</f>
        <v xml:space="preserve">شربين محله انجاق طريق شربين المنصوره بجوار الحاج فؤاد
</v>
      </c>
      <c r="I1880" s="6" t="str">
        <f ca="1">IFERROR(__xludf.DUMMYFUNCTION("""COMPUTED_VALUE"""),"0503936539")</f>
        <v>0503936539</v>
      </c>
      <c r="J1880" s="6"/>
      <c r="K1880" s="6" t="str">
        <f ca="1">IFERROR(__xludf.DUMMYFUNCTION("""COMPUTED_VALUE"""),"خصم 15% علي المحلي و 14% علي المستورد")</f>
        <v>خصم 15% علي المحلي و 14% علي المستورد</v>
      </c>
    </row>
    <row r="1881" spans="1:11" x14ac:dyDescent="0.25">
      <c r="A1881" s="4" t="str">
        <f ca="1">IFERROR(__xludf.DUMMYFUNCTION("""COMPUTED_VALUE"""),"106078-B")</f>
        <v>106078-B</v>
      </c>
      <c r="B1881" s="5" t="str">
        <f ca="1">IFERROR(__xludf.DUMMYFUNCTION("""COMPUTED_VALUE"""),"الدقهلية")</f>
        <v>الدقهلية</v>
      </c>
      <c r="C1881" s="5" t="str">
        <f ca="1">IFERROR(__xludf.DUMMYFUNCTION("""COMPUTED_VALUE"""),"شربين")</f>
        <v>شربين</v>
      </c>
      <c r="D1881" s="5" t="str">
        <f ca="1">IFERROR(__xludf.DUMMYFUNCTION("""COMPUTED_VALUE"""),"صيدلية")</f>
        <v>صيدلية</v>
      </c>
      <c r="E1881" s="5" t="str">
        <f ca="1">IFERROR(__xludf.DUMMYFUNCTION("""COMPUTED_VALUE"""),"صيدلية")</f>
        <v>صيدلية</v>
      </c>
      <c r="F1881" s="5" t="str">
        <f ca="1">IFERROR(__xludf.DUMMYFUNCTION("""COMPUTED_VALUE"""),"صيدلية (أدوية ومستلزمات طبية)")</f>
        <v>صيدلية (أدوية ومستلزمات طبية)</v>
      </c>
      <c r="G1881" s="5" t="str">
        <f ca="1">IFERROR(__xludf.DUMMYFUNCTION("""COMPUTED_VALUE"""),"صيدلية د.محمد حامد علي الدنف")</f>
        <v>صيدلية د.محمد حامد علي الدنف</v>
      </c>
      <c r="H1881" s="5" t="str">
        <f ca="1">IFERROR(__xludf.DUMMYFUNCTION("""COMPUTED_VALUE"""),"محله انجاق  طريق شربين المنصوره ")</f>
        <v xml:space="preserve">محله انجاق  طريق شربين المنصوره </v>
      </c>
      <c r="I1881" s="6" t="str">
        <f ca="1">IFERROR(__xludf.DUMMYFUNCTION("""COMPUTED_VALUE"""),"0503923216")</f>
        <v>0503923216</v>
      </c>
      <c r="J1881" s="6"/>
      <c r="K1881" s="6" t="str">
        <f ca="1">IFERROR(__xludf.DUMMYFUNCTION("""COMPUTED_VALUE"""),"خصم 15% علي المحلي و 14% علي المستورد")</f>
        <v>خصم 15% علي المحلي و 14% علي المستورد</v>
      </c>
    </row>
    <row r="1882" spans="1:11" x14ac:dyDescent="0.25">
      <c r="A1882" s="4" t="str">
        <f ca="1">IFERROR(__xludf.DUMMYFUNCTION("""COMPUTED_VALUE"""),"106333")</f>
        <v>106333</v>
      </c>
      <c r="B1882" s="5" t="str">
        <f ca="1">IFERROR(__xludf.DUMMYFUNCTION("""COMPUTED_VALUE"""),"الغربية")</f>
        <v>الغربية</v>
      </c>
      <c r="C1882" s="5" t="str">
        <f ca="1">IFERROR(__xludf.DUMMYFUNCTION("""COMPUTED_VALUE"""),"طنطا")</f>
        <v>طنطا</v>
      </c>
      <c r="D1882" s="5" t="str">
        <f ca="1">IFERROR(__xludf.DUMMYFUNCTION("""COMPUTED_VALUE"""),"صيدلية")</f>
        <v>صيدلية</v>
      </c>
      <c r="E1882" s="5" t="str">
        <f ca="1">IFERROR(__xludf.DUMMYFUNCTION("""COMPUTED_VALUE"""),"صيدلية")</f>
        <v>صيدلية</v>
      </c>
      <c r="F1882" s="5" t="str">
        <f ca="1">IFERROR(__xludf.DUMMYFUNCTION("""COMPUTED_VALUE"""),"صيدلية (أدوية ومستلزمات طبية)")</f>
        <v>صيدلية (أدوية ومستلزمات طبية)</v>
      </c>
      <c r="G1882" s="5" t="str">
        <f ca="1">IFERROR(__xludf.DUMMYFUNCTION("""COMPUTED_VALUE"""),"صيدلية/ مروى حسين(AMC/ABE)")</f>
        <v>صيدلية/ مروى حسين(AMC/ABE)</v>
      </c>
      <c r="H1882" s="5" t="str">
        <f ca="1">IFERROR(__xludf.DUMMYFUNCTION("""COMPUTED_VALUE"""),"سوق قحافه الغربية")</f>
        <v>سوق قحافه الغربية</v>
      </c>
      <c r="I1882" s="6" t="str">
        <f ca="1">IFERROR(__xludf.DUMMYFUNCTION("""COMPUTED_VALUE"""),"3286768")</f>
        <v>3286768</v>
      </c>
      <c r="J1882" s="6"/>
      <c r="K1882" s="6" t="str">
        <f ca="1">IFERROR(__xludf.DUMMYFUNCTION("""COMPUTED_VALUE"""),"خصم 17% علي المحلي و المستورد علي الاسعار النقدي")</f>
        <v>خصم 17% علي المحلي و المستورد علي الاسعار النقدي</v>
      </c>
    </row>
    <row r="1883" spans="1:11" x14ac:dyDescent="0.25">
      <c r="A1883" s="4" t="str">
        <f ca="1">IFERROR(__xludf.DUMMYFUNCTION("""COMPUTED_VALUE"""),"106345")</f>
        <v>106345</v>
      </c>
      <c r="B1883" s="5" t="str">
        <f ca="1">IFERROR(__xludf.DUMMYFUNCTION("""COMPUTED_VALUE"""),"المنيا")</f>
        <v>المنيا</v>
      </c>
      <c r="C1883" s="5" t="str">
        <f ca="1">IFERROR(__xludf.DUMMYFUNCTION("""COMPUTED_VALUE"""),"المنيا")</f>
        <v>المنيا</v>
      </c>
      <c r="D1883" s="5" t="str">
        <f ca="1">IFERROR(__xludf.DUMMYFUNCTION("""COMPUTED_VALUE"""),"صيدلية")</f>
        <v>صيدلية</v>
      </c>
      <c r="E1883" s="5" t="str">
        <f ca="1">IFERROR(__xludf.DUMMYFUNCTION("""COMPUTED_VALUE"""),"صيدلية")</f>
        <v>صيدلية</v>
      </c>
      <c r="F1883" s="5" t="str">
        <f ca="1">IFERROR(__xludf.DUMMYFUNCTION("""COMPUTED_VALUE"""),"صيدلية (أدوية ومستلزمات طبية)")</f>
        <v>صيدلية (أدوية ومستلزمات طبية)</v>
      </c>
      <c r="G1883" s="5" t="str">
        <f ca="1">IFERROR(__xludf.DUMMYFUNCTION("""COMPUTED_VALUE"""),"صيدليه د/ باسم جورج(AMC/ABE)")</f>
        <v>صيدليه د/ باسم جورج(AMC/ABE)</v>
      </c>
      <c r="H1883" s="5" t="str">
        <f ca="1">IFERROR(__xludf.DUMMYFUNCTION("""COMPUTED_VALUE"""),"42 شارع القشيري -المنيا")</f>
        <v>42 شارع القشيري -المنيا</v>
      </c>
      <c r="I1883" s="6" t="str">
        <f ca="1">IFERROR(__xludf.DUMMYFUNCTION("""COMPUTED_VALUE"""),"01004705032")</f>
        <v>01004705032</v>
      </c>
      <c r="J1883" s="6"/>
      <c r="K1883" s="6" t="str">
        <f ca="1">IFERROR(__xludf.DUMMYFUNCTION("""COMPUTED_VALUE"""),"خصم 16.5% علي المحلي و 16.5% علي المستورد.")</f>
        <v>خصم 16.5% علي المحلي و 16.5% علي المستورد.</v>
      </c>
    </row>
    <row r="1884" spans="1:11" x14ac:dyDescent="0.25">
      <c r="A1884" s="4" t="str">
        <f ca="1">IFERROR(__xludf.DUMMYFUNCTION("""COMPUTED_VALUE"""),"106353")</f>
        <v>106353</v>
      </c>
      <c r="B1884" s="5" t="str">
        <f ca="1">IFERROR(__xludf.DUMMYFUNCTION("""COMPUTED_VALUE"""),"الجيزة")</f>
        <v>الجيزة</v>
      </c>
      <c r="C1884" s="5" t="str">
        <f ca="1">IFERROR(__xludf.DUMMYFUNCTION("""COMPUTED_VALUE"""),"الدقي")</f>
        <v>الدقي</v>
      </c>
      <c r="D1884" s="5" t="str">
        <f ca="1">IFERROR(__xludf.DUMMYFUNCTION("""COMPUTED_VALUE"""),"هيئة الأطباء")</f>
        <v>هيئة الأطباء</v>
      </c>
      <c r="E1884" s="5" t="str">
        <f ca="1">IFERROR(__xludf.DUMMYFUNCTION("""COMPUTED_VALUE"""),"جراحة")</f>
        <v>جراحة</v>
      </c>
      <c r="F1884" s="5" t="str">
        <f ca="1">IFERROR(__xludf.DUMMYFUNCTION("""COMPUTED_VALUE"""),"جراحة عامة")</f>
        <v>جراحة عامة</v>
      </c>
      <c r="G1884" s="5" t="str">
        <f ca="1">IFERROR(__xludf.DUMMYFUNCTION("""COMPUTED_VALUE"""),"د/محمد سعيد محمد ابوحداية")</f>
        <v>د/محمد سعيد محمد ابوحداية</v>
      </c>
      <c r="H1884" s="5" t="str">
        <f ca="1">IFERROR(__xludf.DUMMYFUNCTION("""COMPUTED_VALUE"""),"119 ش التحرير الدقي-الجيزة")</f>
        <v>119 ش التحرير الدقي-الجيزة</v>
      </c>
      <c r="I1884" s="6" t="str">
        <f ca="1">IFERROR(__xludf.DUMMYFUNCTION("""COMPUTED_VALUE"""),"1006567162")</f>
        <v>1006567162</v>
      </c>
      <c r="J1884" s="6"/>
      <c r="K1884" s="6" t="str">
        <f ca="1">IFERROR(__xludf.DUMMYFUNCTION("""COMPUTED_VALUE"""),"خصم 30% علي الاسعار النقدي")</f>
        <v>خصم 30% علي الاسعار النقدي</v>
      </c>
    </row>
    <row r="1885" spans="1:11" x14ac:dyDescent="0.25">
      <c r="A1885" s="4" t="str">
        <f ca="1">IFERROR(__xludf.DUMMYFUNCTION("""COMPUTED_VALUE"""),"106354")</f>
        <v>106354</v>
      </c>
      <c r="B1885" s="5" t="str">
        <f ca="1">IFERROR(__xludf.DUMMYFUNCTION("""COMPUTED_VALUE"""),"القاهرة")</f>
        <v>القاهرة</v>
      </c>
      <c r="C1885" s="5" t="str">
        <f ca="1">IFERROR(__xludf.DUMMYFUNCTION("""COMPUTED_VALUE"""),"العباسية")</f>
        <v>العباسية</v>
      </c>
      <c r="D1885" s="5" t="str">
        <f ca="1">IFERROR(__xludf.DUMMYFUNCTION("""COMPUTED_VALUE"""),"هيئة الأطباء")</f>
        <v>هيئة الأطباء</v>
      </c>
      <c r="E1885" s="5" t="str">
        <f ca="1">IFERROR(__xludf.DUMMYFUNCTION("""COMPUTED_VALUE"""),"جراحة")</f>
        <v>جراحة</v>
      </c>
      <c r="F1885" s="5" t="str">
        <f ca="1">IFERROR(__xludf.DUMMYFUNCTION("""COMPUTED_VALUE"""),"نفسية وعصبية")</f>
        <v>نفسية وعصبية</v>
      </c>
      <c r="G1885" s="5" t="str">
        <f ca="1">IFERROR(__xludf.DUMMYFUNCTION("""COMPUTED_VALUE"""),"د/احمد عادل محمد جمال المسيري(استاذ دكتور احمد المسيري)")</f>
        <v>د/احمد عادل محمد جمال المسيري(استاذ دكتور احمد المسيري)</v>
      </c>
      <c r="H1885" s="5" t="str">
        <f ca="1">IFERROR(__xludf.DUMMYFUNCTION("""COMPUTED_VALUE"""),"99 ش العباسية قسم الويلي")</f>
        <v>99 ش العباسية قسم الويلي</v>
      </c>
      <c r="I1885" s="6" t="str">
        <f ca="1">IFERROR(__xludf.DUMMYFUNCTION("""COMPUTED_VALUE"""),"01011993359")</f>
        <v>01011993359</v>
      </c>
      <c r="J1885" s="6"/>
      <c r="K1885" s="6" t="str">
        <f ca="1">IFERROR(__xludf.DUMMYFUNCTION("""COMPUTED_VALUE"""),"خصم 50% علي الاسعار النقدي")</f>
        <v>خصم 50% علي الاسعار النقدي</v>
      </c>
    </row>
    <row r="1886" spans="1:11" x14ac:dyDescent="0.25">
      <c r="A1886" s="4" t="str">
        <f ca="1">IFERROR(__xludf.DUMMYFUNCTION("""COMPUTED_VALUE"""),"106355")</f>
        <v>106355</v>
      </c>
      <c r="B1886" s="5" t="str">
        <f ca="1">IFERROR(__xludf.DUMMYFUNCTION("""COMPUTED_VALUE"""),"بني سويف")</f>
        <v>بني سويف</v>
      </c>
      <c r="C1886" s="5" t="str">
        <f ca="1">IFERROR(__xludf.DUMMYFUNCTION("""COMPUTED_VALUE"""),"بني سويف")</f>
        <v>بني سويف</v>
      </c>
      <c r="D1886" s="5" t="str">
        <f ca="1">IFERROR(__xludf.DUMMYFUNCTION("""COMPUTED_VALUE"""),"هيئة الأطباء")</f>
        <v>هيئة الأطباء</v>
      </c>
      <c r="E1886" s="5" t="str">
        <f ca="1">IFERROR(__xludf.DUMMYFUNCTION("""COMPUTED_VALUE"""),"باطنة")</f>
        <v>باطنة</v>
      </c>
      <c r="F1886" s="5" t="str">
        <f ca="1">IFERROR(__xludf.DUMMYFUNCTION("""COMPUTED_VALUE"""),"قلب واوعية دموية")</f>
        <v>قلب واوعية دموية</v>
      </c>
      <c r="G1886" s="5" t="str">
        <f ca="1">IFERROR(__xludf.DUMMYFUNCTION("""COMPUTED_VALUE"""),"دكتور اسامة احمد امين عبدالمجيد(د.اسامة احمد امين)")</f>
        <v>دكتور اسامة احمد امين عبدالمجيد(د.اسامة احمد امين)</v>
      </c>
      <c r="H1886" s="5" t="str">
        <f ca="1">IFERROR(__xludf.DUMMYFUNCTION("""COMPUTED_VALUE"""),"شقة  رقم 4 الدور السادس برج اليسر ارض المحلج بني سويف")</f>
        <v>شقة  رقم 4 الدور السادس برج اليسر ارض المحلج بني سويف</v>
      </c>
      <c r="I1886" s="6" t="str">
        <f ca="1">IFERROR(__xludf.DUMMYFUNCTION("""COMPUTED_VALUE"""),"01281199544")</f>
        <v>01281199544</v>
      </c>
      <c r="J1886" s="6"/>
      <c r="K1886" s="6" t="str">
        <f ca="1">IFERROR(__xludf.DUMMYFUNCTION("""COMPUTED_VALUE"""),"خصم 30% علي الاسعار النقدي")</f>
        <v>خصم 30% علي الاسعار النقدي</v>
      </c>
    </row>
    <row r="1887" spans="1:11" x14ac:dyDescent="0.25">
      <c r="A1887" s="4" t="str">
        <f ca="1">IFERROR(__xludf.DUMMYFUNCTION("""COMPUTED_VALUE"""),"106359")</f>
        <v>106359</v>
      </c>
      <c r="B1887" s="5" t="str">
        <f ca="1">IFERROR(__xludf.DUMMYFUNCTION("""COMPUTED_VALUE"""),"المنوفية")</f>
        <v>المنوفية</v>
      </c>
      <c r="C1887" s="5" t="str">
        <f ca="1">IFERROR(__xludf.DUMMYFUNCTION("""COMPUTED_VALUE"""),"قويسنا")</f>
        <v>قويسنا</v>
      </c>
      <c r="D1887" s="5" t="str">
        <f ca="1">IFERROR(__xludf.DUMMYFUNCTION("""COMPUTED_VALUE"""),"مركز أشعة و تحاليل")</f>
        <v>مركز أشعة و تحاليل</v>
      </c>
      <c r="E1887" s="5" t="str">
        <f ca="1">IFERROR(__xludf.DUMMYFUNCTION("""COMPUTED_VALUE""")," أشعة و تحاليل")</f>
        <v xml:space="preserve"> أشعة و تحاليل</v>
      </c>
      <c r="F1887" s="5" t="str">
        <f ca="1">IFERROR(__xludf.DUMMYFUNCTION("""COMPUTED_VALUE""")," أشعة و تحاليل")</f>
        <v xml:space="preserve"> أشعة و تحاليل</v>
      </c>
      <c r="G1887" s="5" t="str">
        <f ca="1">IFERROR(__xludf.DUMMYFUNCTION("""COMPUTED_VALUE"""),"ميجا لاب للخدمات الطبية")</f>
        <v>ميجا لاب للخدمات الطبية</v>
      </c>
      <c r="H1887" s="5" t="str">
        <f ca="1">IFERROR(__xludf.DUMMYFUNCTION("""COMPUTED_VALUE"""),"دور 4  برج عبد المطلب الاداري بجوار البنك الأهلي قويسنا المنوفية")</f>
        <v>دور 4  برج عبد المطلب الاداري بجوار البنك الأهلي قويسنا المنوفية</v>
      </c>
      <c r="I1887" s="6" t="str">
        <f ca="1">IFERROR(__xludf.DUMMYFUNCTION("""COMPUTED_VALUE"""),"01098564105")</f>
        <v>01098564105</v>
      </c>
      <c r="J1887" s="6"/>
      <c r="K1887" s="6" t="str">
        <f ca="1">IFERROR(__xludf.DUMMYFUNCTION("""COMPUTED_VALUE"""),"خصم25% علي الاسعار النقدي")</f>
        <v>خصم25% علي الاسعار النقدي</v>
      </c>
    </row>
    <row r="1888" spans="1:11" x14ac:dyDescent="0.25">
      <c r="A1888" s="4" t="str">
        <f ca="1">IFERROR(__xludf.DUMMYFUNCTION("""COMPUTED_VALUE"""),"106360")</f>
        <v>106360</v>
      </c>
      <c r="B1888" s="5" t="str">
        <f ca="1">IFERROR(__xludf.DUMMYFUNCTION("""COMPUTED_VALUE"""),"البحيرة")</f>
        <v>البحيرة</v>
      </c>
      <c r="C1888" s="5" t="str">
        <f ca="1">IFERROR(__xludf.DUMMYFUNCTION("""COMPUTED_VALUE"""),"كوم حمادة")</f>
        <v>كوم حمادة</v>
      </c>
      <c r="D1888" s="5" t="str">
        <f ca="1">IFERROR(__xludf.DUMMYFUNCTION("""COMPUTED_VALUE"""),"مركز أشعة")</f>
        <v>مركز أشعة</v>
      </c>
      <c r="E1888" s="5" t="str">
        <f ca="1">IFERROR(__xludf.DUMMYFUNCTION("""COMPUTED_VALUE"""),"مركز أشعة")</f>
        <v>مركز أشعة</v>
      </c>
      <c r="F1888" s="5" t="str">
        <f ca="1">IFERROR(__xludf.DUMMYFUNCTION("""COMPUTED_VALUE"""),"مركز الأشعة التشخيصية")</f>
        <v>مركز الأشعة التشخيصية</v>
      </c>
      <c r="G1888" s="5" t="str">
        <f ca="1">IFERROR(__xludf.DUMMYFUNCTION("""COMPUTED_VALUE"""),"مركز تسلا سكان للأشعة(تسلا سكان للاشعة)")</f>
        <v>مركز تسلا سكان للأشعة(تسلا سكان للاشعة)</v>
      </c>
      <c r="H1888" s="5" t="str">
        <f ca="1">IFERROR(__xludf.DUMMYFUNCTION("""COMPUTED_VALUE"""),"شارع المبره امام قسم شرطة كوم حماده - البحيرة")</f>
        <v>شارع المبره امام قسم شرطة كوم حماده - البحيرة</v>
      </c>
      <c r="I1888" s="6" t="str">
        <f ca="1">IFERROR(__xludf.DUMMYFUNCTION("""COMPUTED_VALUE"""),"0453693356")</f>
        <v>0453693356</v>
      </c>
      <c r="J1888" s="6"/>
      <c r="K1888" s="6" t="str">
        <f ca="1">IFERROR(__xludf.DUMMYFUNCTION("""COMPUTED_VALUE"""),"خصم25% علي الاسعار النقدي")</f>
        <v>خصم25% علي الاسعار النقدي</v>
      </c>
    </row>
    <row r="1889" spans="1:11" x14ac:dyDescent="0.25">
      <c r="A1889" s="4" t="str">
        <f ca="1">IFERROR(__xludf.DUMMYFUNCTION("""COMPUTED_VALUE"""),"104341-B")</f>
        <v>104341-B</v>
      </c>
      <c r="B1889" s="5" t="str">
        <f ca="1">IFERROR(__xludf.DUMMYFUNCTION("""COMPUTED_VALUE"""),"أسيوط")</f>
        <v>أسيوط</v>
      </c>
      <c r="C1889" s="5" t="str">
        <f ca="1">IFERROR(__xludf.DUMMYFUNCTION("""COMPUTED_VALUE"""),"الفتح")</f>
        <v>الفتح</v>
      </c>
      <c r="D1889" s="5" t="str">
        <f ca="1">IFERROR(__xludf.DUMMYFUNCTION("""COMPUTED_VALUE"""),"صيدلية")</f>
        <v>صيدلية</v>
      </c>
      <c r="E1889" s="5" t="str">
        <f ca="1">IFERROR(__xludf.DUMMYFUNCTION("""COMPUTED_VALUE"""),"صيدلية")</f>
        <v>صيدلية</v>
      </c>
      <c r="F1889" s="5" t="str">
        <f ca="1">IFERROR(__xludf.DUMMYFUNCTION("""COMPUTED_VALUE"""),"صيدلية (أدوية ومستلزمات طبية)")</f>
        <v>صيدلية (أدوية ومستلزمات طبية)</v>
      </c>
      <c r="G1889" s="5" t="str">
        <f ca="1">IFERROR(__xludf.DUMMYFUNCTION("""COMPUTED_VALUE"""),"صيدلية د. مريم (صيدلية د. مجدي)")</f>
        <v>صيدلية د. مريم (صيدلية د. مجدي)</v>
      </c>
      <c r="H1889" s="5" t="str">
        <f ca="1">IFERROR(__xludf.DUMMYFUNCTION("""COMPUTED_VALUE"""),"شارع السينما القديمة – مركز الفتح - محافظة أسيوط")</f>
        <v>شارع السينما القديمة – مركز الفتح - محافظة أسيوط</v>
      </c>
      <c r="I1889" s="6" t="str">
        <f ca="1">IFERROR(__xludf.DUMMYFUNCTION("""COMPUTED_VALUE"""),"01208790974")</f>
        <v>01208790974</v>
      </c>
      <c r="J1889" s="6"/>
      <c r="K1889" s="6" t="str">
        <f ca="1">IFERROR(__xludf.DUMMYFUNCTION("""COMPUTED_VALUE"""),"خصم 10% علي المحلي و 6 % علي المستورد")</f>
        <v>خصم 10% علي المحلي و 6 % علي المستورد</v>
      </c>
    </row>
    <row r="1890" spans="1:11" x14ac:dyDescent="0.25">
      <c r="A1890" s="4" t="str">
        <f ca="1">IFERROR(__xludf.DUMMYFUNCTION("""COMPUTED_VALUE"""),"103478-B")</f>
        <v>103478-B</v>
      </c>
      <c r="B1890" s="5" t="str">
        <f ca="1">IFERROR(__xludf.DUMMYFUNCTION("""COMPUTED_VALUE"""),"الاسكندرية")</f>
        <v>الاسكندرية</v>
      </c>
      <c r="C1890" s="5" t="str">
        <f ca="1">IFERROR(__xludf.DUMMYFUNCTION("""COMPUTED_VALUE"""),"مارينا")</f>
        <v>مارينا</v>
      </c>
      <c r="D1890" s="5" t="str">
        <f ca="1">IFERROR(__xludf.DUMMYFUNCTION("""COMPUTED_VALUE"""),"مستشفى")</f>
        <v>مستشفى</v>
      </c>
      <c r="E1890" s="5" t="str">
        <f ca="1">IFERROR(__xludf.DUMMYFUNCTION("""COMPUTED_VALUE"""),"مستشفي طبي متكامل")</f>
        <v>مستشفي طبي متكامل</v>
      </c>
      <c r="F1890" s="5" t="str">
        <f ca="1">IFERROR(__xludf.DUMMYFUNCTION("""COMPUTED_VALUE"""),"جميع التخصصات الطبية")</f>
        <v>جميع التخصصات الطبية</v>
      </c>
      <c r="G1890" s="5" t="str">
        <f ca="1">IFERROR(__xludf.DUMMYFUNCTION("""COMPUTED_VALUE"""),"مستشفى الصفا")</f>
        <v>مستشفى الصفا</v>
      </c>
      <c r="H1890" s="5" t="str">
        <f ca="1">IFERROR(__xludf.DUMMYFUNCTION("""COMPUTED_VALUE"""),"قرية مارينا بالساحل الشمالى بوابة 4 أمام شركة الكهرباء، الساحل الشمالى، مطروح")</f>
        <v>قرية مارينا بالساحل الشمالى بوابة 4 أمام شركة الكهرباء، الساحل الشمالى، مطروح</v>
      </c>
      <c r="I1890" s="6" t="str">
        <f ca="1">IFERROR(__xludf.DUMMYFUNCTION("""COMPUTED_VALUE"""),"20233361051")</f>
        <v>20233361051</v>
      </c>
      <c r="J1890" s="6" t="str">
        <f ca="1">IFERROR(__xludf.DUMMYFUNCTION("""COMPUTED_VALUE"""),"16181")</f>
        <v>16181</v>
      </c>
      <c r="K1890" s="6" t="str">
        <f ca="1">IFERROR(__xludf.DUMMYFUNCTION("""COMPUTED_VALUE"""),"50% الكشف ,20% على خدمات الداخلى والطوارئ,عدا بنك الدم والقسطرة والأدوية واتعاب الأطباء")</f>
        <v>50% الكشف ,20% على خدمات الداخلى والطوارئ,عدا بنك الدم والقسطرة والأدوية واتعاب الأطباء</v>
      </c>
    </row>
    <row r="1891" spans="1:11" x14ac:dyDescent="0.25">
      <c r="A1891" s="4" t="str">
        <f ca="1">IFERROR(__xludf.DUMMYFUNCTION("""COMPUTED_VALUE"""),"106362")</f>
        <v>106362</v>
      </c>
      <c r="B1891" s="5" t="str">
        <f ca="1">IFERROR(__xludf.DUMMYFUNCTION("""COMPUTED_VALUE"""),"القاهرة")</f>
        <v>القاهرة</v>
      </c>
      <c r="C1891" s="5" t="str">
        <f ca="1">IFERROR(__xludf.DUMMYFUNCTION("""COMPUTED_VALUE"""),"حدائق القبة")</f>
        <v>حدائق القبة</v>
      </c>
      <c r="D1891" s="5" t="str">
        <f ca="1">IFERROR(__xludf.DUMMYFUNCTION("""COMPUTED_VALUE"""),"صيدلية")</f>
        <v>صيدلية</v>
      </c>
      <c r="E1891" s="5" t="str">
        <f ca="1">IFERROR(__xludf.DUMMYFUNCTION("""COMPUTED_VALUE"""),"صيدلية")</f>
        <v>صيدلية</v>
      </c>
      <c r="F1891" s="5" t="str">
        <f ca="1">IFERROR(__xludf.DUMMYFUNCTION("""COMPUTED_VALUE"""),"صيدلية (أدوية ومستلزمات طبية)")</f>
        <v>صيدلية (أدوية ومستلزمات طبية)</v>
      </c>
      <c r="G1891" s="5" t="str">
        <f ca="1">IFERROR(__xludf.DUMMYFUNCTION("""COMPUTED_VALUE"""),"د/ عونى غبريال فلتس (صيدلية المنى)")</f>
        <v>د/ عونى غبريال فلتس (صيدلية المنى)</v>
      </c>
      <c r="H1891" s="5" t="str">
        <f ca="1">IFERROR(__xludf.DUMMYFUNCTION("""COMPUTED_VALUE"""),"89 شارع بورسعيد - السواح - الاميرية")</f>
        <v>89 شارع بورسعيد - السواح - الاميرية</v>
      </c>
      <c r="I1891" s="6" t="str">
        <f ca="1">IFERROR(__xludf.DUMMYFUNCTION("""COMPUTED_VALUE"""),"1017111460")</f>
        <v>1017111460</v>
      </c>
      <c r="J1891" s="6"/>
      <c r="K1891" s="6" t="str">
        <f ca="1">IFERROR(__xludf.DUMMYFUNCTION("""COMPUTED_VALUE"""),"خصم 13% علي المحلي و 7 % علي المستورد")</f>
        <v>خصم 13% علي المحلي و 7 % علي المستورد</v>
      </c>
    </row>
    <row r="1892" spans="1:11" x14ac:dyDescent="0.25">
      <c r="A1892" s="4" t="str">
        <f ca="1">IFERROR(__xludf.DUMMYFUNCTION("""COMPUTED_VALUE"""),"106362-B")</f>
        <v>106362-B</v>
      </c>
      <c r="B1892" s="5" t="str">
        <f ca="1">IFERROR(__xludf.DUMMYFUNCTION("""COMPUTED_VALUE"""),"القاهرة")</f>
        <v>القاهرة</v>
      </c>
      <c r="C1892" s="5" t="str">
        <f ca="1">IFERROR(__xludf.DUMMYFUNCTION("""COMPUTED_VALUE"""),"حدائق القبة")</f>
        <v>حدائق القبة</v>
      </c>
      <c r="D1892" s="5" t="str">
        <f ca="1">IFERROR(__xludf.DUMMYFUNCTION("""COMPUTED_VALUE"""),"صيدلية")</f>
        <v>صيدلية</v>
      </c>
      <c r="E1892" s="5" t="str">
        <f ca="1">IFERROR(__xludf.DUMMYFUNCTION("""COMPUTED_VALUE"""),"صيدلية")</f>
        <v>صيدلية</v>
      </c>
      <c r="F1892" s="5" t="str">
        <f ca="1">IFERROR(__xludf.DUMMYFUNCTION("""COMPUTED_VALUE"""),"صيدلية (أدوية ومستلزمات طبية)")</f>
        <v>صيدلية (أدوية ومستلزمات طبية)</v>
      </c>
      <c r="G1892" s="5" t="str">
        <f ca="1">IFERROR(__xludf.DUMMYFUNCTION("""COMPUTED_VALUE"""),"د/ عونى غبريال فلتس (صيدلية المنى)")</f>
        <v>د/ عونى غبريال فلتس (صيدلية المنى)</v>
      </c>
      <c r="H1892" s="5" t="str">
        <f ca="1">IFERROR(__xludf.DUMMYFUNCTION("""COMPUTED_VALUE"""),"1 شارع مرفق المياه - بجوار مصنع سيما - السواح - الاميرية")</f>
        <v>1 شارع مرفق المياه - بجوار مصنع سيما - السواح - الاميرية</v>
      </c>
      <c r="I1892" s="6" t="str">
        <f ca="1">IFERROR(__xludf.DUMMYFUNCTION("""COMPUTED_VALUE"""),"1017111460")</f>
        <v>1017111460</v>
      </c>
      <c r="J1892" s="6"/>
      <c r="K1892" s="6" t="str">
        <f ca="1">IFERROR(__xludf.DUMMYFUNCTION("""COMPUTED_VALUE"""),"خصم 13% علي المحلي و 7 % علي المستورد")</f>
        <v>خصم 13% علي المحلي و 7 % علي المستورد</v>
      </c>
    </row>
    <row r="1893" spans="1:11" x14ac:dyDescent="0.25">
      <c r="A1893" s="4" t="str">
        <f ca="1">IFERROR(__xludf.DUMMYFUNCTION("""COMPUTED_VALUE"""),"106355-B")</f>
        <v>106355-B</v>
      </c>
      <c r="B1893" s="5" t="str">
        <f ca="1">IFERROR(__xludf.DUMMYFUNCTION("""COMPUTED_VALUE"""),"القاهرة")</f>
        <v>القاهرة</v>
      </c>
      <c r="C1893" s="5" t="str">
        <f ca="1">IFERROR(__xludf.DUMMYFUNCTION("""COMPUTED_VALUE"""),"المعادى")</f>
        <v>المعادى</v>
      </c>
      <c r="D1893" s="5" t="str">
        <f ca="1">IFERROR(__xludf.DUMMYFUNCTION("""COMPUTED_VALUE"""),"هيئة الأطباء")</f>
        <v>هيئة الأطباء</v>
      </c>
      <c r="E1893" s="5" t="str">
        <f ca="1">IFERROR(__xludf.DUMMYFUNCTION("""COMPUTED_VALUE"""),"باطنة")</f>
        <v>باطنة</v>
      </c>
      <c r="F1893" s="5" t="str">
        <f ca="1">IFERROR(__xludf.DUMMYFUNCTION("""COMPUTED_VALUE"""),"قلب واوعية دموية")</f>
        <v>قلب واوعية دموية</v>
      </c>
      <c r="G1893" s="5" t="str">
        <f ca="1">IFERROR(__xludf.DUMMYFUNCTION("""COMPUTED_VALUE"""),"دكتور اسامة احمد امين عبدالمجيد(د.اسامة احمد امين)")</f>
        <v>دكتور اسامة احمد امين عبدالمجيد(د.اسامة احمد امين)</v>
      </c>
      <c r="H1893" s="5" t="str">
        <f ca="1">IFERROR(__xludf.DUMMYFUNCTION("""COMPUTED_VALUE"""),"المعادي-1ش 270 تقاطع النصر-عمارة النمرسي الدور 5")</f>
        <v>المعادي-1ش 270 تقاطع النصر-عمارة النمرسي الدور 5</v>
      </c>
      <c r="I1893" s="6" t="str">
        <f ca="1">IFERROR(__xludf.DUMMYFUNCTION("""COMPUTED_VALUE"""),"01023632361")</f>
        <v>01023632361</v>
      </c>
      <c r="J1893" s="6"/>
      <c r="K1893" s="6" t="str">
        <f ca="1">IFERROR(__xludf.DUMMYFUNCTION("""COMPUTED_VALUE"""),"خصم 30% علي الاسعار النقدي")</f>
        <v>خصم 30% علي الاسعار النقدي</v>
      </c>
    </row>
    <row r="1894" spans="1:11" x14ac:dyDescent="0.25">
      <c r="A1894" s="4" t="str">
        <f ca="1">IFERROR(__xludf.DUMMYFUNCTION("""COMPUTED_VALUE"""),"106355-B")</f>
        <v>106355-B</v>
      </c>
      <c r="B1894" s="5" t="str">
        <f ca="1">IFERROR(__xludf.DUMMYFUNCTION("""COMPUTED_VALUE"""),"الجيزة")</f>
        <v>الجيزة</v>
      </c>
      <c r="C1894" s="5" t="str">
        <f ca="1">IFERROR(__xludf.DUMMYFUNCTION("""COMPUTED_VALUE"""),"فيصل")</f>
        <v>فيصل</v>
      </c>
      <c r="D1894" s="5" t="str">
        <f ca="1">IFERROR(__xludf.DUMMYFUNCTION("""COMPUTED_VALUE"""),"هيئة الأطباء")</f>
        <v>هيئة الأطباء</v>
      </c>
      <c r="E1894" s="5" t="str">
        <f ca="1">IFERROR(__xludf.DUMMYFUNCTION("""COMPUTED_VALUE"""),"باطنة")</f>
        <v>باطنة</v>
      </c>
      <c r="F1894" s="5" t="str">
        <f ca="1">IFERROR(__xludf.DUMMYFUNCTION("""COMPUTED_VALUE"""),"قلب واوعية دموية")</f>
        <v>قلب واوعية دموية</v>
      </c>
      <c r="G1894" s="5" t="str">
        <f ca="1">IFERROR(__xludf.DUMMYFUNCTION("""COMPUTED_VALUE"""),"دكتور اسامة احمد امين عبدالمجيد(د.اسامة احمد امين)")</f>
        <v>دكتور اسامة احمد امين عبدالمجيد(د.اسامة احمد امين)</v>
      </c>
      <c r="H1894" s="5" t="str">
        <f ca="1">IFERROR(__xludf.DUMMYFUNCTION("""COMPUTED_VALUE"""),"404 أ ش فيصل امام التوحيد والنور الدور 3")</f>
        <v>404 أ ش فيصل امام التوحيد والنور الدور 3</v>
      </c>
      <c r="I1894" s="6" t="str">
        <f ca="1">IFERROR(__xludf.DUMMYFUNCTION("""COMPUTED_VALUE"""),"01001135915")</f>
        <v>01001135915</v>
      </c>
      <c r="J1894" s="6"/>
      <c r="K1894" s="6" t="str">
        <f ca="1">IFERROR(__xludf.DUMMYFUNCTION("""COMPUTED_VALUE"""),"خصم 30% علي الاسعار النقدي")</f>
        <v>خصم 30% علي الاسعار النقدي</v>
      </c>
    </row>
    <row r="1895" spans="1:11" x14ac:dyDescent="0.25">
      <c r="A1895" s="4" t="str">
        <f ca="1">IFERROR(__xludf.DUMMYFUNCTION("""COMPUTED_VALUE"""),"106372")</f>
        <v>106372</v>
      </c>
      <c r="B1895" s="5" t="str">
        <f ca="1">IFERROR(__xludf.DUMMYFUNCTION("""COMPUTED_VALUE"""),"القاهرة")</f>
        <v>القاهرة</v>
      </c>
      <c r="C1895" s="5" t="str">
        <f ca="1">IFERROR(__xludf.DUMMYFUNCTION("""COMPUTED_VALUE"""),"عابدين")</f>
        <v>عابدين</v>
      </c>
      <c r="D1895" s="5" t="str">
        <f ca="1">IFERROR(__xludf.DUMMYFUNCTION("""COMPUTED_VALUE"""),"هيئة الأطباء")</f>
        <v>هيئة الأطباء</v>
      </c>
      <c r="E1895" s="5" t="str">
        <f ca="1">IFERROR(__xludf.DUMMYFUNCTION("""COMPUTED_VALUE"""),"باطنة")</f>
        <v>باطنة</v>
      </c>
      <c r="F1895" s="5" t="str">
        <f ca="1">IFERROR(__xludf.DUMMYFUNCTION("""COMPUTED_VALUE"""),"باطنة عامة")</f>
        <v>باطنة عامة</v>
      </c>
      <c r="G1895" s="5" t="str">
        <f ca="1">IFERROR(__xludf.DUMMYFUNCTION("""COMPUTED_VALUE"""),"د.اشرف محمود بيومى عقبه(AMC/ABE)")</f>
        <v>د.اشرف محمود بيومى عقبه(AMC/ABE)</v>
      </c>
      <c r="H1895" s="5" t="str">
        <f ca="1">IFERROR(__xludf.DUMMYFUNCTION("""COMPUTED_VALUE"""),"96ش محمد فريد عابدين")</f>
        <v>96ش محمد فريد عابدين</v>
      </c>
      <c r="I1895" s="6" t="str">
        <f ca="1">IFERROR(__xludf.DUMMYFUNCTION("""COMPUTED_VALUE"""),"224529120")</f>
        <v>224529120</v>
      </c>
      <c r="J1895" s="6"/>
      <c r="K1895" s="6" t="str">
        <f ca="1">IFERROR(__xludf.DUMMYFUNCTION("""COMPUTED_VALUE"""),"خصم 30% علي الأسعار النقدي المعلنه")</f>
        <v>خصم 30% علي الأسعار النقدي المعلنه</v>
      </c>
    </row>
    <row r="1896" spans="1:11" x14ac:dyDescent="0.25">
      <c r="A1896" s="4" t="str">
        <f ca="1">IFERROR(__xludf.DUMMYFUNCTION("""COMPUTED_VALUE"""),"106375")</f>
        <v>106375</v>
      </c>
      <c r="B1896" s="5" t="str">
        <f ca="1">IFERROR(__xludf.DUMMYFUNCTION("""COMPUTED_VALUE"""),"المنيا")</f>
        <v>المنيا</v>
      </c>
      <c r="C1896" s="5" t="str">
        <f ca="1">IFERROR(__xludf.DUMMYFUNCTION("""COMPUTED_VALUE"""),"المنيا")</f>
        <v>المنيا</v>
      </c>
      <c r="D1896" s="5" t="str">
        <f ca="1">IFERROR(__xludf.DUMMYFUNCTION("""COMPUTED_VALUE"""),"صيدلية")</f>
        <v>صيدلية</v>
      </c>
      <c r="E1896" s="5" t="str">
        <f ca="1">IFERROR(__xludf.DUMMYFUNCTION("""COMPUTED_VALUE"""),"صيدلية")</f>
        <v>صيدلية</v>
      </c>
      <c r="F1896" s="5" t="str">
        <f ca="1">IFERROR(__xludf.DUMMYFUNCTION("""COMPUTED_VALUE"""),"صيدلية (أدوية ومستلزمات طبية)")</f>
        <v>صيدلية (أدوية ومستلزمات طبية)</v>
      </c>
      <c r="G1896" s="5" t="str">
        <f ca="1">IFERROR(__xludf.DUMMYFUNCTION("""COMPUTED_VALUE"""),"صيدلية الحكمة (AMC/ABE)")</f>
        <v>صيدلية الحكمة (AMC/ABE)</v>
      </c>
      <c r="H1896" s="5" t="str">
        <f ca="1">IFERROR(__xludf.DUMMYFUNCTION("""COMPUTED_VALUE"""),"بندر مغاغه - ش.أدهم القبلى")</f>
        <v>بندر مغاغه - ش.أدهم القبلى</v>
      </c>
      <c r="I1896" s="6" t="str">
        <f ca="1">IFERROR(__xludf.DUMMYFUNCTION("""COMPUTED_VALUE"""),"01227733896")</f>
        <v>01227733896</v>
      </c>
      <c r="J1896" s="6"/>
      <c r="K1896" s="6" t="str">
        <f ca="1">IFERROR(__xludf.DUMMYFUNCTION("""COMPUTED_VALUE"""),"خصم 18.25% محلي و 18.25% مستورد علي الاسعار النقدي المعلنة")</f>
        <v>خصم 18.25% محلي و 18.25% مستورد علي الاسعار النقدي المعلنة</v>
      </c>
    </row>
    <row r="1897" spans="1:11" x14ac:dyDescent="0.25">
      <c r="A1897" s="4" t="str">
        <f ca="1">IFERROR(__xludf.DUMMYFUNCTION("""COMPUTED_VALUE"""),"106073-B")</f>
        <v>106073-B</v>
      </c>
      <c r="B1897" s="5" t="str">
        <f ca="1">IFERROR(__xludf.DUMMYFUNCTION("""COMPUTED_VALUE"""),"الجيزة")</f>
        <v>الجيزة</v>
      </c>
      <c r="C1897" s="5" t="str">
        <f ca="1">IFERROR(__xludf.DUMMYFUNCTION("""COMPUTED_VALUE"""),"السادس من اكتوبر")</f>
        <v>السادس من اكتوبر</v>
      </c>
      <c r="D1897" s="5" t="str">
        <f ca="1">IFERROR(__xludf.DUMMYFUNCTION("""COMPUTED_VALUE"""),"معمل")</f>
        <v>معمل</v>
      </c>
      <c r="E1897" s="5" t="str">
        <f ca="1">IFERROR(__xludf.DUMMYFUNCTION("""COMPUTED_VALUE"""),"معمل")</f>
        <v>معمل</v>
      </c>
      <c r="F1897" s="5" t="str">
        <f ca="1">IFERROR(__xludf.DUMMYFUNCTION("""COMPUTED_VALUE"""),"معمل التحاليل الطبية")</f>
        <v>معمل التحاليل الطبية</v>
      </c>
      <c r="G1897" s="5" t="str">
        <f ca="1">IFERROR(__xludf.DUMMYFUNCTION("""COMPUTED_VALUE"""),"شركة ابن حيان معامل اكيو لاب")</f>
        <v>شركة ابن حيان معامل اكيو لاب</v>
      </c>
      <c r="H1897" s="5" t="str">
        <f ca="1">IFERROR(__xludf.DUMMYFUNCTION("""COMPUTED_VALUE"""),"بريما فيستا - ميدان ماجده  -بجوار جامع الحصرى")</f>
        <v>بريما فيستا - ميدان ماجده  -بجوار جامع الحصرى</v>
      </c>
      <c r="I1897" s="6"/>
      <c r="J1897" s="6" t="str">
        <f ca="1">IFERROR(__xludf.DUMMYFUNCTION("""COMPUTED_VALUE"""),"19868")</f>
        <v>19868</v>
      </c>
      <c r="K1897" s="6" t="str">
        <f ca="1">IFERROR(__xludf.DUMMYFUNCTION("""COMPUTED_VALUE"""),"35% نسبة خصم")</f>
        <v>35% نسبة خصم</v>
      </c>
    </row>
    <row r="1898" spans="1:11" x14ac:dyDescent="0.25">
      <c r="A1898" s="4" t="str">
        <f ca="1">IFERROR(__xludf.DUMMYFUNCTION("""COMPUTED_VALUE"""),"106073-B")</f>
        <v>106073-B</v>
      </c>
      <c r="B1898" s="5" t="str">
        <f ca="1">IFERROR(__xludf.DUMMYFUNCTION("""COMPUTED_VALUE"""),"القاهرة")</f>
        <v>القاهرة</v>
      </c>
      <c r="C1898" s="5" t="str">
        <f ca="1">IFERROR(__xludf.DUMMYFUNCTION("""COMPUTED_VALUE"""),"القاهرة الجديدة")</f>
        <v>القاهرة الجديدة</v>
      </c>
      <c r="D1898" s="5" t="str">
        <f ca="1">IFERROR(__xludf.DUMMYFUNCTION("""COMPUTED_VALUE"""),"معمل")</f>
        <v>معمل</v>
      </c>
      <c r="E1898" s="5" t="str">
        <f ca="1">IFERROR(__xludf.DUMMYFUNCTION("""COMPUTED_VALUE"""),"معمل")</f>
        <v>معمل</v>
      </c>
      <c r="F1898" s="5" t="str">
        <f ca="1">IFERROR(__xludf.DUMMYFUNCTION("""COMPUTED_VALUE"""),"معمل التحاليل الطبية")</f>
        <v>معمل التحاليل الطبية</v>
      </c>
      <c r="G1898" s="5" t="str">
        <f ca="1">IFERROR(__xludf.DUMMYFUNCTION("""COMPUTED_VALUE"""),"شركة ابن حيان معامل اكيو لاب")</f>
        <v>شركة ابن حيان معامل اكيو لاب</v>
      </c>
      <c r="H1898" s="5" t="str">
        <f ca="1">IFERROR(__xludf.DUMMYFUNCTION("""COMPUTED_VALUE"""),"تريفيوم مول- وحدة 228/229 الدور الثانى-ش التسعين الشمالى أمام واتر واى")</f>
        <v>تريفيوم مول- وحدة 228/229 الدور الثانى-ش التسعين الشمالى أمام واتر واى</v>
      </c>
      <c r="I1898" s="6"/>
      <c r="J1898" s="6" t="str">
        <f ca="1">IFERROR(__xludf.DUMMYFUNCTION("""COMPUTED_VALUE"""),"19868")</f>
        <v>19868</v>
      </c>
      <c r="K1898" s="6" t="str">
        <f ca="1">IFERROR(__xludf.DUMMYFUNCTION("""COMPUTED_VALUE"""),"35% نسبة خصم")</f>
        <v>35% نسبة خصم</v>
      </c>
    </row>
    <row r="1899" spans="1:11" x14ac:dyDescent="0.25">
      <c r="A1899" s="4" t="str">
        <f ca="1">IFERROR(__xludf.DUMMYFUNCTION("""COMPUTED_VALUE"""),"106073-B")</f>
        <v>106073-B</v>
      </c>
      <c r="B1899" s="5" t="str">
        <f ca="1">IFERROR(__xludf.DUMMYFUNCTION("""COMPUTED_VALUE"""),"القاهرة")</f>
        <v>القاهرة</v>
      </c>
      <c r="C1899" s="5" t="str">
        <f ca="1">IFERROR(__xludf.DUMMYFUNCTION("""COMPUTED_VALUE"""),"الزمالك")</f>
        <v>الزمالك</v>
      </c>
      <c r="D1899" s="5" t="str">
        <f ca="1">IFERROR(__xludf.DUMMYFUNCTION("""COMPUTED_VALUE"""),"معمل")</f>
        <v>معمل</v>
      </c>
      <c r="E1899" s="5" t="str">
        <f ca="1">IFERROR(__xludf.DUMMYFUNCTION("""COMPUTED_VALUE"""),"معمل")</f>
        <v>معمل</v>
      </c>
      <c r="F1899" s="5" t="str">
        <f ca="1">IFERROR(__xludf.DUMMYFUNCTION("""COMPUTED_VALUE"""),"معمل التحاليل الطبية")</f>
        <v>معمل التحاليل الطبية</v>
      </c>
      <c r="G1899" s="5" t="str">
        <f ca="1">IFERROR(__xludf.DUMMYFUNCTION("""COMPUTED_VALUE"""),"شركة ابن حيان معامل اكيو لاب")</f>
        <v>شركة ابن حيان معامل اكيو لاب</v>
      </c>
      <c r="H1899" s="5" t="str">
        <f ca="1">IFERROR(__xludf.DUMMYFUNCTION("""COMPUTED_VALUE"""),"داخل عيادات كايرو كابيتال  الدور التاسع اليمامة سنتر")</f>
        <v>داخل عيادات كايرو كابيتال  الدور التاسع اليمامة سنتر</v>
      </c>
      <c r="I1899" s="6"/>
      <c r="J1899" s="6" t="str">
        <f ca="1">IFERROR(__xludf.DUMMYFUNCTION("""COMPUTED_VALUE"""),"19868")</f>
        <v>19868</v>
      </c>
      <c r="K1899" s="6" t="str">
        <f ca="1">IFERROR(__xludf.DUMMYFUNCTION("""COMPUTED_VALUE"""),"35% نسبة خصم")</f>
        <v>35% نسبة خصم</v>
      </c>
    </row>
    <row r="1900" spans="1:11" x14ac:dyDescent="0.25">
      <c r="A1900" s="4" t="str">
        <f ca="1">IFERROR(__xludf.DUMMYFUNCTION("""COMPUTED_VALUE"""),"106073-B")</f>
        <v>106073-B</v>
      </c>
      <c r="B1900" s="5" t="str">
        <f ca="1">IFERROR(__xludf.DUMMYFUNCTION("""COMPUTED_VALUE"""),"الجيزة")</f>
        <v>الجيزة</v>
      </c>
      <c r="C1900" s="5" t="str">
        <f ca="1">IFERROR(__xludf.DUMMYFUNCTION("""COMPUTED_VALUE"""),"الشيخ زايد")</f>
        <v>الشيخ زايد</v>
      </c>
      <c r="D1900" s="5" t="str">
        <f ca="1">IFERROR(__xludf.DUMMYFUNCTION("""COMPUTED_VALUE"""),"معمل")</f>
        <v>معمل</v>
      </c>
      <c r="E1900" s="5" t="str">
        <f ca="1">IFERROR(__xludf.DUMMYFUNCTION("""COMPUTED_VALUE"""),"معمل")</f>
        <v>معمل</v>
      </c>
      <c r="F1900" s="5" t="str">
        <f ca="1">IFERROR(__xludf.DUMMYFUNCTION("""COMPUTED_VALUE"""),"معمل التحاليل الطبية")</f>
        <v>معمل التحاليل الطبية</v>
      </c>
      <c r="G1900" s="5" t="str">
        <f ca="1">IFERROR(__xludf.DUMMYFUNCTION("""COMPUTED_VALUE"""),"شركة ابن حيان معامل اكيو لاب")</f>
        <v>شركة ابن حيان معامل اكيو لاب</v>
      </c>
      <c r="H1900" s="5" t="str">
        <f ca="1">IFERROR(__xludf.DUMMYFUNCTION("""COMPUTED_VALUE"""),"مجمع روفيده الطبى- الشيخ زايد")</f>
        <v>مجمع روفيده الطبى- الشيخ زايد</v>
      </c>
      <c r="I1900" s="6"/>
      <c r="J1900" s="6" t="str">
        <f ca="1">IFERROR(__xludf.DUMMYFUNCTION("""COMPUTED_VALUE"""),"19868")</f>
        <v>19868</v>
      </c>
      <c r="K1900" s="6" t="str">
        <f ca="1">IFERROR(__xludf.DUMMYFUNCTION("""COMPUTED_VALUE"""),"35% نسبة خصم")</f>
        <v>35% نسبة خصم</v>
      </c>
    </row>
    <row r="1901" spans="1:11" x14ac:dyDescent="0.25">
      <c r="A1901" s="4" t="str">
        <f ca="1">IFERROR(__xludf.DUMMYFUNCTION("""COMPUTED_VALUE"""),"106073-B")</f>
        <v>106073-B</v>
      </c>
      <c r="B1901" s="5" t="str">
        <f ca="1">IFERROR(__xludf.DUMMYFUNCTION("""COMPUTED_VALUE"""),"المنوفية")</f>
        <v>المنوفية</v>
      </c>
      <c r="C1901" s="5" t="str">
        <f ca="1">IFERROR(__xludf.DUMMYFUNCTION("""COMPUTED_VALUE"""),"شبين الكوم")</f>
        <v>شبين الكوم</v>
      </c>
      <c r="D1901" s="5" t="str">
        <f ca="1">IFERROR(__xludf.DUMMYFUNCTION("""COMPUTED_VALUE"""),"معمل")</f>
        <v>معمل</v>
      </c>
      <c r="E1901" s="5" t="str">
        <f ca="1">IFERROR(__xludf.DUMMYFUNCTION("""COMPUTED_VALUE"""),"معمل")</f>
        <v>معمل</v>
      </c>
      <c r="F1901" s="5" t="str">
        <f ca="1">IFERROR(__xludf.DUMMYFUNCTION("""COMPUTED_VALUE"""),"معمل التحاليل الطبية")</f>
        <v>معمل التحاليل الطبية</v>
      </c>
      <c r="G1901" s="5" t="str">
        <f ca="1">IFERROR(__xludf.DUMMYFUNCTION("""COMPUTED_VALUE"""),"شركة ابن حيان معامل اكيو لاب")</f>
        <v>شركة ابن حيان معامل اكيو لاب</v>
      </c>
      <c r="H1901" s="5" t="str">
        <f ca="1">IFERROR(__xludf.DUMMYFUNCTION("""COMPUTED_VALUE"""),"شبين الكوم - ميدان شرف -البرج الذهبى -الدور 8")</f>
        <v>شبين الكوم - ميدان شرف -البرج الذهبى -الدور 8</v>
      </c>
      <c r="I1901" s="6"/>
      <c r="J1901" s="6" t="str">
        <f ca="1">IFERROR(__xludf.DUMMYFUNCTION("""COMPUTED_VALUE"""),"19868")</f>
        <v>19868</v>
      </c>
      <c r="K1901" s="6" t="str">
        <f ca="1">IFERROR(__xludf.DUMMYFUNCTION("""COMPUTED_VALUE"""),"35% نسبة خصم")</f>
        <v>35% نسبة خصم</v>
      </c>
    </row>
    <row r="1902" spans="1:11" x14ac:dyDescent="0.25">
      <c r="A1902" s="4" t="str">
        <f ca="1">IFERROR(__xludf.DUMMYFUNCTION("""COMPUTED_VALUE"""),"106073-B")</f>
        <v>106073-B</v>
      </c>
      <c r="B1902" s="5" t="str">
        <f ca="1">IFERROR(__xludf.DUMMYFUNCTION("""COMPUTED_VALUE"""),"القاهرة")</f>
        <v>القاهرة</v>
      </c>
      <c r="C1902" s="5" t="str">
        <f ca="1">IFERROR(__xludf.DUMMYFUNCTION("""COMPUTED_VALUE"""),"المعادى")</f>
        <v>المعادى</v>
      </c>
      <c r="D1902" s="5" t="str">
        <f ca="1">IFERROR(__xludf.DUMMYFUNCTION("""COMPUTED_VALUE"""),"معمل")</f>
        <v>معمل</v>
      </c>
      <c r="E1902" s="5" t="str">
        <f ca="1">IFERROR(__xludf.DUMMYFUNCTION("""COMPUTED_VALUE"""),"معمل")</f>
        <v>معمل</v>
      </c>
      <c r="F1902" s="5" t="str">
        <f ca="1">IFERROR(__xludf.DUMMYFUNCTION("""COMPUTED_VALUE"""),"معمل التحاليل الطبية")</f>
        <v>معمل التحاليل الطبية</v>
      </c>
      <c r="G1902" s="5" t="str">
        <f ca="1">IFERROR(__xludf.DUMMYFUNCTION("""COMPUTED_VALUE"""),"شركة ابن حيان معامل اكيو لاب")</f>
        <v>شركة ابن حيان معامل اكيو لاب</v>
      </c>
      <c r="H1902" s="5" t="str">
        <f ca="1">IFERROR(__xludf.DUMMYFUNCTION("""COMPUTED_VALUE"""),"فيلا 13-شارع 254-دجله")</f>
        <v>فيلا 13-شارع 254-دجله</v>
      </c>
      <c r="I1902" s="6"/>
      <c r="J1902" s="6" t="str">
        <f ca="1">IFERROR(__xludf.DUMMYFUNCTION("""COMPUTED_VALUE"""),"19868")</f>
        <v>19868</v>
      </c>
      <c r="K1902" s="6" t="str">
        <f ca="1">IFERROR(__xludf.DUMMYFUNCTION("""COMPUTED_VALUE"""),"35% نسبة خصم")</f>
        <v>35% نسبة خصم</v>
      </c>
    </row>
    <row r="1903" spans="1:11" x14ac:dyDescent="0.25">
      <c r="A1903" s="4" t="str">
        <f ca="1">IFERROR(__xludf.DUMMYFUNCTION("""COMPUTED_VALUE"""),"106073-B")</f>
        <v>106073-B</v>
      </c>
      <c r="B1903" s="5" t="str">
        <f ca="1">IFERROR(__xludf.DUMMYFUNCTION("""COMPUTED_VALUE"""),"الجيزة")</f>
        <v>الجيزة</v>
      </c>
      <c r="C1903" s="5" t="str">
        <f ca="1">IFERROR(__xludf.DUMMYFUNCTION("""COMPUTED_VALUE"""),"الهرم")</f>
        <v>الهرم</v>
      </c>
      <c r="D1903" s="5" t="str">
        <f ca="1">IFERROR(__xludf.DUMMYFUNCTION("""COMPUTED_VALUE"""),"معمل")</f>
        <v>معمل</v>
      </c>
      <c r="E1903" s="5" t="str">
        <f ca="1">IFERROR(__xludf.DUMMYFUNCTION("""COMPUTED_VALUE"""),"معمل")</f>
        <v>معمل</v>
      </c>
      <c r="F1903" s="5" t="str">
        <f ca="1">IFERROR(__xludf.DUMMYFUNCTION("""COMPUTED_VALUE"""),"معمل التحاليل الطبية")</f>
        <v>معمل التحاليل الطبية</v>
      </c>
      <c r="G1903" s="5" t="str">
        <f ca="1">IFERROR(__xludf.DUMMYFUNCTION("""COMPUTED_VALUE"""),"شركة ابن حيان معامل اكيو لاب")</f>
        <v>شركة ابن حيان معامل اكيو لاب</v>
      </c>
      <c r="H1903" s="5" t="str">
        <f ca="1">IFERROR(__xludf.DUMMYFUNCTION("""COMPUTED_VALUE"""),"شارع الهرم408-برج مستشفى المنارة -بجوار مبنى المحافظة الدور 3")</f>
        <v>شارع الهرم408-برج مستشفى المنارة -بجوار مبنى المحافظة الدور 3</v>
      </c>
      <c r="I1903" s="6"/>
      <c r="J1903" s="6" t="str">
        <f ca="1">IFERROR(__xludf.DUMMYFUNCTION("""COMPUTED_VALUE"""),"19868")</f>
        <v>19868</v>
      </c>
      <c r="K1903" s="6" t="str">
        <f ca="1">IFERROR(__xludf.DUMMYFUNCTION("""COMPUTED_VALUE"""),"35% نسبة خصم")</f>
        <v>35% نسبة خصم</v>
      </c>
    </row>
    <row r="1904" spans="1:11" x14ac:dyDescent="0.25">
      <c r="A1904" s="4" t="str">
        <f ca="1">IFERROR(__xludf.DUMMYFUNCTION("""COMPUTED_VALUE"""),"106073-B")</f>
        <v>106073-B</v>
      </c>
      <c r="B1904" s="5" t="str">
        <f ca="1">IFERROR(__xludf.DUMMYFUNCTION("""COMPUTED_VALUE"""),"الجيزة")</f>
        <v>الجيزة</v>
      </c>
      <c r="C1904" s="5" t="str">
        <f ca="1">IFERROR(__xludf.DUMMYFUNCTION("""COMPUTED_VALUE"""),"المهندسين")</f>
        <v>المهندسين</v>
      </c>
      <c r="D1904" s="5" t="str">
        <f ca="1">IFERROR(__xludf.DUMMYFUNCTION("""COMPUTED_VALUE"""),"معمل")</f>
        <v>معمل</v>
      </c>
      <c r="E1904" s="5" t="str">
        <f ca="1">IFERROR(__xludf.DUMMYFUNCTION("""COMPUTED_VALUE"""),"معمل")</f>
        <v>معمل</v>
      </c>
      <c r="F1904" s="5" t="str">
        <f ca="1">IFERROR(__xludf.DUMMYFUNCTION("""COMPUTED_VALUE"""),"معمل التحاليل الطبية")</f>
        <v>معمل التحاليل الطبية</v>
      </c>
      <c r="G1904" s="5" t="str">
        <f ca="1">IFERROR(__xludf.DUMMYFUNCTION("""COMPUTED_VALUE"""),"شركة ابن حيان معامل اكيو لاب")</f>
        <v>شركة ابن حيان معامل اكيو لاب</v>
      </c>
      <c r="H1904" s="5" t="str">
        <f ca="1">IFERROR(__xludf.DUMMYFUNCTION("""COMPUTED_VALUE"""),"شارع جامعه الدول العربية34 - المهندسين")</f>
        <v>شارع جامعه الدول العربية34 - المهندسين</v>
      </c>
      <c r="I1904" s="6"/>
      <c r="J1904" s="6" t="str">
        <f ca="1">IFERROR(__xludf.DUMMYFUNCTION("""COMPUTED_VALUE"""),"19868")</f>
        <v>19868</v>
      </c>
      <c r="K1904" s="6" t="str">
        <f ca="1">IFERROR(__xludf.DUMMYFUNCTION("""COMPUTED_VALUE"""),"35% نسبة خصم")</f>
        <v>35% نسبة خصم</v>
      </c>
    </row>
    <row r="1905" spans="1:11" x14ac:dyDescent="0.25">
      <c r="A1905" s="4" t="str">
        <f ca="1">IFERROR(__xludf.DUMMYFUNCTION("""COMPUTED_VALUE"""),"106073-B")</f>
        <v>106073-B</v>
      </c>
      <c r="B1905" s="5" t="str">
        <f ca="1">IFERROR(__xludf.DUMMYFUNCTION("""COMPUTED_VALUE"""),"القاهرة")</f>
        <v>القاهرة</v>
      </c>
      <c r="C1905" s="5" t="str">
        <f ca="1">IFERROR(__xludf.DUMMYFUNCTION("""COMPUTED_VALUE"""),"مصر الجديدة")</f>
        <v>مصر الجديدة</v>
      </c>
      <c r="D1905" s="5" t="str">
        <f ca="1">IFERROR(__xludf.DUMMYFUNCTION("""COMPUTED_VALUE"""),"معمل")</f>
        <v>معمل</v>
      </c>
      <c r="E1905" s="5" t="str">
        <f ca="1">IFERROR(__xludf.DUMMYFUNCTION("""COMPUTED_VALUE"""),"معمل")</f>
        <v>معمل</v>
      </c>
      <c r="F1905" s="5" t="str">
        <f ca="1">IFERROR(__xludf.DUMMYFUNCTION("""COMPUTED_VALUE"""),"معمل التحاليل الطبية")</f>
        <v>معمل التحاليل الطبية</v>
      </c>
      <c r="G1905" s="5" t="str">
        <f ca="1">IFERROR(__xludf.DUMMYFUNCTION("""COMPUTED_VALUE"""),"شركة ابن حيان معامل اكيو لاب")</f>
        <v>شركة ابن حيان معامل اكيو لاب</v>
      </c>
      <c r="H1905" s="5" t="str">
        <f ca="1">IFERROR(__xludf.DUMMYFUNCTION("""COMPUTED_VALUE"""),"168ش النزهه-ميدان سانت فاتيما - الدور 3")</f>
        <v>168ش النزهه-ميدان سانت فاتيما - الدور 3</v>
      </c>
      <c r="I1905" s="6"/>
      <c r="J1905" s="6" t="str">
        <f ca="1">IFERROR(__xludf.DUMMYFUNCTION("""COMPUTED_VALUE"""),"19868")</f>
        <v>19868</v>
      </c>
      <c r="K1905" s="6" t="str">
        <f ca="1">IFERROR(__xludf.DUMMYFUNCTION("""COMPUTED_VALUE"""),"35% نسبة خصم")</f>
        <v>35% نسبة خصم</v>
      </c>
    </row>
    <row r="1906" spans="1:11" x14ac:dyDescent="0.25">
      <c r="A1906" s="4" t="str">
        <f ca="1">IFERROR(__xludf.DUMMYFUNCTION("""COMPUTED_VALUE"""),"106073-B")</f>
        <v>106073-B</v>
      </c>
      <c r="B1906" s="5" t="str">
        <f ca="1">IFERROR(__xludf.DUMMYFUNCTION("""COMPUTED_VALUE"""),"الجيزة")</f>
        <v>الجيزة</v>
      </c>
      <c r="C1906" s="5" t="str">
        <f ca="1">IFERROR(__xludf.DUMMYFUNCTION("""COMPUTED_VALUE"""),"الجيزة")</f>
        <v>الجيزة</v>
      </c>
      <c r="D1906" s="5" t="str">
        <f ca="1">IFERROR(__xludf.DUMMYFUNCTION("""COMPUTED_VALUE"""),"معمل")</f>
        <v>معمل</v>
      </c>
      <c r="E1906" s="5" t="str">
        <f ca="1">IFERROR(__xludf.DUMMYFUNCTION("""COMPUTED_VALUE"""),"معمل")</f>
        <v>معمل</v>
      </c>
      <c r="F1906" s="5" t="str">
        <f ca="1">IFERROR(__xludf.DUMMYFUNCTION("""COMPUTED_VALUE"""),"معمل التحاليل الطبية")</f>
        <v>معمل التحاليل الطبية</v>
      </c>
      <c r="G1906" s="5" t="str">
        <f ca="1">IFERROR(__xludf.DUMMYFUNCTION("""COMPUTED_VALUE"""),"شركة ابن حيان معامل اكيو لاب")</f>
        <v>شركة ابن حيان معامل اكيو لاب</v>
      </c>
      <c r="H1906" s="5" t="str">
        <f ca="1">IFERROR(__xludf.DUMMYFUNCTION("""COMPUTED_VALUE"""),"داخل عيادات - طبيبي-نيو جيزة")</f>
        <v>داخل عيادات - طبيبي-نيو جيزة</v>
      </c>
      <c r="I1906" s="6"/>
      <c r="J1906" s="6" t="str">
        <f ca="1">IFERROR(__xludf.DUMMYFUNCTION("""COMPUTED_VALUE"""),"19868")</f>
        <v>19868</v>
      </c>
      <c r="K1906" s="6" t="str">
        <f ca="1">IFERROR(__xludf.DUMMYFUNCTION("""COMPUTED_VALUE"""),"35% نسبة خصم")</f>
        <v>35% نسبة خصم</v>
      </c>
    </row>
    <row r="1907" spans="1:11" x14ac:dyDescent="0.25">
      <c r="A1907" s="4" t="str">
        <f ca="1">IFERROR(__xludf.DUMMYFUNCTION("""COMPUTED_VALUE"""),"106073-B")</f>
        <v>106073-B</v>
      </c>
      <c r="B1907" s="5" t="str">
        <f ca="1">IFERROR(__xludf.DUMMYFUNCTION("""COMPUTED_VALUE"""),"الجيزة")</f>
        <v>الجيزة</v>
      </c>
      <c r="C1907" s="5" t="str">
        <f ca="1">IFERROR(__xludf.DUMMYFUNCTION("""COMPUTED_VALUE"""),"الشيخ زايد")</f>
        <v>الشيخ زايد</v>
      </c>
      <c r="D1907" s="5" t="str">
        <f ca="1">IFERROR(__xludf.DUMMYFUNCTION("""COMPUTED_VALUE"""),"معمل")</f>
        <v>معمل</v>
      </c>
      <c r="E1907" s="5" t="str">
        <f ca="1">IFERROR(__xludf.DUMMYFUNCTION("""COMPUTED_VALUE"""),"معمل")</f>
        <v>معمل</v>
      </c>
      <c r="F1907" s="5" t="str">
        <f ca="1">IFERROR(__xludf.DUMMYFUNCTION("""COMPUTED_VALUE"""),"معمل التحاليل الطبية")</f>
        <v>معمل التحاليل الطبية</v>
      </c>
      <c r="G1907" s="5" t="str">
        <f ca="1">IFERROR(__xludf.DUMMYFUNCTION("""COMPUTED_VALUE"""),"شركة ابن حيان معامل اكيو لاب")</f>
        <v>شركة ابن حيان معامل اكيو لاب</v>
      </c>
      <c r="H1907" s="5" t="str">
        <f ca="1">IFERROR(__xludf.DUMMYFUNCTION("""COMPUTED_VALUE"""),"الشيخ زايد. بيفرلي هيلز مول 4 خلف سعودى ماركت وفوق مطعم الزعيم منطقة عمارات عيادات سيتي كلينك الدول الثاني")</f>
        <v>الشيخ زايد. بيفرلي هيلز مول 4 خلف سعودى ماركت وفوق مطعم الزعيم منطقة عمارات عيادات سيتي كلينك الدول الثاني</v>
      </c>
      <c r="I1907" s="6"/>
      <c r="J1907" s="6" t="str">
        <f ca="1">IFERROR(__xludf.DUMMYFUNCTION("""COMPUTED_VALUE"""),"19868")</f>
        <v>19868</v>
      </c>
      <c r="K1907" s="6" t="str">
        <f ca="1">IFERROR(__xludf.DUMMYFUNCTION("""COMPUTED_VALUE"""),"35% نسبة خصم")</f>
        <v>35% نسبة خصم</v>
      </c>
    </row>
    <row r="1908" spans="1:11" x14ac:dyDescent="0.25">
      <c r="A1908" s="4" t="str">
        <f ca="1">IFERROR(__xludf.DUMMYFUNCTION("""COMPUTED_VALUE"""),"106396")</f>
        <v>106396</v>
      </c>
      <c r="B1908" s="5" t="str">
        <f ca="1">IFERROR(__xludf.DUMMYFUNCTION("""COMPUTED_VALUE"""),"البحيرة")</f>
        <v>البحيرة</v>
      </c>
      <c r="C1908" s="5" t="str">
        <f ca="1">IFERROR(__xludf.DUMMYFUNCTION("""COMPUTED_VALUE"""),"الدلنجات")</f>
        <v>الدلنجات</v>
      </c>
      <c r="D1908" s="5" t="str">
        <f ca="1">IFERROR(__xludf.DUMMYFUNCTION("""COMPUTED_VALUE"""),"مستشفى")</f>
        <v>مستشفى</v>
      </c>
      <c r="E1908" s="5" t="str">
        <f ca="1">IFERROR(__xludf.DUMMYFUNCTION("""COMPUTED_VALUE"""),"مستشفي طبي متكامل")</f>
        <v>مستشفي طبي متكامل</v>
      </c>
      <c r="F1908" s="5" t="str">
        <f ca="1">IFERROR(__xludf.DUMMYFUNCTION("""COMPUTED_VALUE"""),"جميع التخصصات الطبية")</f>
        <v>جميع التخصصات الطبية</v>
      </c>
      <c r="G1908" s="5" t="str">
        <f ca="1">IFERROR(__xludf.DUMMYFUNCTION("""COMPUTED_VALUE"""),"شركة شروق الدلنجات للخدمات الطبية ش.م.م (مستشفي الشروق التخصصي)")</f>
        <v>شركة شروق الدلنجات للخدمات الطبية ش.م.م (مستشفي الشروق التخصصي)</v>
      </c>
      <c r="H1908" s="5" t="str">
        <f ca="1">IFERROR(__xludf.DUMMYFUNCTION("""COMPUTED_VALUE"""),"زمام ناصيه الدلنجات مركز الدلنجات- البحيرة")</f>
        <v>زمام ناصيه الدلنجات مركز الدلنجات- البحيرة</v>
      </c>
      <c r="I1908" s="6" t="str">
        <f ca="1">IFERROR(__xludf.DUMMYFUNCTION("""COMPUTED_VALUE"""),"01113171126")</f>
        <v>01113171126</v>
      </c>
      <c r="J1908" s="6"/>
      <c r="K1908" s="6" t="str">
        <f ca="1">IFERROR(__xludf.DUMMYFUNCTION("""COMPUTED_VALUE"""),"خصم 20% علي الكشوفات علي الاسعار المعلنة.")</f>
        <v>خصم 20% علي الكشوفات علي الاسعار المعلنة.</v>
      </c>
    </row>
    <row r="1909" spans="1:11" x14ac:dyDescent="0.25">
      <c r="A1909" s="4" t="str">
        <f ca="1">IFERROR(__xludf.DUMMYFUNCTION("""COMPUTED_VALUE"""),"106398")</f>
        <v>106398</v>
      </c>
      <c r="B1909" s="5" t="str">
        <f ca="1">IFERROR(__xludf.DUMMYFUNCTION("""COMPUTED_VALUE"""),"الوادى الجديد")</f>
        <v>الوادى الجديد</v>
      </c>
      <c r="C1909" s="5" t="str">
        <f ca="1">IFERROR(__xludf.DUMMYFUNCTION("""COMPUTED_VALUE"""),"الداخلة")</f>
        <v>الداخلة</v>
      </c>
      <c r="D1909" s="5" t="str">
        <f ca="1">IFERROR(__xludf.DUMMYFUNCTION("""COMPUTED_VALUE"""),"صيدلية")</f>
        <v>صيدلية</v>
      </c>
      <c r="E1909" s="5" t="str">
        <f ca="1">IFERROR(__xludf.DUMMYFUNCTION("""COMPUTED_VALUE"""),"صيدلية")</f>
        <v>صيدلية</v>
      </c>
      <c r="F1909" s="5" t="str">
        <f ca="1">IFERROR(__xludf.DUMMYFUNCTION("""COMPUTED_VALUE"""),"صيدلية (أدوية ومستلزمات طبية)")</f>
        <v>صيدلية (أدوية ومستلزمات طبية)</v>
      </c>
      <c r="G1909" s="5" t="str">
        <f ca="1">IFERROR(__xludf.DUMMYFUNCTION("""COMPUTED_VALUE"""),"صيدلية احمد سعد الدين حسن عبدالرحمن")</f>
        <v>صيدلية احمد سعد الدين حسن عبدالرحمن</v>
      </c>
      <c r="H1909" s="5" t="str">
        <f ca="1">IFERROR(__xludf.DUMMYFUNCTION("""COMPUTED_VALUE"""),"الداخلة-موط شارع 23 يوليو الوادي الجديد")</f>
        <v>الداخلة-موط شارع 23 يوليو الوادي الجديد</v>
      </c>
      <c r="I1909" s="6" t="str">
        <f ca="1">IFERROR(__xludf.DUMMYFUNCTION("""COMPUTED_VALUE"""),"1211146588")</f>
        <v>1211146588</v>
      </c>
      <c r="J1909" s="6"/>
      <c r="K1909" s="6" t="str">
        <f ca="1">IFERROR(__xludf.DUMMYFUNCTION("""COMPUTED_VALUE"""),"14% على المحلى ,7% على المستورد")</f>
        <v>14% على المحلى ,7% على المستورد</v>
      </c>
    </row>
    <row r="1910" spans="1:11" x14ac:dyDescent="0.25">
      <c r="A1910" s="4" t="str">
        <f ca="1">IFERROR(__xludf.DUMMYFUNCTION("""COMPUTED_VALUE"""),"106391")</f>
        <v>106391</v>
      </c>
      <c r="B1910" s="5" t="str">
        <f ca="1">IFERROR(__xludf.DUMMYFUNCTION("""COMPUTED_VALUE"""),"الجيزة")</f>
        <v>الجيزة</v>
      </c>
      <c r="C1910" s="5" t="str">
        <f ca="1">IFERROR(__xludf.DUMMYFUNCTION("""COMPUTED_VALUE"""),"المهندسين")</f>
        <v>المهندسين</v>
      </c>
      <c r="D1910" s="5" t="str">
        <f ca="1">IFERROR(__xludf.DUMMYFUNCTION("""COMPUTED_VALUE"""),"مستشفى")</f>
        <v>مستشفى</v>
      </c>
      <c r="E1910" s="5" t="str">
        <f ca="1">IFERROR(__xludf.DUMMYFUNCTION("""COMPUTED_VALUE"""),"مستشفي طبي متكامل")</f>
        <v>مستشفي طبي متكامل</v>
      </c>
      <c r="F1910" s="5" t="str">
        <f ca="1">IFERROR(__xludf.DUMMYFUNCTION("""COMPUTED_VALUE"""),"جميع التخصصات الطبية")</f>
        <v>جميع التخصصات الطبية</v>
      </c>
      <c r="G1910" s="5" t="str">
        <f ca="1">IFERROR(__xludf.DUMMYFUNCTION("""COMPUTED_VALUE"""),"مستشفي الرعاية للخدمات الطبية (مستشفي ويلكير)")</f>
        <v>مستشفي الرعاية للخدمات الطبية (مستشفي ويلكير)</v>
      </c>
      <c r="H1910" s="5" t="str">
        <f ca="1">IFERROR(__xludf.DUMMYFUNCTION("""COMPUTED_VALUE"""),"51 ش دمشق من شارع سوريا-المهندسين -الجيزة")</f>
        <v>51 ش دمشق من شارع سوريا-المهندسين -الجيزة</v>
      </c>
      <c r="I1910" s="6"/>
      <c r="J1910" s="6" t="str">
        <f ca="1">IFERROR(__xludf.DUMMYFUNCTION("""COMPUTED_VALUE"""),"15695")</f>
        <v>15695</v>
      </c>
      <c r="K1910" s="6" t="str">
        <f ca="1">IFERROR(__xludf.DUMMYFUNCTION("""COMPUTED_VALUE"""),"50% على الكشوفات ,20% اتعاب الأطباء,35% على باقي الخدمات.")</f>
        <v>50% على الكشوفات ,20% اتعاب الأطباء,35% على باقي الخدمات.</v>
      </c>
    </row>
    <row r="1911" spans="1:11" x14ac:dyDescent="0.25">
      <c r="A1911" s="4" t="str">
        <f ca="1">IFERROR(__xludf.DUMMYFUNCTION("""COMPUTED_VALUE"""),"106395")</f>
        <v>106395</v>
      </c>
      <c r="B1911" s="5" t="str">
        <f ca="1">IFERROR(__xludf.DUMMYFUNCTION("""COMPUTED_VALUE"""),"القاهرة")</f>
        <v>القاهرة</v>
      </c>
      <c r="C1911" s="5" t="str">
        <f ca="1">IFERROR(__xludf.DUMMYFUNCTION("""COMPUTED_VALUE"""),"15 مايو")</f>
        <v>15 مايو</v>
      </c>
      <c r="D1911" s="5" t="str">
        <f ca="1">IFERROR(__xludf.DUMMYFUNCTION("""COMPUTED_VALUE"""),"صيدلية")</f>
        <v>صيدلية</v>
      </c>
      <c r="E1911" s="5" t="str">
        <f ca="1">IFERROR(__xludf.DUMMYFUNCTION("""COMPUTED_VALUE"""),"صيدلية")</f>
        <v>صيدلية</v>
      </c>
      <c r="F1911" s="5" t="str">
        <f ca="1">IFERROR(__xludf.DUMMYFUNCTION("""COMPUTED_VALUE"""),"صيدلية (أدوية ومستلزمات طبية)")</f>
        <v>صيدلية (أدوية ومستلزمات طبية)</v>
      </c>
      <c r="G1911" s="5" t="str">
        <f ca="1">IFERROR(__xludf.DUMMYFUNCTION("""COMPUTED_VALUE"""),"صيدلية د.محمد السيد عبدالفتاح (صيدلية د. محمد السيد)")</f>
        <v>صيدلية د.محمد السيد عبدالفتاح (صيدلية د. محمد السيد)</v>
      </c>
      <c r="H1911" s="5" t="str">
        <f ca="1">IFERROR(__xludf.DUMMYFUNCTION("""COMPUTED_VALUE"""),"مشروع وسط البلد برج (ب) قطعة 7 و، 7 ز بالمركز الرئيسي مدينة15 مايو")</f>
        <v>مشروع وسط البلد برج (ب) قطعة 7 و، 7 ز بالمركز الرئيسي مدينة15 مايو</v>
      </c>
      <c r="I1911" s="6" t="str">
        <f ca="1">IFERROR(__xludf.DUMMYFUNCTION("""COMPUTED_VALUE"""),"1096526412")</f>
        <v>1096526412</v>
      </c>
      <c r="J1911" s="6"/>
      <c r="K1911" s="6" t="str">
        <f ca="1">IFERROR(__xludf.DUMMYFUNCTION("""COMPUTED_VALUE"""),"خصم 15% علي المحلي و 7% علي المستورد")</f>
        <v>خصم 15% علي المحلي و 7% علي المستورد</v>
      </c>
    </row>
    <row r="1912" spans="1:11" x14ac:dyDescent="0.25">
      <c r="A1912" s="4" t="str">
        <f ca="1">IFERROR(__xludf.DUMMYFUNCTION("""COMPUTED_VALUE"""),"106399")</f>
        <v>106399</v>
      </c>
      <c r="B1912" s="5" t="str">
        <f ca="1">IFERROR(__xludf.DUMMYFUNCTION("""COMPUTED_VALUE"""),"البحيرة")</f>
        <v>البحيرة</v>
      </c>
      <c r="C1912" s="5" t="str">
        <f ca="1">IFERROR(__xludf.DUMMYFUNCTION("""COMPUTED_VALUE"""),"دمنهور")</f>
        <v>دمنهور</v>
      </c>
      <c r="D1912" s="5" t="str">
        <f ca="1">IFERROR(__xludf.DUMMYFUNCTION("""COMPUTED_VALUE"""),"هيئة الأطباء")</f>
        <v>هيئة الأطباء</v>
      </c>
      <c r="E1912" s="5" t="str">
        <f ca="1">IFERROR(__xludf.DUMMYFUNCTION("""COMPUTED_VALUE"""),"عظام")</f>
        <v>عظام</v>
      </c>
      <c r="F1912" s="5" t="str">
        <f ca="1">IFERROR(__xludf.DUMMYFUNCTION("""COMPUTED_VALUE"""),"جراحة عظام")</f>
        <v>جراحة عظام</v>
      </c>
      <c r="G1912" s="5" t="str">
        <f ca="1">IFERROR(__xludf.DUMMYFUNCTION("""COMPUTED_VALUE"""),"د/ محمد يوسف عبد الحميد أبو كبشه (د. محمد يوسف أبو كبشة)")</f>
        <v>د/ محمد يوسف عبد الحميد أبو كبشه (د. محمد يوسف أبو كبشة)</v>
      </c>
      <c r="H1912" s="5" t="str">
        <f ca="1">IFERROR(__xludf.DUMMYFUNCTION("""COMPUTED_VALUE"""),"شارع احمد عرابي برج عرابي باشا دمنهور- البحيرة")</f>
        <v>شارع احمد عرابي برج عرابي باشا دمنهور- البحيرة</v>
      </c>
      <c r="I1912" s="6" t="str">
        <f ca="1">IFERROR(__xludf.DUMMYFUNCTION("""COMPUTED_VALUE"""),"1091581812")</f>
        <v>1091581812</v>
      </c>
      <c r="J1912" s="6"/>
      <c r="K1912" s="6" t="str">
        <f ca="1">IFERROR(__xludf.DUMMYFUNCTION("""COMPUTED_VALUE"""),"خصم 30% علي الاسعار المعلنة.")</f>
        <v>خصم 30% علي الاسعار المعلنة.</v>
      </c>
    </row>
    <row r="1913" spans="1:11" x14ac:dyDescent="0.25">
      <c r="A1913" s="4" t="str">
        <f ca="1">IFERROR(__xludf.DUMMYFUNCTION("""COMPUTED_VALUE"""),"106400")</f>
        <v>106400</v>
      </c>
      <c r="B1913" s="5" t="str">
        <f ca="1">IFERROR(__xludf.DUMMYFUNCTION("""COMPUTED_VALUE"""),"الأقصر")</f>
        <v>الأقصر</v>
      </c>
      <c r="C1913" s="5" t="str">
        <f ca="1">IFERROR(__xludf.DUMMYFUNCTION("""COMPUTED_VALUE"""),"اسنا")</f>
        <v>اسنا</v>
      </c>
      <c r="D1913" s="5" t="str">
        <f ca="1">IFERROR(__xludf.DUMMYFUNCTION("""COMPUTED_VALUE"""),"صيدلية")</f>
        <v>صيدلية</v>
      </c>
      <c r="E1913" s="5" t="str">
        <f ca="1">IFERROR(__xludf.DUMMYFUNCTION("""COMPUTED_VALUE"""),"صيدلية")</f>
        <v>صيدلية</v>
      </c>
      <c r="F1913" s="5" t="str">
        <f ca="1">IFERROR(__xludf.DUMMYFUNCTION("""COMPUTED_VALUE"""),"صيدلية (أدوية ومستلزمات طبية)")</f>
        <v>صيدلية (أدوية ومستلزمات طبية)</v>
      </c>
      <c r="G1913" s="5" t="str">
        <f ca="1">IFERROR(__xludf.DUMMYFUNCTION("""COMPUTED_VALUE"""),"صيدلية د. دعاء مصطفي عبدالبر مصطفي (دكتورة/ دعاء مصطفي عبد البر)")</f>
        <v>صيدلية د. دعاء مصطفي عبدالبر مصطفي (دكتورة/ دعاء مصطفي عبد البر)</v>
      </c>
      <c r="H1913" s="5" t="str">
        <f ca="1">IFERROR(__xludf.DUMMYFUNCTION("""COMPUTED_VALUE"""),"مركز اسنا شارع احمد عرابي بجوار باتا")</f>
        <v>مركز اسنا شارع احمد عرابي بجوار باتا</v>
      </c>
      <c r="I1913" s="6" t="str">
        <f ca="1">IFERROR(__xludf.DUMMYFUNCTION("""COMPUTED_VALUE"""),"01158413174")</f>
        <v>01158413174</v>
      </c>
      <c r="J1913" s="6"/>
      <c r="K1913" s="6" t="str">
        <f ca="1">IFERROR(__xludf.DUMMYFUNCTION("""COMPUTED_VALUE"""),"خصم 15% علي المحلي و 8% علي المستورد")</f>
        <v>خصم 15% علي المحلي و 8% علي المستورد</v>
      </c>
    </row>
    <row r="1914" spans="1:11" x14ac:dyDescent="0.25">
      <c r="A1914" s="4" t="str">
        <f ca="1">IFERROR(__xludf.DUMMYFUNCTION("""COMPUTED_VALUE"""),"106401")</f>
        <v>106401</v>
      </c>
      <c r="B1914" s="5" t="str">
        <f ca="1">IFERROR(__xludf.DUMMYFUNCTION("""COMPUTED_VALUE"""),"كفر الشيخ")</f>
        <v>كفر الشيخ</v>
      </c>
      <c r="C1914" s="5" t="str">
        <f ca="1">IFERROR(__xludf.DUMMYFUNCTION("""COMPUTED_VALUE"""),"كفر الشيخ")</f>
        <v>كفر الشيخ</v>
      </c>
      <c r="D1914" s="5" t="str">
        <f ca="1">IFERROR(__xludf.DUMMYFUNCTION("""COMPUTED_VALUE"""),"مستشفى")</f>
        <v>مستشفى</v>
      </c>
      <c r="E1914" s="5" t="str">
        <f ca="1">IFERROR(__xludf.DUMMYFUNCTION("""COMPUTED_VALUE"""),"مستشفي طبي متخصص")</f>
        <v>مستشفي طبي متخصص</v>
      </c>
      <c r="F1914" s="5" t="str">
        <f ca="1">IFERROR(__xludf.DUMMYFUNCTION("""COMPUTED_VALUE"""),"رمد (جراحة عيون)")</f>
        <v>رمد (جراحة عيون)</v>
      </c>
      <c r="G1914" s="5" t="str">
        <f ca="1">IFERROR(__xludf.DUMMYFUNCTION("""COMPUTED_VALUE"""),"مركز اشراق لجراحات العيون و الليزك (مركز اشراق لجراحات العيو و الليزر)")</f>
        <v>مركز اشراق لجراحات العيون و الليزك (مركز اشراق لجراحات العيو و الليزر)</v>
      </c>
      <c r="H1914" s="5" t="str">
        <f ca="1">IFERROR(__xludf.DUMMYFUNCTION("""COMPUTED_VALUE"""),"ش الجمهورية تقسيم المحاسبين مدينة كفر الشيخ")</f>
        <v>ش الجمهورية تقسيم المحاسبين مدينة كفر الشيخ</v>
      </c>
      <c r="I1914" s="6" t="str">
        <f ca="1">IFERROR(__xludf.DUMMYFUNCTION("""COMPUTED_VALUE"""),"01555350816")</f>
        <v>01555350816</v>
      </c>
      <c r="J1914" s="6"/>
      <c r="K1914" s="6" t="str">
        <f ca="1">IFERROR(__xludf.DUMMYFUNCTION("""COMPUTED_VALUE"""),"نسبة خصم 20% علي الداخلي وخصم 30% علي الخاجي")</f>
        <v>نسبة خصم 20% علي الداخلي وخصم 30% علي الخاجي</v>
      </c>
    </row>
    <row r="1915" spans="1:11" x14ac:dyDescent="0.25">
      <c r="A1915" s="4" t="str">
        <f ca="1">IFERROR(__xludf.DUMMYFUNCTION("""COMPUTED_VALUE"""),"106402")</f>
        <v>106402</v>
      </c>
      <c r="B1915" s="5" t="str">
        <f ca="1">IFERROR(__xludf.DUMMYFUNCTION("""COMPUTED_VALUE"""),"الجيزة")</f>
        <v>الجيزة</v>
      </c>
      <c r="C1915" s="5" t="str">
        <f ca="1">IFERROR(__xludf.DUMMYFUNCTION("""COMPUTED_VALUE"""),"كرداسة")</f>
        <v>كرداسة</v>
      </c>
      <c r="D1915" s="5" t="str">
        <f ca="1">IFERROR(__xludf.DUMMYFUNCTION("""COMPUTED_VALUE"""),"مركز أشعة")</f>
        <v>مركز أشعة</v>
      </c>
      <c r="E1915" s="5" t="str">
        <f ca="1">IFERROR(__xludf.DUMMYFUNCTION("""COMPUTED_VALUE"""),"مركز أشعة")</f>
        <v>مركز أشعة</v>
      </c>
      <c r="F1915" s="5" t="str">
        <f ca="1">IFERROR(__xludf.DUMMYFUNCTION("""COMPUTED_VALUE"""),"مركز الأشعة التشخيصية")</f>
        <v>مركز الأشعة التشخيصية</v>
      </c>
      <c r="G1915" s="5" t="str">
        <f ca="1">IFERROR(__xludf.DUMMYFUNCTION("""COMPUTED_VALUE"""),"عبد الرحمن علي أبو سريع جمعه التواتي (مركز مجد للأشعة)")</f>
        <v>عبد الرحمن علي أبو سريع جمعه التواتي (مركز مجد للأشعة)</v>
      </c>
      <c r="H1915" s="5" t="str">
        <f ca="1">IFERROR(__xludf.DUMMYFUNCTION("""COMPUTED_VALUE"""),"شارع الوحدة المحلية - امام المركز التكنولوجي - كرداسه - الجيزة")</f>
        <v>شارع الوحدة المحلية - امام المركز التكنولوجي - كرداسه - الجيزة</v>
      </c>
      <c r="I1915" s="6" t="str">
        <f ca="1">IFERROR(__xludf.DUMMYFUNCTION("""COMPUTED_VALUE"""),"37981953")</f>
        <v>37981953</v>
      </c>
      <c r="J1915" s="6"/>
      <c r="K1915" s="6" t="str">
        <f ca="1">IFERROR(__xludf.DUMMYFUNCTION("""COMPUTED_VALUE"""),"خصم 30% علي الاسعار المعلنة ما عادا الصبغات والتخدير")</f>
        <v>خصم 30% علي الاسعار المعلنة ما عادا الصبغات والتخدير</v>
      </c>
    </row>
    <row r="1916" spans="1:11" x14ac:dyDescent="0.25">
      <c r="A1916" s="4" t="str">
        <f ca="1">IFERROR(__xludf.DUMMYFUNCTION("""COMPUTED_VALUE"""),"106402-B")</f>
        <v>106402-B</v>
      </c>
      <c r="B1916" s="5" t="str">
        <f ca="1">IFERROR(__xludf.DUMMYFUNCTION("""COMPUTED_VALUE"""),"الجيزة")</f>
        <v>الجيزة</v>
      </c>
      <c r="C1916" s="5" t="str">
        <f ca="1">IFERROR(__xludf.DUMMYFUNCTION("""COMPUTED_VALUE"""),"فيصل")</f>
        <v>فيصل</v>
      </c>
      <c r="D1916" s="5" t="str">
        <f ca="1">IFERROR(__xludf.DUMMYFUNCTION("""COMPUTED_VALUE"""),"مركز أشعة")</f>
        <v>مركز أشعة</v>
      </c>
      <c r="E1916" s="5" t="str">
        <f ca="1">IFERROR(__xludf.DUMMYFUNCTION("""COMPUTED_VALUE"""),"مركز أشعة")</f>
        <v>مركز أشعة</v>
      </c>
      <c r="F1916" s="5" t="str">
        <f ca="1">IFERROR(__xludf.DUMMYFUNCTION("""COMPUTED_VALUE"""),"مركز الأشعة التشخيصية")</f>
        <v>مركز الأشعة التشخيصية</v>
      </c>
      <c r="G1916" s="5" t="str">
        <f ca="1">IFERROR(__xludf.DUMMYFUNCTION("""COMPUTED_VALUE"""),"عبد الرحمن علي أبو سريع جمعه التواتي (مركز مجد للأشعة)")</f>
        <v>عبد الرحمن علي أبو سريع جمعه التواتي (مركز مجد للأشعة)</v>
      </c>
      <c r="H1916" s="5" t="str">
        <f ca="1">IFERROR(__xludf.DUMMYFUNCTION("""COMPUTED_VALUE"""),"1 مكرر العشرين تقاطع المساكن - فيصل - الجيزة")</f>
        <v>1 مكرر العشرين تقاطع المساكن - فيصل - الجيزة</v>
      </c>
      <c r="I1916" s="6" t="str">
        <f ca="1">IFERROR(__xludf.DUMMYFUNCTION("""COMPUTED_VALUE"""),"37981953")</f>
        <v>37981953</v>
      </c>
      <c r="J1916" s="6"/>
      <c r="K1916" s="6" t="str">
        <f ca="1">IFERROR(__xludf.DUMMYFUNCTION("""COMPUTED_VALUE"""),"خصم 30% علي الاسعار المعلنة ما عادا الصبغات والتخدير")</f>
        <v>خصم 30% علي الاسعار المعلنة ما عادا الصبغات والتخدير</v>
      </c>
    </row>
    <row r="1917" spans="1:11" x14ac:dyDescent="0.25">
      <c r="A1917" s="4" t="str">
        <f ca="1">IFERROR(__xludf.DUMMYFUNCTION("""COMPUTED_VALUE"""),"106403")</f>
        <v>106403</v>
      </c>
      <c r="B1917" s="5" t="str">
        <f ca="1">IFERROR(__xludf.DUMMYFUNCTION("""COMPUTED_VALUE"""),"البحيرة")</f>
        <v>البحيرة</v>
      </c>
      <c r="C1917" s="5" t="str">
        <f ca="1">IFERROR(__xludf.DUMMYFUNCTION("""COMPUTED_VALUE"""),"المحمودية")</f>
        <v>المحمودية</v>
      </c>
      <c r="D1917" s="5" t="str">
        <f ca="1">IFERROR(__xludf.DUMMYFUNCTION("""COMPUTED_VALUE"""),"صيدلية")</f>
        <v>صيدلية</v>
      </c>
      <c r="E1917" s="5" t="str">
        <f ca="1">IFERROR(__xludf.DUMMYFUNCTION("""COMPUTED_VALUE"""),"صيدلية")</f>
        <v>صيدلية</v>
      </c>
      <c r="F1917" s="5" t="str">
        <f ca="1">IFERROR(__xludf.DUMMYFUNCTION("""COMPUTED_VALUE"""),"صيدلية (أدوية ومستلزمات طبية)")</f>
        <v>صيدلية (أدوية ومستلزمات طبية)</v>
      </c>
      <c r="G1917" s="5" t="str">
        <f ca="1">IFERROR(__xludf.DUMMYFUNCTION("""COMPUTED_VALUE"""),"صيدلية محمد محمد محمد القلفاط (صيدلية دكتور محمد القلفاط)")</f>
        <v>صيدلية محمد محمد محمد القلفاط (صيدلية دكتور محمد القلفاط)</v>
      </c>
      <c r="H1917" s="5" t="str">
        <f ca="1">IFERROR(__xludf.DUMMYFUNCTION("""COMPUTED_VALUE"""),"شارع الشط امام المركز الطبي - الرحمانية - البحيرة")</f>
        <v>شارع الشط امام المركز الطبي - الرحمانية - البحيرة</v>
      </c>
      <c r="I1917" s="6" t="str">
        <f ca="1">IFERROR(__xludf.DUMMYFUNCTION("""COMPUTED_VALUE"""),"01122498600")</f>
        <v>01122498600</v>
      </c>
      <c r="J1917" s="6"/>
      <c r="K1917" s="6" t="str">
        <f ca="1">IFERROR(__xludf.DUMMYFUNCTION("""COMPUTED_VALUE"""),"خصم 15% علي المحلي و 15% علي المستورد")</f>
        <v>خصم 15% علي المحلي و 15% علي المستورد</v>
      </c>
    </row>
    <row r="1918" spans="1:11" x14ac:dyDescent="0.25">
      <c r="A1918" s="4" t="str">
        <f ca="1">IFERROR(__xludf.DUMMYFUNCTION("""COMPUTED_VALUE"""),"106405")</f>
        <v>106405</v>
      </c>
      <c r="B1918" s="5" t="str">
        <f ca="1">IFERROR(__xludf.DUMMYFUNCTION("""COMPUTED_VALUE"""),"القاهرة")</f>
        <v>القاهرة</v>
      </c>
      <c r="C1918" s="5" t="str">
        <f ca="1">IFERROR(__xludf.DUMMYFUNCTION("""COMPUTED_VALUE"""),"مصر الجديدة")</f>
        <v>مصر الجديدة</v>
      </c>
      <c r="D1918" s="5" t="str">
        <f ca="1">IFERROR(__xludf.DUMMYFUNCTION("""COMPUTED_VALUE"""),"شركة")</f>
        <v>شركة</v>
      </c>
      <c r="E1918" s="5" t="str">
        <f ca="1">IFERROR(__xludf.DUMMYFUNCTION("""COMPUTED_VALUE"""),"شركة اجهزة طبية")</f>
        <v>شركة اجهزة طبية</v>
      </c>
      <c r="F1918" s="5" t="str">
        <f ca="1">IFERROR(__xludf.DUMMYFUNCTION("""COMPUTED_VALUE"""),"مستلزمات واجهزة طبية")</f>
        <v>مستلزمات واجهزة طبية</v>
      </c>
      <c r="G1918" s="5" t="str">
        <f ca="1">IFERROR(__xludf.DUMMYFUNCTION("""COMPUTED_VALUE"""),"وايدكس ايجيبت (عصام عبدالملك عزيز روفائيل وايدكس ايجيبت)")</f>
        <v>وايدكس ايجيبت (عصام عبدالملك عزيز روفائيل وايدكس ايجيبت)</v>
      </c>
      <c r="H1918" s="5" t="str">
        <f ca="1">IFERROR(__xludf.DUMMYFUNCTION("""COMPUTED_VALUE"""),"25 ش الخليفة المأمون - مصر الجديدة")</f>
        <v>25 ش الخليفة المأمون - مصر الجديدة</v>
      </c>
      <c r="I1918" s="6" t="str">
        <f ca="1">IFERROR(__xludf.DUMMYFUNCTION("""COMPUTED_VALUE"""),"01270110002")</f>
        <v>01270110002</v>
      </c>
      <c r="J1918" s="6"/>
      <c r="K1918" s="6" t="str">
        <f ca="1">IFERROR(__xludf.DUMMYFUNCTION("""COMPUTED_VALUE"""),"خصم 30% علي الاسعار المعلنة.")</f>
        <v>خصم 30% علي الاسعار المعلنة.</v>
      </c>
    </row>
    <row r="1919" spans="1:11" x14ac:dyDescent="0.25">
      <c r="A1919" s="4" t="str">
        <f ca="1">IFERROR(__xludf.DUMMYFUNCTION("""COMPUTED_VALUE"""),"106213-B")</f>
        <v>106213-B</v>
      </c>
      <c r="B1919" s="5" t="str">
        <f ca="1">IFERROR(__xludf.DUMMYFUNCTION("""COMPUTED_VALUE"""),"الجيزة")</f>
        <v>الجيزة</v>
      </c>
      <c r="C1919" s="5" t="str">
        <f ca="1">IFERROR(__xludf.DUMMYFUNCTION("""COMPUTED_VALUE"""),"فيصل")</f>
        <v>فيصل</v>
      </c>
      <c r="D1919" s="5" t="str">
        <f ca="1">IFERROR(__xludf.DUMMYFUNCTION("""COMPUTED_VALUE"""),"مجمع عيادات")</f>
        <v>مجمع عيادات</v>
      </c>
      <c r="E1919" s="5" t="str">
        <f ca="1">IFERROR(__xludf.DUMMYFUNCTION("""COMPUTED_VALUE"""),"جميع التخصصات")</f>
        <v>جميع التخصصات</v>
      </c>
      <c r="F1919" s="5" t="str">
        <f ca="1">IFERROR(__xludf.DUMMYFUNCTION("""COMPUTED_VALUE"""),"جميع التخصصات الطبية")</f>
        <v>جميع التخصصات الطبية</v>
      </c>
      <c r="G1919" s="5" t="str">
        <f ca="1">IFERROR(__xludf.DUMMYFUNCTION("""COMPUTED_VALUE"""),"شركة داوي لتجهيز المنشات الطبية")</f>
        <v>شركة داوي لتجهيز المنشات الطبية</v>
      </c>
      <c r="H1919" s="5" t="str">
        <f ca="1">IFERROR(__xludf.DUMMYFUNCTION("""COMPUTED_VALUE"""),"36 شارع ابن بطوطة تقاطع شارع فيصل الرئيسي، الدور الثاني")</f>
        <v>36 شارع ابن بطوطة تقاطع شارع فيصل الرئيسي، الدور الثاني</v>
      </c>
      <c r="I1919" s="6" t="str">
        <f ca="1">IFERROR(__xludf.DUMMYFUNCTION("""COMPUTED_VALUE"""),"01279048142")</f>
        <v>01279048142</v>
      </c>
      <c r="J1919" s="6" t="str">
        <f ca="1">IFERROR(__xludf.DUMMYFUNCTION("""COMPUTED_VALUE"""),"16850")</f>
        <v>16850</v>
      </c>
      <c r="K1919" s="6" t="str">
        <f ca="1">IFERROR(__xludf.DUMMYFUNCTION("""COMPUTED_VALUE"""),"خصم 25% علي جميع الخدمات و20% علي خدمات الاسنان")</f>
        <v>خصم 25% علي جميع الخدمات و20% علي خدمات الاسنان</v>
      </c>
    </row>
    <row r="1920" spans="1:11" x14ac:dyDescent="0.25">
      <c r="A1920" s="4" t="str">
        <f ca="1">IFERROR(__xludf.DUMMYFUNCTION("""COMPUTED_VALUE"""),"106213-B")</f>
        <v>106213-B</v>
      </c>
      <c r="B1920" s="5" t="str">
        <f ca="1">IFERROR(__xludf.DUMMYFUNCTION("""COMPUTED_VALUE"""),"القاهرة")</f>
        <v>القاهرة</v>
      </c>
      <c r="C1920" s="5" t="str">
        <f ca="1">IFERROR(__xludf.DUMMYFUNCTION("""COMPUTED_VALUE"""),"شبرا")</f>
        <v>شبرا</v>
      </c>
      <c r="D1920" s="5" t="str">
        <f ca="1">IFERROR(__xludf.DUMMYFUNCTION("""COMPUTED_VALUE"""),"مجمع عيادات")</f>
        <v>مجمع عيادات</v>
      </c>
      <c r="E1920" s="5" t="str">
        <f ca="1">IFERROR(__xludf.DUMMYFUNCTION("""COMPUTED_VALUE"""),"جميع التخصصات")</f>
        <v>جميع التخصصات</v>
      </c>
      <c r="F1920" s="5" t="str">
        <f ca="1">IFERROR(__xludf.DUMMYFUNCTION("""COMPUTED_VALUE"""),"جميع التخصصات الطبية")</f>
        <v>جميع التخصصات الطبية</v>
      </c>
      <c r="G1920" s="5" t="str">
        <f ca="1">IFERROR(__xludf.DUMMYFUNCTION("""COMPUTED_VALUE"""),"شركة داوي لتجهيز المنشات الطبية")</f>
        <v>شركة داوي لتجهيز المنشات الطبية</v>
      </c>
      <c r="H1920" s="5" t="str">
        <f ca="1">IFERROR(__xludf.DUMMYFUNCTION("""COMPUTED_VALUE"""),"172 شارع شبرا بجانب فرع اورانج - امام هيبر المنصور - بجوار محطة سانت تيريزا)")</f>
        <v>172 شارع شبرا بجانب فرع اورانج - امام هيبر المنصور - بجوار محطة سانت تيريزا)</v>
      </c>
      <c r="I1920" s="6" t="str">
        <f ca="1">IFERROR(__xludf.DUMMYFUNCTION("""COMPUTED_VALUE"""),"01279048142")</f>
        <v>01279048142</v>
      </c>
      <c r="J1920" s="6" t="str">
        <f ca="1">IFERROR(__xludf.DUMMYFUNCTION("""COMPUTED_VALUE"""),"16850")</f>
        <v>16850</v>
      </c>
      <c r="K1920" s="6" t="str">
        <f ca="1">IFERROR(__xludf.DUMMYFUNCTION("""COMPUTED_VALUE"""),"خصم 25% علي جميع الخدمات و20% علي خدمات الاسنان")</f>
        <v>خصم 25% علي جميع الخدمات و20% علي خدمات الاسنان</v>
      </c>
    </row>
    <row r="1921" spans="1:11" x14ac:dyDescent="0.25">
      <c r="A1921" s="4" t="str">
        <f ca="1">IFERROR(__xludf.DUMMYFUNCTION("""COMPUTED_VALUE"""),"106411")</f>
        <v>106411</v>
      </c>
      <c r="B1921" s="5" t="str">
        <f ca="1">IFERROR(__xludf.DUMMYFUNCTION("""COMPUTED_VALUE"""),"القاهرة")</f>
        <v>القاهرة</v>
      </c>
      <c r="C1921" s="5" t="str">
        <f ca="1">IFERROR(__xludf.DUMMYFUNCTION("""COMPUTED_VALUE"""),"القاهرة الجديدة")</f>
        <v>القاهرة الجديدة</v>
      </c>
      <c r="D1921" s="5" t="str">
        <f ca="1">IFERROR(__xludf.DUMMYFUNCTION("""COMPUTED_VALUE"""),"مستشفى")</f>
        <v>مستشفى</v>
      </c>
      <c r="E1921" s="5" t="str">
        <f ca="1">IFERROR(__xludf.DUMMYFUNCTION("""COMPUTED_VALUE"""),"مستشفي طبي متكامل")</f>
        <v>مستشفي طبي متكامل</v>
      </c>
      <c r="F1921" s="5" t="str">
        <f ca="1">IFERROR(__xludf.DUMMYFUNCTION("""COMPUTED_VALUE"""),"جميع التخصصات الطبية")</f>
        <v>جميع التخصصات الطبية</v>
      </c>
      <c r="G1921" s="5" t="str">
        <f ca="1">IFERROR(__xludf.DUMMYFUNCTION("""COMPUTED_VALUE"""),"مستشفي السلام الدولي القطامية")</f>
        <v>مستشفي السلام الدولي القطامية</v>
      </c>
      <c r="H1921" s="5" t="str">
        <f ca="1">IFERROR(__xludf.DUMMYFUNCTION("""COMPUTED_VALUE"""),"مركز خدمات التجمع الخامس-القطامية-القاهرة الجديدة")</f>
        <v>مركز خدمات التجمع الخامس-القطامية-القاهرة الجديدة</v>
      </c>
      <c r="I1921" s="6"/>
      <c r="J1921" s="6" t="str">
        <f ca="1">IFERROR(__xludf.DUMMYFUNCTION("""COMPUTED_VALUE"""),"19885")</f>
        <v>19885</v>
      </c>
      <c r="K1921" s="6" t="str">
        <f ca="1">IFERROR(__xludf.DUMMYFUNCTION("""COMPUTED_VALUE"""),"تطبيق نسبة خصم 50% علي خدمات القسم الداخلي و الخارجي عدا : خصم 60% علي كشوفات العيادات الخارجية و الطوارئ، 55% علي خدمات الاشعة بالقسم الخارجي و عيادة العظام و العيادة الخارجيه للقلب و عيادة المناظير و الجهاز الهضمي و الانف و الاذن و الحنجرة، 15% علي المر"&amp;"كز الطبيعي الالماني، خصم 35% علي الاقامة بالعناية المركزة ، 25% علي اتعاب الاطباء خارج الاتفاقيات الشاملة، 10% علي الاتفاقيات الشاملة ماعدا الجراحة العامة و المسالك و المخ و الاعصاب يتم خصم نسبة 15% ، خصم 5 % علي المنشط الخطي للاورام و خصم 10% علي قسم الغ"&amp;"سيل الكلوي و خصم 60% علي التحاليل. لا يتم تطبيق اي خصم علي البنود التالية (الادوية بالقسم الداخلي - الاتفقايات الشاملة لجراحات زرع و نقل الاعضاء - الدمغه - الاستشارات الطبيع بالقسم الداخلي - المستلزمات و الاجهزة الطبية - بنك الدم - 15% خدمة)")</f>
        <v>تطبيق نسبة خصم 50% علي خدمات القسم الداخلي و الخارجي عدا : خصم 60% علي كشوفات العيادات الخارجية و الطوارئ، 55% علي خدمات الاشعة بالقسم الخارجي و عيادة العظام و العيادة الخارجيه للقلب و عيادة المناظير و الجهاز الهضمي و الانف و الاذن و الحنجرة، 15% علي المركز الطبيعي الالماني، خصم 35% علي الاقامة بالعناية المركزة ، 25% علي اتعاب الاطباء خارج الاتفاقيات الشاملة، 10% علي الاتفاقيات الشاملة ماعدا الجراحة العامة و المسالك و المخ و الاعصاب يتم خصم نسبة 15% ، خصم 5 % علي المنشط الخطي للاورام و خصم 10% علي قسم الغسيل الكلوي و خصم 60% علي التحاليل. لا يتم تطبيق اي خصم علي البنود التالية (الادوية بالقسم الداخلي - الاتفقايات الشاملة لجراحات زرع و نقل الاعضاء - الدمغه - الاستشارات الطبيع بالقسم الداخلي - المستلزمات و الاجهزة الطبية - بنك الدم - 15% خدمة)</v>
      </c>
    </row>
    <row r="1922" spans="1:11" x14ac:dyDescent="0.25">
      <c r="A1922" s="4" t="str">
        <f ca="1">IFERROR(__xludf.DUMMYFUNCTION("""COMPUTED_VALUE"""),"106213-B")</f>
        <v>106213-B</v>
      </c>
      <c r="B1922" s="5" t="str">
        <f ca="1">IFERROR(__xludf.DUMMYFUNCTION("""COMPUTED_VALUE"""),"القاهرة")</f>
        <v>القاهرة</v>
      </c>
      <c r="C1922" s="5" t="str">
        <f ca="1">IFERROR(__xludf.DUMMYFUNCTION("""COMPUTED_VALUE"""),"القاهرة الجديدة")</f>
        <v>القاهرة الجديدة</v>
      </c>
      <c r="D1922" s="5" t="str">
        <f ca="1">IFERROR(__xludf.DUMMYFUNCTION("""COMPUTED_VALUE"""),"مجمع عيادات")</f>
        <v>مجمع عيادات</v>
      </c>
      <c r="E1922" s="5" t="str">
        <f ca="1">IFERROR(__xludf.DUMMYFUNCTION("""COMPUTED_VALUE"""),"جميع التخصصات")</f>
        <v>جميع التخصصات</v>
      </c>
      <c r="F1922" s="5" t="str">
        <f ca="1">IFERROR(__xludf.DUMMYFUNCTION("""COMPUTED_VALUE"""),"جميع التخصصات الطبية")</f>
        <v>جميع التخصصات الطبية</v>
      </c>
      <c r="G1922" s="5" t="str">
        <f ca="1">IFERROR(__xludf.DUMMYFUNCTION("""COMPUTED_VALUE"""),"شركة داوي لتجهيز المنشات الطبية")</f>
        <v>شركة داوي لتجهيز المنشات الطبية</v>
      </c>
      <c r="H1922" s="5" t="str">
        <f ca="1">IFERROR(__xludf.DUMMYFUNCTION("""COMPUTED_VALUE"""),"مول ذا كورنر مبني أ الدور األول امام بوابة 6 الرحاب - التجمع االول")</f>
        <v>مول ذا كورنر مبني أ الدور األول امام بوابة 6 الرحاب - التجمع االول</v>
      </c>
      <c r="I1922" s="6" t="str">
        <f ca="1">IFERROR(__xludf.DUMMYFUNCTION("""COMPUTED_VALUE"""),"01279048142")</f>
        <v>01279048142</v>
      </c>
      <c r="J1922" s="6" t="str">
        <f ca="1">IFERROR(__xludf.DUMMYFUNCTION("""COMPUTED_VALUE"""),"16850")</f>
        <v>16850</v>
      </c>
      <c r="K1922" s="6" t="str">
        <f ca="1">IFERROR(__xludf.DUMMYFUNCTION("""COMPUTED_VALUE"""),"خصم 25% علي جميع الخدمات و20% علي خدمات الاسنان")</f>
        <v>خصم 25% علي جميع الخدمات و20% علي خدمات الاسنان</v>
      </c>
    </row>
    <row r="1923" spans="1:11" x14ac:dyDescent="0.25">
      <c r="A1923" s="4" t="str">
        <f ca="1">IFERROR(__xludf.DUMMYFUNCTION("""COMPUTED_VALUE"""),"106213-B")</f>
        <v>106213-B</v>
      </c>
      <c r="B1923" s="5" t="str">
        <f ca="1">IFERROR(__xludf.DUMMYFUNCTION("""COMPUTED_VALUE"""),"الجيزة")</f>
        <v>الجيزة</v>
      </c>
      <c r="C1923" s="5" t="str">
        <f ca="1">IFERROR(__xludf.DUMMYFUNCTION("""COMPUTED_VALUE"""),"الدقي")</f>
        <v>الدقي</v>
      </c>
      <c r="D1923" s="5" t="str">
        <f ca="1">IFERROR(__xludf.DUMMYFUNCTION("""COMPUTED_VALUE"""),"مجمع عيادات")</f>
        <v>مجمع عيادات</v>
      </c>
      <c r="E1923" s="5" t="str">
        <f ca="1">IFERROR(__xludf.DUMMYFUNCTION("""COMPUTED_VALUE"""),"جميع التخصصات")</f>
        <v>جميع التخصصات</v>
      </c>
      <c r="F1923" s="5" t="str">
        <f ca="1">IFERROR(__xludf.DUMMYFUNCTION("""COMPUTED_VALUE"""),"جميع التخصصات الطبية")</f>
        <v>جميع التخصصات الطبية</v>
      </c>
      <c r="G1923" s="5" t="str">
        <f ca="1">IFERROR(__xludf.DUMMYFUNCTION("""COMPUTED_VALUE"""),"شركة داوي لتجهيز المنشات الطبية")</f>
        <v>شركة داوي لتجهيز المنشات الطبية</v>
      </c>
      <c r="H1923" s="5" t="str">
        <f ca="1">IFERROR(__xludf.DUMMYFUNCTION("""COMPUTED_VALUE"""),"36 شارع نادي الصيد – تقاطع محى الدين ابو العز- الدور األول (فوق ماكدونالدز")</f>
        <v>36 شارع نادي الصيد – تقاطع محى الدين ابو العز- الدور األول (فوق ماكدونالدز</v>
      </c>
      <c r="I1923" s="6" t="str">
        <f ca="1">IFERROR(__xludf.DUMMYFUNCTION("""COMPUTED_VALUE"""),"01279048142")</f>
        <v>01279048142</v>
      </c>
      <c r="J1923" s="6" t="str">
        <f ca="1">IFERROR(__xludf.DUMMYFUNCTION("""COMPUTED_VALUE"""),"16850")</f>
        <v>16850</v>
      </c>
      <c r="K1923" s="6" t="str">
        <f ca="1">IFERROR(__xludf.DUMMYFUNCTION("""COMPUTED_VALUE"""),"خصم 25% علي جميع الخدمات و20% علي خدمات الاسنان")</f>
        <v>خصم 25% علي جميع الخدمات و20% علي خدمات الاسنان</v>
      </c>
    </row>
    <row r="1924" spans="1:11" x14ac:dyDescent="0.25">
      <c r="A1924" s="4" t="str">
        <f ca="1">IFERROR(__xludf.DUMMYFUNCTION("""COMPUTED_VALUE"""),"106213-B")</f>
        <v>106213-B</v>
      </c>
      <c r="B1924" s="5" t="str">
        <f ca="1">IFERROR(__xludf.DUMMYFUNCTION("""COMPUTED_VALUE"""),"السويس")</f>
        <v>السويس</v>
      </c>
      <c r="C1924" s="5" t="str">
        <f ca="1">IFERROR(__xludf.DUMMYFUNCTION("""COMPUTED_VALUE"""),"السويس")</f>
        <v>السويس</v>
      </c>
      <c r="D1924" s="5" t="str">
        <f ca="1">IFERROR(__xludf.DUMMYFUNCTION("""COMPUTED_VALUE"""),"مجمع عيادات")</f>
        <v>مجمع عيادات</v>
      </c>
      <c r="E1924" s="5" t="str">
        <f ca="1">IFERROR(__xludf.DUMMYFUNCTION("""COMPUTED_VALUE"""),"جميع التخصصات")</f>
        <v>جميع التخصصات</v>
      </c>
      <c r="F1924" s="5" t="str">
        <f ca="1">IFERROR(__xludf.DUMMYFUNCTION("""COMPUTED_VALUE"""),"جميع التخصصات الطبية")</f>
        <v>جميع التخصصات الطبية</v>
      </c>
      <c r="G1924" s="5" t="str">
        <f ca="1">IFERROR(__xludf.DUMMYFUNCTION("""COMPUTED_VALUE"""),"شركة داوي لتجهيز المنشات الطبية")</f>
        <v>شركة داوي لتجهيز المنشات الطبية</v>
      </c>
      <c r="H1924" s="5" t="str">
        <f ca="1">IFERROR(__xludf.DUMMYFUNCTION("""COMPUTED_VALUE"""),"378 شارع الجيش فوق ماكدونالدز - السويس")</f>
        <v>378 شارع الجيش فوق ماكدونالدز - السويس</v>
      </c>
      <c r="I1924" s="6" t="str">
        <f ca="1">IFERROR(__xludf.DUMMYFUNCTION("""COMPUTED_VALUE"""),"01279048142")</f>
        <v>01279048142</v>
      </c>
      <c r="J1924" s="6" t="str">
        <f ca="1">IFERROR(__xludf.DUMMYFUNCTION("""COMPUTED_VALUE"""),"16850")</f>
        <v>16850</v>
      </c>
      <c r="K1924" s="6" t="str">
        <f ca="1">IFERROR(__xludf.DUMMYFUNCTION("""COMPUTED_VALUE"""),"خصم 25% علي جميع الخدمات و20% علي خدمات الاسنان")</f>
        <v>خصم 25% علي جميع الخدمات و20% علي خدمات الاسنان</v>
      </c>
    </row>
    <row r="1925" spans="1:11" x14ac:dyDescent="0.25">
      <c r="A1925" s="4" t="str">
        <f ca="1">IFERROR(__xludf.DUMMYFUNCTION("""COMPUTED_VALUE"""),"106213-B")</f>
        <v>106213-B</v>
      </c>
      <c r="B1925" s="5" t="str">
        <f ca="1">IFERROR(__xludf.DUMMYFUNCTION("""COMPUTED_VALUE"""),"الغربية")</f>
        <v>الغربية</v>
      </c>
      <c r="C1925" s="5" t="str">
        <f ca="1">IFERROR(__xludf.DUMMYFUNCTION("""COMPUTED_VALUE"""),"طنطا")</f>
        <v>طنطا</v>
      </c>
      <c r="D1925" s="5" t="str">
        <f ca="1">IFERROR(__xludf.DUMMYFUNCTION("""COMPUTED_VALUE"""),"مجمع عيادات")</f>
        <v>مجمع عيادات</v>
      </c>
      <c r="E1925" s="5" t="str">
        <f ca="1">IFERROR(__xludf.DUMMYFUNCTION("""COMPUTED_VALUE"""),"جميع التخصصات")</f>
        <v>جميع التخصصات</v>
      </c>
      <c r="F1925" s="5" t="str">
        <f ca="1">IFERROR(__xludf.DUMMYFUNCTION("""COMPUTED_VALUE"""),"جميع التخصصات الطبية")</f>
        <v>جميع التخصصات الطبية</v>
      </c>
      <c r="G1925" s="5" t="str">
        <f ca="1">IFERROR(__xludf.DUMMYFUNCTION("""COMPUTED_VALUE"""),"شركة داوي لتجهيز المنشات الطبية")</f>
        <v>شركة داوي لتجهيز المنشات الطبية</v>
      </c>
      <c r="H1925" s="5" t="str">
        <f ca="1">IFERROR(__xludf.DUMMYFUNCTION("""COMPUTED_VALUE"""),"تقاطع شارع محمد شرف مع شارع الجيش، بجوار جمعية األورمان وأمام مبنى ادارة جامعة طنطا")</f>
        <v>تقاطع شارع محمد شرف مع شارع الجيش، بجوار جمعية األورمان وأمام مبنى ادارة جامعة طنطا</v>
      </c>
      <c r="I1925" s="6" t="str">
        <f ca="1">IFERROR(__xludf.DUMMYFUNCTION("""COMPUTED_VALUE"""),"01279048142")</f>
        <v>01279048142</v>
      </c>
      <c r="J1925" s="6" t="str">
        <f ca="1">IFERROR(__xludf.DUMMYFUNCTION("""COMPUTED_VALUE"""),"16850")</f>
        <v>16850</v>
      </c>
      <c r="K1925" s="6" t="str">
        <f ca="1">IFERROR(__xludf.DUMMYFUNCTION("""COMPUTED_VALUE"""),"خصم 25% علي جميع الخدمات و20% علي خدمات الاسنان")</f>
        <v>خصم 25% علي جميع الخدمات و20% علي خدمات الاسنان</v>
      </c>
    </row>
    <row r="1926" spans="1:11" x14ac:dyDescent="0.25">
      <c r="A1926" s="4" t="str">
        <f ca="1">IFERROR(__xludf.DUMMYFUNCTION("""COMPUTED_VALUE"""),"106213-B")</f>
        <v>106213-B</v>
      </c>
      <c r="B1926" s="5" t="str">
        <f ca="1">IFERROR(__xludf.DUMMYFUNCTION("""COMPUTED_VALUE"""),"الدقهلية")</f>
        <v>الدقهلية</v>
      </c>
      <c r="C1926" s="5" t="str">
        <f ca="1">IFERROR(__xludf.DUMMYFUNCTION("""COMPUTED_VALUE"""),"المنصورة")</f>
        <v>المنصورة</v>
      </c>
      <c r="D1926" s="5" t="str">
        <f ca="1">IFERROR(__xludf.DUMMYFUNCTION("""COMPUTED_VALUE"""),"مجمع عيادات")</f>
        <v>مجمع عيادات</v>
      </c>
      <c r="E1926" s="5" t="str">
        <f ca="1">IFERROR(__xludf.DUMMYFUNCTION("""COMPUTED_VALUE"""),"جميع التخصصات")</f>
        <v>جميع التخصصات</v>
      </c>
      <c r="F1926" s="5" t="str">
        <f ca="1">IFERROR(__xludf.DUMMYFUNCTION("""COMPUTED_VALUE"""),"جميع التخصصات الطبية")</f>
        <v>جميع التخصصات الطبية</v>
      </c>
      <c r="G1926" s="5" t="str">
        <f ca="1">IFERROR(__xludf.DUMMYFUNCTION("""COMPUTED_VALUE"""),"شركة داوي لتجهيز المنشات الطبية")</f>
        <v>شركة داوي لتجهيز المنشات الطبية</v>
      </c>
      <c r="H1926" s="5" t="str">
        <f ca="1">IFERROR(__xludf.DUMMYFUNCTION("""COMPUTED_VALUE"""),"المشاية السفلية، فوق حلوانى كريز")</f>
        <v>المشاية السفلية، فوق حلوانى كريز</v>
      </c>
      <c r="I1926" s="6" t="str">
        <f ca="1">IFERROR(__xludf.DUMMYFUNCTION("""COMPUTED_VALUE"""),"01279048142")</f>
        <v>01279048142</v>
      </c>
      <c r="J1926" s="6" t="str">
        <f ca="1">IFERROR(__xludf.DUMMYFUNCTION("""COMPUTED_VALUE"""),"16850")</f>
        <v>16850</v>
      </c>
      <c r="K1926" s="6" t="str">
        <f ca="1">IFERROR(__xludf.DUMMYFUNCTION("""COMPUTED_VALUE"""),"خصم 25% علي جميع الخدمات و20% علي خدمات الاسنان")</f>
        <v>خصم 25% علي جميع الخدمات و20% علي خدمات الاسنان</v>
      </c>
    </row>
    <row r="1927" spans="1:11" x14ac:dyDescent="0.25">
      <c r="A1927" s="4" t="str">
        <f ca="1">IFERROR(__xludf.DUMMYFUNCTION("""COMPUTED_VALUE"""),"106213-B")</f>
        <v>106213-B</v>
      </c>
      <c r="B1927" s="5" t="str">
        <f ca="1">IFERROR(__xludf.DUMMYFUNCTION("""COMPUTED_VALUE"""),"الاسكندرية")</f>
        <v>الاسكندرية</v>
      </c>
      <c r="C1927" s="5" t="str">
        <f ca="1">IFERROR(__xludf.DUMMYFUNCTION("""COMPUTED_VALUE"""),"رشدي")</f>
        <v>رشدي</v>
      </c>
      <c r="D1927" s="5" t="str">
        <f ca="1">IFERROR(__xludf.DUMMYFUNCTION("""COMPUTED_VALUE"""),"مجمع عيادات")</f>
        <v>مجمع عيادات</v>
      </c>
      <c r="E1927" s="5" t="str">
        <f ca="1">IFERROR(__xludf.DUMMYFUNCTION("""COMPUTED_VALUE"""),"جميع التخصصات")</f>
        <v>جميع التخصصات</v>
      </c>
      <c r="F1927" s="5" t="str">
        <f ca="1">IFERROR(__xludf.DUMMYFUNCTION("""COMPUTED_VALUE"""),"جميع التخصصات الطبية")</f>
        <v>جميع التخصصات الطبية</v>
      </c>
      <c r="G1927" s="5" t="str">
        <f ca="1">IFERROR(__xludf.DUMMYFUNCTION("""COMPUTED_VALUE"""),"شركة داوي لتجهيز المنشات الطبية")</f>
        <v>شركة داوي لتجهيز المنشات الطبية</v>
      </c>
      <c r="H1927" s="5" t="str">
        <f ca="1">IFERROR(__xludf.DUMMYFUNCTION("""COMPUTED_VALUE"""),"فرع رشدى - الوحدة التجارية بالدور األول الكائنة فى 17 أ ش سوريا (فوق البنك الاهلى")</f>
        <v>فرع رشدى - الوحدة التجارية بالدور األول الكائنة فى 17 أ ش سوريا (فوق البنك الاهلى</v>
      </c>
      <c r="I1927" s="6" t="str">
        <f ca="1">IFERROR(__xludf.DUMMYFUNCTION("""COMPUTED_VALUE"""),"01279048142")</f>
        <v>01279048142</v>
      </c>
      <c r="J1927" s="6" t="str">
        <f ca="1">IFERROR(__xludf.DUMMYFUNCTION("""COMPUTED_VALUE"""),"16850")</f>
        <v>16850</v>
      </c>
      <c r="K1927" s="6" t="str">
        <f ca="1">IFERROR(__xludf.DUMMYFUNCTION("""COMPUTED_VALUE"""),"خصم 25% علي جميع الخدمات و20% علي خدمات الاسنان")</f>
        <v>خصم 25% علي جميع الخدمات و20% علي خدمات الاسنان</v>
      </c>
    </row>
    <row r="1928" spans="1:11" x14ac:dyDescent="0.25">
      <c r="A1928" s="4" t="str">
        <f ca="1">IFERROR(__xludf.DUMMYFUNCTION("""COMPUTED_VALUE"""),"106213-B")</f>
        <v>106213-B</v>
      </c>
      <c r="B1928" s="5" t="str">
        <f ca="1">IFERROR(__xludf.DUMMYFUNCTION("""COMPUTED_VALUE"""),"الاسكندرية")</f>
        <v>الاسكندرية</v>
      </c>
      <c r="C1928" s="5" t="str">
        <f ca="1">IFERROR(__xludf.DUMMYFUNCTION("""COMPUTED_VALUE"""),"محطة الرمل")</f>
        <v>محطة الرمل</v>
      </c>
      <c r="D1928" s="5" t="str">
        <f ca="1">IFERROR(__xludf.DUMMYFUNCTION("""COMPUTED_VALUE"""),"مجمع عيادات")</f>
        <v>مجمع عيادات</v>
      </c>
      <c r="E1928" s="5" t="str">
        <f ca="1">IFERROR(__xludf.DUMMYFUNCTION("""COMPUTED_VALUE"""),"جميع التخصصات")</f>
        <v>جميع التخصصات</v>
      </c>
      <c r="F1928" s="5" t="str">
        <f ca="1">IFERROR(__xludf.DUMMYFUNCTION("""COMPUTED_VALUE"""),"جميع التخصصات الطبية")</f>
        <v>جميع التخصصات الطبية</v>
      </c>
      <c r="G1928" s="5" t="str">
        <f ca="1">IFERROR(__xludf.DUMMYFUNCTION("""COMPUTED_VALUE"""),"شركة داوي لتجهيز المنشات الطبية")</f>
        <v>شركة داوي لتجهيز المنشات الطبية</v>
      </c>
      <c r="H1928" s="5" t="str">
        <f ca="1">IFERROR(__xludf.DUMMYFUNCTION("""COMPUTED_VALUE"""),"فرع محطة الرمل - الوحدة االدارية بالدور االول علوي – رقم 3 الكائنة في 23 ميدان سعد زغلول")</f>
        <v>فرع محطة الرمل - الوحدة االدارية بالدور االول علوي – رقم 3 الكائنة في 23 ميدان سعد زغلول</v>
      </c>
      <c r="I1928" s="6" t="str">
        <f ca="1">IFERROR(__xludf.DUMMYFUNCTION("""COMPUTED_VALUE"""),"01279048142")</f>
        <v>01279048142</v>
      </c>
      <c r="J1928" s="6" t="str">
        <f ca="1">IFERROR(__xludf.DUMMYFUNCTION("""COMPUTED_VALUE"""),"16850")</f>
        <v>16850</v>
      </c>
      <c r="K1928" s="6" t="str">
        <f ca="1">IFERROR(__xludf.DUMMYFUNCTION("""COMPUTED_VALUE"""),"خصم 25% علي جميع الخدمات و20% علي خدمات الاسنان")</f>
        <v>خصم 25% علي جميع الخدمات و20% علي خدمات الاسنان</v>
      </c>
    </row>
    <row r="1929" spans="1:11" x14ac:dyDescent="0.25">
      <c r="A1929" s="4" t="str">
        <f ca="1">IFERROR(__xludf.DUMMYFUNCTION("""COMPUTED_VALUE"""),"106213-B")</f>
        <v>106213-B</v>
      </c>
      <c r="B1929" s="5" t="str">
        <f ca="1">IFERROR(__xludf.DUMMYFUNCTION("""COMPUTED_VALUE"""),"القاهرة")</f>
        <v>القاهرة</v>
      </c>
      <c r="C1929" s="5" t="str">
        <f ca="1">IFERROR(__xludf.DUMMYFUNCTION("""COMPUTED_VALUE"""),"حلوان")</f>
        <v>حلوان</v>
      </c>
      <c r="D1929" s="5" t="str">
        <f ca="1">IFERROR(__xludf.DUMMYFUNCTION("""COMPUTED_VALUE"""),"مجمع عيادات")</f>
        <v>مجمع عيادات</v>
      </c>
      <c r="E1929" s="5" t="str">
        <f ca="1">IFERROR(__xludf.DUMMYFUNCTION("""COMPUTED_VALUE"""),"جميع التخصصات")</f>
        <v>جميع التخصصات</v>
      </c>
      <c r="F1929" s="5" t="str">
        <f ca="1">IFERROR(__xludf.DUMMYFUNCTION("""COMPUTED_VALUE"""),"جميع التخصصات الطبية")</f>
        <v>جميع التخصصات الطبية</v>
      </c>
      <c r="G1929" s="5" t="str">
        <f ca="1">IFERROR(__xludf.DUMMYFUNCTION("""COMPUTED_VALUE"""),"شركة داوي لتجهيز المنشات الطبية")</f>
        <v>شركة داوي لتجهيز المنشات الطبية</v>
      </c>
      <c r="H1929" s="5" t="str">
        <f ca="1">IFERROR(__xludf.DUMMYFUNCTION("""COMPUTED_VALUE"""),"40أ شارع محمد سيد أحمد – أمام كنتاكى")</f>
        <v>40أ شارع محمد سيد أحمد – أمام كنتاكى</v>
      </c>
      <c r="I1929" s="6" t="str">
        <f ca="1">IFERROR(__xludf.DUMMYFUNCTION("""COMPUTED_VALUE"""),"01279048142")</f>
        <v>01279048142</v>
      </c>
      <c r="J1929" s="6" t="str">
        <f ca="1">IFERROR(__xludf.DUMMYFUNCTION("""COMPUTED_VALUE"""),"16850")</f>
        <v>16850</v>
      </c>
      <c r="K1929" s="6" t="str">
        <f ca="1">IFERROR(__xludf.DUMMYFUNCTION("""COMPUTED_VALUE"""),"خصم 25% علي جميع الخدمات و20% علي خدمات الاسنان")</f>
        <v>خصم 25% علي جميع الخدمات و20% علي خدمات الاسنان</v>
      </c>
    </row>
    <row r="1930" spans="1:11" x14ac:dyDescent="0.25">
      <c r="A1930" s="4" t="str">
        <f ca="1">IFERROR(__xludf.DUMMYFUNCTION("""COMPUTED_VALUE"""),"106213-B")</f>
        <v>106213-B</v>
      </c>
      <c r="B1930" s="5" t="str">
        <f ca="1">IFERROR(__xludf.DUMMYFUNCTION("""COMPUTED_VALUE"""),"القاهرة")</f>
        <v>القاهرة</v>
      </c>
      <c r="C1930" s="5" t="str">
        <f ca="1">IFERROR(__xludf.DUMMYFUNCTION("""COMPUTED_VALUE"""),"المقطم")</f>
        <v>المقطم</v>
      </c>
      <c r="D1930" s="5" t="str">
        <f ca="1">IFERROR(__xludf.DUMMYFUNCTION("""COMPUTED_VALUE"""),"مجمع عيادات")</f>
        <v>مجمع عيادات</v>
      </c>
      <c r="E1930" s="5" t="str">
        <f ca="1">IFERROR(__xludf.DUMMYFUNCTION("""COMPUTED_VALUE"""),"جميع التخصصات")</f>
        <v>جميع التخصصات</v>
      </c>
      <c r="F1930" s="5" t="str">
        <f ca="1">IFERROR(__xludf.DUMMYFUNCTION("""COMPUTED_VALUE"""),"جميع التخصصات الطبية")</f>
        <v>جميع التخصصات الطبية</v>
      </c>
      <c r="G1930" s="5" t="str">
        <f ca="1">IFERROR(__xludf.DUMMYFUNCTION("""COMPUTED_VALUE"""),"شركة داوي لتجهيز المنشات الطبية")</f>
        <v>شركة داوي لتجهيز المنشات الطبية</v>
      </c>
      <c r="H1930" s="5" t="str">
        <f ca="1">IFERROR(__xludf.DUMMYFUNCTION("""COMPUTED_VALUE"""),"526 شارع 16 متفرع من شارع 9، بالقرب من ميدان النافورة، أمام زانوسى")</f>
        <v>526 شارع 16 متفرع من شارع 9، بالقرب من ميدان النافورة، أمام زانوسى</v>
      </c>
      <c r="I1930" s="6" t="str">
        <f ca="1">IFERROR(__xludf.DUMMYFUNCTION("""COMPUTED_VALUE"""),"01279048142")</f>
        <v>01279048142</v>
      </c>
      <c r="J1930" s="6" t="str">
        <f ca="1">IFERROR(__xludf.DUMMYFUNCTION("""COMPUTED_VALUE"""),"16850")</f>
        <v>16850</v>
      </c>
      <c r="K1930" s="6" t="str">
        <f ca="1">IFERROR(__xludf.DUMMYFUNCTION("""COMPUTED_VALUE"""),"خصم 25% علي جميع الخدمات و20% علي خدمات الاسنان")</f>
        <v>خصم 25% علي جميع الخدمات و20% علي خدمات الاسنان</v>
      </c>
    </row>
    <row r="1931" spans="1:11" x14ac:dyDescent="0.25">
      <c r="A1931" s="4" t="str">
        <f ca="1">IFERROR(__xludf.DUMMYFUNCTION("""COMPUTED_VALUE"""),"106213-B")</f>
        <v>106213-B</v>
      </c>
      <c r="B1931" s="5" t="str">
        <f ca="1">IFERROR(__xludf.DUMMYFUNCTION("""COMPUTED_VALUE"""),"القاهرة")</f>
        <v>القاهرة</v>
      </c>
      <c r="C1931" s="5" t="str">
        <f ca="1">IFERROR(__xludf.DUMMYFUNCTION("""COMPUTED_VALUE"""),"مدينة نصر")</f>
        <v>مدينة نصر</v>
      </c>
      <c r="D1931" s="5" t="str">
        <f ca="1">IFERROR(__xludf.DUMMYFUNCTION("""COMPUTED_VALUE"""),"مجمع عيادات")</f>
        <v>مجمع عيادات</v>
      </c>
      <c r="E1931" s="5" t="str">
        <f ca="1">IFERROR(__xludf.DUMMYFUNCTION("""COMPUTED_VALUE"""),"جميع التخصصات")</f>
        <v>جميع التخصصات</v>
      </c>
      <c r="F1931" s="5" t="str">
        <f ca="1">IFERROR(__xludf.DUMMYFUNCTION("""COMPUTED_VALUE"""),"جميع التخصصات الطبية")</f>
        <v>جميع التخصصات الطبية</v>
      </c>
      <c r="G1931" s="5" t="str">
        <f ca="1">IFERROR(__xludf.DUMMYFUNCTION("""COMPUTED_VALUE"""),"شركة داوي لتجهيز المنشات الطبية")</f>
        <v>شركة داوي لتجهيز المنشات الطبية</v>
      </c>
      <c r="H1931" s="5" t="str">
        <f ca="1">IFERROR(__xludf.DUMMYFUNCTION("""COMPUTED_VALUE"""),"31 شارع عبد الرازق السنهوري (من عباس العقاد - أمام مطعم سبكترا")</f>
        <v>31 شارع عبد الرازق السنهوري (من عباس العقاد - أمام مطعم سبكترا</v>
      </c>
      <c r="I1931" s="6" t="str">
        <f ca="1">IFERROR(__xludf.DUMMYFUNCTION("""COMPUTED_VALUE"""),"01279048142")</f>
        <v>01279048142</v>
      </c>
      <c r="J1931" s="6" t="str">
        <f ca="1">IFERROR(__xludf.DUMMYFUNCTION("""COMPUTED_VALUE"""),"16850")</f>
        <v>16850</v>
      </c>
      <c r="K1931" s="6" t="str">
        <f ca="1">IFERROR(__xludf.DUMMYFUNCTION("""COMPUTED_VALUE"""),"خصم 25% علي جميع الخدمات و20% علي خدمات الاسنان")</f>
        <v>خصم 25% علي جميع الخدمات و20% علي خدمات الاسنان</v>
      </c>
    </row>
    <row r="1932" spans="1:11" x14ac:dyDescent="0.25">
      <c r="A1932" s="4" t="str">
        <f ca="1">IFERROR(__xludf.DUMMYFUNCTION("""COMPUTED_VALUE"""),"106213-B")</f>
        <v>106213-B</v>
      </c>
      <c r="B1932" s="5" t="str">
        <f ca="1">IFERROR(__xludf.DUMMYFUNCTION("""COMPUTED_VALUE"""),"المنوفية")</f>
        <v>المنوفية</v>
      </c>
      <c r="C1932" s="5" t="str">
        <f ca="1">IFERROR(__xludf.DUMMYFUNCTION("""COMPUTED_VALUE"""),"شبين الكوم")</f>
        <v>شبين الكوم</v>
      </c>
      <c r="D1932" s="5" t="str">
        <f ca="1">IFERROR(__xludf.DUMMYFUNCTION("""COMPUTED_VALUE"""),"مجمع عيادات")</f>
        <v>مجمع عيادات</v>
      </c>
      <c r="E1932" s="5" t="str">
        <f ca="1">IFERROR(__xludf.DUMMYFUNCTION("""COMPUTED_VALUE"""),"جميع التخصصات")</f>
        <v>جميع التخصصات</v>
      </c>
      <c r="F1932" s="5" t="str">
        <f ca="1">IFERROR(__xludf.DUMMYFUNCTION("""COMPUTED_VALUE"""),"جميع التخصصات الطبية")</f>
        <v>جميع التخصصات الطبية</v>
      </c>
      <c r="G1932" s="5" t="str">
        <f ca="1">IFERROR(__xludf.DUMMYFUNCTION("""COMPUTED_VALUE"""),"شركة داوي لتجهيز المنشات الطبية")</f>
        <v>شركة داوي لتجهيز المنشات الطبية</v>
      </c>
      <c r="H1932" s="5" t="str">
        <f ca="1">IFERROR(__xludf.DUMMYFUNCTION("""COMPUTED_VALUE"""),"برج سيف ش جمال عبد الناصر بجوار ماكدونالدز")</f>
        <v>برج سيف ش جمال عبد الناصر بجوار ماكدونالدز</v>
      </c>
      <c r="I1932" s="6" t="str">
        <f ca="1">IFERROR(__xludf.DUMMYFUNCTION("""COMPUTED_VALUE"""),"01279048142")</f>
        <v>01279048142</v>
      </c>
      <c r="J1932" s="6" t="str">
        <f ca="1">IFERROR(__xludf.DUMMYFUNCTION("""COMPUTED_VALUE"""),"16850")</f>
        <v>16850</v>
      </c>
      <c r="K1932" s="6" t="str">
        <f ca="1">IFERROR(__xludf.DUMMYFUNCTION("""COMPUTED_VALUE"""),"خصم 25% علي جميع الخدمات و20% علي خدمات الاسنان")</f>
        <v>خصم 25% علي جميع الخدمات و20% علي خدمات الاسنان</v>
      </c>
    </row>
    <row r="1933" spans="1:11" x14ac:dyDescent="0.25">
      <c r="A1933" s="4" t="str">
        <f ca="1">IFERROR(__xludf.DUMMYFUNCTION("""COMPUTED_VALUE"""),"106213-B")</f>
        <v>106213-B</v>
      </c>
      <c r="B1933" s="5" t="str">
        <f ca="1">IFERROR(__xludf.DUMMYFUNCTION("""COMPUTED_VALUE"""),"القاهرة")</f>
        <v>القاهرة</v>
      </c>
      <c r="C1933" s="5" t="str">
        <f ca="1">IFERROR(__xludf.DUMMYFUNCTION("""COMPUTED_VALUE"""),"مصر الجديدة")</f>
        <v>مصر الجديدة</v>
      </c>
      <c r="D1933" s="5" t="str">
        <f ca="1">IFERROR(__xludf.DUMMYFUNCTION("""COMPUTED_VALUE"""),"مجمع عيادات")</f>
        <v>مجمع عيادات</v>
      </c>
      <c r="E1933" s="5" t="str">
        <f ca="1">IFERROR(__xludf.DUMMYFUNCTION("""COMPUTED_VALUE"""),"جميع التخصصات")</f>
        <v>جميع التخصصات</v>
      </c>
      <c r="F1933" s="5" t="str">
        <f ca="1">IFERROR(__xludf.DUMMYFUNCTION("""COMPUTED_VALUE"""),"جميع التخصصات الطبية")</f>
        <v>جميع التخصصات الطبية</v>
      </c>
      <c r="G1933" s="5" t="str">
        <f ca="1">IFERROR(__xludf.DUMMYFUNCTION("""COMPUTED_VALUE"""),"شركة داوي لتجهيز المنشات الطبية")</f>
        <v>شركة داوي لتجهيز المنشات الطبية</v>
      </c>
      <c r="H1933" s="5" t="str">
        <f ca="1">IFERROR(__xludf.DUMMYFUNCTION("""COMPUTED_VALUE"""),"16 شارع الحجاز متفرع من ميدان أبو بكر الصديق / المحكمة ( أمام بنك HSBC )")</f>
        <v>16 شارع الحجاز متفرع من ميدان أبو بكر الصديق / المحكمة ( أمام بنك HSBC )</v>
      </c>
      <c r="I1933" s="6" t="str">
        <f ca="1">IFERROR(__xludf.DUMMYFUNCTION("""COMPUTED_VALUE"""),"01279048142")</f>
        <v>01279048142</v>
      </c>
      <c r="J1933" s="6" t="str">
        <f ca="1">IFERROR(__xludf.DUMMYFUNCTION("""COMPUTED_VALUE"""),"16850")</f>
        <v>16850</v>
      </c>
      <c r="K1933" s="6" t="str">
        <f ca="1">IFERROR(__xludf.DUMMYFUNCTION("""COMPUTED_VALUE"""),"خصم 25% علي جميع الخدمات و20% علي خدمات الاسنان")</f>
        <v>خصم 25% علي جميع الخدمات و20% علي خدمات الاسنان</v>
      </c>
    </row>
    <row r="1934" spans="1:11" x14ac:dyDescent="0.25">
      <c r="A1934" s="4" t="str">
        <f ca="1">IFERROR(__xludf.DUMMYFUNCTION("""COMPUTED_VALUE"""),"106138-B")</f>
        <v>106138-B</v>
      </c>
      <c r="B1934" s="5" t="str">
        <f ca="1">IFERROR(__xludf.DUMMYFUNCTION("""COMPUTED_VALUE"""),"الدقهلية")</f>
        <v>الدقهلية</v>
      </c>
      <c r="C1934" s="5" t="str">
        <f ca="1">IFERROR(__xludf.DUMMYFUNCTION("""COMPUTED_VALUE"""),"المنصورة")</f>
        <v>المنصورة</v>
      </c>
      <c r="D1934" s="5" t="str">
        <f ca="1">IFERROR(__xludf.DUMMYFUNCTION("""COMPUTED_VALUE"""),"معمل")</f>
        <v>معمل</v>
      </c>
      <c r="E1934" s="5" t="str">
        <f ca="1">IFERROR(__xludf.DUMMYFUNCTION("""COMPUTED_VALUE"""),"معمل")</f>
        <v>معمل</v>
      </c>
      <c r="F1934" s="5" t="str">
        <f ca="1">IFERROR(__xludf.DUMMYFUNCTION("""COMPUTED_VALUE"""),"معمل التحاليل الطبية")</f>
        <v>معمل التحاليل الطبية</v>
      </c>
      <c r="G1934" s="5" t="str">
        <f ca="1">IFERROR(__xludf.DUMMYFUNCTION("""COMPUTED_VALUE"""),"محمد محمود احمد محمد النحاس (معمل النحاس)")</f>
        <v>محمد محمود احمد محمد النحاس (معمل النحاس)</v>
      </c>
      <c r="H1934" s="5" t="str">
        <f ca="1">IFERROR(__xludf.DUMMYFUNCTION("""COMPUTED_VALUE"""),"شارع الرئيسي من الكوبري بجوار صيدلية الأندلس")</f>
        <v>شارع الرئيسي من الكوبري بجوار صيدلية الأندلس</v>
      </c>
      <c r="I1934" s="6"/>
      <c r="J1934" s="6" t="str">
        <f ca="1">IFERROR(__xludf.DUMMYFUNCTION("""COMPUTED_VALUE"""),"19244")</f>
        <v>19244</v>
      </c>
      <c r="K1934" s="6" t="str">
        <f ca="1">IFERROR(__xludf.DUMMYFUNCTION("""COMPUTED_VALUE"""),"خصم 40% علي الاسعار النقدي")</f>
        <v>خصم 40% علي الاسعار النقدي</v>
      </c>
    </row>
    <row r="1935" spans="1:11" x14ac:dyDescent="0.25">
      <c r="A1935" s="4" t="str">
        <f ca="1">IFERROR(__xludf.DUMMYFUNCTION("""COMPUTED_VALUE"""),"106138-B")</f>
        <v>106138-B</v>
      </c>
      <c r="B1935" s="5" t="str">
        <f ca="1">IFERROR(__xludf.DUMMYFUNCTION("""COMPUTED_VALUE"""),"الدقهلية")</f>
        <v>الدقهلية</v>
      </c>
      <c r="C1935" s="5" t="str">
        <f ca="1">IFERROR(__xludf.DUMMYFUNCTION("""COMPUTED_VALUE"""),"أجا")</f>
        <v>أجا</v>
      </c>
      <c r="D1935" s="5" t="str">
        <f ca="1">IFERROR(__xludf.DUMMYFUNCTION("""COMPUTED_VALUE"""),"معمل")</f>
        <v>معمل</v>
      </c>
      <c r="E1935" s="5" t="str">
        <f ca="1">IFERROR(__xludf.DUMMYFUNCTION("""COMPUTED_VALUE"""),"معمل")</f>
        <v>معمل</v>
      </c>
      <c r="F1935" s="5" t="str">
        <f ca="1">IFERROR(__xludf.DUMMYFUNCTION("""COMPUTED_VALUE"""),"معمل التحاليل الطبية")</f>
        <v>معمل التحاليل الطبية</v>
      </c>
      <c r="G1935" s="5" t="str">
        <f ca="1">IFERROR(__xludf.DUMMYFUNCTION("""COMPUTED_VALUE"""),"محمد محمود احمد محمد النحاس (معمل النحاس)")</f>
        <v>محمد محمود احمد محمد النحاس (معمل النحاس)</v>
      </c>
      <c r="H1935" s="5" t="str">
        <f ca="1">IFERROR(__xludf.DUMMYFUNCTION("""COMPUTED_VALUE"""),"شارع الجلاء برج د / مجدي الشافعي الجديد الدور التانى - امام مطعم البغل")</f>
        <v>شارع الجلاء برج د / مجدي الشافعي الجديد الدور التانى - امام مطعم البغل</v>
      </c>
      <c r="I1935" s="6"/>
      <c r="J1935" s="6" t="str">
        <f ca="1">IFERROR(__xludf.DUMMYFUNCTION("""COMPUTED_VALUE"""),"19244")</f>
        <v>19244</v>
      </c>
      <c r="K1935" s="6" t="str">
        <f ca="1">IFERROR(__xludf.DUMMYFUNCTION("""COMPUTED_VALUE"""),"خصم 40% علي الاسعار النقدي")</f>
        <v>خصم 40% علي الاسعار النقدي</v>
      </c>
    </row>
    <row r="1936" spans="1:11" x14ac:dyDescent="0.25">
      <c r="A1936" s="4" t="str">
        <f ca="1">IFERROR(__xludf.DUMMYFUNCTION("""COMPUTED_VALUE"""),"106138-B")</f>
        <v>106138-B</v>
      </c>
      <c r="B1936" s="5" t="str">
        <f ca="1">IFERROR(__xludf.DUMMYFUNCTION("""COMPUTED_VALUE"""),"الدقهلية")</f>
        <v>الدقهلية</v>
      </c>
      <c r="C1936" s="5" t="str">
        <f ca="1">IFERROR(__xludf.DUMMYFUNCTION("""COMPUTED_VALUE"""),"المنصورة")</f>
        <v>المنصورة</v>
      </c>
      <c r="D1936" s="5" t="str">
        <f ca="1">IFERROR(__xludf.DUMMYFUNCTION("""COMPUTED_VALUE"""),"معمل")</f>
        <v>معمل</v>
      </c>
      <c r="E1936" s="5" t="str">
        <f ca="1">IFERROR(__xludf.DUMMYFUNCTION("""COMPUTED_VALUE"""),"معمل")</f>
        <v>معمل</v>
      </c>
      <c r="F1936" s="5" t="str">
        <f ca="1">IFERROR(__xludf.DUMMYFUNCTION("""COMPUTED_VALUE"""),"معمل التحاليل الطبية")</f>
        <v>معمل التحاليل الطبية</v>
      </c>
      <c r="G1936" s="5" t="str">
        <f ca="1">IFERROR(__xludf.DUMMYFUNCTION("""COMPUTED_VALUE"""),"محمد محمود احمد محمد النحاس (معمل النحاس)")</f>
        <v>محمد محمود احمد محمد النحاس (معمل النحاس)</v>
      </c>
      <c r="H1936" s="5" t="str">
        <f ca="1">IFERROR(__xludf.DUMMYFUNCTION("""COMPUTED_VALUE"""),"قرية ميت مزاح مركز المنصورة أمام الوحدة الصحية")</f>
        <v>قرية ميت مزاح مركز المنصورة أمام الوحدة الصحية</v>
      </c>
      <c r="I1936" s="6"/>
      <c r="J1936" s="6" t="str">
        <f ca="1">IFERROR(__xludf.DUMMYFUNCTION("""COMPUTED_VALUE"""),"19244")</f>
        <v>19244</v>
      </c>
      <c r="K1936" s="6" t="str">
        <f ca="1">IFERROR(__xludf.DUMMYFUNCTION("""COMPUTED_VALUE"""),"خصم 40% علي الاسعار النقدي")</f>
        <v>خصم 40% علي الاسعار النقدي</v>
      </c>
    </row>
    <row r="1937" spans="1:11" x14ac:dyDescent="0.25">
      <c r="A1937" s="4" t="str">
        <f ca="1">IFERROR(__xludf.DUMMYFUNCTION("""COMPUTED_VALUE"""),"106138-B")</f>
        <v>106138-B</v>
      </c>
      <c r="B1937" s="5" t="str">
        <f ca="1">IFERROR(__xludf.DUMMYFUNCTION("""COMPUTED_VALUE"""),"الدقهلية")</f>
        <v>الدقهلية</v>
      </c>
      <c r="C1937" s="5" t="str">
        <f ca="1">IFERROR(__xludf.DUMMYFUNCTION("""COMPUTED_VALUE"""),"المنصورة")</f>
        <v>المنصورة</v>
      </c>
      <c r="D1937" s="5" t="str">
        <f ca="1">IFERROR(__xludf.DUMMYFUNCTION("""COMPUTED_VALUE"""),"معمل")</f>
        <v>معمل</v>
      </c>
      <c r="E1937" s="5" t="str">
        <f ca="1">IFERROR(__xludf.DUMMYFUNCTION("""COMPUTED_VALUE"""),"معمل")</f>
        <v>معمل</v>
      </c>
      <c r="F1937" s="5" t="str">
        <f ca="1">IFERROR(__xludf.DUMMYFUNCTION("""COMPUTED_VALUE"""),"معمل التحاليل الطبية")</f>
        <v>معمل التحاليل الطبية</v>
      </c>
      <c r="G1937" s="5" t="str">
        <f ca="1">IFERROR(__xludf.DUMMYFUNCTION("""COMPUTED_VALUE"""),"محمد محمود احمد محمد النحاس (معمل النحاس)")</f>
        <v>محمد محمود احمد محمد النحاس (معمل النحاس)</v>
      </c>
      <c r="H1937" s="5" t="str">
        <f ca="1">IFERROR(__xludf.DUMMYFUNCTION("""COMPUTED_VALUE"""),"قرية برق العز مركز المنصورة مبني الطنطاوي على البحر بين الكوبري القديم والكوبري الجديد")</f>
        <v>قرية برق العز مركز المنصورة مبني الطنطاوي على البحر بين الكوبري القديم والكوبري الجديد</v>
      </c>
      <c r="I1937" s="6"/>
      <c r="J1937" s="6" t="str">
        <f ca="1">IFERROR(__xludf.DUMMYFUNCTION("""COMPUTED_VALUE"""),"19244")</f>
        <v>19244</v>
      </c>
      <c r="K1937" s="6" t="str">
        <f ca="1">IFERROR(__xludf.DUMMYFUNCTION("""COMPUTED_VALUE"""),"خصم 40% علي الاسعار النقدي")</f>
        <v>خصم 40% علي الاسعار النقدي</v>
      </c>
    </row>
    <row r="1938" spans="1:11" x14ac:dyDescent="0.25">
      <c r="A1938" s="4" t="str">
        <f ca="1">IFERROR(__xludf.DUMMYFUNCTION("""COMPUTED_VALUE"""),"106138-B")</f>
        <v>106138-B</v>
      </c>
      <c r="B1938" s="5" t="str">
        <f ca="1">IFERROR(__xludf.DUMMYFUNCTION("""COMPUTED_VALUE"""),"الدقهلية")</f>
        <v>الدقهلية</v>
      </c>
      <c r="C1938" s="5" t="str">
        <f ca="1">IFERROR(__xludf.DUMMYFUNCTION("""COMPUTED_VALUE"""),"طلخا")</f>
        <v>طلخا</v>
      </c>
      <c r="D1938" s="5" t="str">
        <f ca="1">IFERROR(__xludf.DUMMYFUNCTION("""COMPUTED_VALUE"""),"معمل")</f>
        <v>معمل</v>
      </c>
      <c r="E1938" s="5" t="str">
        <f ca="1">IFERROR(__xludf.DUMMYFUNCTION("""COMPUTED_VALUE"""),"معمل")</f>
        <v>معمل</v>
      </c>
      <c r="F1938" s="5" t="str">
        <f ca="1">IFERROR(__xludf.DUMMYFUNCTION("""COMPUTED_VALUE"""),"معمل التحاليل الطبية")</f>
        <v>معمل التحاليل الطبية</v>
      </c>
      <c r="G1938" s="5" t="str">
        <f ca="1">IFERROR(__xludf.DUMMYFUNCTION("""COMPUTED_VALUE"""),"محمد محمود احمد محمد النحاس (معمل النحاس)")</f>
        <v>محمد محمود احمد محمد النحاس (معمل النحاس)</v>
      </c>
      <c r="H1938" s="5" t="str">
        <f ca="1">IFERROR(__xludf.DUMMYFUNCTION("""COMPUTED_VALUE"""),"قرية طناح مركز المنصورة شارع البحر أعلى عيادة د / حسام عثمان")</f>
        <v>قرية طناح مركز المنصورة شارع البحر أعلى عيادة د / حسام عثمان</v>
      </c>
      <c r="I1938" s="6"/>
      <c r="J1938" s="6" t="str">
        <f ca="1">IFERROR(__xludf.DUMMYFUNCTION("""COMPUTED_VALUE"""),"19244")</f>
        <v>19244</v>
      </c>
      <c r="K1938" s="6" t="str">
        <f ca="1">IFERROR(__xludf.DUMMYFUNCTION("""COMPUTED_VALUE"""),"خصم 40% علي الاسعار النقدي")</f>
        <v>خصم 40% علي الاسعار النقدي</v>
      </c>
    </row>
    <row r="1939" spans="1:11" x14ac:dyDescent="0.25">
      <c r="A1939" s="4" t="str">
        <f ca="1">IFERROR(__xludf.DUMMYFUNCTION("""COMPUTED_VALUE"""),"106138-B")</f>
        <v>106138-B</v>
      </c>
      <c r="B1939" s="5" t="str">
        <f ca="1">IFERROR(__xludf.DUMMYFUNCTION("""COMPUTED_VALUE"""),"الدقهلية")</f>
        <v>الدقهلية</v>
      </c>
      <c r="C1939" s="5" t="str">
        <f ca="1">IFERROR(__xludf.DUMMYFUNCTION("""COMPUTED_VALUE"""),"طلخا")</f>
        <v>طلخا</v>
      </c>
      <c r="D1939" s="5" t="str">
        <f ca="1">IFERROR(__xludf.DUMMYFUNCTION("""COMPUTED_VALUE"""),"معمل")</f>
        <v>معمل</v>
      </c>
      <c r="E1939" s="5" t="str">
        <f ca="1">IFERROR(__xludf.DUMMYFUNCTION("""COMPUTED_VALUE"""),"معمل")</f>
        <v>معمل</v>
      </c>
      <c r="F1939" s="5" t="str">
        <f ca="1">IFERROR(__xludf.DUMMYFUNCTION("""COMPUTED_VALUE"""),"معمل التحاليل الطبية")</f>
        <v>معمل التحاليل الطبية</v>
      </c>
      <c r="G1939" s="5" t="str">
        <f ca="1">IFERROR(__xludf.DUMMYFUNCTION("""COMPUTED_VALUE"""),"محمد محمود احمد محمد النحاس (معمل النحاس)")</f>
        <v>محمد محمود احمد محمد النحاس (معمل النحاس)</v>
      </c>
      <c r="H1939" s="5" t="str">
        <f ca="1">IFERROR(__xludf.DUMMYFUNCTION("""COMPUTED_VALUE"""),"برج الحسين بجوار مسجد سيدي مجاهد")</f>
        <v>برج الحسين بجوار مسجد سيدي مجاهد</v>
      </c>
      <c r="I1939" s="6"/>
      <c r="J1939" s="6" t="str">
        <f ca="1">IFERROR(__xludf.DUMMYFUNCTION("""COMPUTED_VALUE"""),"19244")</f>
        <v>19244</v>
      </c>
      <c r="K1939" s="6" t="str">
        <f ca="1">IFERROR(__xludf.DUMMYFUNCTION("""COMPUTED_VALUE"""),"خصم 40% علي الاسعار النقدي")</f>
        <v>خصم 40% علي الاسعار النقدي</v>
      </c>
    </row>
    <row r="1940" spans="1:11" x14ac:dyDescent="0.25">
      <c r="A1940" s="4" t="str">
        <f ca="1">IFERROR(__xludf.DUMMYFUNCTION("""COMPUTED_VALUE"""),"106138-B")</f>
        <v>106138-B</v>
      </c>
      <c r="B1940" s="5" t="str">
        <f ca="1">IFERROR(__xludf.DUMMYFUNCTION("""COMPUTED_VALUE"""),"الدقهلية")</f>
        <v>الدقهلية</v>
      </c>
      <c r="C1940" s="5" t="str">
        <f ca="1">IFERROR(__xludf.DUMMYFUNCTION("""COMPUTED_VALUE"""),"طلخا")</f>
        <v>طلخا</v>
      </c>
      <c r="D1940" s="5" t="str">
        <f ca="1">IFERROR(__xludf.DUMMYFUNCTION("""COMPUTED_VALUE"""),"معمل")</f>
        <v>معمل</v>
      </c>
      <c r="E1940" s="5" t="str">
        <f ca="1">IFERROR(__xludf.DUMMYFUNCTION("""COMPUTED_VALUE"""),"معمل")</f>
        <v>معمل</v>
      </c>
      <c r="F1940" s="5" t="str">
        <f ca="1">IFERROR(__xludf.DUMMYFUNCTION("""COMPUTED_VALUE"""),"معمل التحاليل الطبية")</f>
        <v>معمل التحاليل الطبية</v>
      </c>
      <c r="G1940" s="5" t="str">
        <f ca="1">IFERROR(__xludf.DUMMYFUNCTION("""COMPUTED_VALUE"""),"محمد محمود احمد محمد النحاس (معمل النحاس)")</f>
        <v>محمد محمود احمد محمد النحاس (معمل النحاس)</v>
      </c>
      <c r="H1940" s="5" t="str">
        <f ca="1">IFERROR(__xludf.DUMMYFUNCTION("""COMPUTED_VALUE"""),"شارع البحر أعلى صيدلية محمد سعد")</f>
        <v>شارع البحر أعلى صيدلية محمد سعد</v>
      </c>
      <c r="I1940" s="6"/>
      <c r="J1940" s="6" t="str">
        <f ca="1">IFERROR(__xludf.DUMMYFUNCTION("""COMPUTED_VALUE"""),"19244")</f>
        <v>19244</v>
      </c>
      <c r="K1940" s="6" t="str">
        <f ca="1">IFERROR(__xludf.DUMMYFUNCTION("""COMPUTED_VALUE"""),"خصم 40% علي الاسعار النقدي")</f>
        <v>خصم 40% علي الاسعار النقدي</v>
      </c>
    </row>
    <row r="1941" spans="1:11" x14ac:dyDescent="0.25">
      <c r="A1941" s="4" t="str">
        <f ca="1">IFERROR(__xludf.DUMMYFUNCTION("""COMPUTED_VALUE"""),"106138-B")</f>
        <v>106138-B</v>
      </c>
      <c r="B1941" s="5" t="str">
        <f ca="1">IFERROR(__xludf.DUMMYFUNCTION("""COMPUTED_VALUE"""),"الدقهلية")</f>
        <v>الدقهلية</v>
      </c>
      <c r="C1941" s="5" t="str">
        <f ca="1">IFERROR(__xludf.DUMMYFUNCTION("""COMPUTED_VALUE"""),"طلخا")</f>
        <v>طلخا</v>
      </c>
      <c r="D1941" s="5" t="str">
        <f ca="1">IFERROR(__xludf.DUMMYFUNCTION("""COMPUTED_VALUE"""),"معمل")</f>
        <v>معمل</v>
      </c>
      <c r="E1941" s="5" t="str">
        <f ca="1">IFERROR(__xludf.DUMMYFUNCTION("""COMPUTED_VALUE"""),"معمل")</f>
        <v>معمل</v>
      </c>
      <c r="F1941" s="5" t="str">
        <f ca="1">IFERROR(__xludf.DUMMYFUNCTION("""COMPUTED_VALUE"""),"معمل التحاليل الطبية")</f>
        <v>معمل التحاليل الطبية</v>
      </c>
      <c r="G1941" s="5" t="str">
        <f ca="1">IFERROR(__xludf.DUMMYFUNCTION("""COMPUTED_VALUE"""),"محمد محمود احمد محمد النحاس (معمل النحاس)")</f>
        <v>محمد محمود احمد محمد النحاس (معمل النحاس)</v>
      </c>
      <c r="H1941" s="5" t="str">
        <f ca="1">IFERROR(__xludf.DUMMYFUNCTION("""COMPUTED_VALUE"""),"قرية ميت الكرماء القنطرة خلف السكة الحديد")</f>
        <v>قرية ميت الكرماء القنطرة خلف السكة الحديد</v>
      </c>
      <c r="I1941" s="6"/>
      <c r="J1941" s="6" t="str">
        <f ca="1">IFERROR(__xludf.DUMMYFUNCTION("""COMPUTED_VALUE"""),"19244")</f>
        <v>19244</v>
      </c>
      <c r="K1941" s="6" t="str">
        <f ca="1">IFERROR(__xludf.DUMMYFUNCTION("""COMPUTED_VALUE"""),"خصم 40% علي الاسعار النقدي")</f>
        <v>خصم 40% علي الاسعار النقدي</v>
      </c>
    </row>
    <row r="1942" spans="1:11" x14ac:dyDescent="0.25">
      <c r="A1942" s="4" t="str">
        <f ca="1">IFERROR(__xludf.DUMMYFUNCTION("""COMPUTED_VALUE"""),"106138-B")</f>
        <v>106138-B</v>
      </c>
      <c r="B1942" s="5" t="str">
        <f ca="1">IFERROR(__xludf.DUMMYFUNCTION("""COMPUTED_VALUE"""),"الدقهلية")</f>
        <v>الدقهلية</v>
      </c>
      <c r="C1942" s="5" t="str">
        <f ca="1">IFERROR(__xludf.DUMMYFUNCTION("""COMPUTED_VALUE"""),"طلخا")</f>
        <v>طلخا</v>
      </c>
      <c r="D1942" s="5" t="str">
        <f ca="1">IFERROR(__xludf.DUMMYFUNCTION("""COMPUTED_VALUE"""),"معمل")</f>
        <v>معمل</v>
      </c>
      <c r="E1942" s="5" t="str">
        <f ca="1">IFERROR(__xludf.DUMMYFUNCTION("""COMPUTED_VALUE"""),"معمل")</f>
        <v>معمل</v>
      </c>
      <c r="F1942" s="5" t="str">
        <f ca="1">IFERROR(__xludf.DUMMYFUNCTION("""COMPUTED_VALUE"""),"معمل التحاليل الطبية")</f>
        <v>معمل التحاليل الطبية</v>
      </c>
      <c r="G1942" s="5" t="str">
        <f ca="1">IFERROR(__xludf.DUMMYFUNCTION("""COMPUTED_VALUE"""),"محمد محمود احمد محمد النحاس (معمل النحاس)")</f>
        <v>محمد محمود احمد محمد النحاس (معمل النحاس)</v>
      </c>
      <c r="H1942" s="5" t="str">
        <f ca="1">IFERROR(__xludf.DUMMYFUNCTION("""COMPUTED_VALUE"""),"قرية ميت عنتر مركز طلخا اعلى صيدلية روفيدا")</f>
        <v>قرية ميت عنتر مركز طلخا اعلى صيدلية روفيدا</v>
      </c>
      <c r="I1942" s="6"/>
      <c r="J1942" s="6" t="str">
        <f ca="1">IFERROR(__xludf.DUMMYFUNCTION("""COMPUTED_VALUE"""),"19244")</f>
        <v>19244</v>
      </c>
      <c r="K1942" s="6" t="str">
        <f ca="1">IFERROR(__xludf.DUMMYFUNCTION("""COMPUTED_VALUE"""),"خصم 40% علي الاسعار النقدي")</f>
        <v>خصم 40% علي الاسعار النقدي</v>
      </c>
    </row>
    <row r="1943" spans="1:11" x14ac:dyDescent="0.25">
      <c r="A1943" s="4" t="str">
        <f ca="1">IFERROR(__xludf.DUMMYFUNCTION("""COMPUTED_VALUE"""),"106138-B")</f>
        <v>106138-B</v>
      </c>
      <c r="B1943" s="5" t="str">
        <f ca="1">IFERROR(__xludf.DUMMYFUNCTION("""COMPUTED_VALUE"""),"الدقهلية")</f>
        <v>الدقهلية</v>
      </c>
      <c r="C1943" s="5" t="str">
        <f ca="1">IFERROR(__xludf.DUMMYFUNCTION("""COMPUTED_VALUE"""),"طلخا")</f>
        <v>طلخا</v>
      </c>
      <c r="D1943" s="5" t="str">
        <f ca="1">IFERROR(__xludf.DUMMYFUNCTION("""COMPUTED_VALUE"""),"معمل")</f>
        <v>معمل</v>
      </c>
      <c r="E1943" s="5" t="str">
        <f ca="1">IFERROR(__xludf.DUMMYFUNCTION("""COMPUTED_VALUE"""),"معمل")</f>
        <v>معمل</v>
      </c>
      <c r="F1943" s="5" t="str">
        <f ca="1">IFERROR(__xludf.DUMMYFUNCTION("""COMPUTED_VALUE"""),"معمل التحاليل الطبية")</f>
        <v>معمل التحاليل الطبية</v>
      </c>
      <c r="G1943" s="5" t="str">
        <f ca="1">IFERROR(__xludf.DUMMYFUNCTION("""COMPUTED_VALUE"""),"محمد محمود احمد محمد النحاس (معمل النحاس)")</f>
        <v>محمد محمود احمد محمد النحاس (معمل النحاس)</v>
      </c>
      <c r="H1943" s="5" t="str">
        <f ca="1">IFERROR(__xludf.DUMMYFUNCTION("""COMPUTED_VALUE"""),"شارع المحطة عيادة د / احمد حماد الدور الأول")</f>
        <v>شارع المحطة عيادة د / احمد حماد الدور الأول</v>
      </c>
      <c r="I1943" s="6"/>
      <c r="J1943" s="6" t="str">
        <f ca="1">IFERROR(__xludf.DUMMYFUNCTION("""COMPUTED_VALUE"""),"19244")</f>
        <v>19244</v>
      </c>
      <c r="K1943" s="6" t="str">
        <f ca="1">IFERROR(__xludf.DUMMYFUNCTION("""COMPUTED_VALUE"""),"خصم 40% علي الاسعار النقدي")</f>
        <v>خصم 40% علي الاسعار النقدي</v>
      </c>
    </row>
    <row r="1944" spans="1:11" x14ac:dyDescent="0.25">
      <c r="A1944" s="4" t="str">
        <f ca="1">IFERROR(__xludf.DUMMYFUNCTION("""COMPUTED_VALUE"""),"106138-B")</f>
        <v>106138-B</v>
      </c>
      <c r="B1944" s="5" t="str">
        <f ca="1">IFERROR(__xludf.DUMMYFUNCTION("""COMPUTED_VALUE"""),"الدقهلية")</f>
        <v>الدقهلية</v>
      </c>
      <c r="C1944" s="5" t="str">
        <f ca="1">IFERROR(__xludf.DUMMYFUNCTION("""COMPUTED_VALUE"""),"طلخا")</f>
        <v>طلخا</v>
      </c>
      <c r="D1944" s="5" t="str">
        <f ca="1">IFERROR(__xludf.DUMMYFUNCTION("""COMPUTED_VALUE"""),"معمل")</f>
        <v>معمل</v>
      </c>
      <c r="E1944" s="5" t="str">
        <f ca="1">IFERROR(__xludf.DUMMYFUNCTION("""COMPUTED_VALUE"""),"معمل")</f>
        <v>معمل</v>
      </c>
      <c r="F1944" s="5" t="str">
        <f ca="1">IFERROR(__xludf.DUMMYFUNCTION("""COMPUTED_VALUE"""),"معمل التحاليل الطبية")</f>
        <v>معمل التحاليل الطبية</v>
      </c>
      <c r="G1944" s="5" t="str">
        <f ca="1">IFERROR(__xludf.DUMMYFUNCTION("""COMPUTED_VALUE"""),"محمد محمود احمد محمد النحاس (معمل النحاس)")</f>
        <v>محمد محمود احمد محمد النحاس (معمل النحاس)</v>
      </c>
      <c r="H1944" s="5" t="str">
        <f ca="1">IFERROR(__xludf.DUMMYFUNCTION("""COMPUTED_VALUE"""),"شارع صلاح سالم برج صلاح سالم الدور الاول")</f>
        <v>شارع صلاح سالم برج صلاح سالم الدور الاول</v>
      </c>
      <c r="I1944" s="6"/>
      <c r="J1944" s="6" t="str">
        <f ca="1">IFERROR(__xludf.DUMMYFUNCTION("""COMPUTED_VALUE"""),"19244")</f>
        <v>19244</v>
      </c>
      <c r="K1944" s="6" t="str">
        <f ca="1">IFERROR(__xludf.DUMMYFUNCTION("""COMPUTED_VALUE"""),"خصم 40% علي الاسعار النقدي")</f>
        <v>خصم 40% علي الاسعار النقدي</v>
      </c>
    </row>
    <row r="1945" spans="1:11" x14ac:dyDescent="0.25">
      <c r="A1945" s="4" t="str">
        <f ca="1">IFERROR(__xludf.DUMMYFUNCTION("""COMPUTED_VALUE"""),"106138-B")</f>
        <v>106138-B</v>
      </c>
      <c r="B1945" s="5" t="str">
        <f ca="1">IFERROR(__xludf.DUMMYFUNCTION("""COMPUTED_VALUE"""),"الدقهلية")</f>
        <v>الدقهلية</v>
      </c>
      <c r="C1945" s="5" t="str">
        <f ca="1">IFERROR(__xludf.DUMMYFUNCTION("""COMPUTED_VALUE"""),"طلخا")</f>
        <v>طلخا</v>
      </c>
      <c r="D1945" s="5" t="str">
        <f ca="1">IFERROR(__xludf.DUMMYFUNCTION("""COMPUTED_VALUE"""),"معمل")</f>
        <v>معمل</v>
      </c>
      <c r="E1945" s="5" t="str">
        <f ca="1">IFERROR(__xludf.DUMMYFUNCTION("""COMPUTED_VALUE"""),"معمل")</f>
        <v>معمل</v>
      </c>
      <c r="F1945" s="5" t="str">
        <f ca="1">IFERROR(__xludf.DUMMYFUNCTION("""COMPUTED_VALUE"""),"معمل التحاليل الطبية")</f>
        <v>معمل التحاليل الطبية</v>
      </c>
      <c r="G1945" s="5" t="str">
        <f ca="1">IFERROR(__xludf.DUMMYFUNCTION("""COMPUTED_VALUE"""),"محمد محمود احمد محمد النحاس (معمل النحاس)")</f>
        <v>محمد محمود احمد محمد النحاس (معمل النحاس)</v>
      </c>
      <c r="H1945" s="5" t="str">
        <f ca="1">IFERROR(__xludf.DUMMYFUNCTION("""COMPUTED_VALUE"""),"قرية ميت عنتر مركز طلخا بجوار صيدلية د / ايهاب الشربيني")</f>
        <v>قرية ميت عنتر مركز طلخا بجوار صيدلية د / ايهاب الشربيني</v>
      </c>
      <c r="I1945" s="6"/>
      <c r="J1945" s="6" t="str">
        <f ca="1">IFERROR(__xludf.DUMMYFUNCTION("""COMPUTED_VALUE"""),"19244")</f>
        <v>19244</v>
      </c>
      <c r="K1945" s="6" t="str">
        <f ca="1">IFERROR(__xludf.DUMMYFUNCTION("""COMPUTED_VALUE"""),"خصم 40% علي الاسعار النقدي")</f>
        <v>خصم 40% علي الاسعار النقدي</v>
      </c>
    </row>
    <row r="1946" spans="1:11" x14ac:dyDescent="0.25">
      <c r="A1946" s="4" t="str">
        <f ca="1">IFERROR(__xludf.DUMMYFUNCTION("""COMPUTED_VALUE"""),"106138-B")</f>
        <v>106138-B</v>
      </c>
      <c r="B1946" s="5" t="str">
        <f ca="1">IFERROR(__xludf.DUMMYFUNCTION("""COMPUTED_VALUE"""),"الدقهلية")</f>
        <v>الدقهلية</v>
      </c>
      <c r="C1946" s="5" t="str">
        <f ca="1">IFERROR(__xludf.DUMMYFUNCTION("""COMPUTED_VALUE"""),"طلخا")</f>
        <v>طلخا</v>
      </c>
      <c r="D1946" s="5" t="str">
        <f ca="1">IFERROR(__xludf.DUMMYFUNCTION("""COMPUTED_VALUE"""),"معمل")</f>
        <v>معمل</v>
      </c>
      <c r="E1946" s="5" t="str">
        <f ca="1">IFERROR(__xludf.DUMMYFUNCTION("""COMPUTED_VALUE"""),"معمل")</f>
        <v>معمل</v>
      </c>
      <c r="F1946" s="5" t="str">
        <f ca="1">IFERROR(__xludf.DUMMYFUNCTION("""COMPUTED_VALUE"""),"معمل التحاليل الطبية")</f>
        <v>معمل التحاليل الطبية</v>
      </c>
      <c r="G1946" s="5" t="str">
        <f ca="1">IFERROR(__xludf.DUMMYFUNCTION("""COMPUTED_VALUE"""),"محمد محمود احمد محمد النحاس (معمل النحاس)")</f>
        <v>محمد محمود احمد محمد النحاس (معمل النحاس)</v>
      </c>
      <c r="H1946" s="5" t="str">
        <f ca="1">IFERROR(__xludf.DUMMYFUNCTION("""COMPUTED_VALUE"""),"القنطرة برج السهم الاول")</f>
        <v>القنطرة برج السهم الاول</v>
      </c>
      <c r="I1946" s="6"/>
      <c r="J1946" s="6" t="str">
        <f ca="1">IFERROR(__xludf.DUMMYFUNCTION("""COMPUTED_VALUE"""),"19244")</f>
        <v>19244</v>
      </c>
      <c r="K1946" s="6" t="str">
        <f ca="1">IFERROR(__xludf.DUMMYFUNCTION("""COMPUTED_VALUE"""),"خصم 40% علي الاسعار النقدي")</f>
        <v>خصم 40% علي الاسعار النقدي</v>
      </c>
    </row>
    <row r="1947" spans="1:11" x14ac:dyDescent="0.25">
      <c r="A1947" s="4" t="str">
        <f ca="1">IFERROR(__xludf.DUMMYFUNCTION("""COMPUTED_VALUE"""),"106138-B")</f>
        <v>106138-B</v>
      </c>
      <c r="B1947" s="5" t="str">
        <f ca="1">IFERROR(__xludf.DUMMYFUNCTION("""COMPUTED_VALUE"""),"الدقهلية")</f>
        <v>الدقهلية</v>
      </c>
      <c r="C1947" s="5" t="str">
        <f ca="1">IFERROR(__xludf.DUMMYFUNCTION("""COMPUTED_VALUE"""),"أجا")</f>
        <v>أجا</v>
      </c>
      <c r="D1947" s="5" t="str">
        <f ca="1">IFERROR(__xludf.DUMMYFUNCTION("""COMPUTED_VALUE"""),"معمل")</f>
        <v>معمل</v>
      </c>
      <c r="E1947" s="5" t="str">
        <f ca="1">IFERROR(__xludf.DUMMYFUNCTION("""COMPUTED_VALUE"""),"معمل")</f>
        <v>معمل</v>
      </c>
      <c r="F1947" s="5" t="str">
        <f ca="1">IFERROR(__xludf.DUMMYFUNCTION("""COMPUTED_VALUE"""),"معمل التحاليل الطبية")</f>
        <v>معمل التحاليل الطبية</v>
      </c>
      <c r="G1947" s="5" t="str">
        <f ca="1">IFERROR(__xludf.DUMMYFUNCTION("""COMPUTED_VALUE"""),"محمد محمود احمد محمد النحاس (معمل النحاس)")</f>
        <v>محمد محمود احمد محمد النحاس (معمل النحاس)</v>
      </c>
      <c r="H1947" s="5" t="str">
        <f ca="1">IFERROR(__xludf.DUMMYFUNCTION("""COMPUTED_VALUE"""),"شارع قناة السويس أعلى مطعم التوارجي الجديد الدور الرابع")</f>
        <v>شارع قناة السويس أعلى مطعم التوارجي الجديد الدور الرابع</v>
      </c>
      <c r="I1947" s="6"/>
      <c r="J1947" s="6" t="str">
        <f ca="1">IFERROR(__xludf.DUMMYFUNCTION("""COMPUTED_VALUE"""),"19244")</f>
        <v>19244</v>
      </c>
      <c r="K1947" s="6" t="str">
        <f ca="1">IFERROR(__xludf.DUMMYFUNCTION("""COMPUTED_VALUE"""),"خصم 40% علي الاسعار النقدي")</f>
        <v>خصم 40% علي الاسعار النقدي</v>
      </c>
    </row>
    <row r="1948" spans="1:11" x14ac:dyDescent="0.25">
      <c r="A1948" s="4" t="str">
        <f ca="1">IFERROR(__xludf.DUMMYFUNCTION("""COMPUTED_VALUE"""),"106138-B")</f>
        <v>106138-B</v>
      </c>
      <c r="B1948" s="5" t="str">
        <f ca="1">IFERROR(__xludf.DUMMYFUNCTION("""COMPUTED_VALUE"""),"الدقهلية")</f>
        <v>الدقهلية</v>
      </c>
      <c r="C1948" s="5" t="str">
        <f ca="1">IFERROR(__xludf.DUMMYFUNCTION("""COMPUTED_VALUE"""),"المنصورة")</f>
        <v>المنصورة</v>
      </c>
      <c r="D1948" s="5" t="str">
        <f ca="1">IFERROR(__xludf.DUMMYFUNCTION("""COMPUTED_VALUE"""),"معمل")</f>
        <v>معمل</v>
      </c>
      <c r="E1948" s="5" t="str">
        <f ca="1">IFERROR(__xludf.DUMMYFUNCTION("""COMPUTED_VALUE"""),"معمل")</f>
        <v>معمل</v>
      </c>
      <c r="F1948" s="5" t="str">
        <f ca="1">IFERROR(__xludf.DUMMYFUNCTION("""COMPUTED_VALUE"""),"معمل التحاليل الطبية")</f>
        <v>معمل التحاليل الطبية</v>
      </c>
      <c r="G1948" s="5" t="str">
        <f ca="1">IFERROR(__xludf.DUMMYFUNCTION("""COMPUTED_VALUE"""),"محمد محمود احمد محمد النحاس (معمل النحاس)")</f>
        <v>محمد محمود احمد محمد النحاس (معمل النحاس)</v>
      </c>
      <c r="H1948" s="5" t="str">
        <f ca="1">IFERROR(__xludf.DUMMYFUNCTION("""COMPUTED_VALUE"""),"أمام مستشفى الدولى بجوار صيدلية د / جمال عوض")</f>
        <v>أمام مستشفى الدولى بجوار صيدلية د / جمال عوض</v>
      </c>
      <c r="I1948" s="6"/>
      <c r="J1948" s="6" t="str">
        <f ca="1">IFERROR(__xludf.DUMMYFUNCTION("""COMPUTED_VALUE"""),"19244")</f>
        <v>19244</v>
      </c>
      <c r="K1948" s="6" t="str">
        <f ca="1">IFERROR(__xludf.DUMMYFUNCTION("""COMPUTED_VALUE"""),"خصم 40% علي الاسعار النقدي")</f>
        <v>خصم 40% علي الاسعار النقدي</v>
      </c>
    </row>
    <row r="1949" spans="1:11" x14ac:dyDescent="0.25">
      <c r="A1949" s="4" t="str">
        <f ca="1">IFERROR(__xludf.DUMMYFUNCTION("""COMPUTED_VALUE"""),"106138-B")</f>
        <v>106138-B</v>
      </c>
      <c r="B1949" s="5" t="str">
        <f ca="1">IFERROR(__xludf.DUMMYFUNCTION("""COMPUTED_VALUE"""),"الدقهلية")</f>
        <v>الدقهلية</v>
      </c>
      <c r="C1949" s="5" t="str">
        <f ca="1">IFERROR(__xludf.DUMMYFUNCTION("""COMPUTED_VALUE"""),"المنصورة")</f>
        <v>المنصورة</v>
      </c>
      <c r="D1949" s="5" t="str">
        <f ca="1">IFERROR(__xludf.DUMMYFUNCTION("""COMPUTED_VALUE"""),"معمل")</f>
        <v>معمل</v>
      </c>
      <c r="E1949" s="5" t="str">
        <f ca="1">IFERROR(__xludf.DUMMYFUNCTION("""COMPUTED_VALUE"""),"معمل")</f>
        <v>معمل</v>
      </c>
      <c r="F1949" s="5" t="str">
        <f ca="1">IFERROR(__xludf.DUMMYFUNCTION("""COMPUTED_VALUE"""),"معمل التحاليل الطبية")</f>
        <v>معمل التحاليل الطبية</v>
      </c>
      <c r="G1949" s="5" t="str">
        <f ca="1">IFERROR(__xludf.DUMMYFUNCTION("""COMPUTED_VALUE"""),"محمد محمود احمد محمد النحاس (معمل النحاس)")</f>
        <v>محمد محمود احمد محمد النحاس (معمل النحاس)</v>
      </c>
      <c r="H1949" s="5" t="str">
        <f ca="1">IFERROR(__xludf.DUMMYFUNCTION("""COMPUTED_VALUE"""),"شارع الجلاء أمام مدرسة أبو بكر الصديق")</f>
        <v>شارع الجلاء أمام مدرسة أبو بكر الصديق</v>
      </c>
      <c r="I1949" s="6"/>
      <c r="J1949" s="6" t="str">
        <f ca="1">IFERROR(__xludf.DUMMYFUNCTION("""COMPUTED_VALUE"""),"19244")</f>
        <v>19244</v>
      </c>
      <c r="K1949" s="6" t="str">
        <f ca="1">IFERROR(__xludf.DUMMYFUNCTION("""COMPUTED_VALUE"""),"خصم 40% علي الاسعار النقدي")</f>
        <v>خصم 40% علي الاسعار النقدي</v>
      </c>
    </row>
    <row r="1950" spans="1:11" x14ac:dyDescent="0.25">
      <c r="A1950" s="4" t="str">
        <f ca="1">IFERROR(__xludf.DUMMYFUNCTION("""COMPUTED_VALUE"""),"106138-B")</f>
        <v>106138-B</v>
      </c>
      <c r="B1950" s="5" t="str">
        <f ca="1">IFERROR(__xludf.DUMMYFUNCTION("""COMPUTED_VALUE"""),"بورسعيد")</f>
        <v>بورسعيد</v>
      </c>
      <c r="C1950" s="5" t="str">
        <f ca="1">IFERROR(__xludf.DUMMYFUNCTION("""COMPUTED_VALUE"""),"بورسعيد")</f>
        <v>بورسعيد</v>
      </c>
      <c r="D1950" s="5" t="str">
        <f ca="1">IFERROR(__xludf.DUMMYFUNCTION("""COMPUTED_VALUE"""),"معمل")</f>
        <v>معمل</v>
      </c>
      <c r="E1950" s="5" t="str">
        <f ca="1">IFERROR(__xludf.DUMMYFUNCTION("""COMPUTED_VALUE"""),"معمل")</f>
        <v>معمل</v>
      </c>
      <c r="F1950" s="5" t="str">
        <f ca="1">IFERROR(__xludf.DUMMYFUNCTION("""COMPUTED_VALUE"""),"معمل التحاليل الطبية")</f>
        <v>معمل التحاليل الطبية</v>
      </c>
      <c r="G1950" s="5" t="str">
        <f ca="1">IFERROR(__xludf.DUMMYFUNCTION("""COMPUTED_VALUE"""),"محمد محمود احمد محمد النحاس (معمل النحاس)")</f>
        <v>محمد محمود احمد محمد النحاس (معمل النحاس)</v>
      </c>
      <c r="H1950" s="5" t="str">
        <f ca="1">IFERROR(__xludf.DUMMYFUNCTION("""COMPUTED_VALUE"""),"شارع التلاتيني مجمع أولاد اسماعيل")</f>
        <v>شارع التلاتيني مجمع أولاد اسماعيل</v>
      </c>
      <c r="I1950" s="6"/>
      <c r="J1950" s="6" t="str">
        <f ca="1">IFERROR(__xludf.DUMMYFUNCTION("""COMPUTED_VALUE"""),"19244")</f>
        <v>19244</v>
      </c>
      <c r="K1950" s="6" t="str">
        <f ca="1">IFERROR(__xludf.DUMMYFUNCTION("""COMPUTED_VALUE"""),"خصم 40% علي الاسعار النقدي")</f>
        <v>خصم 40% علي الاسعار النقدي</v>
      </c>
    </row>
    <row r="1951" spans="1:11" x14ac:dyDescent="0.25">
      <c r="A1951" s="4" t="str">
        <f ca="1">IFERROR(__xludf.DUMMYFUNCTION("""COMPUTED_VALUE"""),"106138-B")</f>
        <v>106138-B</v>
      </c>
      <c r="B1951" s="5" t="str">
        <f ca="1">IFERROR(__xludf.DUMMYFUNCTION("""COMPUTED_VALUE"""),"الدقهلية")</f>
        <v>الدقهلية</v>
      </c>
      <c r="C1951" s="5" t="str">
        <f ca="1">IFERROR(__xludf.DUMMYFUNCTION("""COMPUTED_VALUE"""),"طلخا")</f>
        <v>طلخا</v>
      </c>
      <c r="D1951" s="5" t="str">
        <f ca="1">IFERROR(__xludf.DUMMYFUNCTION("""COMPUTED_VALUE"""),"معمل")</f>
        <v>معمل</v>
      </c>
      <c r="E1951" s="5" t="str">
        <f ca="1">IFERROR(__xludf.DUMMYFUNCTION("""COMPUTED_VALUE"""),"معمل")</f>
        <v>معمل</v>
      </c>
      <c r="F1951" s="5" t="str">
        <f ca="1">IFERROR(__xludf.DUMMYFUNCTION("""COMPUTED_VALUE"""),"معمل التحاليل الطبية")</f>
        <v>معمل التحاليل الطبية</v>
      </c>
      <c r="G1951" s="5" t="str">
        <f ca="1">IFERROR(__xludf.DUMMYFUNCTION("""COMPUTED_VALUE"""),"محمد محمود احمد محمد النحاس (معمل النحاس)")</f>
        <v>محمد محمود احمد محمد النحاس (معمل النحاس)</v>
      </c>
      <c r="H1951" s="5" t="str">
        <f ca="1">IFERROR(__xludf.DUMMYFUNCTION("""COMPUTED_VALUE"""),"بطرة شارع السوق")</f>
        <v>بطرة شارع السوق</v>
      </c>
      <c r="I1951" s="6"/>
      <c r="J1951" s="6" t="str">
        <f ca="1">IFERROR(__xludf.DUMMYFUNCTION("""COMPUTED_VALUE"""),"19244")</f>
        <v>19244</v>
      </c>
      <c r="K1951" s="6" t="str">
        <f ca="1">IFERROR(__xludf.DUMMYFUNCTION("""COMPUTED_VALUE"""),"خصم 40% علي الاسعار النقدي")</f>
        <v>خصم 40% علي الاسعار النقدي</v>
      </c>
    </row>
    <row r="1952" spans="1:11" x14ac:dyDescent="0.25">
      <c r="A1952" s="4" t="str">
        <f ca="1">IFERROR(__xludf.DUMMYFUNCTION("""COMPUTED_VALUE"""),"106138-B")</f>
        <v>106138-B</v>
      </c>
      <c r="B1952" s="5" t="str">
        <f ca="1">IFERROR(__xludf.DUMMYFUNCTION("""COMPUTED_VALUE"""),"الدقهلية")</f>
        <v>الدقهلية</v>
      </c>
      <c r="C1952" s="5" t="str">
        <f ca="1">IFERROR(__xludf.DUMMYFUNCTION("""COMPUTED_VALUE"""),"المنصورة")</f>
        <v>المنصورة</v>
      </c>
      <c r="D1952" s="5" t="str">
        <f ca="1">IFERROR(__xludf.DUMMYFUNCTION("""COMPUTED_VALUE"""),"معمل")</f>
        <v>معمل</v>
      </c>
      <c r="E1952" s="5" t="str">
        <f ca="1">IFERROR(__xludf.DUMMYFUNCTION("""COMPUTED_VALUE"""),"معمل")</f>
        <v>معمل</v>
      </c>
      <c r="F1952" s="5" t="str">
        <f ca="1">IFERROR(__xludf.DUMMYFUNCTION("""COMPUTED_VALUE"""),"معمل التحاليل الطبية")</f>
        <v>معمل التحاليل الطبية</v>
      </c>
      <c r="G1952" s="5" t="str">
        <f ca="1">IFERROR(__xludf.DUMMYFUNCTION("""COMPUTED_VALUE"""),"محمد محمود احمد محمد النحاس (معمل النحاس)")</f>
        <v>محمد محمود احمد محمد النحاس (معمل النحاس)</v>
      </c>
      <c r="H1952" s="5" t="str">
        <f ca="1">IFERROR(__xludf.DUMMYFUNCTION("""COMPUTED_VALUE"""),"ميت محمود بجوار مجمع الفتح")</f>
        <v>ميت محمود بجوار مجمع الفتح</v>
      </c>
      <c r="I1952" s="6"/>
      <c r="J1952" s="6" t="str">
        <f ca="1">IFERROR(__xludf.DUMMYFUNCTION("""COMPUTED_VALUE"""),"19244")</f>
        <v>19244</v>
      </c>
      <c r="K1952" s="6" t="str">
        <f ca="1">IFERROR(__xludf.DUMMYFUNCTION("""COMPUTED_VALUE"""),"خصم 40% علي الاسعار النقدي")</f>
        <v>خصم 40% علي الاسعار النقدي</v>
      </c>
    </row>
    <row r="1953" spans="1:11" x14ac:dyDescent="0.25">
      <c r="A1953" s="4" t="str">
        <f ca="1">IFERROR(__xludf.DUMMYFUNCTION("""COMPUTED_VALUE"""),"106138-B")</f>
        <v>106138-B</v>
      </c>
      <c r="B1953" s="5" t="str">
        <f ca="1">IFERROR(__xludf.DUMMYFUNCTION("""COMPUTED_VALUE"""),"الدقهلية")</f>
        <v>الدقهلية</v>
      </c>
      <c r="C1953" s="5" t="str">
        <f ca="1">IFERROR(__xludf.DUMMYFUNCTION("""COMPUTED_VALUE"""),"المنصورة")</f>
        <v>المنصورة</v>
      </c>
      <c r="D1953" s="5" t="str">
        <f ca="1">IFERROR(__xludf.DUMMYFUNCTION("""COMPUTED_VALUE"""),"معمل")</f>
        <v>معمل</v>
      </c>
      <c r="E1953" s="5" t="str">
        <f ca="1">IFERROR(__xludf.DUMMYFUNCTION("""COMPUTED_VALUE"""),"معمل")</f>
        <v>معمل</v>
      </c>
      <c r="F1953" s="5" t="str">
        <f ca="1">IFERROR(__xludf.DUMMYFUNCTION("""COMPUTED_VALUE"""),"معمل التحاليل الطبية")</f>
        <v>معمل التحاليل الطبية</v>
      </c>
      <c r="G1953" s="5" t="str">
        <f ca="1">IFERROR(__xludf.DUMMYFUNCTION("""COMPUTED_VALUE"""),"محمد محمود احمد محمد النحاس (معمل النحاس)")</f>
        <v>محمد محمود احمد محمد النحاس (معمل النحاس)</v>
      </c>
      <c r="H1953" s="5" t="str">
        <f ca="1">IFERROR(__xludf.DUMMYFUNCTION("""COMPUTED_VALUE"""),"شارع الموقف أمام مسجد الحاج تاج الدين")</f>
        <v>شارع الموقف أمام مسجد الحاج تاج الدين</v>
      </c>
      <c r="I1953" s="6"/>
      <c r="J1953" s="6" t="str">
        <f ca="1">IFERROR(__xludf.DUMMYFUNCTION("""COMPUTED_VALUE"""),"19244")</f>
        <v>19244</v>
      </c>
      <c r="K1953" s="6" t="str">
        <f ca="1">IFERROR(__xludf.DUMMYFUNCTION("""COMPUTED_VALUE"""),"خصم 40% علي الاسعار النقدي")</f>
        <v>خصم 40% علي الاسعار النقدي</v>
      </c>
    </row>
    <row r="1954" spans="1:11" x14ac:dyDescent="0.25">
      <c r="A1954" s="4" t="str">
        <f ca="1">IFERROR(__xludf.DUMMYFUNCTION("""COMPUTED_VALUE"""),"106138-B")</f>
        <v>106138-B</v>
      </c>
      <c r="B1954" s="5" t="str">
        <f ca="1">IFERROR(__xludf.DUMMYFUNCTION("""COMPUTED_VALUE"""),"الدقهلية")</f>
        <v>الدقهلية</v>
      </c>
      <c r="C1954" s="5" t="str">
        <f ca="1">IFERROR(__xludf.DUMMYFUNCTION("""COMPUTED_VALUE"""),"المنصورة")</f>
        <v>المنصورة</v>
      </c>
      <c r="D1954" s="5" t="str">
        <f ca="1">IFERROR(__xludf.DUMMYFUNCTION("""COMPUTED_VALUE"""),"معمل")</f>
        <v>معمل</v>
      </c>
      <c r="E1954" s="5" t="str">
        <f ca="1">IFERROR(__xludf.DUMMYFUNCTION("""COMPUTED_VALUE"""),"معمل")</f>
        <v>معمل</v>
      </c>
      <c r="F1954" s="5" t="str">
        <f ca="1">IFERROR(__xludf.DUMMYFUNCTION("""COMPUTED_VALUE"""),"معمل التحاليل الطبية")</f>
        <v>معمل التحاليل الطبية</v>
      </c>
      <c r="G1954" s="5" t="str">
        <f ca="1">IFERROR(__xludf.DUMMYFUNCTION("""COMPUTED_VALUE"""),"محمد محمود احمد محمد النحاس (معمل النحاس)")</f>
        <v>محمد محمود احمد محمد النحاس (معمل النحاس)</v>
      </c>
      <c r="H1954" s="5" t="str">
        <f ca="1">IFERROR(__xludf.DUMMYFUNCTION("""COMPUTED_VALUE"""),"شارع السوق أمام أستوديو مشالى أعلى زاد ماركت")</f>
        <v>شارع السوق أمام أستوديو مشالى أعلى زاد ماركت</v>
      </c>
      <c r="I1954" s="6"/>
      <c r="J1954" s="6" t="str">
        <f ca="1">IFERROR(__xludf.DUMMYFUNCTION("""COMPUTED_VALUE"""),"19244")</f>
        <v>19244</v>
      </c>
      <c r="K1954" s="6" t="str">
        <f ca="1">IFERROR(__xludf.DUMMYFUNCTION("""COMPUTED_VALUE"""),"خصم 40% علي الاسعار النقدي")</f>
        <v>خصم 40% علي الاسعار النقدي</v>
      </c>
    </row>
    <row r="1955" spans="1:11" x14ac:dyDescent="0.25">
      <c r="A1955" s="4" t="str">
        <f ca="1">IFERROR(__xludf.DUMMYFUNCTION("""COMPUTED_VALUE"""),"106138-B")</f>
        <v>106138-B</v>
      </c>
      <c r="B1955" s="5" t="str">
        <f ca="1">IFERROR(__xludf.DUMMYFUNCTION("""COMPUTED_VALUE"""),"الدقهلية")</f>
        <v>الدقهلية</v>
      </c>
      <c r="C1955" s="5" t="str">
        <f ca="1">IFERROR(__xludf.DUMMYFUNCTION("""COMPUTED_VALUE"""),"أجا")</f>
        <v>أجا</v>
      </c>
      <c r="D1955" s="5" t="str">
        <f ca="1">IFERROR(__xludf.DUMMYFUNCTION("""COMPUTED_VALUE"""),"معمل")</f>
        <v>معمل</v>
      </c>
      <c r="E1955" s="5" t="str">
        <f ca="1">IFERROR(__xludf.DUMMYFUNCTION("""COMPUTED_VALUE"""),"معمل")</f>
        <v>معمل</v>
      </c>
      <c r="F1955" s="5" t="str">
        <f ca="1">IFERROR(__xludf.DUMMYFUNCTION("""COMPUTED_VALUE"""),"معمل التحاليل الطبية")</f>
        <v>معمل التحاليل الطبية</v>
      </c>
      <c r="G1955" s="5" t="str">
        <f ca="1">IFERROR(__xludf.DUMMYFUNCTION("""COMPUTED_VALUE"""),"محمد محمود احمد محمد النحاس (معمل النحاس)")</f>
        <v>محمد محمود احمد محمد النحاس (معمل النحاس)</v>
      </c>
      <c r="H1955" s="5" t="str">
        <f ca="1">IFERROR(__xludf.DUMMYFUNCTION("""COMPUTED_VALUE"""),"شارع النخلة برج دار الوفاء أمام مطعم بيروت")</f>
        <v>شارع النخلة برج دار الوفاء أمام مطعم بيروت</v>
      </c>
      <c r="I1955" s="6"/>
      <c r="J1955" s="6" t="str">
        <f ca="1">IFERROR(__xludf.DUMMYFUNCTION("""COMPUTED_VALUE"""),"19244")</f>
        <v>19244</v>
      </c>
      <c r="K1955" s="6" t="str">
        <f ca="1">IFERROR(__xludf.DUMMYFUNCTION("""COMPUTED_VALUE"""),"خصم 40% علي الاسعار النقدي")</f>
        <v>خصم 40% علي الاسعار النقدي</v>
      </c>
    </row>
    <row r="1956" spans="1:11" x14ac:dyDescent="0.25">
      <c r="A1956" s="4" t="str">
        <f ca="1">IFERROR(__xludf.DUMMYFUNCTION("""COMPUTED_VALUE"""),"106138-B")</f>
        <v>106138-B</v>
      </c>
      <c r="B1956" s="5" t="str">
        <f ca="1">IFERROR(__xludf.DUMMYFUNCTION("""COMPUTED_VALUE"""),"الدقهلية")</f>
        <v>الدقهلية</v>
      </c>
      <c r="C1956" s="5" t="str">
        <f ca="1">IFERROR(__xludf.DUMMYFUNCTION("""COMPUTED_VALUE"""),"المنصورة")</f>
        <v>المنصورة</v>
      </c>
      <c r="D1956" s="5" t="str">
        <f ca="1">IFERROR(__xludf.DUMMYFUNCTION("""COMPUTED_VALUE"""),"معمل")</f>
        <v>معمل</v>
      </c>
      <c r="E1956" s="5" t="str">
        <f ca="1">IFERROR(__xludf.DUMMYFUNCTION("""COMPUTED_VALUE"""),"معمل")</f>
        <v>معمل</v>
      </c>
      <c r="F1956" s="5" t="str">
        <f ca="1">IFERROR(__xludf.DUMMYFUNCTION("""COMPUTED_VALUE"""),"معمل التحاليل الطبية")</f>
        <v>معمل التحاليل الطبية</v>
      </c>
      <c r="G1956" s="5" t="str">
        <f ca="1">IFERROR(__xludf.DUMMYFUNCTION("""COMPUTED_VALUE"""),"محمد محمود احمد محمد النحاس (معمل النحاس)")</f>
        <v>محمد محمود احمد محمد النحاس (معمل النحاس)</v>
      </c>
      <c r="H1956" s="5" t="str">
        <f ca="1">IFERROR(__xludf.DUMMYFUNCTION("""COMPUTED_VALUE"""),"منية محلة دمنة")</f>
        <v>منية محلة دمنة</v>
      </c>
      <c r="I1956" s="6"/>
      <c r="J1956" s="6" t="str">
        <f ca="1">IFERROR(__xludf.DUMMYFUNCTION("""COMPUTED_VALUE"""),"19244")</f>
        <v>19244</v>
      </c>
      <c r="K1956" s="6" t="str">
        <f ca="1">IFERROR(__xludf.DUMMYFUNCTION("""COMPUTED_VALUE"""),"خصم 40% علي الاسعار النقدي")</f>
        <v>خصم 40% علي الاسعار النقدي</v>
      </c>
    </row>
    <row r="1957" spans="1:11" x14ac:dyDescent="0.25">
      <c r="A1957" s="4" t="str">
        <f ca="1">IFERROR(__xludf.DUMMYFUNCTION("""COMPUTED_VALUE"""),"106138-B")</f>
        <v>106138-B</v>
      </c>
      <c r="B1957" s="5" t="str">
        <f ca="1">IFERROR(__xludf.DUMMYFUNCTION("""COMPUTED_VALUE"""),"الدقهلية")</f>
        <v>الدقهلية</v>
      </c>
      <c r="C1957" s="5" t="str">
        <f ca="1">IFERROR(__xludf.DUMMYFUNCTION("""COMPUTED_VALUE"""),"بلقاس")</f>
        <v>بلقاس</v>
      </c>
      <c r="D1957" s="5" t="str">
        <f ca="1">IFERROR(__xludf.DUMMYFUNCTION("""COMPUTED_VALUE"""),"معمل")</f>
        <v>معمل</v>
      </c>
      <c r="E1957" s="5" t="str">
        <f ca="1">IFERROR(__xludf.DUMMYFUNCTION("""COMPUTED_VALUE"""),"معمل")</f>
        <v>معمل</v>
      </c>
      <c r="F1957" s="5" t="str">
        <f ca="1">IFERROR(__xludf.DUMMYFUNCTION("""COMPUTED_VALUE"""),"معمل التحاليل الطبية")</f>
        <v>معمل التحاليل الطبية</v>
      </c>
      <c r="G1957" s="5" t="str">
        <f ca="1">IFERROR(__xludf.DUMMYFUNCTION("""COMPUTED_VALUE"""),"محمد محمود احمد محمد النحاس (معمل النحاس)")</f>
        <v>محمد محمود احمد محمد النحاس (معمل النحاس)</v>
      </c>
      <c r="H1957" s="5" t="str">
        <f ca="1">IFERROR(__xludf.DUMMYFUNCTION("""COMPUTED_VALUE"""),"شارع أبو رجيلة بجوار عمر أفندي")</f>
        <v>شارع أبو رجيلة بجوار عمر أفندي</v>
      </c>
      <c r="I1957" s="6"/>
      <c r="J1957" s="6" t="str">
        <f ca="1">IFERROR(__xludf.DUMMYFUNCTION("""COMPUTED_VALUE"""),"19244")</f>
        <v>19244</v>
      </c>
      <c r="K1957" s="6" t="str">
        <f ca="1">IFERROR(__xludf.DUMMYFUNCTION("""COMPUTED_VALUE"""),"خصم 40% علي الاسعار النقدي")</f>
        <v>خصم 40% علي الاسعار النقدي</v>
      </c>
    </row>
    <row r="1958" spans="1:11" x14ac:dyDescent="0.25">
      <c r="A1958" s="4" t="str">
        <f ca="1">IFERROR(__xludf.DUMMYFUNCTION("""COMPUTED_VALUE"""),"106138-B")</f>
        <v>106138-B</v>
      </c>
      <c r="B1958" s="5" t="str">
        <f ca="1">IFERROR(__xludf.DUMMYFUNCTION("""COMPUTED_VALUE"""),"الدقهلية")</f>
        <v>الدقهلية</v>
      </c>
      <c r="C1958" s="5" t="str">
        <f ca="1">IFERROR(__xludf.DUMMYFUNCTION("""COMPUTED_VALUE"""),"دكرنس")</f>
        <v>دكرنس</v>
      </c>
      <c r="D1958" s="5" t="str">
        <f ca="1">IFERROR(__xludf.DUMMYFUNCTION("""COMPUTED_VALUE"""),"معمل")</f>
        <v>معمل</v>
      </c>
      <c r="E1958" s="5" t="str">
        <f ca="1">IFERROR(__xludf.DUMMYFUNCTION("""COMPUTED_VALUE"""),"معمل")</f>
        <v>معمل</v>
      </c>
      <c r="F1958" s="5" t="str">
        <f ca="1">IFERROR(__xludf.DUMMYFUNCTION("""COMPUTED_VALUE"""),"معمل التحاليل الطبية")</f>
        <v>معمل التحاليل الطبية</v>
      </c>
      <c r="G1958" s="5" t="str">
        <f ca="1">IFERROR(__xludf.DUMMYFUNCTION("""COMPUTED_VALUE"""),"محمد محمود احمد محمد النحاس (معمل النحاس)")</f>
        <v>محمد محمود احمد محمد النحاس (معمل النحاس)</v>
      </c>
      <c r="H1958" s="5" t="str">
        <f ca="1">IFERROR(__xludf.DUMMYFUNCTION("""COMPUTED_VALUE"""),"شارع مجلس المدينة بجوار صيدلية مصر عمارة الصفوة الدور الرابع")</f>
        <v>شارع مجلس المدينة بجوار صيدلية مصر عمارة الصفوة الدور الرابع</v>
      </c>
      <c r="I1958" s="6"/>
      <c r="J1958" s="6" t="str">
        <f ca="1">IFERROR(__xludf.DUMMYFUNCTION("""COMPUTED_VALUE"""),"19244")</f>
        <v>19244</v>
      </c>
      <c r="K1958" s="6" t="str">
        <f ca="1">IFERROR(__xludf.DUMMYFUNCTION("""COMPUTED_VALUE"""),"خصم 40% علي الاسعار النقدي")</f>
        <v>خصم 40% علي الاسعار النقدي</v>
      </c>
    </row>
    <row r="1959" spans="1:11" x14ac:dyDescent="0.25">
      <c r="A1959" s="4" t="str">
        <f ca="1">IFERROR(__xludf.DUMMYFUNCTION("""COMPUTED_VALUE"""),"106138-B")</f>
        <v>106138-B</v>
      </c>
      <c r="B1959" s="5" t="str">
        <f ca="1">IFERROR(__xludf.DUMMYFUNCTION("""COMPUTED_VALUE"""),"الدقهلية")</f>
        <v>الدقهلية</v>
      </c>
      <c r="C1959" s="5" t="str">
        <f ca="1">IFERROR(__xludf.DUMMYFUNCTION("""COMPUTED_VALUE"""),"أجا")</f>
        <v>أجا</v>
      </c>
      <c r="D1959" s="5" t="str">
        <f ca="1">IFERROR(__xludf.DUMMYFUNCTION("""COMPUTED_VALUE"""),"معمل")</f>
        <v>معمل</v>
      </c>
      <c r="E1959" s="5" t="str">
        <f ca="1">IFERROR(__xludf.DUMMYFUNCTION("""COMPUTED_VALUE"""),"معمل")</f>
        <v>معمل</v>
      </c>
      <c r="F1959" s="5" t="str">
        <f ca="1">IFERROR(__xludf.DUMMYFUNCTION("""COMPUTED_VALUE"""),"معمل التحاليل الطبية")</f>
        <v>معمل التحاليل الطبية</v>
      </c>
      <c r="G1959" s="5" t="str">
        <f ca="1">IFERROR(__xludf.DUMMYFUNCTION("""COMPUTED_VALUE"""),"محمد محمود احمد محمد النحاس (معمل النحاس)")</f>
        <v>محمد محمود احمد محمد النحاس (معمل النحاس)</v>
      </c>
      <c r="H1959" s="5" t="str">
        <f ca="1">IFERROR(__xludf.DUMMYFUNCTION("""COMPUTED_VALUE"""),"شارع جيهان أمام مستشفى الطوارئ أعلى عصارة فاميلي")</f>
        <v>شارع جيهان أمام مستشفى الطوارئ أعلى عصارة فاميلي</v>
      </c>
      <c r="I1959" s="6"/>
      <c r="J1959" s="6" t="str">
        <f ca="1">IFERROR(__xludf.DUMMYFUNCTION("""COMPUTED_VALUE"""),"19244")</f>
        <v>19244</v>
      </c>
      <c r="K1959" s="6" t="str">
        <f ca="1">IFERROR(__xludf.DUMMYFUNCTION("""COMPUTED_VALUE"""),"خصم 40% علي الاسعار النقدي")</f>
        <v>خصم 40% علي الاسعار النقدي</v>
      </c>
    </row>
    <row r="1960" spans="1:11" x14ac:dyDescent="0.25">
      <c r="A1960" s="4" t="str">
        <f ca="1">IFERROR(__xludf.DUMMYFUNCTION("""COMPUTED_VALUE"""),"106089-B")</f>
        <v>106089-B</v>
      </c>
      <c r="B1960" s="5" t="str">
        <f ca="1">IFERROR(__xludf.DUMMYFUNCTION("""COMPUTED_VALUE"""),"الدقهلية")</f>
        <v>الدقهلية</v>
      </c>
      <c r="C1960" s="5" t="str">
        <f ca="1">IFERROR(__xludf.DUMMYFUNCTION("""COMPUTED_VALUE"""),"المنصورة")</f>
        <v>المنصورة</v>
      </c>
      <c r="D1960" s="5" t="str">
        <f ca="1">IFERROR(__xludf.DUMMYFUNCTION("""COMPUTED_VALUE"""),"مركز أشعة")</f>
        <v>مركز أشعة</v>
      </c>
      <c r="E1960" s="5" t="str">
        <f ca="1">IFERROR(__xludf.DUMMYFUNCTION("""COMPUTED_VALUE"""),"مركز أشعة")</f>
        <v>مركز أشعة</v>
      </c>
      <c r="F1960" s="5" t="str">
        <f ca="1">IFERROR(__xludf.DUMMYFUNCTION("""COMPUTED_VALUE"""),"مركز الأشعة التشخيصية")</f>
        <v>مركز الأشعة التشخيصية</v>
      </c>
      <c r="G1960" s="5" t="str">
        <f ca="1">IFERROR(__xludf.DUMMYFUNCTION("""COMPUTED_VALUE"""),"مركز المنصورة للاشعة والتصوير الطبي (العسوي سكان)")</f>
        <v>مركز المنصورة للاشعة والتصوير الطبي (العسوي سكان)</v>
      </c>
      <c r="H1960" s="5" t="str">
        <f ca="1">IFERROR(__xludf.DUMMYFUNCTION("""COMPUTED_VALUE"""),"  المنصورة (قسم 2)،بنك مصر, المنصورة، الدقهلية")</f>
        <v xml:space="preserve">  المنصورة (قسم 2)،بنك مصر, المنصورة، الدقهلية</v>
      </c>
      <c r="I1960" s="6" t="str">
        <f ca="1">IFERROR(__xludf.DUMMYFUNCTION("""COMPUTED_VALUE"""),"0502310955")</f>
        <v>0502310955</v>
      </c>
      <c r="J1960" s="6"/>
      <c r="K1960" s="6" t="str">
        <f ca="1">IFERROR(__xludf.DUMMYFUNCTION("""COMPUTED_VALUE"""),"خصم 20% علي الاسعار النقدي")</f>
        <v>خصم 20% علي الاسعار النقدي</v>
      </c>
    </row>
    <row r="1961" spans="1:11" x14ac:dyDescent="0.25">
      <c r="A1961" s="4" t="str">
        <f ca="1">IFERROR(__xludf.DUMMYFUNCTION("""COMPUTED_VALUE"""),"1753-B")</f>
        <v>1753-B</v>
      </c>
      <c r="B1961" s="5" t="str">
        <f ca="1">IFERROR(__xludf.DUMMYFUNCTION("""COMPUTED_VALUE"""),"الجيزة")</f>
        <v>الجيزة</v>
      </c>
      <c r="C1961" s="5" t="str">
        <f ca="1">IFERROR(__xludf.DUMMYFUNCTION("""COMPUTED_VALUE"""),"الشيخ زايد")</f>
        <v>الشيخ زايد</v>
      </c>
      <c r="D1961" s="5" t="str">
        <f ca="1">IFERROR(__xludf.DUMMYFUNCTION("""COMPUTED_VALUE"""),"مركز أشعة")</f>
        <v>مركز أشعة</v>
      </c>
      <c r="E1961" s="5" t="str">
        <f ca="1">IFERROR(__xludf.DUMMYFUNCTION("""COMPUTED_VALUE"""),"مركز أشعة")</f>
        <v>مركز أشعة</v>
      </c>
      <c r="F1961" s="5" t="str">
        <f ca="1">IFERROR(__xludf.DUMMYFUNCTION("""COMPUTED_VALUE"""),"مركز الأشعة التشخيصية")</f>
        <v>مركز الأشعة التشخيصية</v>
      </c>
      <c r="G1961" s="5" t="str">
        <f ca="1">IFERROR(__xludf.DUMMYFUNCTION("""COMPUTED_VALUE"""),"ألفا سكان")</f>
        <v>ألفا سكان</v>
      </c>
      <c r="H1961" s="5" t="str">
        <f ca="1">IFERROR(__xludf.DUMMYFUNCTION("""COMPUTED_VALUE"""),"مول اسبانا مدخل زايد 4 -الشيخ زايد- الجيزة")</f>
        <v>مول اسبانا مدخل زايد 4 -الشيخ زايد- الجيزة</v>
      </c>
      <c r="I1961" s="6"/>
      <c r="J1961" s="6" t="str">
        <f ca="1">IFERROR(__xludf.DUMMYFUNCTION("""COMPUTED_VALUE"""),"16171")</f>
        <v>16171</v>
      </c>
      <c r="K1961" s="6" t="str">
        <f ca="1">IFERROR(__xludf.DUMMYFUNCTION("""COMPUTED_VALUE"""),"10% على جميع الخدمات المقدمة")</f>
        <v>10% على جميع الخدمات المقدمة</v>
      </c>
    </row>
    <row r="1962" spans="1:11" x14ac:dyDescent="0.25">
      <c r="A1962" s="4" t="str">
        <f ca="1">IFERROR(__xludf.DUMMYFUNCTION("""COMPUTED_VALUE"""),"106412")</f>
        <v>106412</v>
      </c>
      <c r="B1962" s="5" t="str">
        <f ca="1">IFERROR(__xludf.DUMMYFUNCTION("""COMPUTED_VALUE"""),"بني سويف")</f>
        <v>بني سويف</v>
      </c>
      <c r="C1962" s="5" t="str">
        <f ca="1">IFERROR(__xludf.DUMMYFUNCTION("""COMPUTED_VALUE"""),"الواسطى")</f>
        <v>الواسطى</v>
      </c>
      <c r="D1962" s="5" t="str">
        <f ca="1">IFERROR(__xludf.DUMMYFUNCTION("""COMPUTED_VALUE"""),"مستشفى")</f>
        <v>مستشفى</v>
      </c>
      <c r="E1962" s="5" t="str">
        <f ca="1">IFERROR(__xludf.DUMMYFUNCTION("""COMPUTED_VALUE"""),"مستشفي طبي متكامل")</f>
        <v>مستشفي طبي متكامل</v>
      </c>
      <c r="F1962" s="5" t="str">
        <f ca="1">IFERROR(__xludf.DUMMYFUNCTION("""COMPUTED_VALUE"""),"جميع التخصصات الطبية")</f>
        <v>جميع التخصصات الطبية</v>
      </c>
      <c r="G1962" s="5" t="str">
        <f ca="1">IFERROR(__xludf.DUMMYFUNCTION("""COMPUTED_VALUE"""),"مستشفي الفجر التخصصي")</f>
        <v>مستشفي الفجر التخصصي</v>
      </c>
      <c r="H1962" s="5" t="str">
        <f ca="1">IFERROR(__xludf.DUMMYFUNCTION("""COMPUTED_VALUE"""),"شارع طراد النيل البحري تقاطع احمد عرابي مركز الواسطي - بني سويف")</f>
        <v>شارع طراد النيل البحري تقاطع احمد عرابي مركز الواسطي - بني سويف</v>
      </c>
      <c r="I1962" s="6" t="str">
        <f ca="1">IFERROR(__xludf.DUMMYFUNCTION("""COMPUTED_VALUE"""),"01004576686")</f>
        <v>01004576686</v>
      </c>
      <c r="J1962" s="6"/>
      <c r="K1962" s="6" t="str">
        <f ca="1">IFERROR(__xludf.DUMMYFUNCTION("""COMPUTED_VALUE"""),"20% على جميع الخدمات")</f>
        <v>20% على جميع الخدمات</v>
      </c>
    </row>
    <row r="1963" spans="1:11" x14ac:dyDescent="0.25">
      <c r="A1963" s="4" t="str">
        <f ca="1">IFERROR(__xludf.DUMMYFUNCTION("""COMPUTED_VALUE"""),"106414")</f>
        <v>106414</v>
      </c>
      <c r="B1963" s="5" t="str">
        <f ca="1">IFERROR(__xludf.DUMMYFUNCTION("""COMPUTED_VALUE"""),"الجيزة")</f>
        <v>الجيزة</v>
      </c>
      <c r="C1963" s="5" t="str">
        <f ca="1">IFERROR(__xludf.DUMMYFUNCTION("""COMPUTED_VALUE"""),"البدرشين")</f>
        <v>البدرشين</v>
      </c>
      <c r="D1963" s="5" t="str">
        <f ca="1">IFERROR(__xludf.DUMMYFUNCTION("""COMPUTED_VALUE"""),"مركز علاج طبيعي")</f>
        <v>مركز علاج طبيعي</v>
      </c>
      <c r="E1963" s="5" t="str">
        <f ca="1">IFERROR(__xludf.DUMMYFUNCTION("""COMPUTED_VALUE"""),"علاج طبيعي")</f>
        <v>علاج طبيعي</v>
      </c>
      <c r="F1963" s="5" t="str">
        <f ca="1">IFERROR(__xludf.DUMMYFUNCTION("""COMPUTED_VALUE"""),"جلسات العلاج الطبيعي")</f>
        <v>جلسات العلاج الطبيعي</v>
      </c>
      <c r="G1963" s="5" t="str">
        <f ca="1">IFERROR(__xludf.DUMMYFUNCTION("""COMPUTED_VALUE"""),"د/محمد احمد سيد فرغل علام (مركز للعلاج الطبيعي)")</f>
        <v>د/محمد احمد سيد فرغل علام (مركز للعلاج الطبيعي)</v>
      </c>
      <c r="H1963" s="5" t="str">
        <f ca="1">IFERROR(__xludf.DUMMYFUNCTION("""COMPUTED_VALUE"""),"شارع الغمراوي مركز البدرشين - الجيزة")</f>
        <v>شارع الغمراوي مركز البدرشين - الجيزة</v>
      </c>
      <c r="I1963" s="6" t="str">
        <f ca="1">IFERROR(__xludf.DUMMYFUNCTION("""COMPUTED_VALUE"""),"0238023721")</f>
        <v>0238023721</v>
      </c>
      <c r="J1963" s="6"/>
      <c r="K1963" s="6" t="str">
        <f ca="1">IFERROR(__xludf.DUMMYFUNCTION("""COMPUTED_VALUE"""),"خصم 30% علي اسعار النقدي المعلنة")</f>
        <v>خصم 30% علي اسعار النقدي المعلنة</v>
      </c>
    </row>
    <row r="1964" spans="1:11" x14ac:dyDescent="0.25">
      <c r="A1964" s="4" t="str">
        <f ca="1">IFERROR(__xludf.DUMMYFUNCTION("""COMPUTED_VALUE"""),"106413")</f>
        <v>106413</v>
      </c>
      <c r="B1964" s="5" t="str">
        <f ca="1">IFERROR(__xludf.DUMMYFUNCTION("""COMPUTED_VALUE"""),"جنوب سيناء")</f>
        <v>جنوب سيناء</v>
      </c>
      <c r="C1964" s="5" t="str">
        <f ca="1">IFERROR(__xludf.DUMMYFUNCTION("""COMPUTED_VALUE"""),"الطور")</f>
        <v>الطور</v>
      </c>
      <c r="D1964" s="5" t="str">
        <f ca="1">IFERROR(__xludf.DUMMYFUNCTION("""COMPUTED_VALUE"""),"صيدلية")</f>
        <v>صيدلية</v>
      </c>
      <c r="E1964" s="5" t="str">
        <f ca="1">IFERROR(__xludf.DUMMYFUNCTION("""COMPUTED_VALUE"""),"صيدلية")</f>
        <v>صيدلية</v>
      </c>
      <c r="F1964" s="5" t="str">
        <f ca="1">IFERROR(__xludf.DUMMYFUNCTION("""COMPUTED_VALUE"""),"صيدلية (أدوية ومستلزمات طبية)")</f>
        <v>صيدلية (أدوية ومستلزمات طبية)</v>
      </c>
      <c r="G1964" s="5" t="str">
        <f ca="1">IFERROR(__xludf.DUMMYFUNCTION("""COMPUTED_VALUE"""),"صيدلية الدكتور مؤمن")</f>
        <v>صيدلية الدكتور مؤمن</v>
      </c>
      <c r="H1964" s="5" t="str">
        <f ca="1">IFERROR(__xludf.DUMMYFUNCTION("""COMPUTED_VALUE"""),"طور-شارع المنشية خلف التأمين الصحي بجوار مطعم القناوي ")</f>
        <v xml:space="preserve">طور-شارع المنشية خلف التأمين الصحي بجوار مطعم القناوي </v>
      </c>
      <c r="I1964" s="6" t="str">
        <f ca="1">IFERROR(__xludf.DUMMYFUNCTION("""COMPUTED_VALUE"""),"01229870113")</f>
        <v>01229870113</v>
      </c>
      <c r="J1964" s="6"/>
      <c r="K1964" s="6" t="str">
        <f ca="1">IFERROR(__xludf.DUMMYFUNCTION("""COMPUTED_VALUE"""),"خصم 14% محلي و 7% مستورد علي أسعار النقدي المعلنة")</f>
        <v>خصم 14% محلي و 7% مستورد علي أسعار النقدي المعلنة</v>
      </c>
    </row>
    <row r="1965" spans="1:11" x14ac:dyDescent="0.25">
      <c r="A1965" s="4" t="str">
        <f ca="1">IFERROR(__xludf.DUMMYFUNCTION("""COMPUTED_VALUE"""),"106416")</f>
        <v>106416</v>
      </c>
      <c r="B1965" s="5" t="str">
        <f ca="1">IFERROR(__xludf.DUMMYFUNCTION("""COMPUTED_VALUE"""),"بورسعيد")</f>
        <v>بورسعيد</v>
      </c>
      <c r="C1965" s="5" t="str">
        <f ca="1">IFERROR(__xludf.DUMMYFUNCTION("""COMPUTED_VALUE"""),"بورسعيد")</f>
        <v>بورسعيد</v>
      </c>
      <c r="D1965" s="5" t="str">
        <f ca="1">IFERROR(__xludf.DUMMYFUNCTION("""COMPUTED_VALUE"""),"مركز علاج طبيعي")</f>
        <v>مركز علاج طبيعي</v>
      </c>
      <c r="E1965" s="5" t="str">
        <f ca="1">IFERROR(__xludf.DUMMYFUNCTION("""COMPUTED_VALUE"""),"علاج طبيعي")</f>
        <v>علاج طبيعي</v>
      </c>
      <c r="F1965" s="5" t="str">
        <f ca="1">IFERROR(__xludf.DUMMYFUNCTION("""COMPUTED_VALUE"""),"جلسات العلاج الطبيعي")</f>
        <v>جلسات العلاج الطبيعي</v>
      </c>
      <c r="G1965" s="5" t="str">
        <f ca="1">IFERROR(__xludf.DUMMYFUNCTION("""COMPUTED_VALUE"""),"د. سارة محمد حامد اسماعيل (مركز أدم للعلاج الطبيعي)")</f>
        <v>د. سارة محمد حامد اسماعيل (مركز أدم للعلاج الطبيعي)</v>
      </c>
      <c r="H1965" s="5" t="str">
        <f ca="1">IFERROR(__xludf.DUMMYFUNCTION("""COMPUTED_VALUE"""),"غرفة و صالة في ش 4 علي 20 بالدور المسروق ش حامد محمد الالفي - بورسعيد")</f>
        <v>غرفة و صالة في ش 4 علي 20 بالدور المسروق ش حامد محمد الالفي - بورسعيد</v>
      </c>
      <c r="I1965" s="6" t="str">
        <f ca="1">IFERROR(__xludf.DUMMYFUNCTION("""COMPUTED_VALUE"""),"01220806767")</f>
        <v>01220806767</v>
      </c>
      <c r="J1965" s="6"/>
      <c r="K1965" s="6" t="str">
        <f ca="1">IFERROR(__xludf.DUMMYFUNCTION("""COMPUTED_VALUE"""),"30% على جميع الخدمات")</f>
        <v>30% على جميع الخدمات</v>
      </c>
    </row>
    <row r="1966" spans="1:11" x14ac:dyDescent="0.25">
      <c r="A1966" s="4" t="str">
        <f ca="1">IFERROR(__xludf.DUMMYFUNCTION("""COMPUTED_VALUE"""),"105523-B")</f>
        <v>105523-B</v>
      </c>
      <c r="B1966" s="5" t="str">
        <f ca="1">IFERROR(__xludf.DUMMYFUNCTION("""COMPUTED_VALUE"""),"الجيزة")</f>
        <v>الجيزة</v>
      </c>
      <c r="C1966" s="5" t="str">
        <f ca="1">IFERROR(__xludf.DUMMYFUNCTION("""COMPUTED_VALUE"""),"الشيخ زايد")</f>
        <v>الشيخ زايد</v>
      </c>
      <c r="D1966" s="5" t="str">
        <f ca="1">IFERROR(__xludf.DUMMYFUNCTION("""COMPUTED_VALUE"""),"معمل")</f>
        <v>معمل</v>
      </c>
      <c r="E1966" s="5" t="str">
        <f ca="1">IFERROR(__xludf.DUMMYFUNCTION("""COMPUTED_VALUE"""),"معمل")</f>
        <v>معمل</v>
      </c>
      <c r="F1966" s="5" t="str">
        <f ca="1">IFERROR(__xludf.DUMMYFUNCTION("""COMPUTED_VALUE"""),"معمل التحاليل الطبية")</f>
        <v>معمل التحاليل الطبية</v>
      </c>
      <c r="G1966" s="5" t="str">
        <f ca="1">IFERROR(__xludf.DUMMYFUNCTION("""COMPUTED_VALUE"""),"تاون لاب للتحاليل الطبيه")</f>
        <v>تاون لاب للتحاليل الطبيه</v>
      </c>
      <c r="H1966" s="5" t="str">
        <f ca="1">IFERROR(__xludf.DUMMYFUNCTION("""COMPUTED_VALUE"""),"الدور الرابع – عيادة#5- المحور المركزي – 6 اكتوبرC الشيخ زايد : توين تاور – مبني")</f>
        <v>الدور الرابع – عيادة#5- المحور المركزي – 6 اكتوبرC الشيخ زايد : توين تاور – مبني</v>
      </c>
      <c r="I1966" s="6" t="str">
        <f ca="1">IFERROR(__xludf.DUMMYFUNCTION("""COMPUTED_VALUE"""),"01210006434")</f>
        <v>01210006434</v>
      </c>
      <c r="J1966" s="6"/>
      <c r="K1966" s="6" t="str">
        <f ca="1">IFERROR(__xludf.DUMMYFUNCTION("""COMPUTED_VALUE"""),"خصم 35% علي الأسعار النقدي المعلنة")</f>
        <v>خصم 35% علي الأسعار النقدي المعلنة</v>
      </c>
    </row>
    <row r="1967" spans="1:11" x14ac:dyDescent="0.25">
      <c r="A1967" s="4" t="str">
        <f ca="1">IFERROR(__xludf.DUMMYFUNCTION("""COMPUTED_VALUE"""),"105523-B")</f>
        <v>105523-B</v>
      </c>
      <c r="B1967" s="5" t="str">
        <f ca="1">IFERROR(__xludf.DUMMYFUNCTION("""COMPUTED_VALUE"""),"القاهرة")</f>
        <v>القاهرة</v>
      </c>
      <c r="C1967" s="5" t="str">
        <f ca="1">IFERROR(__xludf.DUMMYFUNCTION("""COMPUTED_VALUE"""),"شبرا")</f>
        <v>شبرا</v>
      </c>
      <c r="D1967" s="5" t="str">
        <f ca="1">IFERROR(__xludf.DUMMYFUNCTION("""COMPUTED_VALUE"""),"معمل")</f>
        <v>معمل</v>
      </c>
      <c r="E1967" s="5" t="str">
        <f ca="1">IFERROR(__xludf.DUMMYFUNCTION("""COMPUTED_VALUE"""),"معمل")</f>
        <v>معمل</v>
      </c>
      <c r="F1967" s="5" t="str">
        <f ca="1">IFERROR(__xludf.DUMMYFUNCTION("""COMPUTED_VALUE"""),"معمل التحاليل الطبية")</f>
        <v>معمل التحاليل الطبية</v>
      </c>
      <c r="G1967" s="5" t="str">
        <f ca="1">IFERROR(__xludf.DUMMYFUNCTION("""COMPUTED_VALUE"""),"تاون لاب للتحاليل الطبيه")</f>
        <v>تاون لاب للتحاليل الطبيه</v>
      </c>
      <c r="H1967" s="5" t="str">
        <f ca="1">IFERROR(__xludf.DUMMYFUNCTION("""COMPUTED_VALUE"""),"شبرا : 156 ش.شبرا - الدور الأول - محطة سانت تريز    ")</f>
        <v xml:space="preserve">شبرا : 156 ش.شبرا - الدور الأول - محطة سانت تريز    </v>
      </c>
      <c r="I1967" s="6" t="str">
        <f ca="1">IFERROR(__xludf.DUMMYFUNCTION("""COMPUTED_VALUE"""),"01221219836")</f>
        <v>01221219836</v>
      </c>
      <c r="J1967" s="6"/>
      <c r="K1967" s="6" t="str">
        <f ca="1">IFERROR(__xludf.DUMMYFUNCTION("""COMPUTED_VALUE"""),"خصم 35% علي الأسعار النقدي المعلنة")</f>
        <v>خصم 35% علي الأسعار النقدي المعلنة</v>
      </c>
    </row>
    <row r="1968" spans="1:11" x14ac:dyDescent="0.25">
      <c r="A1968" s="4" t="str">
        <f ca="1">IFERROR(__xludf.DUMMYFUNCTION("""COMPUTED_VALUE"""),"105523-B")</f>
        <v>105523-B</v>
      </c>
      <c r="B1968" s="5" t="str">
        <f ca="1">IFERROR(__xludf.DUMMYFUNCTION("""COMPUTED_VALUE"""),"الجيزة")</f>
        <v>الجيزة</v>
      </c>
      <c r="C1968" s="5" t="str">
        <f ca="1">IFERROR(__xludf.DUMMYFUNCTION("""COMPUTED_VALUE"""),"الهرم")</f>
        <v>الهرم</v>
      </c>
      <c r="D1968" s="5" t="str">
        <f ca="1">IFERROR(__xludf.DUMMYFUNCTION("""COMPUTED_VALUE"""),"معمل")</f>
        <v>معمل</v>
      </c>
      <c r="E1968" s="5" t="str">
        <f ca="1">IFERROR(__xludf.DUMMYFUNCTION("""COMPUTED_VALUE"""),"معمل")</f>
        <v>معمل</v>
      </c>
      <c r="F1968" s="5" t="str">
        <f ca="1">IFERROR(__xludf.DUMMYFUNCTION("""COMPUTED_VALUE"""),"معمل التحاليل الطبية")</f>
        <v>معمل التحاليل الطبية</v>
      </c>
      <c r="G1968" s="5" t="str">
        <f ca="1">IFERROR(__xludf.DUMMYFUNCTION("""COMPUTED_VALUE"""),"تاون لاب للتحاليل الطبيه")</f>
        <v>تاون لاب للتحاليل الطبيه</v>
      </c>
      <c r="H1968" s="5" t="str">
        <f ca="1">IFERROR(__xludf.DUMMYFUNCTION("""COMPUTED_VALUE"""),"الهرم : 300 ش الهرم - عمارات منتصر - مدخل 4 - الدور التاني - محطة الطالبية   ")</f>
        <v xml:space="preserve">الهرم : 300 ش الهرم - عمارات منتصر - مدخل 4 - الدور التاني - محطة الطالبية   </v>
      </c>
      <c r="I1968" s="6" t="str">
        <f ca="1">IFERROR(__xludf.DUMMYFUNCTION("""COMPUTED_VALUE"""),"01271334316")</f>
        <v>01271334316</v>
      </c>
      <c r="J1968" s="6"/>
      <c r="K1968" s="6" t="str">
        <f ca="1">IFERROR(__xludf.DUMMYFUNCTION("""COMPUTED_VALUE"""),"خصم 35% علي الأسعار النقدي المعلنة")</f>
        <v>خصم 35% علي الأسعار النقدي المعلنة</v>
      </c>
    </row>
    <row r="1969" spans="1:11" x14ac:dyDescent="0.25">
      <c r="A1969" s="4" t="str">
        <f ca="1">IFERROR(__xludf.DUMMYFUNCTION("""COMPUTED_VALUE"""),"105523-B")</f>
        <v>105523-B</v>
      </c>
      <c r="B1969" s="5" t="str">
        <f ca="1">IFERROR(__xludf.DUMMYFUNCTION("""COMPUTED_VALUE"""),"القاهرة")</f>
        <v>القاهرة</v>
      </c>
      <c r="C1969" s="5" t="str">
        <f ca="1">IFERROR(__xludf.DUMMYFUNCTION("""COMPUTED_VALUE"""),"المعادى")</f>
        <v>المعادى</v>
      </c>
      <c r="D1969" s="5" t="str">
        <f ca="1">IFERROR(__xludf.DUMMYFUNCTION("""COMPUTED_VALUE"""),"معمل")</f>
        <v>معمل</v>
      </c>
      <c r="E1969" s="5" t="str">
        <f ca="1">IFERROR(__xludf.DUMMYFUNCTION("""COMPUTED_VALUE"""),"معمل")</f>
        <v>معمل</v>
      </c>
      <c r="F1969" s="5" t="str">
        <f ca="1">IFERROR(__xludf.DUMMYFUNCTION("""COMPUTED_VALUE"""),"معمل التحاليل الطبية")</f>
        <v>معمل التحاليل الطبية</v>
      </c>
      <c r="G1969" s="5" t="str">
        <f ca="1">IFERROR(__xludf.DUMMYFUNCTION("""COMPUTED_VALUE"""),"تاون لاب للتحاليل الطبيه")</f>
        <v>تاون لاب للتحاليل الطبيه</v>
      </c>
      <c r="H1969" s="5" t="str">
        <f ca="1">IFERROR(__xludf.DUMMYFUNCTION("""COMPUTED_VALUE"""),"المعادي : 43 ميدان الجزائر - الدور الثالث - أعلي أولاد رجب ")</f>
        <v xml:space="preserve">المعادي : 43 ميدان الجزائر - الدور الثالث - أعلي أولاد رجب </v>
      </c>
      <c r="I1969" s="6" t="str">
        <f ca="1">IFERROR(__xludf.DUMMYFUNCTION("""COMPUTED_VALUE"""),"01271337618")</f>
        <v>01271337618</v>
      </c>
      <c r="J1969" s="6"/>
      <c r="K1969" s="6" t="str">
        <f ca="1">IFERROR(__xludf.DUMMYFUNCTION("""COMPUTED_VALUE"""),"خصم 35% علي الأسعار النقدي المعلنة")</f>
        <v>خصم 35% علي الأسعار النقدي المعلنة</v>
      </c>
    </row>
    <row r="1970" spans="1:11" x14ac:dyDescent="0.25">
      <c r="A1970" s="4" t="str">
        <f ca="1">IFERROR(__xludf.DUMMYFUNCTION("""COMPUTED_VALUE"""),"106419")</f>
        <v>106419</v>
      </c>
      <c r="B1970" s="5" t="str">
        <f ca="1">IFERROR(__xludf.DUMMYFUNCTION("""COMPUTED_VALUE"""),"الشرقية")</f>
        <v>الشرقية</v>
      </c>
      <c r="C1970" s="5" t="str">
        <f ca="1">IFERROR(__xludf.DUMMYFUNCTION("""COMPUTED_VALUE"""),"أبو كبير")</f>
        <v>أبو كبير</v>
      </c>
      <c r="D1970" s="5" t="str">
        <f ca="1">IFERROR(__xludf.DUMMYFUNCTION("""COMPUTED_VALUE"""),"مستشفى")</f>
        <v>مستشفى</v>
      </c>
      <c r="E1970" s="5" t="str">
        <f ca="1">IFERROR(__xludf.DUMMYFUNCTION("""COMPUTED_VALUE"""),"مستشفي طبي متكامل")</f>
        <v>مستشفي طبي متكامل</v>
      </c>
      <c r="F1970" s="5" t="str">
        <f ca="1">IFERROR(__xludf.DUMMYFUNCTION("""COMPUTED_VALUE"""),"جميع التخصصات الطبية")</f>
        <v>جميع التخصصات الطبية</v>
      </c>
      <c r="G1970" s="5" t="str">
        <f ca="1">IFERROR(__xludf.DUMMYFUNCTION("""COMPUTED_VALUE"""),"مستشفي الفيروز التخصصي")</f>
        <v>مستشفي الفيروز التخصصي</v>
      </c>
      <c r="H1970" s="5" t="str">
        <f ca="1">IFERROR(__xludf.DUMMYFUNCTION("""COMPUTED_VALUE"""),"أبو كبير شارع عبد العزيز علي - الشرقية")</f>
        <v>أبو كبير شارع عبد العزيز علي - الشرقية</v>
      </c>
      <c r="I1970" s="6" t="str">
        <f ca="1">IFERROR(__xludf.DUMMYFUNCTION("""COMPUTED_VALUE"""),"0553522200")</f>
        <v>0553522200</v>
      </c>
      <c r="J1970" s="6"/>
      <c r="K1970" s="6" t="str">
        <f ca="1">IFERROR(__xludf.DUMMYFUNCTION("""COMPUTED_VALUE"""),"خصم 25% علي اسعار النقدي المعلنة")</f>
        <v>خصم 25% علي اسعار النقدي المعلنة</v>
      </c>
    </row>
    <row r="1971" spans="1:11" x14ac:dyDescent="0.25">
      <c r="A1971" s="4" t="str">
        <f ca="1">IFERROR(__xludf.DUMMYFUNCTION("""COMPUTED_VALUE"""),"105372-B")</f>
        <v>105372-B</v>
      </c>
      <c r="B1971" s="5" t="str">
        <f ca="1">IFERROR(__xludf.DUMMYFUNCTION("""COMPUTED_VALUE"""),"القاهرة")</f>
        <v>القاهرة</v>
      </c>
      <c r="C1971" s="5" t="str">
        <f ca="1">IFERROR(__xludf.DUMMYFUNCTION("""COMPUTED_VALUE"""),"جسر السويس")</f>
        <v>جسر السويس</v>
      </c>
      <c r="D1971" s="5" t="str">
        <f ca="1">IFERROR(__xludf.DUMMYFUNCTION("""COMPUTED_VALUE"""),"مجمع عيادات")</f>
        <v>مجمع عيادات</v>
      </c>
      <c r="E1971" s="5" t="str">
        <f ca="1">IFERROR(__xludf.DUMMYFUNCTION("""COMPUTED_VALUE"""),"جميع التخصصات")</f>
        <v>جميع التخصصات</v>
      </c>
      <c r="F1971" s="5" t="str">
        <f ca="1">IFERROR(__xludf.DUMMYFUNCTION("""COMPUTED_VALUE"""),"جميع التخصصات الطبية")</f>
        <v>جميع التخصصات الطبية</v>
      </c>
      <c r="G1971" s="5" t="str">
        <f ca="1">IFERROR(__xludf.DUMMYFUNCTION("""COMPUTED_VALUE"""),"شركة كير كلينيك للخدمات الطبية (عيادات كير كلينك التخصصية)")</f>
        <v>شركة كير كلينيك للخدمات الطبية (عيادات كير كلينك التخصصية)</v>
      </c>
      <c r="H1971" s="5" t="str">
        <f ca="1">IFERROR(__xludf.DUMMYFUNCTION("""COMPUTED_VALUE"""),"181 شارع جسر السويس الدور الاول امام بوابه 5 نادي الشمس")</f>
        <v>181 شارع جسر السويس الدور الاول امام بوابه 5 نادي الشمس</v>
      </c>
      <c r="I1971" s="6" t="str">
        <f ca="1">IFERROR(__xludf.DUMMYFUNCTION("""COMPUTED_VALUE"""),"01022270000")</f>
        <v>01022270000</v>
      </c>
      <c r="J1971" s="6"/>
      <c r="K1971" s="6" t="str">
        <f ca="1">IFERROR(__xludf.DUMMYFUNCTION("""COMPUTED_VALUE"""),"30%على الكشف ,40% على باقى الخدمات")</f>
        <v>30%على الكشف ,40% على باقى الخدمات</v>
      </c>
    </row>
    <row r="1972" spans="1:11" x14ac:dyDescent="0.25">
      <c r="A1972" s="4" t="str">
        <f ca="1">IFERROR(__xludf.DUMMYFUNCTION("""COMPUTED_VALUE"""),"105372-B")</f>
        <v>105372-B</v>
      </c>
      <c r="B1972" s="5" t="str">
        <f ca="1">IFERROR(__xludf.DUMMYFUNCTION("""COMPUTED_VALUE"""),"القاهرة")</f>
        <v>القاهرة</v>
      </c>
      <c r="C1972" s="5" t="str">
        <f ca="1">IFERROR(__xludf.DUMMYFUNCTION("""COMPUTED_VALUE"""),"شبرا")</f>
        <v>شبرا</v>
      </c>
      <c r="D1972" s="5" t="str">
        <f ca="1">IFERROR(__xludf.DUMMYFUNCTION("""COMPUTED_VALUE"""),"مجمع عيادات")</f>
        <v>مجمع عيادات</v>
      </c>
      <c r="E1972" s="5" t="str">
        <f ca="1">IFERROR(__xludf.DUMMYFUNCTION("""COMPUTED_VALUE"""),"جميع التخصصات")</f>
        <v>جميع التخصصات</v>
      </c>
      <c r="F1972" s="5" t="str">
        <f ca="1">IFERROR(__xludf.DUMMYFUNCTION("""COMPUTED_VALUE"""),"جميع التخصصات الطبية")</f>
        <v>جميع التخصصات الطبية</v>
      </c>
      <c r="G1972" s="5" t="str">
        <f ca="1">IFERROR(__xludf.DUMMYFUNCTION("""COMPUTED_VALUE"""),"شركة كير كلينيك للخدمات الطبية (عيادات كير كلينك التخصصية)")</f>
        <v>شركة كير كلينيك للخدمات الطبية (عيادات كير كلينك التخصصية)</v>
      </c>
      <c r="H1972" s="5" t="str">
        <f ca="1">IFERROR(__xludf.DUMMYFUNCTION("""COMPUTED_VALUE"""),"212 شارع شبرا اعلى بافلو برجر الخلفاوي")</f>
        <v>212 شارع شبرا اعلى بافلو برجر الخلفاوي</v>
      </c>
      <c r="I1972" s="6" t="str">
        <f ca="1">IFERROR(__xludf.DUMMYFUNCTION("""COMPUTED_VALUE"""),"01022290000")</f>
        <v>01022290000</v>
      </c>
      <c r="J1972" s="6"/>
      <c r="K1972" s="6" t="str">
        <f ca="1">IFERROR(__xludf.DUMMYFUNCTION("""COMPUTED_VALUE"""),"30%على الكشف ,40% على باقى الخدمات")</f>
        <v>30%على الكشف ,40% على باقى الخدمات</v>
      </c>
    </row>
    <row r="1973" spans="1:11" x14ac:dyDescent="0.25">
      <c r="A1973" s="4" t="str">
        <f ca="1">IFERROR(__xludf.DUMMYFUNCTION("""COMPUTED_VALUE"""),"105372-B")</f>
        <v>105372-B</v>
      </c>
      <c r="B1973" s="5" t="str">
        <f ca="1">IFERROR(__xludf.DUMMYFUNCTION("""COMPUTED_VALUE"""),"القليوبية")</f>
        <v>القليوبية</v>
      </c>
      <c r="C1973" s="5" t="str">
        <f ca="1">IFERROR(__xludf.DUMMYFUNCTION("""COMPUTED_VALUE"""),"شبرا الخيمة")</f>
        <v>شبرا الخيمة</v>
      </c>
      <c r="D1973" s="5" t="str">
        <f ca="1">IFERROR(__xludf.DUMMYFUNCTION("""COMPUTED_VALUE"""),"مجمع عيادات")</f>
        <v>مجمع عيادات</v>
      </c>
      <c r="E1973" s="5" t="str">
        <f ca="1">IFERROR(__xludf.DUMMYFUNCTION("""COMPUTED_VALUE"""),"جميع التخصصات")</f>
        <v>جميع التخصصات</v>
      </c>
      <c r="F1973" s="5" t="str">
        <f ca="1">IFERROR(__xludf.DUMMYFUNCTION("""COMPUTED_VALUE"""),"جميع التخصصات الطبية")</f>
        <v>جميع التخصصات الطبية</v>
      </c>
      <c r="G1973" s="5" t="str">
        <f ca="1">IFERROR(__xludf.DUMMYFUNCTION("""COMPUTED_VALUE"""),"شركة كير كلينيك للخدمات الطبية (عيادات كير كلينك التخصصية)")</f>
        <v>شركة كير كلينيك للخدمات الطبية (عيادات كير كلينك التخصصية)</v>
      </c>
      <c r="H1973" s="5" t="str">
        <f ca="1">IFERROR(__xludf.DUMMYFUNCTION("""COMPUTED_VALUE"""),"2 شارع الوحده ناصية شارع 15 مايو اسفل معمل المختبر شبرا الخيمه")</f>
        <v>2 شارع الوحده ناصية شارع 15 مايو اسفل معمل المختبر شبرا الخيمه</v>
      </c>
      <c r="I1973" s="6" t="str">
        <f ca="1">IFERROR(__xludf.DUMMYFUNCTION("""COMPUTED_VALUE"""),"01030454000")</f>
        <v>01030454000</v>
      </c>
      <c r="J1973" s="6"/>
      <c r="K1973" s="6" t="str">
        <f ca="1">IFERROR(__xludf.DUMMYFUNCTION("""COMPUTED_VALUE"""),"30%على الكشف ,40% على باقى الخدمات")</f>
        <v>30%على الكشف ,40% على باقى الخدمات</v>
      </c>
    </row>
    <row r="1974" spans="1:11" x14ac:dyDescent="0.25">
      <c r="A1974" s="4" t="str">
        <f ca="1">IFERROR(__xludf.DUMMYFUNCTION("""COMPUTED_VALUE"""),"106418")</f>
        <v>106418</v>
      </c>
      <c r="B1974" s="5" t="str">
        <f ca="1">IFERROR(__xludf.DUMMYFUNCTION("""COMPUTED_VALUE"""),"القاهرة")</f>
        <v>القاهرة</v>
      </c>
      <c r="C1974" s="5" t="str">
        <f ca="1">IFERROR(__xludf.DUMMYFUNCTION("""COMPUTED_VALUE"""),"شبرا")</f>
        <v>شبرا</v>
      </c>
      <c r="D1974" s="5" t="str">
        <f ca="1">IFERROR(__xludf.DUMMYFUNCTION("""COMPUTED_VALUE"""),"هيئة الأطباء")</f>
        <v>هيئة الأطباء</v>
      </c>
      <c r="E1974" s="5" t="str">
        <f ca="1">IFERROR(__xludf.DUMMYFUNCTION("""COMPUTED_VALUE"""),"اسنان")</f>
        <v>اسنان</v>
      </c>
      <c r="F1974" s="5" t="str">
        <f ca="1">IFERROR(__xludf.DUMMYFUNCTION("""COMPUTED_VALUE"""),"جراحة الفم والأسنان")</f>
        <v>جراحة الفم والأسنان</v>
      </c>
      <c r="G1974" s="5" t="str">
        <f ca="1">IFERROR(__xludf.DUMMYFUNCTION("""COMPUTED_VALUE"""),"مركز تو سمايل (د. تامر محمد علي عاشور و شريكه)(2smile)")</f>
        <v>مركز تو سمايل (د. تامر محمد علي عاشور و شريكه)(2smile)</v>
      </c>
      <c r="H1974" s="5" t="str">
        <f ca="1">IFERROR(__xludf.DUMMYFUNCTION("""COMPUTED_VALUE"""),"فرع اغاخان /4ش تفتيش الري -بجوار البنك الاهلي -كونيش")</f>
        <v>فرع اغاخان /4ش تفتيش الري -بجوار البنك الاهلي -كونيش</v>
      </c>
      <c r="I1974" s="6" t="str">
        <f ca="1">IFERROR(__xludf.DUMMYFUNCTION("""COMPUTED_VALUE"""),"01275552584")</f>
        <v>01275552584</v>
      </c>
      <c r="J1974" s="6"/>
      <c r="K1974" s="6" t="str">
        <f ca="1">IFERROR(__xludf.DUMMYFUNCTION("""COMPUTED_VALUE"""),"خصم 30% علي اسعار النقدي المعلنة")</f>
        <v>خصم 30% علي اسعار النقدي المعلنة</v>
      </c>
    </row>
    <row r="1975" spans="1:11" x14ac:dyDescent="0.25">
      <c r="A1975" s="4" t="str">
        <f ca="1">IFERROR(__xludf.DUMMYFUNCTION("""COMPUTED_VALUE"""),"106418-B")</f>
        <v>106418-B</v>
      </c>
      <c r="B1975" s="5" t="str">
        <f ca="1">IFERROR(__xludf.DUMMYFUNCTION("""COMPUTED_VALUE"""),"القليوبية")</f>
        <v>القليوبية</v>
      </c>
      <c r="C1975" s="5" t="str">
        <f ca="1">IFERROR(__xludf.DUMMYFUNCTION("""COMPUTED_VALUE"""),"شبرا الخيمة")</f>
        <v>شبرا الخيمة</v>
      </c>
      <c r="D1975" s="5" t="str">
        <f ca="1">IFERROR(__xludf.DUMMYFUNCTION("""COMPUTED_VALUE"""),"هيئة الأطباء")</f>
        <v>هيئة الأطباء</v>
      </c>
      <c r="E1975" s="5" t="str">
        <f ca="1">IFERROR(__xludf.DUMMYFUNCTION("""COMPUTED_VALUE"""),"اسنان")</f>
        <v>اسنان</v>
      </c>
      <c r="F1975" s="5" t="str">
        <f ca="1">IFERROR(__xludf.DUMMYFUNCTION("""COMPUTED_VALUE"""),"جراحة الفم والأسنان")</f>
        <v>جراحة الفم والأسنان</v>
      </c>
      <c r="G1975" s="5" t="str">
        <f ca="1">IFERROR(__xludf.DUMMYFUNCTION("""COMPUTED_VALUE"""),"مركز تو سمايل (د. تامر محمد علي عاشور و شريكه)(2smile)")</f>
        <v>مركز تو سمايل (د. تامر محمد علي عاشور و شريكه)(2smile)</v>
      </c>
      <c r="H1975" s="5" t="str">
        <f ca="1">IFERROR(__xludf.DUMMYFUNCTION("""COMPUTED_VALUE"""),"فرع عرابي /1ش احمد عرابي -برج الاطباء الدور الثالث")</f>
        <v>فرع عرابي /1ش احمد عرابي -برج الاطباء الدور الثالث</v>
      </c>
      <c r="I1975" s="6" t="str">
        <f ca="1">IFERROR(__xludf.DUMMYFUNCTION("""COMPUTED_VALUE"""),"01064560765")</f>
        <v>01064560765</v>
      </c>
      <c r="J1975" s="6"/>
      <c r="K1975" s="6" t="str">
        <f ca="1">IFERROR(__xludf.DUMMYFUNCTION("""COMPUTED_VALUE"""),"خصم 30% علي اسعار النقدي المعلنة")</f>
        <v>خصم 30% علي اسعار النقدي المعلنة</v>
      </c>
    </row>
    <row r="1976" spans="1:11" x14ac:dyDescent="0.25">
      <c r="A1976" s="4" t="str">
        <f ca="1">IFERROR(__xludf.DUMMYFUNCTION("""COMPUTED_VALUE"""),"106418-B")</f>
        <v>106418-B</v>
      </c>
      <c r="B1976" s="5" t="str">
        <f ca="1">IFERROR(__xludf.DUMMYFUNCTION("""COMPUTED_VALUE"""),"الجيزة")</f>
        <v>الجيزة</v>
      </c>
      <c r="C1976" s="5" t="str">
        <f ca="1">IFERROR(__xludf.DUMMYFUNCTION("""COMPUTED_VALUE"""),"الدقي")</f>
        <v>الدقي</v>
      </c>
      <c r="D1976" s="5" t="str">
        <f ca="1">IFERROR(__xludf.DUMMYFUNCTION("""COMPUTED_VALUE"""),"هيئة الأطباء")</f>
        <v>هيئة الأطباء</v>
      </c>
      <c r="E1976" s="5" t="str">
        <f ca="1">IFERROR(__xludf.DUMMYFUNCTION("""COMPUTED_VALUE"""),"اسنان")</f>
        <v>اسنان</v>
      </c>
      <c r="F1976" s="5" t="str">
        <f ca="1">IFERROR(__xludf.DUMMYFUNCTION("""COMPUTED_VALUE"""),"جراحة الفم والأسنان")</f>
        <v>جراحة الفم والأسنان</v>
      </c>
      <c r="G1976" s="5" t="str">
        <f ca="1">IFERROR(__xludf.DUMMYFUNCTION("""COMPUTED_VALUE"""),"مركز تو سمايل (د. تامر محمد علي عاشور و شريكه)(2smile)")</f>
        <v>مركز تو سمايل (د. تامر محمد علي عاشور و شريكه)(2smile)</v>
      </c>
      <c r="H1976" s="5" t="str">
        <f ca="1">IFERROR(__xludf.DUMMYFUNCTION("""COMPUTED_VALUE"""),"فرع الدقي/ برج الاطباء 96ش التحرير")</f>
        <v>فرع الدقي/ برج الاطباء 96ش التحرير</v>
      </c>
      <c r="I1976" s="6" t="str">
        <f ca="1">IFERROR(__xludf.DUMMYFUNCTION("""COMPUTED_VALUE"""),"01281194313")</f>
        <v>01281194313</v>
      </c>
      <c r="J1976" s="6"/>
      <c r="K1976" s="6" t="str">
        <f ca="1">IFERROR(__xludf.DUMMYFUNCTION("""COMPUTED_VALUE"""),"خصم 30% علي اسعار النقدي المعلنة")</f>
        <v>خصم 30% علي اسعار النقدي المعلنة</v>
      </c>
    </row>
    <row r="1977" spans="1:11" x14ac:dyDescent="0.25">
      <c r="A1977" s="4" t="str">
        <f ca="1">IFERROR(__xludf.DUMMYFUNCTION("""COMPUTED_VALUE"""),"106418-B")</f>
        <v>106418-B</v>
      </c>
      <c r="B1977" s="5" t="str">
        <f ca="1">IFERROR(__xludf.DUMMYFUNCTION("""COMPUTED_VALUE"""),"القاهرة")</f>
        <v>القاهرة</v>
      </c>
      <c r="C1977" s="5" t="str">
        <f ca="1">IFERROR(__xludf.DUMMYFUNCTION("""COMPUTED_VALUE"""),"المعادى")</f>
        <v>المعادى</v>
      </c>
      <c r="D1977" s="5" t="str">
        <f ca="1">IFERROR(__xludf.DUMMYFUNCTION("""COMPUTED_VALUE"""),"هيئة الأطباء")</f>
        <v>هيئة الأطباء</v>
      </c>
      <c r="E1977" s="5" t="str">
        <f ca="1">IFERROR(__xludf.DUMMYFUNCTION("""COMPUTED_VALUE"""),"اسنان")</f>
        <v>اسنان</v>
      </c>
      <c r="F1977" s="5" t="str">
        <f ca="1">IFERROR(__xludf.DUMMYFUNCTION("""COMPUTED_VALUE"""),"جراحة الفم والأسنان")</f>
        <v>جراحة الفم والأسنان</v>
      </c>
      <c r="G1977" s="5" t="str">
        <f ca="1">IFERROR(__xludf.DUMMYFUNCTION("""COMPUTED_VALUE"""),"مركز تو سمايل (د. تامر محمد علي عاشور و شريكه)(2smile)")</f>
        <v>مركز تو سمايل (د. تامر محمد علي عاشور و شريكه)(2smile)</v>
      </c>
      <c r="H1977" s="5" t="str">
        <f ca="1">IFERROR(__xludf.DUMMYFUNCTION("""COMPUTED_VALUE"""),"فرع المعادي /برج الوليد_ش اللاسلكي -بجوار محطه توتال")</f>
        <v>فرع المعادي /برج الوليد_ش اللاسلكي -بجوار محطه توتال</v>
      </c>
      <c r="I1977" s="6" t="str">
        <f ca="1">IFERROR(__xludf.DUMMYFUNCTION("""COMPUTED_VALUE"""),"01050333589")</f>
        <v>01050333589</v>
      </c>
      <c r="J1977" s="6"/>
      <c r="K1977" s="6" t="str">
        <f ca="1">IFERROR(__xludf.DUMMYFUNCTION("""COMPUTED_VALUE"""),"خصم 30% علي اسعار النقدي المعلنة")</f>
        <v>خصم 30% علي اسعار النقدي المعلنة</v>
      </c>
    </row>
    <row r="1978" spans="1:11" x14ac:dyDescent="0.25">
      <c r="A1978" s="4" t="str">
        <f ca="1">IFERROR(__xludf.DUMMYFUNCTION("""COMPUTED_VALUE"""),"106420")</f>
        <v>106420</v>
      </c>
      <c r="B1978" s="5" t="str">
        <f ca="1">IFERROR(__xludf.DUMMYFUNCTION("""COMPUTED_VALUE"""),"القاهرة")</f>
        <v>القاهرة</v>
      </c>
      <c r="C1978" s="5" t="str">
        <f ca="1">IFERROR(__xludf.DUMMYFUNCTION("""COMPUTED_VALUE"""),"شبرا")</f>
        <v>شبرا</v>
      </c>
      <c r="D1978" s="5" t="str">
        <f ca="1">IFERROR(__xludf.DUMMYFUNCTION("""COMPUTED_VALUE"""),"هيئة الأطباء")</f>
        <v>هيئة الأطباء</v>
      </c>
      <c r="E1978" s="5" t="str">
        <f ca="1">IFERROR(__xludf.DUMMYFUNCTION("""COMPUTED_VALUE"""),"أنف وأذن وحنجرة")</f>
        <v>أنف وأذن وحنجرة</v>
      </c>
      <c r="F1978" s="5" t="str">
        <f ca="1">IFERROR(__xludf.DUMMYFUNCTION("""COMPUTED_VALUE"""),"أنف وأذن وحنجرة")</f>
        <v>أنف وأذن وحنجرة</v>
      </c>
      <c r="G1978" s="5" t="str">
        <f ca="1">IFERROR(__xludf.DUMMYFUNCTION("""COMPUTED_VALUE"""),"د/ مينا فايز وهيب صليب (د. مينا فايز)")</f>
        <v>د/ مينا فايز وهيب صليب (د. مينا فايز)</v>
      </c>
      <c r="H1978" s="5" t="str">
        <f ca="1">IFERROR(__xludf.DUMMYFUNCTION("""COMPUTED_VALUE"""),"227 ش شبرا الساحل القاهرة")</f>
        <v>227 ش شبرا الساحل القاهرة</v>
      </c>
      <c r="I1978" s="6" t="str">
        <f ca="1">IFERROR(__xludf.DUMMYFUNCTION("""COMPUTED_VALUE"""),"01221262631")</f>
        <v>01221262631</v>
      </c>
      <c r="J1978" s="6"/>
      <c r="K1978" s="6" t="str">
        <f ca="1">IFERROR(__xludf.DUMMYFUNCTION("""COMPUTED_VALUE"""),"خصم 40% علي اسعار النقدي المعلنة")</f>
        <v>خصم 40% علي اسعار النقدي المعلنة</v>
      </c>
    </row>
    <row r="1979" spans="1:11" x14ac:dyDescent="0.25">
      <c r="A1979" s="4" t="str">
        <f ca="1">IFERROR(__xludf.DUMMYFUNCTION("""COMPUTED_VALUE"""),"106405-B")</f>
        <v>106405-B</v>
      </c>
      <c r="B1979" s="5" t="str">
        <f ca="1">IFERROR(__xludf.DUMMYFUNCTION("""COMPUTED_VALUE"""),"القاهرة")</f>
        <v>القاهرة</v>
      </c>
      <c r="C1979" s="5" t="str">
        <f ca="1">IFERROR(__xludf.DUMMYFUNCTION("""COMPUTED_VALUE"""),"مدينة نصر")</f>
        <v>مدينة نصر</v>
      </c>
      <c r="D1979" s="5" t="str">
        <f ca="1">IFERROR(__xludf.DUMMYFUNCTION("""COMPUTED_VALUE"""),"شركة")</f>
        <v>شركة</v>
      </c>
      <c r="E1979" s="5" t="str">
        <f ca="1">IFERROR(__xludf.DUMMYFUNCTION("""COMPUTED_VALUE"""),"شركة اجهزة طبية")</f>
        <v>شركة اجهزة طبية</v>
      </c>
      <c r="F1979" s="5" t="str">
        <f ca="1">IFERROR(__xludf.DUMMYFUNCTION("""COMPUTED_VALUE"""),"مستلزمات واجهزة طبية")</f>
        <v>مستلزمات واجهزة طبية</v>
      </c>
      <c r="G1979" s="5" t="str">
        <f ca="1">IFERROR(__xludf.DUMMYFUNCTION("""COMPUTED_VALUE"""),"وايدكس ايجيبت (عصام عبدالملك عزيز روفائيل وايدكس ايجيبت)")</f>
        <v>وايدكس ايجيبت (عصام عبدالملك عزيز روفائيل وايدكس ايجيبت)</v>
      </c>
      <c r="H1979" s="5" t="str">
        <f ca="1">IFERROR(__xludf.DUMMYFUNCTION("""COMPUTED_VALUE"""),"2أ مشروع مدينة النور - فوق ميركاتو - الدور الثالث")</f>
        <v>2أ مشروع مدينة النور - فوق ميركاتو - الدور الثالث</v>
      </c>
      <c r="I1979" s="6" t="str">
        <f ca="1">IFERROR(__xludf.DUMMYFUNCTION("""COMPUTED_VALUE"""),"01270110001")</f>
        <v>01270110001</v>
      </c>
      <c r="J1979" s="6"/>
      <c r="K1979" s="6" t="str">
        <f ca="1">IFERROR(__xludf.DUMMYFUNCTION("""COMPUTED_VALUE"""),"خصم 30% علي الاسعار المعلنة.")</f>
        <v>خصم 30% علي الاسعار المعلنة.</v>
      </c>
    </row>
    <row r="1980" spans="1:11" x14ac:dyDescent="0.25">
      <c r="A1980" s="4" t="str">
        <f ca="1">IFERROR(__xludf.DUMMYFUNCTION("""COMPUTED_VALUE"""),"106405-B")</f>
        <v>106405-B</v>
      </c>
      <c r="B1980" s="5" t="str">
        <f ca="1">IFERROR(__xludf.DUMMYFUNCTION("""COMPUTED_VALUE"""),"الجيزة")</f>
        <v>الجيزة</v>
      </c>
      <c r="C1980" s="5" t="str">
        <f ca="1">IFERROR(__xludf.DUMMYFUNCTION("""COMPUTED_VALUE"""),"المهندسين")</f>
        <v>المهندسين</v>
      </c>
      <c r="D1980" s="5" t="str">
        <f ca="1">IFERROR(__xludf.DUMMYFUNCTION("""COMPUTED_VALUE"""),"شركة")</f>
        <v>شركة</v>
      </c>
      <c r="E1980" s="5" t="str">
        <f ca="1">IFERROR(__xludf.DUMMYFUNCTION("""COMPUTED_VALUE"""),"شركة اجهزة طبية")</f>
        <v>شركة اجهزة طبية</v>
      </c>
      <c r="F1980" s="5" t="str">
        <f ca="1">IFERROR(__xludf.DUMMYFUNCTION("""COMPUTED_VALUE"""),"مستلزمات واجهزة طبية")</f>
        <v>مستلزمات واجهزة طبية</v>
      </c>
      <c r="G1980" s="5" t="str">
        <f ca="1">IFERROR(__xludf.DUMMYFUNCTION("""COMPUTED_VALUE"""),"وايدكس ايجيبت (عصام عبدالملك عزيز روفائيل وايدكس ايجيبت)")</f>
        <v>وايدكس ايجيبت (عصام عبدالملك عزيز روفائيل وايدكس ايجيبت)</v>
      </c>
      <c r="H1980" s="5" t="str">
        <f ca="1">IFERROR(__xludf.DUMMYFUNCTION("""COMPUTED_VALUE"""),"32 شارع جامعة الدول العربية - الدور التاسع")</f>
        <v>32 شارع جامعة الدول العربية - الدور التاسع</v>
      </c>
      <c r="I1980" s="6" t="str">
        <f ca="1">IFERROR(__xludf.DUMMYFUNCTION("""COMPUTED_VALUE"""),"01270110003")</f>
        <v>01270110003</v>
      </c>
      <c r="J1980" s="6"/>
      <c r="K1980" s="6" t="str">
        <f ca="1">IFERROR(__xludf.DUMMYFUNCTION("""COMPUTED_VALUE"""),"خصم 30% علي الاسعار المعلنة.")</f>
        <v>خصم 30% علي الاسعار المعلنة.</v>
      </c>
    </row>
    <row r="1981" spans="1:11" x14ac:dyDescent="0.25">
      <c r="A1981" s="4" t="str">
        <f ca="1">IFERROR(__xludf.DUMMYFUNCTION("""COMPUTED_VALUE"""),"106405-B")</f>
        <v>106405-B</v>
      </c>
      <c r="B1981" s="5" t="str">
        <f ca="1">IFERROR(__xludf.DUMMYFUNCTION("""COMPUTED_VALUE"""),"الجيزة")</f>
        <v>الجيزة</v>
      </c>
      <c r="C1981" s="5" t="str">
        <f ca="1">IFERROR(__xludf.DUMMYFUNCTION("""COMPUTED_VALUE"""),"السادس من اكتوبر")</f>
        <v>السادس من اكتوبر</v>
      </c>
      <c r="D1981" s="5" t="str">
        <f ca="1">IFERROR(__xludf.DUMMYFUNCTION("""COMPUTED_VALUE"""),"شركة")</f>
        <v>شركة</v>
      </c>
      <c r="E1981" s="5" t="str">
        <f ca="1">IFERROR(__xludf.DUMMYFUNCTION("""COMPUTED_VALUE"""),"شركة اجهزة طبية")</f>
        <v>شركة اجهزة طبية</v>
      </c>
      <c r="F1981" s="5" t="str">
        <f ca="1">IFERROR(__xludf.DUMMYFUNCTION("""COMPUTED_VALUE"""),"مستلزمات واجهزة طبية")</f>
        <v>مستلزمات واجهزة طبية</v>
      </c>
      <c r="G1981" s="5" t="str">
        <f ca="1">IFERROR(__xludf.DUMMYFUNCTION("""COMPUTED_VALUE"""),"وايدكس ايجيبت (عصام عبدالملك عزيز روفائيل وايدكس ايجيبت)")</f>
        <v>وايدكس ايجيبت (عصام عبدالملك عزيز روفائيل وايدكس ايجيبت)</v>
      </c>
      <c r="H1981" s="5" t="str">
        <f ca="1">IFERROR(__xludf.DUMMYFUNCTION("""COMPUTED_VALUE"""),"لاسيتيه مول - عمارة الايموبيليا - فوق معامل ساريدار")</f>
        <v>لاسيتيه مول - عمارة الايموبيليا - فوق معامل ساريدار</v>
      </c>
      <c r="I1981" s="6" t="str">
        <f ca="1">IFERROR(__xludf.DUMMYFUNCTION("""COMPUTED_VALUE"""),"01202079454")</f>
        <v>01202079454</v>
      </c>
      <c r="J1981" s="6"/>
      <c r="K1981" s="6" t="str">
        <f ca="1">IFERROR(__xludf.DUMMYFUNCTION("""COMPUTED_VALUE"""),"خصم 30% علي الاسعار المعلنة.")</f>
        <v>خصم 30% علي الاسعار المعلنة.</v>
      </c>
    </row>
    <row r="1982" spans="1:11" x14ac:dyDescent="0.25">
      <c r="A1982" s="4" t="str">
        <f ca="1">IFERROR(__xludf.DUMMYFUNCTION("""COMPUTED_VALUE"""),"106405-B")</f>
        <v>106405-B</v>
      </c>
      <c r="B1982" s="5" t="str">
        <f ca="1">IFERROR(__xludf.DUMMYFUNCTION("""COMPUTED_VALUE"""),"الاسكندرية")</f>
        <v>الاسكندرية</v>
      </c>
      <c r="C1982" s="5" t="str">
        <f ca="1">IFERROR(__xludf.DUMMYFUNCTION("""COMPUTED_VALUE"""),"المنشية")</f>
        <v>المنشية</v>
      </c>
      <c r="D1982" s="5" t="str">
        <f ca="1">IFERROR(__xludf.DUMMYFUNCTION("""COMPUTED_VALUE"""),"شركة")</f>
        <v>شركة</v>
      </c>
      <c r="E1982" s="5" t="str">
        <f ca="1">IFERROR(__xludf.DUMMYFUNCTION("""COMPUTED_VALUE"""),"شركة اجهزة طبية")</f>
        <v>شركة اجهزة طبية</v>
      </c>
      <c r="F1982" s="5" t="str">
        <f ca="1">IFERROR(__xludf.DUMMYFUNCTION("""COMPUTED_VALUE"""),"مستلزمات واجهزة طبية")</f>
        <v>مستلزمات واجهزة طبية</v>
      </c>
      <c r="G1982" s="5" t="str">
        <f ca="1">IFERROR(__xludf.DUMMYFUNCTION("""COMPUTED_VALUE"""),"وايدكس ايجيبت (عصام عبدالملك عزيز روفائيل وايدكس ايجيبت)")</f>
        <v>وايدكس ايجيبت (عصام عبدالملك عزيز روفائيل وايدكس ايجيبت)</v>
      </c>
      <c r="H1982" s="5" t="str">
        <f ca="1">IFERROR(__xludf.DUMMYFUNCTION("""COMPUTED_VALUE"""),"10 ميدان عرابي - المنشية - الدور العاشر")</f>
        <v>10 ميدان عرابي - المنشية - الدور العاشر</v>
      </c>
      <c r="I1982" s="6" t="str">
        <f ca="1">IFERROR(__xludf.DUMMYFUNCTION("""COMPUTED_VALUE"""),"01202079454")</f>
        <v>01202079454</v>
      </c>
      <c r="J1982" s="6"/>
      <c r="K1982" s="6" t="str">
        <f ca="1">IFERROR(__xludf.DUMMYFUNCTION("""COMPUTED_VALUE"""),"خصم 30% علي الاسعار المعلنة.")</f>
        <v>خصم 30% علي الاسعار المعلنة.</v>
      </c>
    </row>
    <row r="1983" spans="1:11" x14ac:dyDescent="0.25">
      <c r="A1983" s="4" t="str">
        <f ca="1">IFERROR(__xludf.DUMMYFUNCTION("""COMPUTED_VALUE"""),"106405-B")</f>
        <v>106405-B</v>
      </c>
      <c r="B1983" s="5" t="str">
        <f ca="1">IFERROR(__xludf.DUMMYFUNCTION("""COMPUTED_VALUE"""),"الاسكندرية")</f>
        <v>الاسكندرية</v>
      </c>
      <c r="C1983" s="5" t="str">
        <f ca="1">IFERROR(__xludf.DUMMYFUNCTION("""COMPUTED_VALUE"""),"سموحة")</f>
        <v>سموحة</v>
      </c>
      <c r="D1983" s="5" t="str">
        <f ca="1">IFERROR(__xludf.DUMMYFUNCTION("""COMPUTED_VALUE"""),"شركة")</f>
        <v>شركة</v>
      </c>
      <c r="E1983" s="5" t="str">
        <f ca="1">IFERROR(__xludf.DUMMYFUNCTION("""COMPUTED_VALUE"""),"شركة اجهزة طبية")</f>
        <v>شركة اجهزة طبية</v>
      </c>
      <c r="F1983" s="5" t="str">
        <f ca="1">IFERROR(__xludf.DUMMYFUNCTION("""COMPUTED_VALUE"""),"مستلزمات واجهزة طبية")</f>
        <v>مستلزمات واجهزة طبية</v>
      </c>
      <c r="G1983" s="5" t="str">
        <f ca="1">IFERROR(__xludf.DUMMYFUNCTION("""COMPUTED_VALUE"""),"وايدكس ايجيبت (عصام عبدالملك عزيز روفائيل وايدكس ايجيبت)")</f>
        <v>وايدكس ايجيبت (عصام عبدالملك عزيز روفائيل وايدكس ايجيبت)</v>
      </c>
      <c r="H1983" s="5" t="str">
        <f ca="1">IFERROR(__xludf.DUMMYFUNCTION("""COMPUTED_VALUE"""),"7 شارع الطيار محمود شكري - سموحة")</f>
        <v>7 شارع الطيار محمود شكري - سموحة</v>
      </c>
      <c r="I1983" s="6" t="str">
        <f ca="1">IFERROR(__xludf.DUMMYFUNCTION("""COMPUTED_VALUE"""),"01270110005")</f>
        <v>01270110005</v>
      </c>
      <c r="J1983" s="6"/>
      <c r="K1983" s="6" t="str">
        <f ca="1">IFERROR(__xludf.DUMMYFUNCTION("""COMPUTED_VALUE"""),"خصم 30% علي الاسعار المعلنة.")</f>
        <v>خصم 30% علي الاسعار المعلنة.</v>
      </c>
    </row>
    <row r="1984" spans="1:11" x14ac:dyDescent="0.25">
      <c r="A1984" s="4" t="str">
        <f ca="1">IFERROR(__xludf.DUMMYFUNCTION("""COMPUTED_VALUE"""),"106405-B")</f>
        <v>106405-B</v>
      </c>
      <c r="B1984" s="5" t="str">
        <f ca="1">IFERROR(__xludf.DUMMYFUNCTION("""COMPUTED_VALUE"""),"الاسكندرية")</f>
        <v>الاسكندرية</v>
      </c>
      <c r="C1984" s="5" t="str">
        <f ca="1">IFERROR(__xludf.DUMMYFUNCTION("""COMPUTED_VALUE"""),"ميامي")</f>
        <v>ميامي</v>
      </c>
      <c r="D1984" s="5" t="str">
        <f ca="1">IFERROR(__xludf.DUMMYFUNCTION("""COMPUTED_VALUE"""),"شركة")</f>
        <v>شركة</v>
      </c>
      <c r="E1984" s="5" t="str">
        <f ca="1">IFERROR(__xludf.DUMMYFUNCTION("""COMPUTED_VALUE"""),"شركة اجهزة طبية")</f>
        <v>شركة اجهزة طبية</v>
      </c>
      <c r="F1984" s="5" t="str">
        <f ca="1">IFERROR(__xludf.DUMMYFUNCTION("""COMPUTED_VALUE"""),"مستلزمات واجهزة طبية")</f>
        <v>مستلزمات واجهزة طبية</v>
      </c>
      <c r="G1984" s="5" t="str">
        <f ca="1">IFERROR(__xludf.DUMMYFUNCTION("""COMPUTED_VALUE"""),"وايدكس ايجيبت (عصام عبدالملك عزيز روفائيل وايدكس ايجيبت)")</f>
        <v>وايدكس ايجيبت (عصام عبدالملك عزيز روفائيل وايدكس ايجيبت)</v>
      </c>
      <c r="H1984" s="5" t="str">
        <f ca="1">IFERROR(__xludf.DUMMYFUNCTION("""COMPUTED_VALUE"""),"9 شارع السيد رضوان - برج ميامي هاوس - ميامي")</f>
        <v>9 شارع السيد رضوان - برج ميامي هاوس - ميامي</v>
      </c>
      <c r="I1984" s="6" t="str">
        <f ca="1">IFERROR(__xludf.DUMMYFUNCTION("""COMPUTED_VALUE"""),"01271882777")</f>
        <v>01271882777</v>
      </c>
      <c r="J1984" s="6"/>
      <c r="K1984" s="6" t="str">
        <f ca="1">IFERROR(__xludf.DUMMYFUNCTION("""COMPUTED_VALUE"""),"خصم 30% علي الاسعار المعلنة.")</f>
        <v>خصم 30% علي الاسعار المعلنة.</v>
      </c>
    </row>
    <row r="1985" spans="1:11" x14ac:dyDescent="0.25">
      <c r="A1985" s="4" t="str">
        <f ca="1">IFERROR(__xludf.DUMMYFUNCTION("""COMPUTED_VALUE"""),"106405-B")</f>
        <v>106405-B</v>
      </c>
      <c r="B1985" s="5" t="str">
        <f ca="1">IFERROR(__xludf.DUMMYFUNCTION("""COMPUTED_VALUE"""),"الغربية")</f>
        <v>الغربية</v>
      </c>
      <c r="C1985" s="5" t="str">
        <f ca="1">IFERROR(__xludf.DUMMYFUNCTION("""COMPUTED_VALUE"""),"طنطا")</f>
        <v>طنطا</v>
      </c>
      <c r="D1985" s="5" t="str">
        <f ca="1">IFERROR(__xludf.DUMMYFUNCTION("""COMPUTED_VALUE"""),"شركة")</f>
        <v>شركة</v>
      </c>
      <c r="E1985" s="5" t="str">
        <f ca="1">IFERROR(__xludf.DUMMYFUNCTION("""COMPUTED_VALUE"""),"شركة اجهزة طبية")</f>
        <v>شركة اجهزة طبية</v>
      </c>
      <c r="F1985" s="5" t="str">
        <f ca="1">IFERROR(__xludf.DUMMYFUNCTION("""COMPUTED_VALUE"""),"مستلزمات واجهزة طبية")</f>
        <v>مستلزمات واجهزة طبية</v>
      </c>
      <c r="G1985" s="5" t="str">
        <f ca="1">IFERROR(__xludf.DUMMYFUNCTION("""COMPUTED_VALUE"""),"وايدكس ايجيبت (عصام عبدالملك عزيز روفائيل وايدكس ايجيبت)")</f>
        <v>وايدكس ايجيبت (عصام عبدالملك عزيز روفائيل وايدكس ايجيبت)</v>
      </c>
      <c r="H1985" s="5" t="str">
        <f ca="1">IFERROR(__xludf.DUMMYFUNCTION("""COMPUTED_VALUE"""),"24 شارع الجيش - أمام السنترال - الدور الرابع")</f>
        <v>24 شارع الجيش - أمام السنترال - الدور الرابع</v>
      </c>
      <c r="I1985" s="6" t="str">
        <f ca="1">IFERROR(__xludf.DUMMYFUNCTION("""COMPUTED_VALUE"""),"01270110006")</f>
        <v>01270110006</v>
      </c>
      <c r="J1985" s="6"/>
      <c r="K1985" s="6" t="str">
        <f ca="1">IFERROR(__xludf.DUMMYFUNCTION("""COMPUTED_VALUE"""),"خصم 30% علي الاسعار المعلنة.")</f>
        <v>خصم 30% علي الاسعار المعلنة.</v>
      </c>
    </row>
    <row r="1986" spans="1:11" x14ac:dyDescent="0.25">
      <c r="A1986" s="4" t="str">
        <f ca="1">IFERROR(__xludf.DUMMYFUNCTION("""COMPUTED_VALUE"""),"106405-B")</f>
        <v>106405-B</v>
      </c>
      <c r="B1986" s="5" t="str">
        <f ca="1">IFERROR(__xludf.DUMMYFUNCTION("""COMPUTED_VALUE"""),"الشرقية")</f>
        <v>الشرقية</v>
      </c>
      <c r="C1986" s="5" t="str">
        <f ca="1">IFERROR(__xludf.DUMMYFUNCTION("""COMPUTED_VALUE"""),"الزقازيق")</f>
        <v>الزقازيق</v>
      </c>
      <c r="D1986" s="5" t="str">
        <f ca="1">IFERROR(__xludf.DUMMYFUNCTION("""COMPUTED_VALUE"""),"شركة")</f>
        <v>شركة</v>
      </c>
      <c r="E1986" s="5" t="str">
        <f ca="1">IFERROR(__xludf.DUMMYFUNCTION("""COMPUTED_VALUE"""),"شركة اجهزة طبية")</f>
        <v>شركة اجهزة طبية</v>
      </c>
      <c r="F1986" s="5" t="str">
        <f ca="1">IFERROR(__xludf.DUMMYFUNCTION("""COMPUTED_VALUE"""),"مستلزمات واجهزة طبية")</f>
        <v>مستلزمات واجهزة طبية</v>
      </c>
      <c r="G1986" s="5" t="str">
        <f ca="1">IFERROR(__xludf.DUMMYFUNCTION("""COMPUTED_VALUE"""),"وايدكس ايجيبت (عصام عبدالملك عزيز روفائيل وايدكس ايجيبت)")</f>
        <v>وايدكس ايجيبت (عصام عبدالملك عزيز روفائيل وايدكس ايجيبت)</v>
      </c>
      <c r="H1986" s="5" t="str">
        <f ca="1">IFERROR(__xludf.DUMMYFUNCTION("""COMPUTED_VALUE"""),"برج أنوار المحمدي بجوار جمعية مسجد تحفيظ القران الكريم - شارع المنتزه اول الصاغة")</f>
        <v>برج أنوار المحمدي بجوار جمعية مسجد تحفيظ القران الكريم - شارع المنتزه اول الصاغة</v>
      </c>
      <c r="I1986" s="6" t="str">
        <f ca="1">IFERROR(__xludf.DUMMYFUNCTION("""COMPUTED_VALUE"""),"01275608885")</f>
        <v>01275608885</v>
      </c>
      <c r="J1986" s="6"/>
      <c r="K1986" s="6" t="str">
        <f ca="1">IFERROR(__xludf.DUMMYFUNCTION("""COMPUTED_VALUE"""),"خصم 30% علي الاسعار المعلنة.")</f>
        <v>خصم 30% علي الاسعار المعلنة.</v>
      </c>
    </row>
    <row r="1987" spans="1:11" x14ac:dyDescent="0.25">
      <c r="A1987" s="4" t="str">
        <f ca="1">IFERROR(__xludf.DUMMYFUNCTION("""COMPUTED_VALUE"""),"106405-B")</f>
        <v>106405-B</v>
      </c>
      <c r="B1987" s="5" t="str">
        <f ca="1">IFERROR(__xludf.DUMMYFUNCTION("""COMPUTED_VALUE"""),"كفر الشيخ")</f>
        <v>كفر الشيخ</v>
      </c>
      <c r="C1987" s="5" t="str">
        <f ca="1">IFERROR(__xludf.DUMMYFUNCTION("""COMPUTED_VALUE"""),"كفر الشيخ")</f>
        <v>كفر الشيخ</v>
      </c>
      <c r="D1987" s="5" t="str">
        <f ca="1">IFERROR(__xludf.DUMMYFUNCTION("""COMPUTED_VALUE"""),"شركة")</f>
        <v>شركة</v>
      </c>
      <c r="E1987" s="5" t="str">
        <f ca="1">IFERROR(__xludf.DUMMYFUNCTION("""COMPUTED_VALUE"""),"شركة اجهزة طبية")</f>
        <v>شركة اجهزة طبية</v>
      </c>
      <c r="F1987" s="5" t="str">
        <f ca="1">IFERROR(__xludf.DUMMYFUNCTION("""COMPUTED_VALUE"""),"مستلزمات واجهزة طبية")</f>
        <v>مستلزمات واجهزة طبية</v>
      </c>
      <c r="G1987" s="5" t="str">
        <f ca="1">IFERROR(__xludf.DUMMYFUNCTION("""COMPUTED_VALUE"""),"وايدكس ايجيبت (عصام عبدالملك عزيز روفائيل وايدكس ايجيبت)")</f>
        <v>وايدكس ايجيبت (عصام عبدالملك عزيز روفائيل وايدكس ايجيبت)</v>
      </c>
      <c r="H1987" s="5" t="str">
        <f ca="1">IFERROR(__xludf.DUMMYFUNCTION("""COMPUTED_VALUE"""),"25 شارع صلاح سالم - فوق صيدلية أميرة كمال")</f>
        <v>25 شارع صلاح سالم - فوق صيدلية أميرة كمال</v>
      </c>
      <c r="I1987" s="6" t="str">
        <f ca="1">IFERROR(__xludf.DUMMYFUNCTION("""COMPUTED_VALUE"""),"01271882666")</f>
        <v>01271882666</v>
      </c>
      <c r="J1987" s="6"/>
      <c r="K1987" s="6" t="str">
        <f ca="1">IFERROR(__xludf.DUMMYFUNCTION("""COMPUTED_VALUE"""),"خصم 30% علي الاسعار المعلنة.")</f>
        <v>خصم 30% علي الاسعار المعلنة.</v>
      </c>
    </row>
    <row r="1988" spans="1:11" x14ac:dyDescent="0.25">
      <c r="A1988" s="4" t="str">
        <f ca="1">IFERROR(__xludf.DUMMYFUNCTION("""COMPUTED_VALUE"""),"106405-B")</f>
        <v>106405-B</v>
      </c>
      <c r="B1988" s="5" t="str">
        <f ca="1">IFERROR(__xludf.DUMMYFUNCTION("""COMPUTED_VALUE"""),"الدقهلية")</f>
        <v>الدقهلية</v>
      </c>
      <c r="C1988" s="5" t="str">
        <f ca="1">IFERROR(__xludf.DUMMYFUNCTION("""COMPUTED_VALUE"""),"المنصورة")</f>
        <v>المنصورة</v>
      </c>
      <c r="D1988" s="5" t="str">
        <f ca="1">IFERROR(__xludf.DUMMYFUNCTION("""COMPUTED_VALUE"""),"شركة")</f>
        <v>شركة</v>
      </c>
      <c r="E1988" s="5" t="str">
        <f ca="1">IFERROR(__xludf.DUMMYFUNCTION("""COMPUTED_VALUE"""),"شركة اجهزة طبية")</f>
        <v>شركة اجهزة طبية</v>
      </c>
      <c r="F1988" s="5" t="str">
        <f ca="1">IFERROR(__xludf.DUMMYFUNCTION("""COMPUTED_VALUE"""),"مستلزمات واجهزة طبية")</f>
        <v>مستلزمات واجهزة طبية</v>
      </c>
      <c r="G1988" s="5" t="str">
        <f ca="1">IFERROR(__xludf.DUMMYFUNCTION("""COMPUTED_VALUE"""),"وايدكس ايجيبت (عصام عبدالملك عزيز روفائيل وايدكس ايجيبت)")</f>
        <v>وايدكس ايجيبت (عصام عبدالملك عزيز روفائيل وايدكس ايجيبت)</v>
      </c>
      <c r="H1988" s="5" t="str">
        <f ca="1">IFERROR(__xludf.DUMMYFUNCTION("""COMPUTED_VALUE"""),"1 شارع بنك مصر - أمام كشري الزعيم - الدور السادس")</f>
        <v>1 شارع بنك مصر - أمام كشري الزعيم - الدور السادس</v>
      </c>
      <c r="I1988" s="6" t="str">
        <f ca="1">IFERROR(__xludf.DUMMYFUNCTION("""COMPUTED_VALUE"""),"01270110009")</f>
        <v>01270110009</v>
      </c>
      <c r="J1988" s="6"/>
      <c r="K1988" s="6" t="str">
        <f ca="1">IFERROR(__xludf.DUMMYFUNCTION("""COMPUTED_VALUE"""),"خصم 30% علي الاسعار المعلنة.")</f>
        <v>خصم 30% علي الاسعار المعلنة.</v>
      </c>
    </row>
    <row r="1989" spans="1:11" x14ac:dyDescent="0.25">
      <c r="A1989" s="4" t="str">
        <f ca="1">IFERROR(__xludf.DUMMYFUNCTION("""COMPUTED_VALUE"""),"106405-B")</f>
        <v>106405-B</v>
      </c>
      <c r="B1989" s="5" t="str">
        <f ca="1">IFERROR(__xludf.DUMMYFUNCTION("""COMPUTED_VALUE"""),"بني سويف")</f>
        <v>بني سويف</v>
      </c>
      <c r="C1989" s="5" t="str">
        <f ca="1">IFERROR(__xludf.DUMMYFUNCTION("""COMPUTED_VALUE"""),"بني سويف")</f>
        <v>بني سويف</v>
      </c>
      <c r="D1989" s="5" t="str">
        <f ca="1">IFERROR(__xludf.DUMMYFUNCTION("""COMPUTED_VALUE"""),"شركة")</f>
        <v>شركة</v>
      </c>
      <c r="E1989" s="5" t="str">
        <f ca="1">IFERROR(__xludf.DUMMYFUNCTION("""COMPUTED_VALUE"""),"شركة اجهزة طبية")</f>
        <v>شركة اجهزة طبية</v>
      </c>
      <c r="F1989" s="5" t="str">
        <f ca="1">IFERROR(__xludf.DUMMYFUNCTION("""COMPUTED_VALUE"""),"مستلزمات واجهزة طبية")</f>
        <v>مستلزمات واجهزة طبية</v>
      </c>
      <c r="G1989" s="5" t="str">
        <f ca="1">IFERROR(__xludf.DUMMYFUNCTION("""COMPUTED_VALUE"""),"وايدكس ايجيبت (عصام عبدالملك عزيز روفائيل وايدكس ايجيبت)")</f>
        <v>وايدكس ايجيبت (عصام عبدالملك عزيز روفائيل وايدكس ايجيبت)</v>
      </c>
      <c r="H1989" s="5" t="str">
        <f ca="1">IFERROR(__xludf.DUMMYFUNCTION("""COMPUTED_VALUE"""),"برج سمارت الطبي بجوار مدرسة سان مارك")</f>
        <v>برج سمارت الطبي بجوار مدرسة سان مارك</v>
      </c>
      <c r="I1989" s="6" t="str">
        <f ca="1">IFERROR(__xludf.DUMMYFUNCTION("""COMPUTED_VALUE"""),"01221990044")</f>
        <v>01221990044</v>
      </c>
      <c r="J1989" s="6"/>
      <c r="K1989" s="6" t="str">
        <f ca="1">IFERROR(__xludf.DUMMYFUNCTION("""COMPUTED_VALUE"""),"خصم 30% علي الاسعار المعلنة.")</f>
        <v>خصم 30% علي الاسعار المعلنة.</v>
      </c>
    </row>
    <row r="1990" spans="1:11" x14ac:dyDescent="0.25">
      <c r="A1990" s="4" t="str">
        <f ca="1">IFERROR(__xludf.DUMMYFUNCTION("""COMPUTED_VALUE"""),"106405-B")</f>
        <v>106405-B</v>
      </c>
      <c r="B1990" s="5" t="str">
        <f ca="1">IFERROR(__xludf.DUMMYFUNCTION("""COMPUTED_VALUE"""),"المنيا")</f>
        <v>المنيا</v>
      </c>
      <c r="C1990" s="5" t="str">
        <f ca="1">IFERROR(__xludf.DUMMYFUNCTION("""COMPUTED_VALUE"""),"المنيا")</f>
        <v>المنيا</v>
      </c>
      <c r="D1990" s="5" t="str">
        <f ca="1">IFERROR(__xludf.DUMMYFUNCTION("""COMPUTED_VALUE"""),"شركة")</f>
        <v>شركة</v>
      </c>
      <c r="E1990" s="5" t="str">
        <f ca="1">IFERROR(__xludf.DUMMYFUNCTION("""COMPUTED_VALUE"""),"شركة اجهزة طبية")</f>
        <v>شركة اجهزة طبية</v>
      </c>
      <c r="F1990" s="5" t="str">
        <f ca="1">IFERROR(__xludf.DUMMYFUNCTION("""COMPUTED_VALUE"""),"مستلزمات واجهزة طبية")</f>
        <v>مستلزمات واجهزة طبية</v>
      </c>
      <c r="G1990" s="5" t="str">
        <f ca="1">IFERROR(__xludf.DUMMYFUNCTION("""COMPUTED_VALUE"""),"وايدكس ايجيبت (عصام عبدالملك عزيز روفائيل وايدكس ايجيبت)")</f>
        <v>وايدكس ايجيبت (عصام عبدالملك عزيز روفائيل وايدكس ايجيبت)</v>
      </c>
      <c r="H1990" s="5" t="str">
        <f ca="1">IFERROR(__xludf.DUMMYFUNCTION("""COMPUTED_VALUE"""),"شارع الحسيني فوق معمل المختبر - الدور الثاني")</f>
        <v>شارع الحسيني فوق معمل المختبر - الدور الثاني</v>
      </c>
      <c r="I1990" s="6" t="str">
        <f ca="1">IFERROR(__xludf.DUMMYFUNCTION("""COMPUTED_VALUE"""),"01221990500")</f>
        <v>01221990500</v>
      </c>
      <c r="J1990" s="6"/>
      <c r="K1990" s="6" t="str">
        <f ca="1">IFERROR(__xludf.DUMMYFUNCTION("""COMPUTED_VALUE"""),"خصم 30% علي الاسعار المعلنة.")</f>
        <v>خصم 30% علي الاسعار المعلنة.</v>
      </c>
    </row>
    <row r="1991" spans="1:11" x14ac:dyDescent="0.25">
      <c r="A1991" s="4" t="str">
        <f ca="1">IFERROR(__xludf.DUMMYFUNCTION("""COMPUTED_VALUE"""),"106405-B")</f>
        <v>106405-B</v>
      </c>
      <c r="B1991" s="5" t="str">
        <f ca="1">IFERROR(__xludf.DUMMYFUNCTION("""COMPUTED_VALUE"""),"أسيوط")</f>
        <v>أسيوط</v>
      </c>
      <c r="C1991" s="5" t="str">
        <f ca="1">IFERROR(__xludf.DUMMYFUNCTION("""COMPUTED_VALUE"""),"أسيوط")</f>
        <v>أسيوط</v>
      </c>
      <c r="D1991" s="5" t="str">
        <f ca="1">IFERROR(__xludf.DUMMYFUNCTION("""COMPUTED_VALUE"""),"شركة")</f>
        <v>شركة</v>
      </c>
      <c r="E1991" s="5" t="str">
        <f ca="1">IFERROR(__xludf.DUMMYFUNCTION("""COMPUTED_VALUE"""),"شركة اجهزة طبية")</f>
        <v>شركة اجهزة طبية</v>
      </c>
      <c r="F1991" s="5" t="str">
        <f ca="1">IFERROR(__xludf.DUMMYFUNCTION("""COMPUTED_VALUE"""),"مستلزمات واجهزة طبية")</f>
        <v>مستلزمات واجهزة طبية</v>
      </c>
      <c r="G1991" s="5" t="str">
        <f ca="1">IFERROR(__xludf.DUMMYFUNCTION("""COMPUTED_VALUE"""),"وايدكس ايجيبت (عصام عبدالملك عزيز روفائيل وايدكس ايجيبت)")</f>
        <v>وايدكس ايجيبت (عصام عبدالملك عزيز روفائيل وايدكس ايجيبت)</v>
      </c>
      <c r="H1991" s="5" t="str">
        <f ca="1">IFERROR(__xludf.DUMMYFUNCTION("""COMPUTED_VALUE"""),"شارع النميس - برج سرايا النميس")</f>
        <v>شارع النميس - برج سرايا النميس</v>
      </c>
      <c r="I1991" s="6" t="str">
        <f ca="1">IFERROR(__xludf.DUMMYFUNCTION("""COMPUTED_VALUE"""),"01270110007")</f>
        <v>01270110007</v>
      </c>
      <c r="J1991" s="6"/>
      <c r="K1991" s="6" t="str">
        <f ca="1">IFERROR(__xludf.DUMMYFUNCTION("""COMPUTED_VALUE"""),"خصم 30% علي الاسعار المعلنة.")</f>
        <v>خصم 30% علي الاسعار المعلنة.</v>
      </c>
    </row>
    <row r="1992" spans="1:11" x14ac:dyDescent="0.25">
      <c r="A1992" s="4" t="str">
        <f ca="1">IFERROR(__xludf.DUMMYFUNCTION("""COMPUTED_VALUE"""),"106405-B")</f>
        <v>106405-B</v>
      </c>
      <c r="B1992" s="5" t="str">
        <f ca="1">IFERROR(__xludf.DUMMYFUNCTION("""COMPUTED_VALUE"""),"سوهاج")</f>
        <v>سوهاج</v>
      </c>
      <c r="C1992" s="5" t="str">
        <f ca="1">IFERROR(__xludf.DUMMYFUNCTION("""COMPUTED_VALUE"""),"سوهاج")</f>
        <v>سوهاج</v>
      </c>
      <c r="D1992" s="5" t="str">
        <f ca="1">IFERROR(__xludf.DUMMYFUNCTION("""COMPUTED_VALUE"""),"شركة")</f>
        <v>شركة</v>
      </c>
      <c r="E1992" s="5" t="str">
        <f ca="1">IFERROR(__xludf.DUMMYFUNCTION("""COMPUTED_VALUE"""),"شركة اجهزة طبية")</f>
        <v>شركة اجهزة طبية</v>
      </c>
      <c r="F1992" s="5" t="str">
        <f ca="1">IFERROR(__xludf.DUMMYFUNCTION("""COMPUTED_VALUE"""),"مستلزمات واجهزة طبية")</f>
        <v>مستلزمات واجهزة طبية</v>
      </c>
      <c r="G1992" s="5" t="str">
        <f ca="1">IFERROR(__xludf.DUMMYFUNCTION("""COMPUTED_VALUE"""),"وايدكس ايجيبت (عصام عبدالملك عزيز روفائيل وايدكس ايجيبت)")</f>
        <v>وايدكس ايجيبت (عصام عبدالملك عزيز روفائيل وايدكس ايجيبت)</v>
      </c>
      <c r="H1992" s="5" t="str">
        <f ca="1">IFERROR(__xludf.DUMMYFUNCTION("""COMPUTED_VALUE"""),"شارع المحطة - برج الجزيري - الدور الرابع")</f>
        <v>شارع المحطة - برج الجزيري - الدور الرابع</v>
      </c>
      <c r="I1992" s="6" t="str">
        <f ca="1">IFERROR(__xludf.DUMMYFUNCTION("""COMPUTED_VALUE"""),"01270110008")</f>
        <v>01270110008</v>
      </c>
      <c r="J1992" s="6"/>
      <c r="K1992" s="6" t="str">
        <f ca="1">IFERROR(__xludf.DUMMYFUNCTION("""COMPUTED_VALUE"""),"خصم 30% علي الاسعار المعلنة.")</f>
        <v>خصم 30% علي الاسعار المعلنة.</v>
      </c>
    </row>
    <row r="1993" spans="1:11" x14ac:dyDescent="0.25">
      <c r="A1993" s="4" t="str">
        <f ca="1">IFERROR(__xludf.DUMMYFUNCTION("""COMPUTED_VALUE"""),"106405-B")</f>
        <v>106405-B</v>
      </c>
      <c r="B1993" s="5" t="str">
        <f ca="1">IFERROR(__xludf.DUMMYFUNCTION("""COMPUTED_VALUE"""),"قنا")</f>
        <v>قنا</v>
      </c>
      <c r="C1993" s="5" t="str">
        <f ca="1">IFERROR(__xludf.DUMMYFUNCTION("""COMPUTED_VALUE"""),"قنا")</f>
        <v>قنا</v>
      </c>
      <c r="D1993" s="5" t="str">
        <f ca="1">IFERROR(__xludf.DUMMYFUNCTION("""COMPUTED_VALUE"""),"شركة")</f>
        <v>شركة</v>
      </c>
      <c r="E1993" s="5" t="str">
        <f ca="1">IFERROR(__xludf.DUMMYFUNCTION("""COMPUTED_VALUE"""),"شركة اجهزة طبية")</f>
        <v>شركة اجهزة طبية</v>
      </c>
      <c r="F1993" s="5" t="str">
        <f ca="1">IFERROR(__xludf.DUMMYFUNCTION("""COMPUTED_VALUE"""),"مستلزمات واجهزة طبية")</f>
        <v>مستلزمات واجهزة طبية</v>
      </c>
      <c r="G1993" s="5" t="str">
        <f ca="1">IFERROR(__xludf.DUMMYFUNCTION("""COMPUTED_VALUE"""),"وايدكس ايجيبت (عصام عبدالملك عزيز روفائيل وايدكس ايجيبت)")</f>
        <v>وايدكس ايجيبت (عصام عبدالملك عزيز روفائيل وايدكس ايجيبت)</v>
      </c>
      <c r="H1993" s="5" t="str">
        <f ca="1">IFERROR(__xludf.DUMMYFUNCTION("""COMPUTED_VALUE"""),"شارع 23 يوليو - بندر قنا - الدور الأول")</f>
        <v>شارع 23 يوليو - بندر قنا - الدور الأول</v>
      </c>
      <c r="I1993" s="6" t="str">
        <f ca="1">IFERROR(__xludf.DUMMYFUNCTION("""COMPUTED_VALUE"""),"01221998800")</f>
        <v>01221998800</v>
      </c>
      <c r="J1993" s="6"/>
      <c r="K1993" s="6" t="str">
        <f ca="1">IFERROR(__xludf.DUMMYFUNCTION("""COMPUTED_VALUE"""),"خصم 30% علي الاسعار المعلنة.")</f>
        <v>خصم 30% علي الاسعار المعلنة.</v>
      </c>
    </row>
    <row r="1994" spans="1:11" x14ac:dyDescent="0.25">
      <c r="A1994" s="4" t="str">
        <f ca="1">IFERROR(__xludf.DUMMYFUNCTION("""COMPUTED_VALUE"""),"106405-B")</f>
        <v>106405-B</v>
      </c>
      <c r="B1994" s="5" t="str">
        <f ca="1">IFERROR(__xludf.DUMMYFUNCTION("""COMPUTED_VALUE"""),"أسوان")</f>
        <v>أسوان</v>
      </c>
      <c r="C1994" s="5" t="str">
        <f ca="1">IFERROR(__xludf.DUMMYFUNCTION("""COMPUTED_VALUE"""),"أسوان")</f>
        <v>أسوان</v>
      </c>
      <c r="D1994" s="5" t="str">
        <f ca="1">IFERROR(__xludf.DUMMYFUNCTION("""COMPUTED_VALUE"""),"شركة")</f>
        <v>شركة</v>
      </c>
      <c r="E1994" s="5" t="str">
        <f ca="1">IFERROR(__xludf.DUMMYFUNCTION("""COMPUTED_VALUE"""),"شركة اجهزة طبية")</f>
        <v>شركة اجهزة طبية</v>
      </c>
      <c r="F1994" s="5" t="str">
        <f ca="1">IFERROR(__xludf.DUMMYFUNCTION("""COMPUTED_VALUE"""),"مستلزمات واجهزة طبية")</f>
        <v>مستلزمات واجهزة طبية</v>
      </c>
      <c r="G1994" s="5" t="str">
        <f ca="1">IFERROR(__xludf.DUMMYFUNCTION("""COMPUTED_VALUE"""),"وايدكس ايجيبت (عصام عبدالملك عزيز روفائيل وايدكس ايجيبت)")</f>
        <v>وايدكس ايجيبت (عصام عبدالملك عزيز روفائيل وايدكس ايجيبت)</v>
      </c>
      <c r="H1994" s="5" t="str">
        <f ca="1">IFERROR(__xludf.DUMMYFUNCTION("""COMPUTED_VALUE"""),"عمارة الأسيوطي - ميدان الإشارة - الدور السادس")</f>
        <v>عمارة الأسيوطي - ميدان الإشارة - الدور السادس</v>
      </c>
      <c r="I1994" s="6" t="str">
        <f ca="1">IFERROR(__xludf.DUMMYFUNCTION("""COMPUTED_VALUE"""),"01211515550")</f>
        <v>01211515550</v>
      </c>
      <c r="J1994" s="6"/>
      <c r="K1994" s="6" t="str">
        <f ca="1">IFERROR(__xludf.DUMMYFUNCTION("""COMPUTED_VALUE"""),"خصم 30% علي الاسعار المعلنة.")</f>
        <v>خصم 30% علي الاسعار المعلنة.</v>
      </c>
    </row>
    <row r="1995" spans="1:11" x14ac:dyDescent="0.25">
      <c r="A1995" s="4" t="str">
        <f ca="1">IFERROR(__xludf.DUMMYFUNCTION("""COMPUTED_VALUE"""),"106467")</f>
        <v>106467</v>
      </c>
      <c r="B1995" s="5" t="str">
        <f ca="1">IFERROR(__xludf.DUMMYFUNCTION("""COMPUTED_VALUE"""),"القاهرة")</f>
        <v>القاهرة</v>
      </c>
      <c r="C1995" s="5" t="str">
        <f ca="1">IFERROR(__xludf.DUMMYFUNCTION("""COMPUTED_VALUE"""),"المنيل")</f>
        <v>المنيل</v>
      </c>
      <c r="D1995" s="5" t="str">
        <f ca="1">IFERROR(__xludf.DUMMYFUNCTION("""COMPUTED_VALUE"""),"مركز تأهيل بدنى")</f>
        <v>مركز تأهيل بدنى</v>
      </c>
      <c r="E1995" s="5" t="str">
        <f ca="1">IFERROR(__xludf.DUMMYFUNCTION("""COMPUTED_VALUE"""),"مركز تأهيل بدنى")</f>
        <v>مركز تأهيل بدنى</v>
      </c>
      <c r="F1995" s="5" t="str">
        <f ca="1">IFERROR(__xludf.DUMMYFUNCTION("""COMPUTED_VALUE"""),"مركز تأهيل بدنى")</f>
        <v>مركز تأهيل بدنى</v>
      </c>
      <c r="G1995" s="5" t="str">
        <f ca="1">IFERROR(__xludf.DUMMYFUNCTION("""COMPUTED_VALUE"""),"جيم H2O ( رجال فقط )")</f>
        <v>جيم H2O ( رجال فقط )</v>
      </c>
      <c r="H1995" s="5" t="str">
        <f ca="1">IFERROR(__xludf.DUMMYFUNCTION("""COMPUTED_VALUE"""),"67 شارع عبدالعزيز ال سعود - اعلي سينما جلاكسي - المنيل")</f>
        <v>67 شارع عبدالعزيز ال سعود - اعلي سينما جلاكسي - المنيل</v>
      </c>
      <c r="I1995" s="6" t="str">
        <f ca="1">IFERROR(__xludf.DUMMYFUNCTION("""COMPUTED_VALUE"""),"01060806088")</f>
        <v>01060806088</v>
      </c>
      <c r="J1995" s="6"/>
      <c r="K1995" s="6" t="str">
        <f ca="1">IFERROR(__xludf.DUMMYFUNCTION("""COMPUTED_VALUE"""),"نسبة الخصم 40%")</f>
        <v>نسبة الخصم 40%</v>
      </c>
    </row>
    <row r="1996" spans="1:11" x14ac:dyDescent="0.25">
      <c r="A1996" s="4" t="str">
        <f ca="1">IFERROR(__xludf.DUMMYFUNCTION("""COMPUTED_VALUE"""),"106467-B")</f>
        <v>106467-B</v>
      </c>
      <c r="B1996" s="5" t="str">
        <f ca="1">IFERROR(__xludf.DUMMYFUNCTION("""COMPUTED_VALUE"""),"الجيزة")</f>
        <v>الجيزة</v>
      </c>
      <c r="C1996" s="5" t="str">
        <f ca="1">IFERROR(__xludf.DUMMYFUNCTION("""COMPUTED_VALUE"""),"المهندسين")</f>
        <v>المهندسين</v>
      </c>
      <c r="D1996" s="5" t="str">
        <f ca="1">IFERROR(__xludf.DUMMYFUNCTION("""COMPUTED_VALUE"""),"مركز تأهيل بدنى")</f>
        <v>مركز تأهيل بدنى</v>
      </c>
      <c r="E1996" s="5" t="str">
        <f ca="1">IFERROR(__xludf.DUMMYFUNCTION("""COMPUTED_VALUE"""),"مركز تأهيل بدنى")</f>
        <v>مركز تأهيل بدنى</v>
      </c>
      <c r="F1996" s="5" t="str">
        <f ca="1">IFERROR(__xludf.DUMMYFUNCTION("""COMPUTED_VALUE"""),"مركز تأهيل بدنى")</f>
        <v>مركز تأهيل بدنى</v>
      </c>
      <c r="G1996" s="5" t="str">
        <f ca="1">IFERROR(__xludf.DUMMYFUNCTION("""COMPUTED_VALUE"""),"جيم H2O ( رجال فقط )")</f>
        <v>جيم H2O ( رجال فقط )</v>
      </c>
      <c r="H1996" s="5" t="str">
        <f ca="1">IFERROR(__xludf.DUMMYFUNCTION("""COMPUTED_VALUE"""),"42 شارع سوريا - الدور 18 - المهندسين")</f>
        <v>42 شارع سوريا - الدور 18 - المهندسين</v>
      </c>
      <c r="I1996" s="6" t="str">
        <f ca="1">IFERROR(__xludf.DUMMYFUNCTION("""COMPUTED_VALUE"""),"01159300002")</f>
        <v>01159300002</v>
      </c>
      <c r="J1996" s="6" t="str">
        <f ca="1">IFERROR(__xludf.DUMMYFUNCTION("""COMPUTED_VALUE"""),"15426")</f>
        <v>15426</v>
      </c>
      <c r="K1996" s="6" t="str">
        <f ca="1">IFERROR(__xludf.DUMMYFUNCTION("""COMPUTED_VALUE"""),"نسبة الخصم 40%")</f>
        <v>نسبة الخصم 40%</v>
      </c>
    </row>
    <row r="1997" spans="1:11" x14ac:dyDescent="0.25">
      <c r="A1997" s="4" t="str">
        <f ca="1">IFERROR(__xludf.DUMMYFUNCTION("""COMPUTED_VALUE"""),"106467-B")</f>
        <v>106467-B</v>
      </c>
      <c r="B1997" s="5" t="str">
        <f ca="1">IFERROR(__xludf.DUMMYFUNCTION("""COMPUTED_VALUE"""),"القاهرة")</f>
        <v>القاهرة</v>
      </c>
      <c r="C1997" s="5" t="str">
        <f ca="1">IFERROR(__xludf.DUMMYFUNCTION("""COMPUTED_VALUE"""),"مصر الجديدة")</f>
        <v>مصر الجديدة</v>
      </c>
      <c r="D1997" s="5" t="str">
        <f ca="1">IFERROR(__xludf.DUMMYFUNCTION("""COMPUTED_VALUE"""),"مركز تأهيل بدنى")</f>
        <v>مركز تأهيل بدنى</v>
      </c>
      <c r="E1997" s="5" t="str">
        <f ca="1">IFERROR(__xludf.DUMMYFUNCTION("""COMPUTED_VALUE"""),"مركز تأهيل بدنى")</f>
        <v>مركز تأهيل بدنى</v>
      </c>
      <c r="F1997" s="5" t="str">
        <f ca="1">IFERROR(__xludf.DUMMYFUNCTION("""COMPUTED_VALUE"""),"مركز تأهيل بدنى")</f>
        <v>مركز تأهيل بدنى</v>
      </c>
      <c r="G1997" s="5" t="str">
        <f ca="1">IFERROR(__xludf.DUMMYFUNCTION("""COMPUTED_VALUE"""),"جيم H2O ( رجال فقط )")</f>
        <v>جيم H2O ( رجال فقط )</v>
      </c>
      <c r="H1997" s="5" t="str">
        <f ca="1">IFERROR(__xludf.DUMMYFUNCTION("""COMPUTED_VALUE"""),"98 شارع محمد فريد متفرع من شارع فريد سميكه - مصر الجديدة")</f>
        <v>98 شارع محمد فريد متفرع من شارع فريد سميكه - مصر الجديدة</v>
      </c>
      <c r="I1997" s="6" t="str">
        <f ca="1">IFERROR(__xludf.DUMMYFUNCTION("""COMPUTED_VALUE"""),"01156500009")</f>
        <v>01156500009</v>
      </c>
      <c r="J1997" s="6" t="str">
        <f ca="1">IFERROR(__xludf.DUMMYFUNCTION("""COMPUTED_VALUE"""),"15426")</f>
        <v>15426</v>
      </c>
      <c r="K1997" s="6" t="str">
        <f ca="1">IFERROR(__xludf.DUMMYFUNCTION("""COMPUTED_VALUE"""),"نسبة الخصم 40%")</f>
        <v>نسبة الخصم 40%</v>
      </c>
    </row>
    <row r="1998" spans="1:11" x14ac:dyDescent="0.25">
      <c r="A1998" s="4" t="str">
        <f ca="1">IFERROR(__xludf.DUMMYFUNCTION("""COMPUTED_VALUE"""),"106467-B")</f>
        <v>106467-B</v>
      </c>
      <c r="B1998" s="5" t="str">
        <f ca="1">IFERROR(__xludf.DUMMYFUNCTION("""COMPUTED_VALUE"""),"القاهرة")</f>
        <v>القاهرة</v>
      </c>
      <c r="C1998" s="5" t="str">
        <f ca="1">IFERROR(__xludf.DUMMYFUNCTION("""COMPUTED_VALUE"""),"المعادى")</f>
        <v>المعادى</v>
      </c>
      <c r="D1998" s="5" t="str">
        <f ca="1">IFERROR(__xludf.DUMMYFUNCTION("""COMPUTED_VALUE"""),"مركز تأهيل بدنى")</f>
        <v>مركز تأهيل بدنى</v>
      </c>
      <c r="E1998" s="5" t="str">
        <f ca="1">IFERROR(__xludf.DUMMYFUNCTION("""COMPUTED_VALUE"""),"مركز تأهيل بدنى")</f>
        <v>مركز تأهيل بدنى</v>
      </c>
      <c r="F1998" s="5" t="str">
        <f ca="1">IFERROR(__xludf.DUMMYFUNCTION("""COMPUTED_VALUE"""),"مركز تأهيل بدنى")</f>
        <v>مركز تأهيل بدنى</v>
      </c>
      <c r="G1998" s="5" t="str">
        <f ca="1">IFERROR(__xludf.DUMMYFUNCTION("""COMPUTED_VALUE"""),"جيم H2O ( رجال فقط )")</f>
        <v>جيم H2O ( رجال فقط )</v>
      </c>
      <c r="H1998" s="5" t="str">
        <f ca="1">IFERROR(__xludf.DUMMYFUNCTION("""COMPUTED_VALUE"""),"شارع 263 - عمارة 27 - المعادي الجديده - المعادي")</f>
        <v>شارع 263 - عمارة 27 - المعادي الجديده - المعادي</v>
      </c>
      <c r="I1998" s="6" t="str">
        <f ca="1">IFERROR(__xludf.DUMMYFUNCTION("""COMPUTED_VALUE"""),"01155555305")</f>
        <v>01155555305</v>
      </c>
      <c r="J1998" s="6" t="str">
        <f ca="1">IFERROR(__xludf.DUMMYFUNCTION("""COMPUTED_VALUE"""),"15426")</f>
        <v>15426</v>
      </c>
      <c r="K1998" s="6" t="str">
        <f ca="1">IFERROR(__xludf.DUMMYFUNCTION("""COMPUTED_VALUE"""),"نسبة الخصم 40%")</f>
        <v>نسبة الخصم 40%</v>
      </c>
    </row>
    <row r="1999" spans="1:11" x14ac:dyDescent="0.25">
      <c r="A1999" s="4" t="str">
        <f ca="1">IFERROR(__xludf.DUMMYFUNCTION("""COMPUTED_VALUE"""),"106467-B")</f>
        <v>106467-B</v>
      </c>
      <c r="B1999" s="5" t="str">
        <f ca="1">IFERROR(__xludf.DUMMYFUNCTION("""COMPUTED_VALUE"""),"القليوبية")</f>
        <v>القليوبية</v>
      </c>
      <c r="C1999" s="5" t="str">
        <f ca="1">IFERROR(__xludf.DUMMYFUNCTION("""COMPUTED_VALUE"""),"مدينة العبور")</f>
        <v>مدينة العبور</v>
      </c>
      <c r="D1999" s="5" t="str">
        <f ca="1">IFERROR(__xludf.DUMMYFUNCTION("""COMPUTED_VALUE"""),"مركز تأهيل بدنى")</f>
        <v>مركز تأهيل بدنى</v>
      </c>
      <c r="E1999" s="5" t="str">
        <f ca="1">IFERROR(__xludf.DUMMYFUNCTION("""COMPUTED_VALUE"""),"مركز تأهيل بدنى")</f>
        <v>مركز تأهيل بدنى</v>
      </c>
      <c r="F1999" s="5" t="str">
        <f ca="1">IFERROR(__xludf.DUMMYFUNCTION("""COMPUTED_VALUE"""),"مركز تأهيل بدنى")</f>
        <v>مركز تأهيل بدنى</v>
      </c>
      <c r="G1999" s="5" t="str">
        <f ca="1">IFERROR(__xludf.DUMMYFUNCTION("""COMPUTED_VALUE"""),"جيم H2O ( رجال فقط )")</f>
        <v>جيم H2O ( رجال فقط )</v>
      </c>
      <c r="H1999" s="5" t="str">
        <f ca="1">IFERROR(__xludf.DUMMYFUNCTION("""COMPUTED_VALUE"""),"مجاورة 3 - امام شارع عباس العقاد - الحي التاسع - العبور")</f>
        <v>مجاورة 3 - امام شارع عباس العقاد - الحي التاسع - العبور</v>
      </c>
      <c r="I1999" s="6" t="str">
        <f ca="1">IFERROR(__xludf.DUMMYFUNCTION("""COMPUTED_VALUE"""),"01097000049")</f>
        <v>01097000049</v>
      </c>
      <c r="J1999" s="6" t="str">
        <f ca="1">IFERROR(__xludf.DUMMYFUNCTION("""COMPUTED_VALUE"""),"15426")</f>
        <v>15426</v>
      </c>
      <c r="K1999" s="6" t="str">
        <f ca="1">IFERROR(__xludf.DUMMYFUNCTION("""COMPUTED_VALUE"""),"نسبة الخصم 40%")</f>
        <v>نسبة الخصم 40%</v>
      </c>
    </row>
    <row r="2000" spans="1:11" x14ac:dyDescent="0.25">
      <c r="A2000" s="4" t="str">
        <f ca="1">IFERROR(__xludf.DUMMYFUNCTION("""COMPUTED_VALUE"""),"106467-B")</f>
        <v>106467-B</v>
      </c>
      <c r="B2000" s="5" t="str">
        <f ca="1">IFERROR(__xludf.DUMMYFUNCTION("""COMPUTED_VALUE"""),"القاهرة")</f>
        <v>القاهرة</v>
      </c>
      <c r="C2000" s="5" t="str">
        <f ca="1">IFERROR(__xludf.DUMMYFUNCTION("""COMPUTED_VALUE"""),"مدينة نصر")</f>
        <v>مدينة نصر</v>
      </c>
      <c r="D2000" s="5" t="str">
        <f ca="1">IFERROR(__xludf.DUMMYFUNCTION("""COMPUTED_VALUE"""),"مركز تأهيل بدنى")</f>
        <v>مركز تأهيل بدنى</v>
      </c>
      <c r="E2000" s="5" t="str">
        <f ca="1">IFERROR(__xludf.DUMMYFUNCTION("""COMPUTED_VALUE"""),"مركز تأهيل بدنى")</f>
        <v>مركز تأهيل بدنى</v>
      </c>
      <c r="F2000" s="5" t="str">
        <f ca="1">IFERROR(__xludf.DUMMYFUNCTION("""COMPUTED_VALUE"""),"مركز تأهيل بدنى")</f>
        <v>مركز تأهيل بدنى</v>
      </c>
      <c r="G2000" s="5" t="str">
        <f ca="1">IFERROR(__xludf.DUMMYFUNCTION("""COMPUTED_VALUE"""),"جيم H2O ( رجال فقط )")</f>
        <v>جيم H2O ( رجال فقط )</v>
      </c>
      <c r="H2000" s="5" t="str">
        <f ca="1">IFERROR(__xludf.DUMMYFUNCTION("""COMPUTED_VALUE"""),"47 شارع عبدالرازق السنهوري متفرع من شارع مكرم عبيد - مدينة نصر")</f>
        <v>47 شارع عبدالرازق السنهوري متفرع من شارع مكرم عبيد - مدينة نصر</v>
      </c>
      <c r="I2000" s="6" t="str">
        <f ca="1">IFERROR(__xludf.DUMMYFUNCTION("""COMPUTED_VALUE"""),"0222700999")</f>
        <v>0222700999</v>
      </c>
      <c r="J2000" s="6" t="str">
        <f ca="1">IFERROR(__xludf.DUMMYFUNCTION("""COMPUTED_VALUE"""),"15426")</f>
        <v>15426</v>
      </c>
      <c r="K2000" s="6" t="str">
        <f ca="1">IFERROR(__xludf.DUMMYFUNCTION("""COMPUTED_VALUE"""),"نسبة الخصم 40%")</f>
        <v>نسبة الخصم 40%</v>
      </c>
    </row>
    <row r="2001" spans="1:11" x14ac:dyDescent="0.25">
      <c r="A2001" s="4" t="str">
        <f ca="1">IFERROR(__xludf.DUMMYFUNCTION("""COMPUTED_VALUE"""),"106467-B")</f>
        <v>106467-B</v>
      </c>
      <c r="B2001" s="5" t="str">
        <f ca="1">IFERROR(__xludf.DUMMYFUNCTION("""COMPUTED_VALUE"""),"القاهرة")</f>
        <v>القاهرة</v>
      </c>
      <c r="C2001" s="5" t="str">
        <f ca="1">IFERROR(__xludf.DUMMYFUNCTION("""COMPUTED_VALUE"""),"حلوان")</f>
        <v>حلوان</v>
      </c>
      <c r="D2001" s="5" t="str">
        <f ca="1">IFERROR(__xludf.DUMMYFUNCTION("""COMPUTED_VALUE"""),"مركز تأهيل بدنى")</f>
        <v>مركز تأهيل بدنى</v>
      </c>
      <c r="E2001" s="5" t="str">
        <f ca="1">IFERROR(__xludf.DUMMYFUNCTION("""COMPUTED_VALUE"""),"مركز تأهيل بدنى")</f>
        <v>مركز تأهيل بدنى</v>
      </c>
      <c r="F2001" s="5" t="str">
        <f ca="1">IFERROR(__xludf.DUMMYFUNCTION("""COMPUTED_VALUE"""),"مركز تأهيل بدنى")</f>
        <v>مركز تأهيل بدنى</v>
      </c>
      <c r="G2001" s="5" t="str">
        <f ca="1">IFERROR(__xludf.DUMMYFUNCTION("""COMPUTED_VALUE"""),"جيم H2O ( رجال فقط )")</f>
        <v>جيم H2O ( رجال فقط )</v>
      </c>
      <c r="H2001" s="5" t="str">
        <f ca="1">IFERROR(__xludf.DUMMYFUNCTION("""COMPUTED_VALUE"""),"شارع محمد سيد احمد تقاطع شارع يوسف - اعلي بنك cib - حلوان")</f>
        <v>شارع محمد سيد احمد تقاطع شارع يوسف - اعلي بنك cib - حلوان</v>
      </c>
      <c r="I2001" s="6" t="str">
        <f ca="1">IFERROR(__xludf.DUMMYFUNCTION("""COMPUTED_VALUE"""),"01119409998")</f>
        <v>01119409998</v>
      </c>
      <c r="J2001" s="6" t="str">
        <f ca="1">IFERROR(__xludf.DUMMYFUNCTION("""COMPUTED_VALUE"""),"15426")</f>
        <v>15426</v>
      </c>
      <c r="K2001" s="6" t="str">
        <f ca="1">IFERROR(__xludf.DUMMYFUNCTION("""COMPUTED_VALUE"""),"نسبة الخصم 40%")</f>
        <v>نسبة الخصم 40%</v>
      </c>
    </row>
    <row r="2002" spans="1:11" x14ac:dyDescent="0.25">
      <c r="A2002" s="4" t="str">
        <f ca="1">IFERROR(__xludf.DUMMYFUNCTION("""COMPUTED_VALUE"""),"106467-B")</f>
        <v>106467-B</v>
      </c>
      <c r="B2002" s="5" t="str">
        <f ca="1">IFERROR(__xludf.DUMMYFUNCTION("""COMPUTED_VALUE"""),"القاهرة")</f>
        <v>القاهرة</v>
      </c>
      <c r="C2002" s="5" t="str">
        <f ca="1">IFERROR(__xludf.DUMMYFUNCTION("""COMPUTED_VALUE"""),"المعادى")</f>
        <v>المعادى</v>
      </c>
      <c r="D2002" s="5" t="str">
        <f ca="1">IFERROR(__xludf.DUMMYFUNCTION("""COMPUTED_VALUE"""),"مركز تأهيل بدنى")</f>
        <v>مركز تأهيل بدنى</v>
      </c>
      <c r="E2002" s="5" t="str">
        <f ca="1">IFERROR(__xludf.DUMMYFUNCTION("""COMPUTED_VALUE"""),"مركز تأهيل بدنى")</f>
        <v>مركز تأهيل بدنى</v>
      </c>
      <c r="F2002" s="5" t="str">
        <f ca="1">IFERROR(__xludf.DUMMYFUNCTION("""COMPUTED_VALUE"""),"مركز تأهيل بدنى")</f>
        <v>مركز تأهيل بدنى</v>
      </c>
      <c r="G2002" s="5" t="str">
        <f ca="1">IFERROR(__xludf.DUMMYFUNCTION("""COMPUTED_VALUE"""),"جيم H2O ( رجال فقط )")</f>
        <v>جيم H2O ( رجال فقط )</v>
      </c>
      <c r="H2002" s="5" t="str">
        <f ca="1">IFERROR(__xludf.DUMMYFUNCTION("""COMPUTED_VALUE"""),"عمارة 68 بجوار كارفور و مول 50 HUB  - زهراء المعادي - المعادي")</f>
        <v>عمارة 68 بجوار كارفور و مول 50 HUB  - زهراء المعادي - المعادي</v>
      </c>
      <c r="I2002" s="6" t="str">
        <f ca="1">IFERROR(__xludf.DUMMYFUNCTION("""COMPUTED_VALUE"""),"01145500001")</f>
        <v>01145500001</v>
      </c>
      <c r="J2002" s="6" t="str">
        <f ca="1">IFERROR(__xludf.DUMMYFUNCTION("""COMPUTED_VALUE"""),"15426")</f>
        <v>15426</v>
      </c>
      <c r="K2002" s="6" t="str">
        <f ca="1">IFERROR(__xludf.DUMMYFUNCTION("""COMPUTED_VALUE"""),"نسبة الخصم 40%")</f>
        <v>نسبة الخصم 40%</v>
      </c>
    </row>
    <row r="2003" spans="1:11" x14ac:dyDescent="0.25">
      <c r="A2003" s="4" t="str">
        <f ca="1">IFERROR(__xludf.DUMMYFUNCTION("""COMPUTED_VALUE"""),"106467-B")</f>
        <v>106467-B</v>
      </c>
      <c r="B2003" s="5" t="str">
        <f ca="1">IFERROR(__xludf.DUMMYFUNCTION("""COMPUTED_VALUE"""),"القاهرة")</f>
        <v>القاهرة</v>
      </c>
      <c r="C2003" s="5" t="str">
        <f ca="1">IFERROR(__xludf.DUMMYFUNCTION("""COMPUTED_VALUE"""),"الزمالك")</f>
        <v>الزمالك</v>
      </c>
      <c r="D2003" s="5" t="str">
        <f ca="1">IFERROR(__xludf.DUMMYFUNCTION("""COMPUTED_VALUE"""),"مركز تأهيل بدنى")</f>
        <v>مركز تأهيل بدنى</v>
      </c>
      <c r="E2003" s="5" t="str">
        <f ca="1">IFERROR(__xludf.DUMMYFUNCTION("""COMPUTED_VALUE"""),"مركز تأهيل بدنى")</f>
        <v>مركز تأهيل بدنى</v>
      </c>
      <c r="F2003" s="5" t="str">
        <f ca="1">IFERROR(__xludf.DUMMYFUNCTION("""COMPUTED_VALUE"""),"مركز تأهيل بدنى")</f>
        <v>مركز تأهيل بدنى</v>
      </c>
      <c r="G2003" s="5" t="str">
        <f ca="1">IFERROR(__xludf.DUMMYFUNCTION("""COMPUTED_VALUE"""),"جيم H2O ( رجال فقط )")</f>
        <v>جيم H2O ( رجال فقط )</v>
      </c>
      <c r="H2003" s="5" t="str">
        <f ca="1">IFERROR(__xludf.DUMMYFUNCTION("""COMPUTED_VALUE"""),"9 شارع العادل ابو بكر  - خلف فندق ام كلثوم - الزمالك")</f>
        <v>9 شارع العادل ابو بكر  - خلف فندق ام كلثوم - الزمالك</v>
      </c>
      <c r="I2003" s="6" t="str">
        <f ca="1">IFERROR(__xludf.DUMMYFUNCTION("""COMPUTED_VALUE"""),"01065811113")</f>
        <v>01065811113</v>
      </c>
      <c r="J2003" s="6" t="str">
        <f ca="1">IFERROR(__xludf.DUMMYFUNCTION("""COMPUTED_VALUE"""),"15426")</f>
        <v>15426</v>
      </c>
      <c r="K2003" s="6" t="str">
        <f ca="1">IFERROR(__xludf.DUMMYFUNCTION("""COMPUTED_VALUE"""),"نسبة الخصم 40%")</f>
        <v>نسبة الخصم 40%</v>
      </c>
    </row>
    <row r="2004" spans="1:11" x14ac:dyDescent="0.25">
      <c r="A2004" s="4" t="str">
        <f ca="1">IFERROR(__xludf.DUMMYFUNCTION("""COMPUTED_VALUE"""),"106467-B")</f>
        <v>106467-B</v>
      </c>
      <c r="B2004" s="5" t="str">
        <f ca="1">IFERROR(__xludf.DUMMYFUNCTION("""COMPUTED_VALUE"""),"القاهرة")</f>
        <v>القاهرة</v>
      </c>
      <c r="C2004" s="5" t="str">
        <f ca="1">IFERROR(__xludf.DUMMYFUNCTION("""COMPUTED_VALUE"""),"المنيل")</f>
        <v>المنيل</v>
      </c>
      <c r="D2004" s="5" t="str">
        <f ca="1">IFERROR(__xludf.DUMMYFUNCTION("""COMPUTED_VALUE"""),"مركز تأهيل بدنى")</f>
        <v>مركز تأهيل بدنى</v>
      </c>
      <c r="E2004" s="5" t="str">
        <f ca="1">IFERROR(__xludf.DUMMYFUNCTION("""COMPUTED_VALUE"""),"مركز تأهيل بدنى")</f>
        <v>مركز تأهيل بدنى</v>
      </c>
      <c r="F2004" s="5" t="str">
        <f ca="1">IFERROR(__xludf.DUMMYFUNCTION("""COMPUTED_VALUE"""),"مركز تأهيل بدنى")</f>
        <v>مركز تأهيل بدنى</v>
      </c>
      <c r="G2004" s="5" t="str">
        <f ca="1">IFERROR(__xludf.DUMMYFUNCTION("""COMPUTED_VALUE"""),"جيم H2O ( للسيدات فقط )")</f>
        <v>جيم H2O ( للسيدات فقط )</v>
      </c>
      <c r="H2004" s="5" t="str">
        <f ca="1">IFERROR(__xludf.DUMMYFUNCTION("""COMPUTED_VALUE"""),"38 شارع المقياس - اعلي كافيه كردان - الروضة - المنيل")</f>
        <v>38 شارع المقياس - اعلي كافيه كردان - الروضة - المنيل</v>
      </c>
      <c r="I2004" s="6" t="str">
        <f ca="1">IFERROR(__xludf.DUMMYFUNCTION("""COMPUTED_VALUE"""),"01111201333")</f>
        <v>01111201333</v>
      </c>
      <c r="J2004" s="6" t="str">
        <f ca="1">IFERROR(__xludf.DUMMYFUNCTION("""COMPUTED_VALUE"""),"15426")</f>
        <v>15426</v>
      </c>
      <c r="K2004" s="6" t="str">
        <f ca="1">IFERROR(__xludf.DUMMYFUNCTION("""COMPUTED_VALUE"""),"نسبة الخصم 40%")</f>
        <v>نسبة الخصم 40%</v>
      </c>
    </row>
    <row r="2005" spans="1:11" x14ac:dyDescent="0.25">
      <c r="A2005" s="4" t="str">
        <f ca="1">IFERROR(__xludf.DUMMYFUNCTION("""COMPUTED_VALUE"""),"106467-B")</f>
        <v>106467-B</v>
      </c>
      <c r="B2005" s="5" t="str">
        <f ca="1">IFERROR(__xludf.DUMMYFUNCTION("""COMPUTED_VALUE"""),"القاهرة")</f>
        <v>القاهرة</v>
      </c>
      <c r="C2005" s="5" t="str">
        <f ca="1">IFERROR(__xludf.DUMMYFUNCTION("""COMPUTED_VALUE"""),"المنيل")</f>
        <v>المنيل</v>
      </c>
      <c r="D2005" s="5" t="str">
        <f ca="1">IFERROR(__xludf.DUMMYFUNCTION("""COMPUTED_VALUE"""),"مركز تأهيل بدنى")</f>
        <v>مركز تأهيل بدنى</v>
      </c>
      <c r="E2005" s="5" t="str">
        <f ca="1">IFERROR(__xludf.DUMMYFUNCTION("""COMPUTED_VALUE"""),"مركز تأهيل بدنى")</f>
        <v>مركز تأهيل بدنى</v>
      </c>
      <c r="F2005" s="5" t="str">
        <f ca="1">IFERROR(__xludf.DUMMYFUNCTION("""COMPUTED_VALUE"""),"مركز تأهيل بدنى")</f>
        <v>مركز تأهيل بدنى</v>
      </c>
      <c r="G2005" s="5" t="str">
        <f ca="1">IFERROR(__xludf.DUMMYFUNCTION("""COMPUTED_VALUE"""),"جيم H2O ( للسيدات فقط )")</f>
        <v>جيم H2O ( للسيدات فقط )</v>
      </c>
      <c r="H2005" s="5" t="str">
        <f ca="1">IFERROR(__xludf.DUMMYFUNCTION("""COMPUTED_VALUE"""),"ميدان المماليك - منيل الروضة - المنيل")</f>
        <v>ميدان المماليك - منيل الروضة - المنيل</v>
      </c>
      <c r="I2005" s="6" t="str">
        <f ca="1">IFERROR(__xludf.DUMMYFUNCTION("""COMPUTED_VALUE"""),"01110000836")</f>
        <v>01110000836</v>
      </c>
      <c r="J2005" s="6" t="str">
        <f ca="1">IFERROR(__xludf.DUMMYFUNCTION("""COMPUTED_VALUE"""),"15426")</f>
        <v>15426</v>
      </c>
      <c r="K2005" s="6" t="str">
        <f ca="1">IFERROR(__xludf.DUMMYFUNCTION("""COMPUTED_VALUE"""),"نسبة الخصم 40%")</f>
        <v>نسبة الخصم 40%</v>
      </c>
    </row>
    <row r="2006" spans="1:11" x14ac:dyDescent="0.25">
      <c r="A2006" s="4" t="str">
        <f ca="1">IFERROR(__xludf.DUMMYFUNCTION("""COMPUTED_VALUE"""),"106467-B")</f>
        <v>106467-B</v>
      </c>
      <c r="B2006" s="5" t="str">
        <f ca="1">IFERROR(__xludf.DUMMYFUNCTION("""COMPUTED_VALUE"""),"الجيزة")</f>
        <v>الجيزة</v>
      </c>
      <c r="C2006" s="5" t="str">
        <f ca="1">IFERROR(__xludf.DUMMYFUNCTION("""COMPUTED_VALUE"""),"المهندسين")</f>
        <v>المهندسين</v>
      </c>
      <c r="D2006" s="5" t="str">
        <f ca="1">IFERROR(__xludf.DUMMYFUNCTION("""COMPUTED_VALUE"""),"مركز تأهيل بدنى")</f>
        <v>مركز تأهيل بدنى</v>
      </c>
      <c r="E2006" s="5" t="str">
        <f ca="1">IFERROR(__xludf.DUMMYFUNCTION("""COMPUTED_VALUE"""),"مركز تأهيل بدنى")</f>
        <v>مركز تأهيل بدنى</v>
      </c>
      <c r="F2006" s="5" t="str">
        <f ca="1">IFERROR(__xludf.DUMMYFUNCTION("""COMPUTED_VALUE"""),"مركز تأهيل بدنى")</f>
        <v>مركز تأهيل بدنى</v>
      </c>
      <c r="G2006" s="5" t="str">
        <f ca="1">IFERROR(__xludf.DUMMYFUNCTION("""COMPUTED_VALUE"""),"جيم H2O ( للسيدات فقط )")</f>
        <v>جيم H2O ( للسيدات فقط )</v>
      </c>
      <c r="H2006" s="5" t="str">
        <f ca="1">IFERROR(__xludf.DUMMYFUNCTION("""COMPUTED_VALUE"""),"42 شارع سوريا - الدور 10 - المهندسين")</f>
        <v>42 شارع سوريا - الدور 10 - المهندسين</v>
      </c>
      <c r="I2006" s="6" t="str">
        <f ca="1">IFERROR(__xludf.DUMMYFUNCTION("""COMPUTED_VALUE"""),"01068887507")</f>
        <v>01068887507</v>
      </c>
      <c r="J2006" s="6" t="str">
        <f ca="1">IFERROR(__xludf.DUMMYFUNCTION("""COMPUTED_VALUE"""),"15426")</f>
        <v>15426</v>
      </c>
      <c r="K2006" s="6" t="str">
        <f ca="1">IFERROR(__xludf.DUMMYFUNCTION("""COMPUTED_VALUE"""),"نسبة الخصم 40%")</f>
        <v>نسبة الخصم 40%</v>
      </c>
    </row>
    <row r="2007" spans="1:11" x14ac:dyDescent="0.25">
      <c r="A2007" s="4" t="str">
        <f ca="1">IFERROR(__xludf.DUMMYFUNCTION("""COMPUTED_VALUE"""),"106467-B")</f>
        <v>106467-B</v>
      </c>
      <c r="B2007" s="5" t="str">
        <f ca="1">IFERROR(__xludf.DUMMYFUNCTION("""COMPUTED_VALUE"""),"القاهرة")</f>
        <v>القاهرة</v>
      </c>
      <c r="C2007" s="5" t="str">
        <f ca="1">IFERROR(__xludf.DUMMYFUNCTION("""COMPUTED_VALUE"""),"مصر الجديدة")</f>
        <v>مصر الجديدة</v>
      </c>
      <c r="D2007" s="5" t="str">
        <f ca="1">IFERROR(__xludf.DUMMYFUNCTION("""COMPUTED_VALUE"""),"مركز تأهيل بدنى")</f>
        <v>مركز تأهيل بدنى</v>
      </c>
      <c r="E2007" s="5" t="str">
        <f ca="1">IFERROR(__xludf.DUMMYFUNCTION("""COMPUTED_VALUE"""),"مركز تأهيل بدنى")</f>
        <v>مركز تأهيل بدنى</v>
      </c>
      <c r="F2007" s="5" t="str">
        <f ca="1">IFERROR(__xludf.DUMMYFUNCTION("""COMPUTED_VALUE"""),"مركز تأهيل بدنى")</f>
        <v>مركز تأهيل بدنى</v>
      </c>
      <c r="G2007" s="5" t="str">
        <f ca="1">IFERROR(__xludf.DUMMYFUNCTION("""COMPUTED_VALUE"""),"جيم H2O ( للسيدات فقط )")</f>
        <v>جيم H2O ( للسيدات فقط )</v>
      </c>
      <c r="H2007" s="5" t="str">
        <f ca="1">IFERROR(__xludf.DUMMYFUNCTION("""COMPUTED_VALUE"""),"7 شارع حسين شفيق المصري - خلف دجاج كنتاكي - نادي الشمس - مصر الجديدة")</f>
        <v>7 شارع حسين شفيق المصري - خلف دجاج كنتاكي - نادي الشمس - مصر الجديدة</v>
      </c>
      <c r="I2007" s="6" t="str">
        <f ca="1">IFERROR(__xludf.DUMMYFUNCTION("""COMPUTED_VALUE"""),"01154767777")</f>
        <v>01154767777</v>
      </c>
      <c r="J2007" s="6" t="str">
        <f ca="1">IFERROR(__xludf.DUMMYFUNCTION("""COMPUTED_VALUE"""),"15426")</f>
        <v>15426</v>
      </c>
      <c r="K2007" s="6" t="str">
        <f ca="1">IFERROR(__xludf.DUMMYFUNCTION("""COMPUTED_VALUE"""),"نسبة الخصم 40%")</f>
        <v>نسبة الخصم 40%</v>
      </c>
    </row>
    <row r="2008" spans="1:11" x14ac:dyDescent="0.25">
      <c r="A2008" s="4" t="str">
        <f ca="1">IFERROR(__xludf.DUMMYFUNCTION("""COMPUTED_VALUE"""),"106467-B")</f>
        <v>106467-B</v>
      </c>
      <c r="B2008" s="5" t="str">
        <f ca="1">IFERROR(__xludf.DUMMYFUNCTION("""COMPUTED_VALUE"""),"القليوبية")</f>
        <v>القليوبية</v>
      </c>
      <c r="C2008" s="5" t="str">
        <f ca="1">IFERROR(__xludf.DUMMYFUNCTION("""COMPUTED_VALUE"""),"مدينة العبور")</f>
        <v>مدينة العبور</v>
      </c>
      <c r="D2008" s="5" t="str">
        <f ca="1">IFERROR(__xludf.DUMMYFUNCTION("""COMPUTED_VALUE"""),"مركز تأهيل بدنى")</f>
        <v>مركز تأهيل بدنى</v>
      </c>
      <c r="E2008" s="5" t="str">
        <f ca="1">IFERROR(__xludf.DUMMYFUNCTION("""COMPUTED_VALUE"""),"مركز تأهيل بدنى")</f>
        <v>مركز تأهيل بدنى</v>
      </c>
      <c r="F2008" s="5" t="str">
        <f ca="1">IFERROR(__xludf.DUMMYFUNCTION("""COMPUTED_VALUE"""),"مركز تأهيل بدنى")</f>
        <v>مركز تأهيل بدنى</v>
      </c>
      <c r="G2008" s="5" t="str">
        <f ca="1">IFERROR(__xludf.DUMMYFUNCTION("""COMPUTED_VALUE"""),"جيم H2O ( للسيدات فقط )")</f>
        <v>جيم H2O ( للسيدات فقط )</v>
      </c>
      <c r="H2008" s="5" t="str">
        <f ca="1">IFERROR(__xludf.DUMMYFUNCTION("""COMPUTED_VALUE"""),"شارع صنع الله ابراهيم - الحي التاسع - العبور")</f>
        <v>شارع صنع الله ابراهيم - الحي التاسع - العبور</v>
      </c>
      <c r="I2008" s="6" t="str">
        <f ca="1">IFERROR(__xludf.DUMMYFUNCTION("""COMPUTED_VALUE"""),"01033427755")</f>
        <v>01033427755</v>
      </c>
      <c r="J2008" s="6" t="str">
        <f ca="1">IFERROR(__xludf.DUMMYFUNCTION("""COMPUTED_VALUE"""),"15426")</f>
        <v>15426</v>
      </c>
      <c r="K2008" s="6" t="str">
        <f ca="1">IFERROR(__xludf.DUMMYFUNCTION("""COMPUTED_VALUE"""),"نسبة الخصم 40%")</f>
        <v>نسبة الخصم 40%</v>
      </c>
    </row>
    <row r="2009" spans="1:11" x14ac:dyDescent="0.25">
      <c r="A2009" s="4" t="str">
        <f ca="1">IFERROR(__xludf.DUMMYFUNCTION("""COMPUTED_VALUE"""),"106467-B")</f>
        <v>106467-B</v>
      </c>
      <c r="B2009" s="5" t="str">
        <f ca="1">IFERROR(__xludf.DUMMYFUNCTION("""COMPUTED_VALUE"""),"القاهرة")</f>
        <v>القاهرة</v>
      </c>
      <c r="C2009" s="5" t="str">
        <f ca="1">IFERROR(__xludf.DUMMYFUNCTION("""COMPUTED_VALUE"""),"المقطم")</f>
        <v>المقطم</v>
      </c>
      <c r="D2009" s="5" t="str">
        <f ca="1">IFERROR(__xludf.DUMMYFUNCTION("""COMPUTED_VALUE"""),"مركز تأهيل بدنى")</f>
        <v>مركز تأهيل بدنى</v>
      </c>
      <c r="E2009" s="5" t="str">
        <f ca="1">IFERROR(__xludf.DUMMYFUNCTION("""COMPUTED_VALUE"""),"مركز تأهيل بدنى")</f>
        <v>مركز تأهيل بدنى</v>
      </c>
      <c r="F2009" s="5" t="str">
        <f ca="1">IFERROR(__xludf.DUMMYFUNCTION("""COMPUTED_VALUE"""),"مركز تأهيل بدنى")</f>
        <v>مركز تأهيل بدنى</v>
      </c>
      <c r="G2009" s="5" t="str">
        <f ca="1">IFERROR(__xludf.DUMMYFUNCTION("""COMPUTED_VALUE"""),"جيم H2O ( للسيدات فقط )")</f>
        <v>جيم H2O ( للسيدات فقط )</v>
      </c>
      <c r="H2009" s="5" t="str">
        <f ca="1">IFERROR(__xludf.DUMMYFUNCTION("""COMPUTED_VALUE"""),"شارع كريم بنونه - متفرع من شارع 9 - المقطم")</f>
        <v>شارع كريم بنونه - متفرع من شارع 9 - المقطم</v>
      </c>
      <c r="I2009" s="6" t="str">
        <f ca="1">IFERROR(__xludf.DUMMYFUNCTION("""COMPUTED_VALUE"""),"01062822226")</f>
        <v>01062822226</v>
      </c>
      <c r="J2009" s="6" t="str">
        <f ca="1">IFERROR(__xludf.DUMMYFUNCTION("""COMPUTED_VALUE"""),"15426")</f>
        <v>15426</v>
      </c>
      <c r="K2009" s="6" t="str">
        <f ca="1">IFERROR(__xludf.DUMMYFUNCTION("""COMPUTED_VALUE"""),"نسبة الخصم 40%")</f>
        <v>نسبة الخصم 40%</v>
      </c>
    </row>
    <row r="2010" spans="1:11" x14ac:dyDescent="0.25">
      <c r="A2010" s="4" t="str">
        <f ca="1">IFERROR(__xludf.DUMMYFUNCTION("""COMPUTED_VALUE"""),"106467-B")</f>
        <v>106467-B</v>
      </c>
      <c r="B2010" s="5" t="str">
        <f ca="1">IFERROR(__xludf.DUMMYFUNCTION("""COMPUTED_VALUE"""),"القاهرة")</f>
        <v>القاهرة</v>
      </c>
      <c r="C2010" s="5" t="str">
        <f ca="1">IFERROR(__xludf.DUMMYFUNCTION("""COMPUTED_VALUE"""),"مدينة نصر")</f>
        <v>مدينة نصر</v>
      </c>
      <c r="D2010" s="5" t="str">
        <f ca="1">IFERROR(__xludf.DUMMYFUNCTION("""COMPUTED_VALUE"""),"مركز تأهيل بدنى")</f>
        <v>مركز تأهيل بدنى</v>
      </c>
      <c r="E2010" s="5" t="str">
        <f ca="1">IFERROR(__xludf.DUMMYFUNCTION("""COMPUTED_VALUE"""),"مركز تأهيل بدنى")</f>
        <v>مركز تأهيل بدنى</v>
      </c>
      <c r="F2010" s="5" t="str">
        <f ca="1">IFERROR(__xludf.DUMMYFUNCTION("""COMPUTED_VALUE"""),"مركز تأهيل بدنى")</f>
        <v>مركز تأهيل بدنى</v>
      </c>
      <c r="G2010" s="5" t="str">
        <f ca="1">IFERROR(__xludf.DUMMYFUNCTION("""COMPUTED_VALUE"""),"جيم H2O ( للسيدات فقط )")</f>
        <v>جيم H2O ( للسيدات فقط )</v>
      </c>
      <c r="H2010" s="5" t="str">
        <f ca="1">IFERROR(__xludf.DUMMYFUNCTION("""COMPUTED_VALUE"""),"4/2 شارع انور المفتي - عباس العقاد - مدينة نصر")</f>
        <v>4/2 شارع انور المفتي - عباس العقاد - مدينة نصر</v>
      </c>
      <c r="I2010" s="6" t="str">
        <f ca="1">IFERROR(__xludf.DUMMYFUNCTION("""COMPUTED_VALUE"""),"01092222216")</f>
        <v>01092222216</v>
      </c>
      <c r="J2010" s="6" t="str">
        <f ca="1">IFERROR(__xludf.DUMMYFUNCTION("""COMPUTED_VALUE"""),"15426")</f>
        <v>15426</v>
      </c>
      <c r="K2010" s="6" t="str">
        <f ca="1">IFERROR(__xludf.DUMMYFUNCTION("""COMPUTED_VALUE"""),"نسبة الخصم 40%")</f>
        <v>نسبة الخصم 40%</v>
      </c>
    </row>
    <row r="2011" spans="1:11" x14ac:dyDescent="0.25">
      <c r="A2011" s="4" t="str">
        <f ca="1">IFERROR(__xludf.DUMMYFUNCTION("""COMPUTED_VALUE"""),"106467-B")</f>
        <v>106467-B</v>
      </c>
      <c r="B2011" s="5" t="str">
        <f ca="1">IFERROR(__xludf.DUMMYFUNCTION("""COMPUTED_VALUE"""),"القاهرة")</f>
        <v>القاهرة</v>
      </c>
      <c r="C2011" s="5" t="str">
        <f ca="1">IFERROR(__xludf.DUMMYFUNCTION("""COMPUTED_VALUE"""),"مصر الجديدة")</f>
        <v>مصر الجديدة</v>
      </c>
      <c r="D2011" s="5" t="str">
        <f ca="1">IFERROR(__xludf.DUMMYFUNCTION("""COMPUTED_VALUE"""),"مركز تأهيل بدنى")</f>
        <v>مركز تأهيل بدنى</v>
      </c>
      <c r="E2011" s="5" t="str">
        <f ca="1">IFERROR(__xludf.DUMMYFUNCTION("""COMPUTED_VALUE"""),"مركز تأهيل بدنى")</f>
        <v>مركز تأهيل بدنى</v>
      </c>
      <c r="F2011" s="5" t="str">
        <f ca="1">IFERROR(__xludf.DUMMYFUNCTION("""COMPUTED_VALUE"""),"مركز تأهيل بدنى")</f>
        <v>مركز تأهيل بدنى</v>
      </c>
      <c r="G2011" s="5" t="str">
        <f ca="1">IFERROR(__xludf.DUMMYFUNCTION("""COMPUTED_VALUE"""),"جيم H2O ( للسيدات فقط )")</f>
        <v>جيم H2O ( للسيدات فقط )</v>
      </c>
      <c r="H2011" s="5" t="str">
        <f ca="1">IFERROR(__xludf.DUMMYFUNCTION("""COMPUTED_VALUE"""),"4 شارع كمال الدين حسين - بجوار النساجون الشرقيون - شيراتون - مصر الجديده")</f>
        <v>4 شارع كمال الدين حسين - بجوار النساجون الشرقيون - شيراتون - مصر الجديده</v>
      </c>
      <c r="I2011" s="6" t="str">
        <f ca="1">IFERROR(__xludf.DUMMYFUNCTION("""COMPUTED_VALUE"""),"01011111563")</f>
        <v>01011111563</v>
      </c>
      <c r="J2011" s="6" t="str">
        <f ca="1">IFERROR(__xludf.DUMMYFUNCTION("""COMPUTED_VALUE"""),"15426")</f>
        <v>15426</v>
      </c>
      <c r="K2011" s="6" t="str">
        <f ca="1">IFERROR(__xludf.DUMMYFUNCTION("""COMPUTED_VALUE"""),"نسبة الخصم 40%")</f>
        <v>نسبة الخصم 40%</v>
      </c>
    </row>
    <row r="2012" spans="1:11" x14ac:dyDescent="0.25">
      <c r="A2012" s="4" t="str">
        <f ca="1">IFERROR(__xludf.DUMMYFUNCTION("""COMPUTED_VALUE"""),"106467-B")</f>
        <v>106467-B</v>
      </c>
      <c r="B2012" s="5" t="str">
        <f ca="1">IFERROR(__xludf.DUMMYFUNCTION("""COMPUTED_VALUE"""),"القاهرة")</f>
        <v>القاهرة</v>
      </c>
      <c r="C2012" s="5" t="str">
        <f ca="1">IFERROR(__xludf.DUMMYFUNCTION("""COMPUTED_VALUE"""),"شبرا")</f>
        <v>شبرا</v>
      </c>
      <c r="D2012" s="5" t="str">
        <f ca="1">IFERROR(__xludf.DUMMYFUNCTION("""COMPUTED_VALUE"""),"مركز تأهيل بدنى")</f>
        <v>مركز تأهيل بدنى</v>
      </c>
      <c r="E2012" s="5" t="str">
        <f ca="1">IFERROR(__xludf.DUMMYFUNCTION("""COMPUTED_VALUE"""),"مركز تأهيل بدنى")</f>
        <v>مركز تأهيل بدنى</v>
      </c>
      <c r="F2012" s="5" t="str">
        <f ca="1">IFERROR(__xludf.DUMMYFUNCTION("""COMPUTED_VALUE"""),"مركز تأهيل بدنى")</f>
        <v>مركز تأهيل بدنى</v>
      </c>
      <c r="G2012" s="5" t="str">
        <f ca="1">IFERROR(__xludf.DUMMYFUNCTION("""COMPUTED_VALUE"""),"جيم H2O ( للسيدات فقط )")</f>
        <v>جيم H2O ( للسيدات فقط )</v>
      </c>
      <c r="H2012" s="5" t="str">
        <f ca="1">IFERROR(__xludf.DUMMYFUNCTION("""COMPUTED_VALUE"""),"13 ب شارع دولتيان - امام مدرسة حدائق شبرا - شبرا مصر - شبرا")</f>
        <v>13 ب شارع دولتيان - امام مدرسة حدائق شبرا - شبرا مصر - شبرا</v>
      </c>
      <c r="I2012" s="6" t="str">
        <f ca="1">IFERROR(__xludf.DUMMYFUNCTION("""COMPUTED_VALUE"""),"01011111857")</f>
        <v>01011111857</v>
      </c>
      <c r="J2012" s="6" t="str">
        <f ca="1">IFERROR(__xludf.DUMMYFUNCTION("""COMPUTED_VALUE"""),"15426")</f>
        <v>15426</v>
      </c>
      <c r="K2012" s="6" t="str">
        <f ca="1">IFERROR(__xludf.DUMMYFUNCTION("""COMPUTED_VALUE"""),"نسبة الخصم 40%")</f>
        <v>نسبة الخصم 40%</v>
      </c>
    </row>
    <row r="2013" spans="1:11" x14ac:dyDescent="0.25">
      <c r="A2013" s="4" t="str">
        <f ca="1">IFERROR(__xludf.DUMMYFUNCTION("""COMPUTED_VALUE"""),"106467-B")</f>
        <v>106467-B</v>
      </c>
      <c r="B2013" s="5" t="str">
        <f ca="1">IFERROR(__xludf.DUMMYFUNCTION("""COMPUTED_VALUE"""),"القاهرة")</f>
        <v>القاهرة</v>
      </c>
      <c r="C2013" s="5" t="str">
        <f ca="1">IFERROR(__xludf.DUMMYFUNCTION("""COMPUTED_VALUE"""),"حلوان")</f>
        <v>حلوان</v>
      </c>
      <c r="D2013" s="5" t="str">
        <f ca="1">IFERROR(__xludf.DUMMYFUNCTION("""COMPUTED_VALUE"""),"مركز تأهيل بدنى")</f>
        <v>مركز تأهيل بدنى</v>
      </c>
      <c r="E2013" s="5" t="str">
        <f ca="1">IFERROR(__xludf.DUMMYFUNCTION("""COMPUTED_VALUE"""),"مركز تأهيل بدنى")</f>
        <v>مركز تأهيل بدنى</v>
      </c>
      <c r="F2013" s="5" t="str">
        <f ca="1">IFERROR(__xludf.DUMMYFUNCTION("""COMPUTED_VALUE"""),"مركز تأهيل بدنى")</f>
        <v>مركز تأهيل بدنى</v>
      </c>
      <c r="G2013" s="5" t="str">
        <f ca="1">IFERROR(__xludf.DUMMYFUNCTION("""COMPUTED_VALUE"""),"جيم H2O ( للسيدات فقط )")</f>
        <v>جيم H2O ( للسيدات فقط )</v>
      </c>
      <c r="H2013" s="5" t="str">
        <f ca="1">IFERROR(__xludf.DUMMYFUNCTION("""COMPUTED_VALUE"""),"شارع عبدالرحمن علي فايضي - بجوار الحي الرئاسي - حلوان")</f>
        <v>شارع عبدالرحمن علي فايضي - بجوار الحي الرئاسي - حلوان</v>
      </c>
      <c r="I2013" s="6" t="str">
        <f ca="1">IFERROR(__xludf.DUMMYFUNCTION("""COMPUTED_VALUE"""),"01118908886")</f>
        <v>01118908886</v>
      </c>
      <c r="J2013" s="6" t="str">
        <f ca="1">IFERROR(__xludf.DUMMYFUNCTION("""COMPUTED_VALUE"""),"15426")</f>
        <v>15426</v>
      </c>
      <c r="K2013" s="6" t="str">
        <f ca="1">IFERROR(__xludf.DUMMYFUNCTION("""COMPUTED_VALUE"""),"نسبة الخصم 40%")</f>
        <v>نسبة الخصم 40%</v>
      </c>
    </row>
    <row r="2014" spans="1:11" x14ac:dyDescent="0.25">
      <c r="A2014" s="4" t="str">
        <f ca="1">IFERROR(__xludf.DUMMYFUNCTION("""COMPUTED_VALUE"""),"106467-B")</f>
        <v>106467-B</v>
      </c>
      <c r="B2014" s="5" t="str">
        <f ca="1">IFERROR(__xludf.DUMMYFUNCTION("""COMPUTED_VALUE"""),"القاهرة")</f>
        <v>القاهرة</v>
      </c>
      <c r="C2014" s="5" t="str">
        <f ca="1">IFERROR(__xludf.DUMMYFUNCTION("""COMPUTED_VALUE"""),"المعادى")</f>
        <v>المعادى</v>
      </c>
      <c r="D2014" s="5" t="str">
        <f ca="1">IFERROR(__xludf.DUMMYFUNCTION("""COMPUTED_VALUE"""),"مركز تأهيل بدنى")</f>
        <v>مركز تأهيل بدنى</v>
      </c>
      <c r="E2014" s="5" t="str">
        <f ca="1">IFERROR(__xludf.DUMMYFUNCTION("""COMPUTED_VALUE"""),"مركز تأهيل بدنى")</f>
        <v>مركز تأهيل بدنى</v>
      </c>
      <c r="F2014" s="5" t="str">
        <f ca="1">IFERROR(__xludf.DUMMYFUNCTION("""COMPUTED_VALUE"""),"مركز تأهيل بدنى")</f>
        <v>مركز تأهيل بدنى</v>
      </c>
      <c r="G2014" s="5" t="str">
        <f ca="1">IFERROR(__xludf.DUMMYFUNCTION("""COMPUTED_VALUE"""),"جيم H2O ( للسيدات فقط )")</f>
        <v>جيم H2O ( للسيدات فقط )</v>
      </c>
      <c r="H2014" s="5" t="str">
        <f ca="1">IFERROR(__xludf.DUMMYFUNCTION("""COMPUTED_VALUE"""),"شارع 263 - عمارة 27 - المعادي الجديده - المعادي")</f>
        <v>شارع 263 - عمارة 27 - المعادي الجديده - المعادي</v>
      </c>
      <c r="I2014" s="6" t="str">
        <f ca="1">IFERROR(__xludf.DUMMYFUNCTION("""COMPUTED_VALUE"""),"01155555305")</f>
        <v>01155555305</v>
      </c>
      <c r="J2014" s="6" t="str">
        <f ca="1">IFERROR(__xludf.DUMMYFUNCTION("""COMPUTED_VALUE"""),"15426")</f>
        <v>15426</v>
      </c>
      <c r="K2014" s="6" t="str">
        <f ca="1">IFERROR(__xludf.DUMMYFUNCTION("""COMPUTED_VALUE"""),"نسبة الخصم 40%")</f>
        <v>نسبة الخصم 40%</v>
      </c>
    </row>
    <row r="2015" spans="1:11" x14ac:dyDescent="0.25">
      <c r="A2015" s="4" t="str">
        <f ca="1">IFERROR(__xludf.DUMMYFUNCTION("""COMPUTED_VALUE"""),"106466")</f>
        <v>106466</v>
      </c>
      <c r="B2015" s="5" t="str">
        <f ca="1">IFERROR(__xludf.DUMMYFUNCTION("""COMPUTED_VALUE"""),"الجيزة")</f>
        <v>الجيزة</v>
      </c>
      <c r="C2015" s="5" t="str">
        <f ca="1">IFERROR(__xludf.DUMMYFUNCTION("""COMPUTED_VALUE"""),"المهندسين")</f>
        <v>المهندسين</v>
      </c>
      <c r="D2015" s="5" t="str">
        <f ca="1">IFERROR(__xludf.DUMMYFUNCTION("""COMPUTED_VALUE"""),"مجمع عيادات")</f>
        <v>مجمع عيادات</v>
      </c>
      <c r="E2015" s="5" t="str">
        <f ca="1">IFERROR(__xludf.DUMMYFUNCTION("""COMPUTED_VALUE"""),"العناية بالبشرة ومستحضرات التجميل")</f>
        <v>العناية بالبشرة ومستحضرات التجميل</v>
      </c>
      <c r="F2015" s="5" t="str">
        <f ca="1">IFERROR(__xludf.DUMMYFUNCTION("""COMPUTED_VALUE"""),"العناية بالبشرة ومستحضرات التجميل")</f>
        <v>العناية بالبشرة ومستحضرات التجميل</v>
      </c>
      <c r="G2015" s="5" t="str">
        <f ca="1">IFERROR(__xludf.DUMMYFUNCTION("""COMPUTED_VALUE"""),"عيادات ديفا")</f>
        <v>عيادات ديفا</v>
      </c>
      <c r="H2015" s="5" t="str">
        <f ca="1">IFERROR(__xludf.DUMMYFUNCTION("""COMPUTED_VALUE""")," 3شارع لبنان متفرع من جزيرة العرب - المهندسين - الجيزة")</f>
        <v xml:space="preserve"> 3شارع لبنان متفرع من جزيرة العرب - المهندسين - الجيزة</v>
      </c>
      <c r="I2015" s="6" t="str">
        <f ca="1">IFERROR(__xludf.DUMMYFUNCTION("""COMPUTED_VALUE"""),"01121928701")</f>
        <v>01121928701</v>
      </c>
      <c r="J2015" s="6"/>
      <c r="K2015" s="6" t="str">
        <f ca="1">IFERROR(__xludf.DUMMYFUNCTION("""COMPUTED_VALUE"""),"نسبة الخصم 30%")</f>
        <v>نسبة الخصم 30%</v>
      </c>
    </row>
    <row r="2016" spans="1:11" x14ac:dyDescent="0.25">
      <c r="A2016" s="4" t="str">
        <f ca="1">IFERROR(__xludf.DUMMYFUNCTION("""COMPUTED_VALUE"""),"106465")</f>
        <v>106465</v>
      </c>
      <c r="B2016" s="5" t="str">
        <f ca="1">IFERROR(__xludf.DUMMYFUNCTION("""COMPUTED_VALUE"""),"الجيزة")</f>
        <v>الجيزة</v>
      </c>
      <c r="C2016" s="5" t="str">
        <f ca="1">IFERROR(__xludf.DUMMYFUNCTION("""COMPUTED_VALUE"""),"المهندسين")</f>
        <v>المهندسين</v>
      </c>
      <c r="D2016" s="5" t="str">
        <f ca="1">IFERROR(__xludf.DUMMYFUNCTION("""COMPUTED_VALUE"""),"مجمع عيادات")</f>
        <v>مجمع عيادات</v>
      </c>
      <c r="E2016" s="5" t="str">
        <f ca="1">IFERROR(__xludf.DUMMYFUNCTION("""COMPUTED_VALUE"""),"العناية بالبشرة ومستحضرات التجميل")</f>
        <v>العناية بالبشرة ومستحضرات التجميل</v>
      </c>
      <c r="F2016" s="5" t="str">
        <f ca="1">IFERROR(__xludf.DUMMYFUNCTION("""COMPUTED_VALUE"""),"العناية بالبشرة ومستحضرات التجميل")</f>
        <v>العناية بالبشرة ومستحضرات التجميل</v>
      </c>
      <c r="G2016" s="5" t="str">
        <f ca="1">IFERROR(__xludf.DUMMYFUNCTION("""COMPUTED_VALUE"""),"عيادات الحياة الجديده")</f>
        <v>عيادات الحياة الجديده</v>
      </c>
      <c r="H2016" s="5" t="str">
        <f ca="1">IFERROR(__xludf.DUMMYFUNCTION("""COMPUTED_VALUE"""),"27شارع جزيرة ألعرب- المهندسين")</f>
        <v>27شارع جزيرة ألعرب- المهندسين</v>
      </c>
      <c r="I2016" s="6" t="str">
        <f ca="1">IFERROR(__xludf.DUMMYFUNCTION("""COMPUTED_VALUE"""),"01023218003")</f>
        <v>01023218003</v>
      </c>
      <c r="J2016" s="6"/>
      <c r="K2016" s="6" t="str">
        <f ca="1">IFERROR(__xludf.DUMMYFUNCTION("""COMPUTED_VALUE"""),"نسبة الخصم 25%")</f>
        <v>نسبة الخصم 25%</v>
      </c>
    </row>
    <row r="2017" spans="1:11" x14ac:dyDescent="0.25">
      <c r="A2017" s="4" t="str">
        <f ca="1">IFERROR(__xludf.DUMMYFUNCTION("""COMPUTED_VALUE"""),"106465-B")</f>
        <v>106465-B</v>
      </c>
      <c r="B2017" s="5" t="str">
        <f ca="1">IFERROR(__xludf.DUMMYFUNCTION("""COMPUTED_VALUE"""),"القاهرة")</f>
        <v>القاهرة</v>
      </c>
      <c r="C2017" s="5" t="str">
        <f ca="1">IFERROR(__xludf.DUMMYFUNCTION("""COMPUTED_VALUE"""),"مدينة نصر")</f>
        <v>مدينة نصر</v>
      </c>
      <c r="D2017" s="5" t="str">
        <f ca="1">IFERROR(__xludf.DUMMYFUNCTION("""COMPUTED_VALUE"""),"مجمع عيادات")</f>
        <v>مجمع عيادات</v>
      </c>
      <c r="E2017" s="5" t="str">
        <f ca="1">IFERROR(__xludf.DUMMYFUNCTION("""COMPUTED_VALUE"""),"العناية بالبشرة ومستحضرات التجميل")</f>
        <v>العناية بالبشرة ومستحضرات التجميل</v>
      </c>
      <c r="F2017" s="5" t="str">
        <f ca="1">IFERROR(__xludf.DUMMYFUNCTION("""COMPUTED_VALUE"""),"جراحة التجميل والليزر")</f>
        <v>جراحة التجميل والليزر</v>
      </c>
      <c r="G2017" s="5" t="str">
        <f ca="1">IFERROR(__xludf.DUMMYFUNCTION("""COMPUTED_VALUE"""),"عيادات الحياة الجديده")</f>
        <v>عيادات الحياة الجديده</v>
      </c>
      <c r="H2017" s="5" t="str">
        <f ca="1">IFERROR(__xludf.DUMMYFUNCTION("""COMPUTED_VALUE"""),"115 شارع مصطفي النحاس - فوق سوبرماركت المحلاوي -مدينة نصر")</f>
        <v>115 شارع مصطفي النحاس - فوق سوبرماركت المحلاوي -مدينة نصر</v>
      </c>
      <c r="I2017" s="6" t="str">
        <f ca="1">IFERROR(__xludf.DUMMYFUNCTION("""COMPUTED_VALUE"""),"01200018625")</f>
        <v>01200018625</v>
      </c>
      <c r="J2017" s="6"/>
      <c r="K2017" s="6" t="str">
        <f ca="1">IFERROR(__xludf.DUMMYFUNCTION("""COMPUTED_VALUE"""),"نسبة الخصم 25%")</f>
        <v>نسبة الخصم 25%</v>
      </c>
    </row>
    <row r="2018" spans="1:11" x14ac:dyDescent="0.25">
      <c r="A2018" s="4" t="str">
        <f ca="1">IFERROR(__xludf.DUMMYFUNCTION("""COMPUTED_VALUE"""),"106463")</f>
        <v>106463</v>
      </c>
      <c r="B2018" s="5" t="str">
        <f ca="1">IFERROR(__xludf.DUMMYFUNCTION("""COMPUTED_VALUE"""),"الجيزة")</f>
        <v>الجيزة</v>
      </c>
      <c r="C2018" s="5" t="str">
        <f ca="1">IFERROR(__xludf.DUMMYFUNCTION("""COMPUTED_VALUE"""),"المهندسين")</f>
        <v>المهندسين</v>
      </c>
      <c r="D2018" s="5" t="str">
        <f ca="1">IFERROR(__xludf.DUMMYFUNCTION("""COMPUTED_VALUE"""),"مركز تأهيل بدنى")</f>
        <v>مركز تأهيل بدنى</v>
      </c>
      <c r="E2018" s="5" t="str">
        <f ca="1">IFERROR(__xludf.DUMMYFUNCTION("""COMPUTED_VALUE"""),"مركز تأهيل بدنى")</f>
        <v>مركز تأهيل بدنى</v>
      </c>
      <c r="F2018" s="5" t="str">
        <f ca="1">IFERROR(__xludf.DUMMYFUNCTION("""COMPUTED_VALUE"""),"مركز تأهيل بدنى")</f>
        <v>مركز تأهيل بدنى</v>
      </c>
      <c r="G2018" s="5" t="str">
        <f ca="1">IFERROR(__xludf.DUMMYFUNCTION("""COMPUTED_VALUE"""),"جيم World")</f>
        <v>جيم World</v>
      </c>
      <c r="H2018" s="5" t="str">
        <f ca="1">IFERROR(__xludf.DUMMYFUNCTION("""COMPUTED_VALUE"""),"رقم 18 شارع دمشق - متفرع من شارع سوريا - المهندسين")</f>
        <v>رقم 18 شارع دمشق - متفرع من شارع سوريا - المهندسين</v>
      </c>
      <c r="I2018" s="6" t="str">
        <f ca="1">IFERROR(__xludf.DUMMYFUNCTION("""COMPUTED_VALUE"""),"0237623640")</f>
        <v>0237623640</v>
      </c>
      <c r="J2018" s="6"/>
      <c r="K2018" s="6" t="str">
        <f ca="1">IFERROR(__xludf.DUMMYFUNCTION("""COMPUTED_VALUE"""),"نسبة الخصم 20%")</f>
        <v>نسبة الخصم 20%</v>
      </c>
    </row>
    <row r="2019" spans="1:11" x14ac:dyDescent="0.25">
      <c r="A2019" s="4" t="str">
        <f ca="1">IFERROR(__xludf.DUMMYFUNCTION("""COMPUTED_VALUE"""),"106464")</f>
        <v>106464</v>
      </c>
      <c r="B2019" s="5" t="str">
        <f ca="1">IFERROR(__xludf.DUMMYFUNCTION("""COMPUTED_VALUE"""),"القاهرة")</f>
        <v>القاهرة</v>
      </c>
      <c r="C2019" s="5" t="str">
        <f ca="1">IFERROR(__xludf.DUMMYFUNCTION("""COMPUTED_VALUE"""),"القاهرة الجديدة")</f>
        <v>القاهرة الجديدة</v>
      </c>
      <c r="D2019" s="5" t="str">
        <f ca="1">IFERROR(__xludf.DUMMYFUNCTION("""COMPUTED_VALUE"""),"مركز تأهيل بدنى")</f>
        <v>مركز تأهيل بدنى</v>
      </c>
      <c r="E2019" s="5" t="str">
        <f ca="1">IFERROR(__xludf.DUMMYFUNCTION("""COMPUTED_VALUE"""),"مركز تأهيل بدنى")</f>
        <v>مركز تأهيل بدنى</v>
      </c>
      <c r="F2019" s="5" t="str">
        <f ca="1">IFERROR(__xludf.DUMMYFUNCTION("""COMPUTED_VALUE"""),"مركز تأهيل بدنى")</f>
        <v>مركز تأهيل بدنى</v>
      </c>
      <c r="G2019" s="5" t="str">
        <f ca="1">IFERROR(__xludf.DUMMYFUNCTION("""COMPUTED_VALUE"""),"جيم World")</f>
        <v>جيم World</v>
      </c>
      <c r="H2019" s="5" t="str">
        <f ca="1">IFERROR(__xludf.DUMMYFUNCTION("""COMPUTED_VALUE"""),"شارع التسعين الشمالي - مكسيم مول - الدور التاني - التجمع الخامس")</f>
        <v>شارع التسعين الشمالي - مكسيم مول - الدور التاني - التجمع الخامس</v>
      </c>
      <c r="I2019" s="6" t="str">
        <f ca="1">IFERROR(__xludf.DUMMYFUNCTION("""COMPUTED_VALUE"""),"01062909696")</f>
        <v>01062909696</v>
      </c>
      <c r="J2019" s="6"/>
      <c r="K2019" s="6" t="str">
        <f ca="1">IFERROR(__xludf.DUMMYFUNCTION("""COMPUTED_VALUE"""),"نسبة الخصم 10%")</f>
        <v>نسبة الخصم 10%</v>
      </c>
    </row>
    <row r="2020" spans="1:11" x14ac:dyDescent="0.25">
      <c r="A2020" s="4" t="str">
        <f ca="1">IFERROR(__xludf.DUMMYFUNCTION("""COMPUTED_VALUE"""),"106462")</f>
        <v>106462</v>
      </c>
      <c r="B2020" s="5" t="str">
        <f ca="1">IFERROR(__xludf.DUMMYFUNCTION("""COMPUTED_VALUE"""),"القاهرة")</f>
        <v>القاهرة</v>
      </c>
      <c r="C2020" s="5" t="str">
        <f ca="1">IFERROR(__xludf.DUMMYFUNCTION("""COMPUTED_VALUE"""),"القاهرة الجديدة")</f>
        <v>القاهرة الجديدة</v>
      </c>
      <c r="D2020" s="5" t="str">
        <f ca="1">IFERROR(__xludf.DUMMYFUNCTION("""COMPUTED_VALUE"""),"مجمع عيادات")</f>
        <v>مجمع عيادات</v>
      </c>
      <c r="E2020" s="5" t="str">
        <f ca="1">IFERROR(__xludf.DUMMYFUNCTION("""COMPUTED_VALUE"""),"تجميل الاسنان")</f>
        <v>تجميل الاسنان</v>
      </c>
      <c r="F2020" s="5" t="str">
        <f ca="1">IFERROR(__xludf.DUMMYFUNCTION("""COMPUTED_VALUE"""),"تجميل الاسنان")</f>
        <v>تجميل الاسنان</v>
      </c>
      <c r="G2020" s="5" t="str">
        <f ca="1">IFERROR(__xludf.DUMMYFUNCTION("""COMPUTED_VALUE"""),"عيادات ويتي (دكتور محمد عماد)")</f>
        <v>عيادات ويتي (دكتور محمد عماد)</v>
      </c>
      <c r="H2020" s="5" t="str">
        <f ca="1">IFERROR(__xludf.DUMMYFUNCTION("""COMPUTED_VALUE"""),"مبني Cairo Business Plaza .اخر التسعين الشمالي-خلف Oskar مول-المبني الشمال-الدور الأول -وحدة 101")</f>
        <v>مبني Cairo Business Plaza .اخر التسعين الشمالي-خلف Oskar مول-المبني الشمال-الدور الأول -وحدة 101</v>
      </c>
      <c r="I2020" s="6" t="str">
        <f ca="1">IFERROR(__xludf.DUMMYFUNCTION("""COMPUTED_VALUE"""),"01020655554")</f>
        <v>01020655554</v>
      </c>
      <c r="J2020" s="6" t="str">
        <f ca="1">IFERROR(__xludf.DUMMYFUNCTION("""COMPUTED_VALUE"""),"19227")</f>
        <v>19227</v>
      </c>
      <c r="K2020" s="6" t="str">
        <f ca="1">IFERROR(__xludf.DUMMYFUNCTION("""COMPUTED_VALUE"""),"نسبة الخصم 25%")</f>
        <v>نسبة الخصم 25%</v>
      </c>
    </row>
    <row r="2021" spans="1:11" x14ac:dyDescent="0.25">
      <c r="A2021" s="4" t="str">
        <f ca="1">IFERROR(__xludf.DUMMYFUNCTION("""COMPUTED_VALUE"""),"106462-B")</f>
        <v>106462-B</v>
      </c>
      <c r="B2021" s="5" t="str">
        <f ca="1">IFERROR(__xludf.DUMMYFUNCTION("""COMPUTED_VALUE"""),"القاهرة")</f>
        <v>القاهرة</v>
      </c>
      <c r="C2021" s="5" t="str">
        <f ca="1">IFERROR(__xludf.DUMMYFUNCTION("""COMPUTED_VALUE"""),"مدينة نصر")</f>
        <v>مدينة نصر</v>
      </c>
      <c r="D2021" s="5" t="str">
        <f ca="1">IFERROR(__xludf.DUMMYFUNCTION("""COMPUTED_VALUE"""),"مجمع عيادات")</f>
        <v>مجمع عيادات</v>
      </c>
      <c r="E2021" s="5" t="str">
        <f ca="1">IFERROR(__xludf.DUMMYFUNCTION("""COMPUTED_VALUE"""),"تجميل الاسنان")</f>
        <v>تجميل الاسنان</v>
      </c>
      <c r="F2021" s="5" t="str">
        <f ca="1">IFERROR(__xludf.DUMMYFUNCTION("""COMPUTED_VALUE"""),"تجميل الاسنان")</f>
        <v>تجميل الاسنان</v>
      </c>
      <c r="G2021" s="5" t="str">
        <f ca="1">IFERROR(__xludf.DUMMYFUNCTION("""COMPUTED_VALUE"""),"عيادات ويتي (دكتور محمد عماد)")</f>
        <v>عيادات ويتي (دكتور محمد عماد)</v>
      </c>
      <c r="H2021" s="5" t="str">
        <f ca="1">IFERROR(__xludf.DUMMYFUNCTION("""COMPUTED_VALUE"""),"123 شارع الاميره ديانا - حسن مأمون - المنطقة السادسة- مدينة نصر")</f>
        <v>123 شارع الاميره ديانا - حسن مأمون - المنطقة السادسة- مدينة نصر</v>
      </c>
      <c r="I2021" s="6" t="str">
        <f ca="1">IFERROR(__xludf.DUMMYFUNCTION("""COMPUTED_VALUE"""),"01020655554")</f>
        <v>01020655554</v>
      </c>
      <c r="J2021" s="6" t="str">
        <f ca="1">IFERROR(__xludf.DUMMYFUNCTION("""COMPUTED_VALUE"""),"19227")</f>
        <v>19227</v>
      </c>
      <c r="K2021" s="6" t="str">
        <f ca="1">IFERROR(__xludf.DUMMYFUNCTION("""COMPUTED_VALUE"""),"نسبة الخصم 25%")</f>
        <v>نسبة الخصم 25%</v>
      </c>
    </row>
    <row r="2022" spans="1:11" x14ac:dyDescent="0.25">
      <c r="A2022" s="4" t="str">
        <f ca="1">IFERROR(__xludf.DUMMYFUNCTION("""COMPUTED_VALUE"""),"106462-B")</f>
        <v>106462-B</v>
      </c>
      <c r="B2022" s="5" t="str">
        <f ca="1">IFERROR(__xludf.DUMMYFUNCTION("""COMPUTED_VALUE"""),"الجيزة")</f>
        <v>الجيزة</v>
      </c>
      <c r="C2022" s="5" t="str">
        <f ca="1">IFERROR(__xludf.DUMMYFUNCTION("""COMPUTED_VALUE"""),"الشيخ زايد")</f>
        <v>الشيخ زايد</v>
      </c>
      <c r="D2022" s="5" t="str">
        <f ca="1">IFERROR(__xludf.DUMMYFUNCTION("""COMPUTED_VALUE"""),"مجمع عيادات")</f>
        <v>مجمع عيادات</v>
      </c>
      <c r="E2022" s="5" t="str">
        <f ca="1">IFERROR(__xludf.DUMMYFUNCTION("""COMPUTED_VALUE"""),"تجميل الاسنان")</f>
        <v>تجميل الاسنان</v>
      </c>
      <c r="F2022" s="5" t="str">
        <f ca="1">IFERROR(__xludf.DUMMYFUNCTION("""COMPUTED_VALUE"""),"تجميل الاسنان")</f>
        <v>تجميل الاسنان</v>
      </c>
      <c r="G2022" s="5" t="str">
        <f ca="1">IFERROR(__xludf.DUMMYFUNCTION("""COMPUTED_VALUE"""),"عيادات ويتي (دكتور محمد عماد)")</f>
        <v>عيادات ويتي (دكتور محمد عماد)</v>
      </c>
      <c r="H2022" s="5" t="str">
        <f ca="1">IFERROR(__xludf.DUMMYFUNCTION("""COMPUTED_VALUE"""),"بارك ستريت مول - مبني B2 - الشيخ زايد")</f>
        <v>بارك ستريت مول - مبني B2 - الشيخ زايد</v>
      </c>
      <c r="I2022" s="6" t="str">
        <f ca="1">IFERROR(__xludf.DUMMYFUNCTION("""COMPUTED_VALUE"""),"01020655554")</f>
        <v>01020655554</v>
      </c>
      <c r="J2022" s="6" t="str">
        <f ca="1">IFERROR(__xludf.DUMMYFUNCTION("""COMPUTED_VALUE"""),"19227")</f>
        <v>19227</v>
      </c>
      <c r="K2022" s="6" t="str">
        <f ca="1">IFERROR(__xludf.DUMMYFUNCTION("""COMPUTED_VALUE"""),"نسبة الخصم 25%")</f>
        <v>نسبة الخصم 25%</v>
      </c>
    </row>
    <row r="2023" spans="1:11" x14ac:dyDescent="0.25">
      <c r="A2023" s="4" t="str">
        <f ca="1">IFERROR(__xludf.DUMMYFUNCTION("""COMPUTED_VALUE"""),"106461")</f>
        <v>106461</v>
      </c>
      <c r="B2023" s="5" t="str">
        <f ca="1">IFERROR(__xludf.DUMMYFUNCTION("""COMPUTED_VALUE"""),"القاهرة")</f>
        <v>القاهرة</v>
      </c>
      <c r="C2023" s="5" t="str">
        <f ca="1">IFERROR(__xludf.DUMMYFUNCTION("""COMPUTED_VALUE"""),"مصر الجديدة")</f>
        <v>مصر الجديدة</v>
      </c>
      <c r="D2023" s="5" t="str">
        <f ca="1">IFERROR(__xludf.DUMMYFUNCTION("""COMPUTED_VALUE"""),"مجمع عيادات")</f>
        <v>مجمع عيادات</v>
      </c>
      <c r="E2023" s="5" t="str">
        <f ca="1">IFERROR(__xludf.DUMMYFUNCTION("""COMPUTED_VALUE"""),"العناية بالبشرة ومستحضرات التجميل")</f>
        <v>العناية بالبشرة ومستحضرات التجميل</v>
      </c>
      <c r="F2023" s="5" t="str">
        <f ca="1">IFERROR(__xludf.DUMMYFUNCTION("""COMPUTED_VALUE"""),"العناية بالبشرة ومستحضرات التجميل")</f>
        <v>العناية بالبشرة ومستحضرات التجميل</v>
      </c>
      <c r="G2023" s="5" t="str">
        <f ca="1">IFERROR(__xludf.DUMMYFUNCTION("""COMPUTED_VALUE"""),"عيادات كيوتس")</f>
        <v>عيادات كيوتس</v>
      </c>
      <c r="H2023" s="5" t="str">
        <f ca="1">IFERROR(__xludf.DUMMYFUNCTION("""COMPUTED_VALUE"""),"2 شارع الفيوم - الكوربة - مصر الجديده - القاهره")</f>
        <v>2 شارع الفيوم - الكوربة - مصر الجديده - القاهره</v>
      </c>
      <c r="I2023" s="6" t="str">
        <f ca="1">IFERROR(__xludf.DUMMYFUNCTION("""COMPUTED_VALUE"""),"01009070000")</f>
        <v>01009070000</v>
      </c>
      <c r="J2023" s="6"/>
      <c r="K2023" s="6" t="str">
        <f ca="1">IFERROR(__xludf.DUMMYFUNCTION("""COMPUTED_VALUE"""),"خصم يصل الي 50% علي الكشف, 20% علي الخدمات العلاجية و 15% علي الخدمات التجميلية ")</f>
        <v xml:space="preserve">خصم يصل الي 50% علي الكشف, 20% علي الخدمات العلاجية و 15% علي الخدمات التجميلية </v>
      </c>
    </row>
    <row r="2024" spans="1:11" x14ac:dyDescent="0.25">
      <c r="A2024" s="4" t="str">
        <f ca="1">IFERROR(__xludf.DUMMYFUNCTION("""COMPUTED_VALUE"""),"106461-B")</f>
        <v>106461-B</v>
      </c>
      <c r="B2024" s="5" t="str">
        <f ca="1">IFERROR(__xludf.DUMMYFUNCTION("""COMPUTED_VALUE"""),"القاهرة")</f>
        <v>القاهرة</v>
      </c>
      <c r="C2024" s="5" t="str">
        <f ca="1">IFERROR(__xludf.DUMMYFUNCTION("""COMPUTED_VALUE"""),"القاهرة الجديدة")</f>
        <v>القاهرة الجديدة</v>
      </c>
      <c r="D2024" s="5" t="str">
        <f ca="1">IFERROR(__xludf.DUMMYFUNCTION("""COMPUTED_VALUE"""),"مجمع عيادات")</f>
        <v>مجمع عيادات</v>
      </c>
      <c r="E2024" s="5" t="str">
        <f ca="1">IFERROR(__xludf.DUMMYFUNCTION("""COMPUTED_VALUE"""),"العناية بالبشرة ومستحضرات التجميل")</f>
        <v>العناية بالبشرة ومستحضرات التجميل</v>
      </c>
      <c r="F2024" s="5" t="str">
        <f ca="1">IFERROR(__xludf.DUMMYFUNCTION("""COMPUTED_VALUE"""),"العناية بالبشرة ومستحضرات التجميل")</f>
        <v>العناية بالبشرة ومستحضرات التجميل</v>
      </c>
      <c r="G2024" s="5" t="str">
        <f ca="1">IFERROR(__xludf.DUMMYFUNCTION("""COMPUTED_VALUE"""),"عيادات كيوتس")</f>
        <v>عيادات كيوتس</v>
      </c>
      <c r="H2024" s="5" t="str">
        <f ca="1">IFERROR(__xludf.DUMMYFUNCTION("""COMPUTED_VALUE"""),"شارع 90 الشمالي - مبني CMC - الدور 3 - unit 320 - التجمع الخامس")</f>
        <v>شارع 90 الشمالي - مبني CMC - الدور 3 - unit 320 - التجمع الخامس</v>
      </c>
      <c r="I2024" s="6" t="str">
        <f ca="1">IFERROR(__xludf.DUMMYFUNCTION("""COMPUTED_VALUE"""),"01009070000")</f>
        <v>01009070000</v>
      </c>
      <c r="J2024" s="6"/>
      <c r="K2024" s="6" t="str">
        <f ca="1">IFERROR(__xludf.DUMMYFUNCTION("""COMPUTED_VALUE"""),"خصم يصل الي 50% علي الكشف, 20% علي الخدمات العلاجية و 15% علي الخدمات التجميلية ")</f>
        <v xml:space="preserve">خصم يصل الي 50% علي الكشف, 20% علي الخدمات العلاجية و 15% علي الخدمات التجميلية </v>
      </c>
    </row>
    <row r="2025" spans="1:11" x14ac:dyDescent="0.25">
      <c r="A2025" s="4" t="str">
        <f ca="1">IFERROR(__xludf.DUMMYFUNCTION("""COMPUTED_VALUE"""),"106461-B")</f>
        <v>106461-B</v>
      </c>
      <c r="B2025" s="5" t="str">
        <f ca="1">IFERROR(__xludf.DUMMYFUNCTION("""COMPUTED_VALUE"""),"الجيزة")</f>
        <v>الجيزة</v>
      </c>
      <c r="C2025" s="5" t="str">
        <f ca="1">IFERROR(__xludf.DUMMYFUNCTION("""COMPUTED_VALUE"""),"المهندسين")</f>
        <v>المهندسين</v>
      </c>
      <c r="D2025" s="5" t="str">
        <f ca="1">IFERROR(__xludf.DUMMYFUNCTION("""COMPUTED_VALUE"""),"مجمع عيادات")</f>
        <v>مجمع عيادات</v>
      </c>
      <c r="E2025" s="5" t="str">
        <f ca="1">IFERROR(__xludf.DUMMYFUNCTION("""COMPUTED_VALUE"""),"العناية بالبشرة ومستحضرات التجميل")</f>
        <v>العناية بالبشرة ومستحضرات التجميل</v>
      </c>
      <c r="F2025" s="5" t="str">
        <f ca="1">IFERROR(__xludf.DUMMYFUNCTION("""COMPUTED_VALUE"""),"العناية بالبشرة ومستحضرات التجميل")</f>
        <v>العناية بالبشرة ومستحضرات التجميل</v>
      </c>
      <c r="G2025" s="5" t="str">
        <f ca="1">IFERROR(__xludf.DUMMYFUNCTION("""COMPUTED_VALUE"""),"عيادات كيوتس")</f>
        <v>عيادات كيوتس</v>
      </c>
      <c r="H2025" s="5" t="str">
        <f ca="1">IFERROR(__xludf.DUMMYFUNCTION("""COMPUTED_VALUE"""),"شارع الثمار متفرع من شارع مصطفي محمود - اعلي بنك الكويتي الوطني - المهندسين 13")</f>
        <v>شارع الثمار متفرع من شارع مصطفي محمود - اعلي بنك الكويتي الوطني - المهندسين 13</v>
      </c>
      <c r="I2025" s="6" t="str">
        <f ca="1">IFERROR(__xludf.DUMMYFUNCTION("""COMPUTED_VALUE"""),"01009070000")</f>
        <v>01009070000</v>
      </c>
      <c r="J2025" s="6"/>
      <c r="K2025" s="6" t="str">
        <f ca="1">IFERROR(__xludf.DUMMYFUNCTION("""COMPUTED_VALUE"""),"خصم يصل الي 50% علي الكشف, 20% علي الخدمات العلاجية و 15% علي الخدمات التجميلية ")</f>
        <v xml:space="preserve">خصم يصل الي 50% علي الكشف, 20% علي الخدمات العلاجية و 15% علي الخدمات التجميلية </v>
      </c>
    </row>
    <row r="2026" spans="1:11" x14ac:dyDescent="0.25">
      <c r="A2026" s="4" t="str">
        <f ca="1">IFERROR(__xludf.DUMMYFUNCTION("""COMPUTED_VALUE"""),"106461-B")</f>
        <v>106461-B</v>
      </c>
      <c r="B2026" s="5" t="str">
        <f ca="1">IFERROR(__xludf.DUMMYFUNCTION("""COMPUTED_VALUE"""),"الجيزة")</f>
        <v>الجيزة</v>
      </c>
      <c r="C2026" s="5" t="str">
        <f ca="1">IFERROR(__xludf.DUMMYFUNCTION("""COMPUTED_VALUE"""),"الشيخ زايد")</f>
        <v>الشيخ زايد</v>
      </c>
      <c r="D2026" s="5" t="str">
        <f ca="1">IFERROR(__xludf.DUMMYFUNCTION("""COMPUTED_VALUE"""),"مجمع عيادات")</f>
        <v>مجمع عيادات</v>
      </c>
      <c r="E2026" s="5" t="str">
        <f ca="1">IFERROR(__xludf.DUMMYFUNCTION("""COMPUTED_VALUE"""),"العناية بالبشرة ومستحضرات التجميل")</f>
        <v>العناية بالبشرة ومستحضرات التجميل</v>
      </c>
      <c r="F2026" s="5" t="str">
        <f ca="1">IFERROR(__xludf.DUMMYFUNCTION("""COMPUTED_VALUE"""),"العناية بالبشرة ومستحضرات التجميل")</f>
        <v>العناية بالبشرة ومستحضرات التجميل</v>
      </c>
      <c r="G2026" s="5" t="str">
        <f ca="1">IFERROR(__xludf.DUMMYFUNCTION("""COMPUTED_VALUE"""),"عيادات كيوتس")</f>
        <v>عيادات كيوتس</v>
      </c>
      <c r="H2026" s="5" t="str">
        <f ca="1">IFERROR(__xludf.DUMMYFUNCTION("""COMPUTED_VALUE"""),"3 كابيتال بيزنس بارك B6- الدور 5 -unit 504 - الشيخ زايد")</f>
        <v>3 كابيتال بيزنس بارك B6- الدور 5 -unit 504 - الشيخ زايد</v>
      </c>
      <c r="I2026" s="6" t="str">
        <f ca="1">IFERROR(__xludf.DUMMYFUNCTION("""COMPUTED_VALUE"""),"01009070000")</f>
        <v>01009070000</v>
      </c>
      <c r="J2026" s="6"/>
      <c r="K2026" s="6" t="str">
        <f ca="1">IFERROR(__xludf.DUMMYFUNCTION("""COMPUTED_VALUE"""),"خصم يصل الي 50% علي الكشف, 20% علي الخدمات العلاجية و 15% علي الخدمات التجميلية ")</f>
        <v xml:space="preserve">خصم يصل الي 50% علي الكشف, 20% علي الخدمات العلاجية و 15% علي الخدمات التجميلية </v>
      </c>
    </row>
    <row r="2027" spans="1:11" x14ac:dyDescent="0.25">
      <c r="A2027" s="4" t="str">
        <f ca="1">IFERROR(__xludf.DUMMYFUNCTION("""COMPUTED_VALUE"""),"106460")</f>
        <v>106460</v>
      </c>
      <c r="B2027" s="5" t="str">
        <f ca="1">IFERROR(__xludf.DUMMYFUNCTION("""COMPUTED_VALUE"""),"القاهرة")</f>
        <v>القاهرة</v>
      </c>
      <c r="C2027" s="5" t="str">
        <f ca="1">IFERROR(__xludf.DUMMYFUNCTION("""COMPUTED_VALUE"""),"مصر الجديدة")</f>
        <v>مصر الجديدة</v>
      </c>
      <c r="D2027" s="5" t="str">
        <f ca="1">IFERROR(__xludf.DUMMYFUNCTION("""COMPUTED_VALUE"""),"مجمع عيادات")</f>
        <v>مجمع عيادات</v>
      </c>
      <c r="E2027" s="5" t="str">
        <f ca="1">IFERROR(__xludf.DUMMYFUNCTION("""COMPUTED_VALUE"""),"مركز التجميل ")</f>
        <v xml:space="preserve">مركز التجميل </v>
      </c>
      <c r="F2027" s="5" t="str">
        <f ca="1">IFERROR(__xludf.DUMMYFUNCTION("""COMPUTED_VALUE"""),"مركز التجميل ")</f>
        <v xml:space="preserve">مركز التجميل </v>
      </c>
      <c r="G2027" s="5" t="str">
        <f ca="1">IFERROR(__xludf.DUMMYFUNCTION("""COMPUTED_VALUE"""),"عيادات البرازيلي")</f>
        <v>عيادات البرازيلي</v>
      </c>
      <c r="H2027" s="5" t="str">
        <f ca="1">IFERROR(__xludf.DUMMYFUNCTION("""COMPUTED_VALUE"""),"47 شارع النزهة - الدور الميزانين -مصر الجديدة")</f>
        <v>47 شارع النزهة - الدور الميزانين -مصر الجديدة</v>
      </c>
      <c r="I2027" s="6" t="str">
        <f ca="1">IFERROR(__xludf.DUMMYFUNCTION("""COMPUTED_VALUE"""),"01110114315")</f>
        <v>01110114315</v>
      </c>
      <c r="J2027" s="6"/>
      <c r="K2027" s="6" t="str">
        <f ca="1">IFERROR(__xludf.DUMMYFUNCTION("""COMPUTED_VALUE"""),"نسبة الخصم 10%")</f>
        <v>نسبة الخصم 10%</v>
      </c>
    </row>
    <row r="2028" spans="1:11" x14ac:dyDescent="0.25">
      <c r="A2028" s="4" t="str">
        <f ca="1">IFERROR(__xludf.DUMMYFUNCTION("""COMPUTED_VALUE"""),"106460-B")</f>
        <v>106460-B</v>
      </c>
      <c r="B2028" s="5" t="str">
        <f ca="1">IFERROR(__xludf.DUMMYFUNCTION("""COMPUTED_VALUE"""),"القاهرة")</f>
        <v>القاهرة</v>
      </c>
      <c r="C2028" s="5" t="str">
        <f ca="1">IFERROR(__xludf.DUMMYFUNCTION("""COMPUTED_VALUE"""),"القاهرة الجديدة")</f>
        <v>القاهرة الجديدة</v>
      </c>
      <c r="D2028" s="5" t="str">
        <f ca="1">IFERROR(__xludf.DUMMYFUNCTION("""COMPUTED_VALUE"""),"مجمع عيادات")</f>
        <v>مجمع عيادات</v>
      </c>
      <c r="E2028" s="5" t="str">
        <f ca="1">IFERROR(__xludf.DUMMYFUNCTION("""COMPUTED_VALUE"""),"مركز التجميل ")</f>
        <v xml:space="preserve">مركز التجميل </v>
      </c>
      <c r="F2028" s="5" t="str">
        <f ca="1">IFERROR(__xludf.DUMMYFUNCTION("""COMPUTED_VALUE"""),"مركز التجميل ")</f>
        <v xml:space="preserve">مركز التجميل </v>
      </c>
      <c r="G2028" s="5" t="str">
        <f ca="1">IFERROR(__xludf.DUMMYFUNCTION("""COMPUTED_VALUE"""),"عيادات البرازيلي")</f>
        <v>عيادات البرازيلي</v>
      </c>
      <c r="H2028" s="5" t="str">
        <f ca="1">IFERROR(__xludf.DUMMYFUNCTION("""COMPUTED_VALUE"""),"مبني 232- المقام علي القطعه 1/167 القطاع الاول - مركز المدينة - الدور الاول - التجمع الخامس - القاهرة الجديدة")</f>
        <v>مبني 232- المقام علي القطعه 1/167 القطاع الاول - مركز المدينة - الدور الاول - التجمع الخامس - القاهرة الجديدة</v>
      </c>
      <c r="I2028" s="6" t="str">
        <f ca="1">IFERROR(__xludf.DUMMYFUNCTION("""COMPUTED_VALUE"""),"01144288448")</f>
        <v>01144288448</v>
      </c>
      <c r="J2028" s="6"/>
      <c r="K2028" s="6" t="str">
        <f ca="1">IFERROR(__xludf.DUMMYFUNCTION("""COMPUTED_VALUE"""),"نسبة الخصم 10%")</f>
        <v>نسبة الخصم 10%</v>
      </c>
    </row>
    <row r="2029" spans="1:11" x14ac:dyDescent="0.25">
      <c r="A2029" s="4" t="str">
        <f ca="1">IFERROR(__xludf.DUMMYFUNCTION("""COMPUTED_VALUE"""),"106460-B")</f>
        <v>106460-B</v>
      </c>
      <c r="B2029" s="5" t="str">
        <f ca="1">IFERROR(__xludf.DUMMYFUNCTION("""COMPUTED_VALUE"""),"الجيزة")</f>
        <v>الجيزة</v>
      </c>
      <c r="C2029" s="5" t="str">
        <f ca="1">IFERROR(__xludf.DUMMYFUNCTION("""COMPUTED_VALUE"""),"الدقي")</f>
        <v>الدقي</v>
      </c>
      <c r="D2029" s="5" t="str">
        <f ca="1">IFERROR(__xludf.DUMMYFUNCTION("""COMPUTED_VALUE"""),"مجمع عيادات")</f>
        <v>مجمع عيادات</v>
      </c>
      <c r="E2029" s="5" t="str">
        <f ca="1">IFERROR(__xludf.DUMMYFUNCTION("""COMPUTED_VALUE"""),"مركز التجميل ")</f>
        <v xml:space="preserve">مركز التجميل </v>
      </c>
      <c r="F2029" s="5" t="str">
        <f ca="1">IFERROR(__xludf.DUMMYFUNCTION("""COMPUTED_VALUE"""),"مركز التجميل ")</f>
        <v xml:space="preserve">مركز التجميل </v>
      </c>
      <c r="G2029" s="5" t="str">
        <f ca="1">IFERROR(__xludf.DUMMYFUNCTION("""COMPUTED_VALUE"""),"عيادات البرازيلي")</f>
        <v>عيادات البرازيلي</v>
      </c>
      <c r="H2029" s="5" t="str">
        <f ca="1">IFERROR(__xludf.DUMMYFUNCTION("""COMPUTED_VALUE"""),"40 شارع جمال سالم متفرع من محي الدين ابو العز- الدور الثاني - الدقي - الجيزه")</f>
        <v>40 شارع جمال سالم متفرع من محي الدين ابو العز- الدور الثاني - الدقي - الجيزه</v>
      </c>
      <c r="I2029" s="6" t="str">
        <f ca="1">IFERROR(__xludf.DUMMYFUNCTION("""COMPUTED_VALUE"""),"01050049008")</f>
        <v>01050049008</v>
      </c>
      <c r="J2029" s="6"/>
      <c r="K2029" s="6" t="str">
        <f ca="1">IFERROR(__xludf.DUMMYFUNCTION("""COMPUTED_VALUE"""),"نسبة الخصم 10%")</f>
        <v>نسبة الخصم 10%</v>
      </c>
    </row>
    <row r="2030" spans="1:11" x14ac:dyDescent="0.25">
      <c r="A2030" s="4" t="str">
        <f ca="1">IFERROR(__xludf.DUMMYFUNCTION("""COMPUTED_VALUE"""),"106460-B")</f>
        <v>106460-B</v>
      </c>
      <c r="B2030" s="5" t="str">
        <f ca="1">IFERROR(__xludf.DUMMYFUNCTION("""COMPUTED_VALUE"""),"الجيزة")</f>
        <v>الجيزة</v>
      </c>
      <c r="C2030" s="5" t="str">
        <f ca="1">IFERROR(__xludf.DUMMYFUNCTION("""COMPUTED_VALUE"""),"الشيخ زايد")</f>
        <v>الشيخ زايد</v>
      </c>
      <c r="D2030" s="5" t="str">
        <f ca="1">IFERROR(__xludf.DUMMYFUNCTION("""COMPUTED_VALUE"""),"مجمع عيادات")</f>
        <v>مجمع عيادات</v>
      </c>
      <c r="E2030" s="5" t="str">
        <f ca="1">IFERROR(__xludf.DUMMYFUNCTION("""COMPUTED_VALUE"""),"مركز التجميل ")</f>
        <v xml:space="preserve">مركز التجميل </v>
      </c>
      <c r="F2030" s="5" t="str">
        <f ca="1">IFERROR(__xludf.DUMMYFUNCTION("""COMPUTED_VALUE"""),"مركز التجميل ")</f>
        <v xml:space="preserve">مركز التجميل </v>
      </c>
      <c r="G2030" s="5" t="str">
        <f ca="1">IFERROR(__xludf.DUMMYFUNCTION("""COMPUTED_VALUE"""),"عيادات البرازيلي")</f>
        <v>عيادات البرازيلي</v>
      </c>
      <c r="H2030" s="5" t="str">
        <f ca="1">IFERROR(__xludf.DUMMYFUNCTION("""COMPUTED_VALUE"""),"وحدة رقم N-F-04 بمبني نيبتون - مشروع مجرة - الشيخ زايد")</f>
        <v>وحدة رقم N-F-04 بمبني نيبتون - مشروع مجرة - الشيخ زايد</v>
      </c>
      <c r="I2030" s="6" t="str">
        <f ca="1">IFERROR(__xludf.DUMMYFUNCTION("""COMPUTED_VALUE"""),"01030881928")</f>
        <v>01030881928</v>
      </c>
      <c r="J2030" s="6"/>
      <c r="K2030" s="6" t="str">
        <f ca="1">IFERROR(__xludf.DUMMYFUNCTION("""COMPUTED_VALUE"""),"نسبة الخصم 10%")</f>
        <v>نسبة الخصم 10%</v>
      </c>
    </row>
    <row r="2031" spans="1:11" x14ac:dyDescent="0.25">
      <c r="A2031" s="4" t="str">
        <f ca="1">IFERROR(__xludf.DUMMYFUNCTION("""COMPUTED_VALUE"""),"106460-B")</f>
        <v>106460-B</v>
      </c>
      <c r="B2031" s="5" t="str">
        <f ca="1">IFERROR(__xludf.DUMMYFUNCTION("""COMPUTED_VALUE"""),"الاسكندرية")</f>
        <v>الاسكندرية</v>
      </c>
      <c r="C2031" s="5" t="str">
        <f ca="1">IFERROR(__xludf.DUMMYFUNCTION("""COMPUTED_VALUE"""),"سابا باشا")</f>
        <v>سابا باشا</v>
      </c>
      <c r="D2031" s="5" t="str">
        <f ca="1">IFERROR(__xludf.DUMMYFUNCTION("""COMPUTED_VALUE"""),"مجمع عيادات")</f>
        <v>مجمع عيادات</v>
      </c>
      <c r="E2031" s="5" t="str">
        <f ca="1">IFERROR(__xludf.DUMMYFUNCTION("""COMPUTED_VALUE"""),"مركز التجميل ")</f>
        <v xml:space="preserve">مركز التجميل </v>
      </c>
      <c r="F2031" s="5" t="str">
        <f ca="1">IFERROR(__xludf.DUMMYFUNCTION("""COMPUTED_VALUE"""),"مركز التجميل ")</f>
        <v xml:space="preserve">مركز التجميل </v>
      </c>
      <c r="G2031" s="5" t="str">
        <f ca="1">IFERROR(__xludf.DUMMYFUNCTION("""COMPUTED_VALUE"""),"عيادات البرازيلي")</f>
        <v>عيادات البرازيلي</v>
      </c>
      <c r="H2031" s="5" t="str">
        <f ca="1">IFERROR(__xludf.DUMMYFUNCTION("""COMPUTED_VALUE"""),"رقم 336 - كورنيش أبراج السرايا - سابا باشا - الرمل أول -الاسكندرية")</f>
        <v>رقم 336 - كورنيش أبراج السرايا - سابا باشا - الرمل أول -الاسكندرية</v>
      </c>
      <c r="I2031" s="6" t="str">
        <f ca="1">IFERROR(__xludf.DUMMYFUNCTION("""COMPUTED_VALUE"""),"010330505503")</f>
        <v>010330505503</v>
      </c>
      <c r="J2031" s="6"/>
      <c r="K2031" s="6" t="str">
        <f ca="1">IFERROR(__xludf.DUMMYFUNCTION("""COMPUTED_VALUE"""),"نسبة الخصم 10%")</f>
        <v>نسبة الخصم 10%</v>
      </c>
    </row>
    <row r="2032" spans="1:11" x14ac:dyDescent="0.25">
      <c r="A2032" s="4" t="str">
        <f ca="1">IFERROR(__xludf.DUMMYFUNCTION("""COMPUTED_VALUE"""),"106459")</f>
        <v>106459</v>
      </c>
      <c r="B2032" s="5" t="str">
        <f ca="1">IFERROR(__xludf.DUMMYFUNCTION("""COMPUTED_VALUE"""),"القاهرة")</f>
        <v>القاهرة</v>
      </c>
      <c r="C2032" s="5" t="str">
        <f ca="1">IFERROR(__xludf.DUMMYFUNCTION("""COMPUTED_VALUE"""),"مصر الجديدة")</f>
        <v>مصر الجديدة</v>
      </c>
      <c r="D2032" s="5" t="str">
        <f ca="1">IFERROR(__xludf.DUMMYFUNCTION("""COMPUTED_VALUE"""),"مجمع عيادات")</f>
        <v>مجمع عيادات</v>
      </c>
      <c r="E2032" s="5" t="str">
        <f ca="1">IFERROR(__xludf.DUMMYFUNCTION("""COMPUTED_VALUE"""),"مركز التجميل ")</f>
        <v xml:space="preserve">مركز التجميل </v>
      </c>
      <c r="F2032" s="5" t="str">
        <f ca="1">IFERROR(__xludf.DUMMYFUNCTION("""COMPUTED_VALUE"""),"مركز التجميل ")</f>
        <v xml:space="preserve">مركز التجميل </v>
      </c>
      <c r="G2032" s="5" t="str">
        <f ca="1">IFERROR(__xludf.DUMMYFUNCTION("""COMPUTED_VALUE"""),"حمام السلطان")</f>
        <v>حمام السلطان</v>
      </c>
      <c r="H2032" s="5" t="str">
        <f ca="1">IFERROR(__xludf.DUMMYFUNCTION("""COMPUTED_VALUE"""),"رقم 5 مربع 1181 مساكن شيراتون - حي الوزراء - قسم النزهه - الشيراتون - مصر الجديدة")</f>
        <v>رقم 5 مربع 1181 مساكن شيراتون - حي الوزراء - قسم النزهه - الشيراتون - مصر الجديدة</v>
      </c>
      <c r="I2032" s="6" t="str">
        <f ca="1">IFERROR(__xludf.DUMMYFUNCTION("""COMPUTED_VALUE"""),"01204508083")</f>
        <v>01204508083</v>
      </c>
      <c r="J2032" s="6"/>
      <c r="K2032" s="6" t="str">
        <f ca="1">IFERROR(__xludf.DUMMYFUNCTION("""COMPUTED_VALUE"""),"نسبة خصم 15% ")</f>
        <v xml:space="preserve">نسبة خصم 15% </v>
      </c>
    </row>
    <row r="2033" spans="1:11" x14ac:dyDescent="0.25">
      <c r="A2033" s="4" t="str">
        <f ca="1">IFERROR(__xludf.DUMMYFUNCTION("""COMPUTED_VALUE"""),"106458")</f>
        <v>106458</v>
      </c>
      <c r="B2033" s="5" t="str">
        <f ca="1">IFERROR(__xludf.DUMMYFUNCTION("""COMPUTED_VALUE"""),"القاهرة")</f>
        <v>القاهرة</v>
      </c>
      <c r="C2033" s="5" t="str">
        <f ca="1">IFERROR(__xludf.DUMMYFUNCTION("""COMPUTED_VALUE"""),"مصر الجديدة")</f>
        <v>مصر الجديدة</v>
      </c>
      <c r="D2033" s="5" t="str">
        <f ca="1">IFERROR(__xludf.DUMMYFUNCTION("""COMPUTED_VALUE"""),"مجمع عيادات")</f>
        <v>مجمع عيادات</v>
      </c>
      <c r="E2033" s="5" t="str">
        <f ca="1">IFERROR(__xludf.DUMMYFUNCTION("""COMPUTED_VALUE"""),"جراحات السمنة والسكر")</f>
        <v>جراحات السمنة والسكر</v>
      </c>
      <c r="F2033" s="5" t="str">
        <f ca="1">IFERROR(__xludf.DUMMYFUNCTION("""COMPUTED_VALUE"""),"جراحات السمنة والسكر")</f>
        <v>جراحات السمنة والسكر</v>
      </c>
      <c r="G2033" s="5" t="str">
        <f ca="1">IFERROR(__xludf.DUMMYFUNCTION("""COMPUTED_VALUE"""),"عيادات دكتور هيكل محمود لجراحات السمنة و السكر")</f>
        <v>عيادات دكتور هيكل محمود لجراحات السمنة و السكر</v>
      </c>
      <c r="H2033" s="5" t="str">
        <f ca="1">IFERROR(__xludf.DUMMYFUNCTION("""COMPUTED_VALUE"""),"38 شارع ابو بكر الصديق - اعلي بنك المتحد - الدور الرابع - شقة 40 - مصر الجديدة")</f>
        <v>38 شارع ابو بكر الصديق - اعلي بنك المتحد - الدور الرابع - شقة 40 - مصر الجديدة</v>
      </c>
      <c r="I2033" s="6" t="str">
        <f ca="1">IFERROR(__xludf.DUMMYFUNCTION("""COMPUTED_VALUE"""),"01030592211")</f>
        <v>01030592211</v>
      </c>
      <c r="J2033" s="6"/>
      <c r="K2033" s="6" t="str">
        <f ca="1">IFERROR(__xludf.DUMMYFUNCTION("""COMPUTED_VALUE"""),"نسبة الخصم 15%")</f>
        <v>نسبة الخصم 15%</v>
      </c>
    </row>
    <row r="2034" spans="1:11" x14ac:dyDescent="0.25">
      <c r="A2034" s="4" t="str">
        <f ca="1">IFERROR(__xludf.DUMMYFUNCTION("""COMPUTED_VALUE"""),"106456")</f>
        <v>106456</v>
      </c>
      <c r="B2034" s="5" t="str">
        <f ca="1">IFERROR(__xludf.DUMMYFUNCTION("""COMPUTED_VALUE"""),"الشرقية")</f>
        <v>الشرقية</v>
      </c>
      <c r="C2034" s="5" t="str">
        <f ca="1">IFERROR(__xludf.DUMMYFUNCTION("""COMPUTED_VALUE"""),"كفر صقر")</f>
        <v>كفر صقر</v>
      </c>
      <c r="D2034" s="5" t="str">
        <f ca="1">IFERROR(__xludf.DUMMYFUNCTION("""COMPUTED_VALUE"""),"مستشفى")</f>
        <v>مستشفى</v>
      </c>
      <c r="E2034" s="5" t="str">
        <f ca="1">IFERROR(__xludf.DUMMYFUNCTION("""COMPUTED_VALUE"""),"مستشفي طبي متكامل")</f>
        <v>مستشفي طبي متكامل</v>
      </c>
      <c r="F2034" s="5" t="str">
        <f ca="1">IFERROR(__xludf.DUMMYFUNCTION("""COMPUTED_VALUE"""),"جميع التخصصات الطبية")</f>
        <v>جميع التخصصات الطبية</v>
      </c>
      <c r="G2034" s="5" t="str">
        <f ca="1">IFERROR(__xludf.DUMMYFUNCTION("""COMPUTED_VALUE""")," (مستشفي ميدكير)")</f>
        <v xml:space="preserve"> (مستشفي ميدكير)</v>
      </c>
      <c r="H2034" s="5" t="str">
        <f ca="1">IFERROR(__xludf.DUMMYFUNCTION("""COMPUTED_VALUE"""),"حي النصر كفر صقر الشرقية")</f>
        <v>حي النصر كفر صقر الشرقية</v>
      </c>
      <c r="I2034" s="6" t="str">
        <f ca="1">IFERROR(__xludf.DUMMYFUNCTION("""COMPUTED_VALUE"""),"0553190319")</f>
        <v>0553190319</v>
      </c>
      <c r="J2034" s="6"/>
      <c r="K2034" s="6" t="str">
        <f ca="1">IFERROR(__xludf.DUMMYFUNCTION("""COMPUTED_VALUE"""),"خصم 30% علي الاسعار المعلنة.")</f>
        <v>خصم 30% علي الاسعار المعلنة.</v>
      </c>
    </row>
    <row r="2035" spans="1:11" x14ac:dyDescent="0.25">
      <c r="A2035" s="4" t="str">
        <f ca="1">IFERROR(__xludf.DUMMYFUNCTION("""COMPUTED_VALUE"""),"104341-B")</f>
        <v>104341-B</v>
      </c>
      <c r="B2035" s="5" t="str">
        <f ca="1">IFERROR(__xludf.DUMMYFUNCTION("""COMPUTED_VALUE"""),"القاهرة")</f>
        <v>القاهرة</v>
      </c>
      <c r="C2035" s="5" t="str">
        <f ca="1">IFERROR(__xludf.DUMMYFUNCTION("""COMPUTED_VALUE"""),"السيدة زينب")</f>
        <v>السيدة زينب</v>
      </c>
      <c r="D2035" s="5" t="str">
        <f ca="1">IFERROR(__xludf.DUMMYFUNCTION("""COMPUTED_VALUE"""),"صيدلية")</f>
        <v>صيدلية</v>
      </c>
      <c r="E2035" s="5" t="str">
        <f ca="1">IFERROR(__xludf.DUMMYFUNCTION("""COMPUTED_VALUE"""),"صيدلية")</f>
        <v>صيدلية</v>
      </c>
      <c r="F2035" s="5" t="str">
        <f ca="1">IFERROR(__xludf.DUMMYFUNCTION("""COMPUTED_VALUE"""),"صيدلية (أدوية ومستلزمات طبية)")</f>
        <v>صيدلية (أدوية ومستلزمات طبية)</v>
      </c>
      <c r="G2035" s="5" t="str">
        <f ca="1">IFERROR(__xludf.DUMMYFUNCTION("""COMPUTED_VALUE"""),"صيدلية د. صفوت (صيدلية د. مجدي)")</f>
        <v>صيدلية د. صفوت (صيدلية د. مجدي)</v>
      </c>
      <c r="H2035" s="5" t="str">
        <f ca="1">IFERROR(__xludf.DUMMYFUNCTION("""COMPUTED_VALUE"""),"9 شارع المبتديان بجوار البنك االهلي – السيده زينب – محافظة القاهره")</f>
        <v>9 شارع المبتديان بجوار البنك االهلي – السيده زينب – محافظة القاهره</v>
      </c>
      <c r="I2035" s="6" t="str">
        <f ca="1">IFERROR(__xludf.DUMMYFUNCTION("""COMPUTED_VALUE"""),"01220354019")</f>
        <v>01220354019</v>
      </c>
      <c r="J2035" s="6"/>
      <c r="K2035" s="6" t="str">
        <f ca="1">IFERROR(__xludf.DUMMYFUNCTION("""COMPUTED_VALUE"""),"خصم 10% علي المحلي و 6 % علي المستورد")</f>
        <v>خصم 10% علي المحلي و 6 % علي المستورد</v>
      </c>
    </row>
    <row r="2036" spans="1:11" x14ac:dyDescent="0.25">
      <c r="A2036" s="4" t="str">
        <f ca="1">IFERROR(__xludf.DUMMYFUNCTION("""COMPUTED_VALUE"""),"106481")</f>
        <v>106481</v>
      </c>
      <c r="B2036" s="5" t="str">
        <f ca="1">IFERROR(__xludf.DUMMYFUNCTION("""COMPUTED_VALUE"""),"الغربية")</f>
        <v>الغربية</v>
      </c>
      <c r="C2036" s="5" t="str">
        <f ca="1">IFERROR(__xludf.DUMMYFUNCTION("""COMPUTED_VALUE"""),"السنطة")</f>
        <v>السنطة</v>
      </c>
      <c r="D2036" s="5" t="str">
        <f ca="1">IFERROR(__xludf.DUMMYFUNCTION("""COMPUTED_VALUE"""),"صيدلية")</f>
        <v>صيدلية</v>
      </c>
      <c r="E2036" s="5" t="str">
        <f ca="1">IFERROR(__xludf.DUMMYFUNCTION("""COMPUTED_VALUE"""),"صيدلية")</f>
        <v>صيدلية</v>
      </c>
      <c r="F2036" s="5" t="str">
        <f ca="1">IFERROR(__xludf.DUMMYFUNCTION("""COMPUTED_VALUE"""),"صيدلية (أدوية ومستلزمات طبية)")</f>
        <v>صيدلية (أدوية ومستلزمات طبية)</v>
      </c>
      <c r="G2036" s="5" t="str">
        <f ca="1">IFERROR(__xludf.DUMMYFUNCTION("""COMPUTED_VALUE"""),"صيدلية محمد فهمي علي شهاب")</f>
        <v>صيدلية محمد فهمي علي شهاب</v>
      </c>
      <c r="H2036" s="5" t="str">
        <f ca="1">IFERROR(__xludf.DUMMYFUNCTION("""COMPUTED_VALUE"""),"السنطة -  شارع بورسعيد - الغربية")</f>
        <v>السنطة -  شارع بورسعيد - الغربية</v>
      </c>
      <c r="I2036" s="6" t="str">
        <f ca="1">IFERROR(__xludf.DUMMYFUNCTION("""COMPUTED_VALUE"""),"01090483470")</f>
        <v>01090483470</v>
      </c>
      <c r="J2036" s="6"/>
      <c r="K2036" s="6" t="str">
        <f ca="1">IFERROR(__xludf.DUMMYFUNCTION("""COMPUTED_VALUE"""),"خصم 14% علي المحلي و 7% علي المستورد")</f>
        <v>خصم 14% علي المحلي و 7% علي المستورد</v>
      </c>
    </row>
    <row r="2037" spans="1:11" x14ac:dyDescent="0.25">
      <c r="A2037" s="4" t="str">
        <f ca="1">IFERROR(__xludf.DUMMYFUNCTION("""COMPUTED_VALUE"""),"106482")</f>
        <v>106482</v>
      </c>
      <c r="B2037" s="5" t="str">
        <f ca="1">IFERROR(__xludf.DUMMYFUNCTION("""COMPUTED_VALUE"""),"القاهرة")</f>
        <v>القاهرة</v>
      </c>
      <c r="C2037" s="5" t="str">
        <f ca="1">IFERROR(__xludf.DUMMYFUNCTION("""COMPUTED_VALUE"""),"القاهرة الجديدة")</f>
        <v>القاهرة الجديدة</v>
      </c>
      <c r="D2037" s="5" t="str">
        <f ca="1">IFERROR(__xludf.DUMMYFUNCTION("""COMPUTED_VALUE"""),"صيدلية")</f>
        <v>صيدلية</v>
      </c>
      <c r="E2037" s="5" t="str">
        <f ca="1">IFERROR(__xludf.DUMMYFUNCTION("""COMPUTED_VALUE"""),"صيدلية")</f>
        <v>صيدلية</v>
      </c>
      <c r="F2037" s="5" t="str">
        <f ca="1">IFERROR(__xludf.DUMMYFUNCTION("""COMPUTED_VALUE"""),"صيدلية (أدوية ومستلزمات طبية)")</f>
        <v>صيدلية (أدوية ومستلزمات طبية)</v>
      </c>
      <c r="G2037" s="5" t="str">
        <f ca="1">IFERROR(__xludf.DUMMYFUNCTION("""COMPUTED_VALUE"""),"صيدلية د/ ايمان رمضان (صيدلية د/ايمان حبيب)")</f>
        <v>صيدلية د/ ايمان رمضان (صيدلية د/ايمان حبيب)</v>
      </c>
      <c r="H2037" s="5" t="str">
        <f ca="1">IFERROR(__xludf.DUMMYFUNCTION("""COMPUTED_VALUE"""),"1 الحي الحكومي العاصمة الادارية N محل د12 - د 13 مول- القاهرة")</f>
        <v>1 الحي الحكومي العاصمة الادارية N محل د12 - د 13 مول- القاهرة</v>
      </c>
      <c r="I2037" s="6" t="str">
        <f ca="1">IFERROR(__xludf.DUMMYFUNCTION("""COMPUTED_VALUE"""),"01004343316")</f>
        <v>01004343316</v>
      </c>
      <c r="J2037" s="6"/>
      <c r="K2037" s="6" t="str">
        <f ca="1">IFERROR(__xludf.DUMMYFUNCTION("""COMPUTED_VALUE"""),"خصم 14% علي المحلي و 7% علي المستورد")</f>
        <v>خصم 14% علي المحلي و 7% علي المستورد</v>
      </c>
    </row>
    <row r="2038" spans="1:11" x14ac:dyDescent="0.25">
      <c r="A2038" s="4" t="str">
        <f ca="1">IFERROR(__xludf.DUMMYFUNCTION("""COMPUTED_VALUE"""),"106483")</f>
        <v>106483</v>
      </c>
      <c r="B2038" s="5" t="str">
        <f ca="1">IFERROR(__xludf.DUMMYFUNCTION("""COMPUTED_VALUE"""),"سوهاج")</f>
        <v>سوهاج</v>
      </c>
      <c r="C2038" s="5" t="str">
        <f ca="1">IFERROR(__xludf.DUMMYFUNCTION("""COMPUTED_VALUE"""),"المراغة")</f>
        <v>المراغة</v>
      </c>
      <c r="D2038" s="5" t="str">
        <f ca="1">IFERROR(__xludf.DUMMYFUNCTION("""COMPUTED_VALUE"""),"مركز علاج طبيعي")</f>
        <v>مركز علاج طبيعي</v>
      </c>
      <c r="E2038" s="5" t="str">
        <f ca="1">IFERROR(__xludf.DUMMYFUNCTION("""COMPUTED_VALUE"""),"علاج طبيعي")</f>
        <v>علاج طبيعي</v>
      </c>
      <c r="F2038" s="5" t="str">
        <f ca="1">IFERROR(__xludf.DUMMYFUNCTION("""COMPUTED_VALUE"""),"جلسات العلاج الطبيعي")</f>
        <v>جلسات العلاج الطبيعي</v>
      </c>
      <c r="G2038" s="5" t="str">
        <f ca="1">IFERROR(__xludf.DUMMYFUNCTION("""COMPUTED_VALUE"""),"د.أشرف مكرم شنوده قلاده (المركز التخصصي للعلاج الطبيعي)")</f>
        <v>د.أشرف مكرم شنوده قلاده (المركز التخصصي للعلاج الطبيعي)</v>
      </c>
      <c r="H2038" s="5" t="str">
        <f ca="1">IFERROR(__xludf.DUMMYFUNCTION("""COMPUTED_VALUE""")," شارع الجلاء المراغة سوهاج")</f>
        <v xml:space="preserve"> شارع الجلاء المراغة سوهاج</v>
      </c>
      <c r="I2038" s="6" t="str">
        <f ca="1">IFERROR(__xludf.DUMMYFUNCTION("""COMPUTED_VALUE"""),"1100492121")</f>
        <v>1100492121</v>
      </c>
      <c r="J2038" s="6"/>
      <c r="K2038" s="6" t="str">
        <f ca="1">IFERROR(__xludf.DUMMYFUNCTION("""COMPUTED_VALUE"""),"خصم 20% علي الاسعار المعلنة")</f>
        <v>خصم 20% علي الاسعار المعلنة</v>
      </c>
    </row>
    <row r="2039" spans="1:11" x14ac:dyDescent="0.25">
      <c r="A2039" s="4" t="str">
        <f ca="1">IFERROR(__xludf.DUMMYFUNCTION("""COMPUTED_VALUE"""),"106483-B")</f>
        <v>106483-B</v>
      </c>
      <c r="B2039" s="5" t="str">
        <f ca="1">IFERROR(__xludf.DUMMYFUNCTION("""COMPUTED_VALUE"""),"سوهاج")</f>
        <v>سوهاج</v>
      </c>
      <c r="C2039" s="5" t="str">
        <f ca="1">IFERROR(__xludf.DUMMYFUNCTION("""COMPUTED_VALUE"""),"سوهاج")</f>
        <v>سوهاج</v>
      </c>
      <c r="D2039" s="5" t="str">
        <f ca="1">IFERROR(__xludf.DUMMYFUNCTION("""COMPUTED_VALUE"""),"مركز علاج طبيعي")</f>
        <v>مركز علاج طبيعي</v>
      </c>
      <c r="E2039" s="5" t="str">
        <f ca="1">IFERROR(__xludf.DUMMYFUNCTION("""COMPUTED_VALUE"""),"علاج طبيعي")</f>
        <v>علاج طبيعي</v>
      </c>
      <c r="F2039" s="5" t="str">
        <f ca="1">IFERROR(__xludf.DUMMYFUNCTION("""COMPUTED_VALUE"""),"جلسات العلاج الطبيعي")</f>
        <v>جلسات العلاج الطبيعي</v>
      </c>
      <c r="G2039" s="5" t="str">
        <f ca="1">IFERROR(__xludf.DUMMYFUNCTION("""COMPUTED_VALUE"""),"د.أشرف مكرم شنوده قلاده (المركز التخصصي للعلاج الطبيعي)")</f>
        <v>د.أشرف مكرم شنوده قلاده (المركز التخصصي للعلاج الطبيعي)</v>
      </c>
      <c r="H2039" s="5" t="str">
        <f ca="1">IFERROR(__xludf.DUMMYFUNCTION("""COMPUTED_VALUE""")," شارع الجهاد امام مستشفي الحميات سوهاج")</f>
        <v xml:space="preserve"> شارع الجهاد امام مستشفي الحميات سوهاج</v>
      </c>
      <c r="I2039" s="6" t="str">
        <f ca="1">IFERROR(__xludf.DUMMYFUNCTION("""COMPUTED_VALUE"""),"1100492121")</f>
        <v>1100492121</v>
      </c>
      <c r="J2039" s="6"/>
      <c r="K2039" s="6" t="str">
        <f ca="1">IFERROR(__xludf.DUMMYFUNCTION("""COMPUTED_VALUE"""),"خصم 20% علي الاسعار المعلنة")</f>
        <v>خصم 20% علي الاسعار المعلنة</v>
      </c>
    </row>
    <row r="2040" spans="1:11" x14ac:dyDescent="0.25">
      <c r="A2040" s="4" t="str">
        <f ca="1">IFERROR(__xludf.DUMMYFUNCTION("""COMPUTED_VALUE"""),"106483-B")</f>
        <v>106483-B</v>
      </c>
      <c r="B2040" s="5" t="str">
        <f ca="1">IFERROR(__xludf.DUMMYFUNCTION("""COMPUTED_VALUE"""),"سوهاج")</f>
        <v>سوهاج</v>
      </c>
      <c r="C2040" s="5" t="str">
        <f ca="1">IFERROR(__xludf.DUMMYFUNCTION("""COMPUTED_VALUE"""),"طهطا")</f>
        <v>طهطا</v>
      </c>
      <c r="D2040" s="5" t="str">
        <f ca="1">IFERROR(__xludf.DUMMYFUNCTION("""COMPUTED_VALUE"""),"مركز علاج طبيعي")</f>
        <v>مركز علاج طبيعي</v>
      </c>
      <c r="E2040" s="5" t="str">
        <f ca="1">IFERROR(__xludf.DUMMYFUNCTION("""COMPUTED_VALUE"""),"علاج طبيعي")</f>
        <v>علاج طبيعي</v>
      </c>
      <c r="F2040" s="5" t="str">
        <f ca="1">IFERROR(__xludf.DUMMYFUNCTION("""COMPUTED_VALUE"""),"جلسات العلاج الطبيعي")</f>
        <v>جلسات العلاج الطبيعي</v>
      </c>
      <c r="G2040" s="5" t="str">
        <f ca="1">IFERROR(__xludf.DUMMYFUNCTION("""COMPUTED_VALUE"""),"د.أشرف مكرم شنوده قلاده (المركز التخصصي للعلاج الطبيعي)")</f>
        <v>د.أشرف مكرم شنوده قلاده (المركز التخصصي للعلاج الطبيعي)</v>
      </c>
      <c r="H2040" s="5" t="str">
        <f ca="1">IFERROR(__xludf.DUMMYFUNCTION("""COMPUTED_VALUE"""),"طهطا شارع الثورة سوهاج")</f>
        <v>طهطا شارع الثورة سوهاج</v>
      </c>
      <c r="I2040" s="6" t="str">
        <f ca="1">IFERROR(__xludf.DUMMYFUNCTION("""COMPUTED_VALUE"""),"1100492121")</f>
        <v>1100492121</v>
      </c>
      <c r="J2040" s="6"/>
      <c r="K2040" s="6" t="str">
        <f ca="1">IFERROR(__xludf.DUMMYFUNCTION("""COMPUTED_VALUE"""),"خصم 20% علي الاسعار المعلنة")</f>
        <v>خصم 20% علي الاسعار المعلنة</v>
      </c>
    </row>
    <row r="2041" spans="1:11" x14ac:dyDescent="0.25">
      <c r="A2041" s="4" t="str">
        <f ca="1">IFERROR(__xludf.DUMMYFUNCTION("""COMPUTED_VALUE"""),"106484")</f>
        <v>106484</v>
      </c>
      <c r="B2041" s="5" t="str">
        <f ca="1">IFERROR(__xludf.DUMMYFUNCTION("""COMPUTED_VALUE"""),"البحيرة")</f>
        <v>البحيرة</v>
      </c>
      <c r="C2041" s="5" t="str">
        <f ca="1">IFERROR(__xludf.DUMMYFUNCTION("""COMPUTED_VALUE"""),"الدلنجات")</f>
        <v>الدلنجات</v>
      </c>
      <c r="D2041" s="5" t="str">
        <f ca="1">IFERROR(__xludf.DUMMYFUNCTION("""COMPUTED_VALUE"""),"مركز علاج طبيعي")</f>
        <v>مركز علاج طبيعي</v>
      </c>
      <c r="E2041" s="5" t="str">
        <f ca="1">IFERROR(__xludf.DUMMYFUNCTION("""COMPUTED_VALUE"""),"علاج طبيعي")</f>
        <v>علاج طبيعي</v>
      </c>
      <c r="F2041" s="5" t="str">
        <f ca="1">IFERROR(__xludf.DUMMYFUNCTION("""COMPUTED_VALUE"""),"جلسات العلاج الطبيعي")</f>
        <v>جلسات العلاج الطبيعي</v>
      </c>
      <c r="G2041" s="5" t="str">
        <f ca="1">IFERROR(__xludf.DUMMYFUNCTION("""COMPUTED_VALUE"""),"د/سمر محسن سالم الحنطور (د/ سمر محسن الحنطور)")</f>
        <v>د/سمر محسن سالم الحنطور (د/ سمر محسن الحنطور)</v>
      </c>
      <c r="H2041" s="5" t="str">
        <f ca="1">IFERROR(__xludf.DUMMYFUNCTION("""COMPUTED_VALUE"""),"شارع الجلاء- امام المستشفى العام بالدلنجات - الدلنجات البحيرة")</f>
        <v>شارع الجلاء- امام المستشفى العام بالدلنجات - الدلنجات البحيرة</v>
      </c>
      <c r="I2041" s="6" t="str">
        <f ca="1">IFERROR(__xludf.DUMMYFUNCTION("""COMPUTED_VALUE"""),"0453333800")</f>
        <v>0453333800</v>
      </c>
      <c r="J2041" s="6"/>
      <c r="K2041" s="6" t="str">
        <f ca="1">IFERROR(__xludf.DUMMYFUNCTION("""COMPUTED_VALUE"""),"خصم 30% علي الاسعار المعلنة")</f>
        <v>خصم 30% علي الاسعار المعلنة</v>
      </c>
    </row>
    <row r="2042" spans="1:11" x14ac:dyDescent="0.25">
      <c r="A2042" s="4" t="str">
        <f ca="1">IFERROR(__xludf.DUMMYFUNCTION("""COMPUTED_VALUE"""),"106484-B")</f>
        <v>106484-B</v>
      </c>
      <c r="B2042" s="5" t="str">
        <f ca="1">IFERROR(__xludf.DUMMYFUNCTION("""COMPUTED_VALUE"""),"البحيرة")</f>
        <v>البحيرة</v>
      </c>
      <c r="C2042" s="5" t="str">
        <f ca="1">IFERROR(__xludf.DUMMYFUNCTION("""COMPUTED_VALUE"""),"دمنهور")</f>
        <v>دمنهور</v>
      </c>
      <c r="D2042" s="5" t="str">
        <f ca="1">IFERROR(__xludf.DUMMYFUNCTION("""COMPUTED_VALUE"""),"مركز علاج طبيعي")</f>
        <v>مركز علاج طبيعي</v>
      </c>
      <c r="E2042" s="5" t="str">
        <f ca="1">IFERROR(__xludf.DUMMYFUNCTION("""COMPUTED_VALUE"""),"علاج طبيعي")</f>
        <v>علاج طبيعي</v>
      </c>
      <c r="F2042" s="5" t="str">
        <f ca="1">IFERROR(__xludf.DUMMYFUNCTION("""COMPUTED_VALUE"""),"جلسات العلاج الطبيعي")</f>
        <v>جلسات العلاج الطبيعي</v>
      </c>
      <c r="G2042" s="5" t="str">
        <f ca="1">IFERROR(__xludf.DUMMYFUNCTION("""COMPUTED_VALUE"""),"د/سمر محسن سالم الحنطور (د/ سمر محسن الحنطور)")</f>
        <v>د/سمر محسن سالم الحنطور (د/ سمر محسن الحنطور)</v>
      </c>
      <c r="H2042" s="5" t="str">
        <f ca="1">IFERROR(__xludf.DUMMYFUNCTION("""COMPUTED_VALUE"""),"ميدان الساعة - أمام مجلس الدولة شارع احمد محرم برج الريحان دمنهور البحيرة")</f>
        <v>ميدان الساعة - أمام مجلس الدولة شارع احمد محرم برج الريحان دمنهور البحيرة</v>
      </c>
      <c r="I2042" s="6" t="str">
        <f ca="1">IFERROR(__xludf.DUMMYFUNCTION("""COMPUTED_VALUE"""),"0453333800")</f>
        <v>0453333800</v>
      </c>
      <c r="J2042" s="6"/>
      <c r="K2042" s="6" t="str">
        <f ca="1">IFERROR(__xludf.DUMMYFUNCTION("""COMPUTED_VALUE"""),"خصم 30% علي الاسعار المعلنة")</f>
        <v>خصم 30% علي الاسعار المعلنة</v>
      </c>
    </row>
    <row r="2043" spans="1:11" x14ac:dyDescent="0.25">
      <c r="A2043" s="4" t="str">
        <f ca="1">IFERROR(__xludf.DUMMYFUNCTION("""COMPUTED_VALUE"""),"106486")</f>
        <v>106486</v>
      </c>
      <c r="B2043" s="5" t="str">
        <f ca="1">IFERROR(__xludf.DUMMYFUNCTION("""COMPUTED_VALUE"""),"القليوبية")</f>
        <v>القليوبية</v>
      </c>
      <c r="C2043" s="5" t="str">
        <f ca="1">IFERROR(__xludf.DUMMYFUNCTION("""COMPUTED_VALUE"""),"بنها")</f>
        <v>بنها</v>
      </c>
      <c r="D2043" s="5" t="str">
        <f ca="1">IFERROR(__xludf.DUMMYFUNCTION("""COMPUTED_VALUE"""),"مستشفى")</f>
        <v>مستشفى</v>
      </c>
      <c r="E2043" s="5" t="str">
        <f ca="1">IFERROR(__xludf.DUMMYFUNCTION("""COMPUTED_VALUE"""),"مستشفي طبي متكامل")</f>
        <v>مستشفي طبي متكامل</v>
      </c>
      <c r="F2043" s="5" t="str">
        <f ca="1">IFERROR(__xludf.DUMMYFUNCTION("""COMPUTED_VALUE"""),"جميع التخصصات الطبية")</f>
        <v>جميع التخصصات الطبية</v>
      </c>
      <c r="G2043" s="5" t="str">
        <f ca="1">IFERROR(__xludf.DUMMYFUNCTION("""COMPUTED_VALUE"""),"شركة الفيروز للادارة و انشاء المستشفيات (مستشفي الحكمة الطبي التخصصي)")</f>
        <v>شركة الفيروز للادارة و انشاء المستشفيات (مستشفي الحكمة الطبي التخصصي)</v>
      </c>
      <c r="H2043" s="5" t="str">
        <f ca="1">IFERROR(__xludf.DUMMYFUNCTION("""COMPUTED_VALUE"""),"كفر الجزار بجوار نقطة شرطة كفر الجزار - بنها")</f>
        <v>كفر الجزار بجوار نقطة شرطة كفر الجزار - بنها</v>
      </c>
      <c r="I2043" s="6" t="str">
        <f ca="1">IFERROR(__xludf.DUMMYFUNCTION("""COMPUTED_VALUE"""),"0133120812")</f>
        <v>0133120812</v>
      </c>
      <c r="J2043" s="6"/>
      <c r="K2043" s="6" t="str">
        <f ca="1">IFERROR(__xludf.DUMMYFUNCTION("""COMPUTED_VALUE"""),"خصم 25% علي الاسعار المعلنة")</f>
        <v>خصم 25% علي الاسعار المعلنة</v>
      </c>
    </row>
    <row r="2044" spans="1:11" x14ac:dyDescent="0.25">
      <c r="A2044" s="4" t="str">
        <f ca="1">IFERROR(__xludf.DUMMYFUNCTION("""COMPUTED_VALUE"""),"106487")</f>
        <v>106487</v>
      </c>
      <c r="B2044" s="5" t="str">
        <f ca="1">IFERROR(__xludf.DUMMYFUNCTION("""COMPUTED_VALUE"""),"المنوفية")</f>
        <v>المنوفية</v>
      </c>
      <c r="C2044" s="5" t="str">
        <f ca="1">IFERROR(__xludf.DUMMYFUNCTION("""COMPUTED_VALUE"""),"الشهداء")</f>
        <v>الشهداء</v>
      </c>
      <c r="D2044" s="5" t="str">
        <f ca="1">IFERROR(__xludf.DUMMYFUNCTION("""COMPUTED_VALUE"""),"مركز أشعة")</f>
        <v>مركز أشعة</v>
      </c>
      <c r="E2044" s="5" t="str">
        <f ca="1">IFERROR(__xludf.DUMMYFUNCTION("""COMPUTED_VALUE"""),"مركز أشعة")</f>
        <v>مركز أشعة</v>
      </c>
      <c r="F2044" s="5" t="str">
        <f ca="1">IFERROR(__xludf.DUMMYFUNCTION("""COMPUTED_VALUE"""),"مركز الأشعة التشخيصية")</f>
        <v>مركز الأشعة التشخيصية</v>
      </c>
      <c r="G2044" s="5" t="str">
        <f ca="1">IFERROR(__xludf.DUMMYFUNCTION("""COMPUTED_VALUE"""),"مركز الاخلاص و المستقبل للأشعة (مركز المستقبل الجديد للأشعة)")</f>
        <v>مركز الاخلاص و المستقبل للأشعة (مركز المستقبل الجديد للأشعة)</v>
      </c>
      <c r="H2044" s="5" t="str">
        <f ca="1">IFERROR(__xludf.DUMMYFUNCTION("""COMPUTED_VALUE"""),"الشهداء -المنوفية- شارع المركز الجديد")</f>
        <v>الشهداء -المنوفية- شارع المركز الجديد</v>
      </c>
      <c r="I2044" s="6" t="str">
        <f ca="1">IFERROR(__xludf.DUMMYFUNCTION("""COMPUTED_VALUE"""),"0482752828")</f>
        <v>0482752828</v>
      </c>
      <c r="J2044" s="6"/>
      <c r="K2044" s="6" t="str">
        <f ca="1">IFERROR(__xludf.DUMMYFUNCTION("""COMPUTED_VALUE"""),"خصم 25% علي الاسعار المعلنة")</f>
        <v>خصم 25% علي الاسعار المعلنة</v>
      </c>
    </row>
    <row r="2045" spans="1:11" x14ac:dyDescent="0.25">
      <c r="A2045" s="4" t="str">
        <f ca="1">IFERROR(__xludf.DUMMYFUNCTION("""COMPUTED_VALUE"""),"106489")</f>
        <v>106489</v>
      </c>
      <c r="B2045" s="5" t="str">
        <f ca="1">IFERROR(__xludf.DUMMYFUNCTION("""COMPUTED_VALUE"""),"الجيزة")</f>
        <v>الجيزة</v>
      </c>
      <c r="C2045" s="5" t="str">
        <f ca="1">IFERROR(__xludf.DUMMYFUNCTION("""COMPUTED_VALUE"""),"الدقي")</f>
        <v>الدقي</v>
      </c>
      <c r="D2045" s="5" t="str">
        <f ca="1">IFERROR(__xludf.DUMMYFUNCTION("""COMPUTED_VALUE"""),"هيئة الأطباء")</f>
        <v>هيئة الأطباء</v>
      </c>
      <c r="E2045" s="5" t="str">
        <f ca="1">IFERROR(__xludf.DUMMYFUNCTION("""COMPUTED_VALUE"""),"نساء وتوليد")</f>
        <v>نساء وتوليد</v>
      </c>
      <c r="F2045" s="5" t="str">
        <f ca="1">IFERROR(__xludf.DUMMYFUNCTION("""COMPUTED_VALUE"""),"نساء وتوليد")</f>
        <v>نساء وتوليد</v>
      </c>
      <c r="G2045" s="5" t="str">
        <f ca="1">IFERROR(__xludf.DUMMYFUNCTION("""COMPUTED_VALUE"""),"د/ هبة علي فهمي السواح (دكتورة هبة علي السواح)")</f>
        <v>د/ هبة علي فهمي السواح (دكتورة هبة علي السواح)</v>
      </c>
      <c r="H2045" s="5" t="str">
        <f ca="1">IFERROR(__xludf.DUMMYFUNCTION("""COMPUTED_VALUE"""),"12 ش التحرير - الدقي - الجيزة")</f>
        <v>12 ش التحرير - الدقي - الجيزة</v>
      </c>
      <c r="I2045" s="6" t="str">
        <f ca="1">IFERROR(__xludf.DUMMYFUNCTION("""COMPUTED_VALUE"""),"37494907")</f>
        <v>37494907</v>
      </c>
      <c r="J2045" s="6"/>
      <c r="K2045" s="6" t="str">
        <f ca="1">IFERROR(__xludf.DUMMYFUNCTION("""COMPUTED_VALUE"""),"خصم 25% علي الاسعار المعلنة")</f>
        <v>خصم 25% علي الاسعار المعلنة</v>
      </c>
    </row>
    <row r="2046" spans="1:11" x14ac:dyDescent="0.25">
      <c r="A2046" s="4" t="str">
        <f ca="1">IFERROR(__xludf.DUMMYFUNCTION("""COMPUTED_VALUE"""),"105350-B")</f>
        <v>105350-B</v>
      </c>
      <c r="B2046" s="5" t="str">
        <f ca="1">IFERROR(__xludf.DUMMYFUNCTION("""COMPUTED_VALUE"""),"الجيزة")</f>
        <v>الجيزة</v>
      </c>
      <c r="C2046" s="5" t="str">
        <f ca="1">IFERROR(__xludf.DUMMYFUNCTION("""COMPUTED_VALUE"""),"السادس من اكتوبر")</f>
        <v>السادس من اكتوبر</v>
      </c>
      <c r="D2046" s="5" t="str">
        <f ca="1">IFERROR(__xludf.DUMMYFUNCTION("""COMPUTED_VALUE"""),"صيدلية")</f>
        <v>صيدلية</v>
      </c>
      <c r="E2046" s="5" t="str">
        <f ca="1">IFERROR(__xludf.DUMMYFUNCTION("""COMPUTED_VALUE"""),"صيدلية")</f>
        <v>صيدلية</v>
      </c>
      <c r="F2046" s="5" t="str">
        <f ca="1">IFERROR(__xludf.DUMMYFUNCTION("""COMPUTED_VALUE"""),"صيدلية (أدوية ومستلزمات طبية)")</f>
        <v>صيدلية (أدوية ومستلزمات طبية)</v>
      </c>
      <c r="G2046" s="5" t="str">
        <f ca="1">IFERROR(__xludf.DUMMYFUNCTION("""COMPUTED_VALUE"""),"صيدليات صحة أهل مصر")</f>
        <v>صيدليات صحة أهل مصر</v>
      </c>
      <c r="H2046" s="5" t="str">
        <f ca="1">IFERROR(__xludf.DUMMYFUNCTION("""COMPUTED_VALUE"""),"القرية الذكية مبنى لينكس الوحدة B20")</f>
        <v>القرية الذكية مبنى لينكس الوحدة B20</v>
      </c>
      <c r="I2046" s="6" t="str">
        <f ca="1">IFERROR(__xludf.DUMMYFUNCTION("""COMPUTED_VALUE"""),"01050903337")</f>
        <v>01050903337</v>
      </c>
      <c r="J2046" s="6"/>
      <c r="K2046" s="6" t="str">
        <f ca="1">IFERROR(__xludf.DUMMYFUNCTION("""COMPUTED_VALUE"""),"10% على المحلى ,5% على المسورد")</f>
        <v>10% على المحلى ,5% على المسورد</v>
      </c>
    </row>
    <row r="2047" spans="1:11" x14ac:dyDescent="0.25">
      <c r="A2047" s="4" t="str">
        <f ca="1">IFERROR(__xludf.DUMMYFUNCTION("""COMPUTED_VALUE"""),"106490")</f>
        <v>106490</v>
      </c>
      <c r="B2047" s="5" t="str">
        <f ca="1">IFERROR(__xludf.DUMMYFUNCTION("""COMPUTED_VALUE"""),"مرسى مطروح")</f>
        <v>مرسى مطروح</v>
      </c>
      <c r="C2047" s="5" t="str">
        <f ca="1">IFERROR(__xludf.DUMMYFUNCTION("""COMPUTED_VALUE"""),"مرسى مطروح")</f>
        <v>مرسى مطروح</v>
      </c>
      <c r="D2047" s="5" t="str">
        <f ca="1">IFERROR(__xludf.DUMMYFUNCTION("""COMPUTED_VALUE"""),"مجمع عيادات")</f>
        <v>مجمع عيادات</v>
      </c>
      <c r="E2047" s="5" t="str">
        <f ca="1">IFERROR(__xludf.DUMMYFUNCTION("""COMPUTED_VALUE"""),"جميع التخصصات")</f>
        <v>جميع التخصصات</v>
      </c>
      <c r="F2047" s="5" t="str">
        <f ca="1">IFERROR(__xludf.DUMMYFUNCTION("""COMPUTED_VALUE"""),"جميع التخصصات الطبية")</f>
        <v>جميع التخصصات الطبية</v>
      </c>
      <c r="G2047" s="5" t="str">
        <f ca="1">IFERROR(__xludf.DUMMYFUNCTION("""COMPUTED_VALUE"""),"عبد الرحمن فريد ادم سنوسي (عيادات التحرير التخصصية)")</f>
        <v>عبد الرحمن فريد ادم سنوسي (عيادات التحرير التخصصية)</v>
      </c>
      <c r="H2047" s="5" t="str">
        <f ca="1">IFERROR(__xludf.DUMMYFUNCTION("""COMPUTED_VALUE"""),"مطروح - شارع التحرير برج دجلي و الفرات")</f>
        <v>مطروح - شارع التحرير برج دجلي و الفرات</v>
      </c>
      <c r="I2047" s="6" t="str">
        <f ca="1">IFERROR(__xludf.DUMMYFUNCTION("""COMPUTED_VALUE"""),"0464949555")</f>
        <v>0464949555</v>
      </c>
      <c r="J2047" s="6"/>
      <c r="K2047" s="6" t="str">
        <f ca="1">IFERROR(__xludf.DUMMYFUNCTION("""COMPUTED_VALUE"""),"خصم 20% علي الاسعار المعلنة")</f>
        <v>خصم 20% علي الاسعار المعلنة</v>
      </c>
    </row>
    <row r="2048" spans="1:11" x14ac:dyDescent="0.25">
      <c r="A2048" s="4" t="str">
        <f ca="1">IFERROR(__xludf.DUMMYFUNCTION("""COMPUTED_VALUE"""),"106491")</f>
        <v>106491</v>
      </c>
      <c r="B2048" s="5" t="str">
        <f ca="1">IFERROR(__xludf.DUMMYFUNCTION("""COMPUTED_VALUE"""),"بني سويف")</f>
        <v>بني سويف</v>
      </c>
      <c r="C2048" s="5" t="str">
        <f ca="1">IFERROR(__xludf.DUMMYFUNCTION("""COMPUTED_VALUE"""),"الواسطى")</f>
        <v>الواسطى</v>
      </c>
      <c r="D2048" s="5" t="str">
        <f ca="1">IFERROR(__xludf.DUMMYFUNCTION("""COMPUTED_VALUE"""),"مستشفى")</f>
        <v>مستشفى</v>
      </c>
      <c r="E2048" s="5" t="str">
        <f ca="1">IFERROR(__xludf.DUMMYFUNCTION("""COMPUTED_VALUE"""),"مستشفي طبي متكامل")</f>
        <v>مستشفي طبي متكامل</v>
      </c>
      <c r="F2048" s="5" t="str">
        <f ca="1">IFERROR(__xludf.DUMMYFUNCTION("""COMPUTED_VALUE"""),"جميع التخصصات الطبية")</f>
        <v>جميع التخصصات الطبية</v>
      </c>
      <c r="G2048" s="5" t="str">
        <f ca="1">IFERROR(__xludf.DUMMYFUNCTION("""COMPUTED_VALUE"""),"مستشفي البرج (مستشفي البرج التخصصي)")</f>
        <v>مستشفي البرج (مستشفي البرج التخصصي)</v>
      </c>
      <c r="H2048" s="5" t="str">
        <f ca="1">IFERROR(__xludf.DUMMYFUNCTION("""COMPUTED_VALUE"""),"شارع سعد زغلول امام الاسعاف مركز الواسطي - بني سويف")</f>
        <v>شارع سعد زغلول امام الاسعاف مركز الواسطي - بني سويف</v>
      </c>
      <c r="I2048" s="6" t="str">
        <f ca="1">IFERROR(__xludf.DUMMYFUNCTION("""COMPUTED_VALUE"""),"0822513111")</f>
        <v>0822513111</v>
      </c>
      <c r="J2048" s="6"/>
      <c r="K2048" s="6" t="str">
        <f ca="1">IFERROR(__xludf.DUMMYFUNCTION("""COMPUTED_VALUE"""),"خصم 25% علي الاسعار المعلنة")</f>
        <v>خصم 25% علي الاسعار المعلنة</v>
      </c>
    </row>
    <row r="2049" spans="1:11" x14ac:dyDescent="0.25">
      <c r="A2049" s="4" t="str">
        <f ca="1">IFERROR(__xludf.DUMMYFUNCTION("""COMPUTED_VALUE"""),"106493")</f>
        <v>106493</v>
      </c>
      <c r="B2049" s="5" t="str">
        <f ca="1">IFERROR(__xludf.DUMMYFUNCTION("""COMPUTED_VALUE"""),"كفر الشيخ")</f>
        <v>كفر الشيخ</v>
      </c>
      <c r="C2049" s="5" t="str">
        <f ca="1">IFERROR(__xludf.DUMMYFUNCTION("""COMPUTED_VALUE"""),"كفر الشيخ")</f>
        <v>كفر الشيخ</v>
      </c>
      <c r="D2049" s="5" t="str">
        <f ca="1">IFERROR(__xludf.DUMMYFUNCTION("""COMPUTED_VALUE"""),"صيدلية")</f>
        <v>صيدلية</v>
      </c>
      <c r="E2049" s="5" t="str">
        <f ca="1">IFERROR(__xludf.DUMMYFUNCTION("""COMPUTED_VALUE"""),"صيدلية")</f>
        <v>صيدلية</v>
      </c>
      <c r="F2049" s="5" t="str">
        <f ca="1">IFERROR(__xludf.DUMMYFUNCTION("""COMPUTED_VALUE"""),"صيدلية (أدوية ومستلزمات طبية)")</f>
        <v>صيدلية (أدوية ومستلزمات طبية)</v>
      </c>
      <c r="G2049" s="5" t="str">
        <f ca="1">IFERROR(__xludf.DUMMYFUNCTION("""COMPUTED_VALUE"""),"صيدلية حسام الدين عبد العزيز عبد الغفار الكخيا (صيدلية د/ حسام الكخيا)")</f>
        <v>صيدلية حسام الدين عبد العزيز عبد الغفار الكخيا (صيدلية د/ حسام الكخيا)</v>
      </c>
      <c r="H2049" s="5" t="str">
        <f ca="1">IFERROR(__xludf.DUMMYFUNCTION("""COMPUTED_VALUE"""),"فوه - شارع أبو المكارم - كفرالشيخ")</f>
        <v>فوه - شارع أبو المكارم - كفرالشيخ</v>
      </c>
      <c r="I2049" s="6" t="str">
        <f ca="1">IFERROR(__xludf.DUMMYFUNCTION("""COMPUTED_VALUE"""),"0472976229")</f>
        <v>0472976229</v>
      </c>
      <c r="J2049" s="6"/>
      <c r="K2049" s="6" t="str">
        <f ca="1">IFERROR(__xludf.DUMMYFUNCTION("""COMPUTED_VALUE"""),"خصم 15% علي المحلي و 7% علي المستورد")</f>
        <v>خصم 15% علي المحلي و 7% علي المستورد</v>
      </c>
    </row>
    <row r="2050" spans="1:11" x14ac:dyDescent="0.25">
      <c r="A2050" s="4" t="str">
        <f ca="1">IFERROR(__xludf.DUMMYFUNCTION("""COMPUTED_VALUE"""),"106494")</f>
        <v>106494</v>
      </c>
      <c r="B2050" s="5" t="str">
        <f ca="1">IFERROR(__xludf.DUMMYFUNCTION("""COMPUTED_VALUE"""),"الغربية")</f>
        <v>الغربية</v>
      </c>
      <c r="C2050" s="5" t="str">
        <f ca="1">IFERROR(__xludf.DUMMYFUNCTION("""COMPUTED_VALUE"""),"السنطة")</f>
        <v>السنطة</v>
      </c>
      <c r="D2050" s="5" t="str">
        <f ca="1">IFERROR(__xludf.DUMMYFUNCTION("""COMPUTED_VALUE"""),"صيدلية")</f>
        <v>صيدلية</v>
      </c>
      <c r="E2050" s="5" t="str">
        <f ca="1">IFERROR(__xludf.DUMMYFUNCTION("""COMPUTED_VALUE"""),"صيدلية")</f>
        <v>صيدلية</v>
      </c>
      <c r="F2050" s="5" t="str">
        <f ca="1">IFERROR(__xludf.DUMMYFUNCTION("""COMPUTED_VALUE"""),"صيدلية (أدوية ومستلزمات طبية)")</f>
        <v>صيدلية (أدوية ومستلزمات طبية)</v>
      </c>
      <c r="G2050" s="5" t="str">
        <f ca="1">IFERROR(__xludf.DUMMYFUNCTION("""COMPUTED_VALUE"""),"صيدلية محمد سليمان عبد السلام حسن خليفه (صيدلية الدكتور محمد سليمان خليفة)")</f>
        <v>صيدلية محمد سليمان عبد السلام حسن خليفه (صيدلية الدكتور محمد سليمان خليفة)</v>
      </c>
      <c r="H2050" s="5" t="str">
        <f ca="1">IFERROR(__xludf.DUMMYFUNCTION("""COMPUTED_VALUE"""),"السنطة شارع بورسعيد - الغربية")</f>
        <v>السنطة شارع بورسعيد - الغربية</v>
      </c>
      <c r="I2050" s="6" t="str">
        <f ca="1">IFERROR(__xludf.DUMMYFUNCTION("""COMPUTED_VALUE"""),"1000027278")</f>
        <v>1000027278</v>
      </c>
      <c r="J2050" s="6"/>
      <c r="K2050" s="6" t="str">
        <f ca="1">IFERROR(__xludf.DUMMYFUNCTION("""COMPUTED_VALUE"""),"خصم 12% علي المحلي و 6% علي المستورد")</f>
        <v>خصم 12% علي المحلي و 6% علي المستورد</v>
      </c>
    </row>
    <row r="2051" spans="1:11" x14ac:dyDescent="0.25">
      <c r="A2051" s="4" t="str">
        <f ca="1">IFERROR(__xludf.DUMMYFUNCTION("""COMPUTED_VALUE"""),"106495")</f>
        <v>106495</v>
      </c>
      <c r="B2051" s="5" t="str">
        <f ca="1">IFERROR(__xludf.DUMMYFUNCTION("""COMPUTED_VALUE"""),"أسوان")</f>
        <v>أسوان</v>
      </c>
      <c r="C2051" s="5" t="str">
        <f ca="1">IFERROR(__xludf.DUMMYFUNCTION("""COMPUTED_VALUE"""),"أسوان")</f>
        <v>أسوان</v>
      </c>
      <c r="D2051" s="5" t="str">
        <f ca="1">IFERROR(__xludf.DUMMYFUNCTION("""COMPUTED_VALUE"""),"مركز أشعة و تحاليل")</f>
        <v>مركز أشعة و تحاليل</v>
      </c>
      <c r="E2051" s="5" t="str">
        <f ca="1">IFERROR(__xludf.DUMMYFUNCTION("""COMPUTED_VALUE""")," أشعة و تحاليل")</f>
        <v xml:space="preserve"> أشعة و تحاليل</v>
      </c>
      <c r="F2051" s="5" t="str">
        <f ca="1">IFERROR(__xludf.DUMMYFUNCTION("""COMPUTED_VALUE""")," أشعة و تحاليل")</f>
        <v xml:space="preserve"> أشعة و تحاليل</v>
      </c>
      <c r="G2051" s="5" t="str">
        <f ca="1">IFERROR(__xludf.DUMMYFUNCTION("""COMPUTED_VALUE"""),"مركز النيل للأشعة و التحاليل")</f>
        <v>مركز النيل للأشعة و التحاليل</v>
      </c>
      <c r="H2051" s="5" t="str">
        <f ca="1">IFERROR(__xludf.DUMMYFUNCTION("""COMPUTED_VALUE"""),"أسوان ش كسر الحجر ميدان الزلابية عمارة محفوظ - أسوان")</f>
        <v>أسوان ش كسر الحجر ميدان الزلابية عمارة محفوظ - أسوان</v>
      </c>
      <c r="I2051" s="6" t="str">
        <f ca="1">IFERROR(__xludf.DUMMYFUNCTION("""COMPUTED_VALUE"""),"0972458000")</f>
        <v>0972458000</v>
      </c>
      <c r="J2051" s="6"/>
      <c r="K2051" s="6" t="str">
        <f ca="1">IFERROR(__xludf.DUMMYFUNCTION("""COMPUTED_VALUE"""),"25% علي التحاليل ، 15% علي الاشعة علي الاسعار النقدي المعلنة")</f>
        <v>25% علي التحاليل ، 15% علي الاشعة علي الاسعار النقدي المعلنة</v>
      </c>
    </row>
    <row r="2052" spans="1:11" x14ac:dyDescent="0.25">
      <c r="A2052" s="4" t="str">
        <f ca="1">IFERROR(__xludf.DUMMYFUNCTION("""COMPUTED_VALUE"""),"106495-B")</f>
        <v>106495-B</v>
      </c>
      <c r="B2052" s="5" t="str">
        <f ca="1">IFERROR(__xludf.DUMMYFUNCTION("""COMPUTED_VALUE"""),"أسوان")</f>
        <v>أسوان</v>
      </c>
      <c r="C2052" s="5" t="str">
        <f ca="1">IFERROR(__xludf.DUMMYFUNCTION("""COMPUTED_VALUE"""),"كوم امبو")</f>
        <v>كوم امبو</v>
      </c>
      <c r="D2052" s="5" t="str">
        <f ca="1">IFERROR(__xludf.DUMMYFUNCTION("""COMPUTED_VALUE"""),"مركز أشعة و تحاليل")</f>
        <v>مركز أشعة و تحاليل</v>
      </c>
      <c r="E2052" s="5" t="str">
        <f ca="1">IFERROR(__xludf.DUMMYFUNCTION("""COMPUTED_VALUE""")," أشعة و تحاليل")</f>
        <v xml:space="preserve"> أشعة و تحاليل</v>
      </c>
      <c r="F2052" s="5" t="str">
        <f ca="1">IFERROR(__xludf.DUMMYFUNCTION("""COMPUTED_VALUE""")," أشعة و تحاليل")</f>
        <v xml:space="preserve"> أشعة و تحاليل</v>
      </c>
      <c r="G2052" s="5" t="str">
        <f ca="1">IFERROR(__xludf.DUMMYFUNCTION("""COMPUTED_VALUE"""),"مركز النيل للأشعة و التحاليل")</f>
        <v>مركز النيل للأشعة و التحاليل</v>
      </c>
      <c r="H2052" s="5" t="str">
        <f ca="1">IFERROR(__xludf.DUMMYFUNCTION("""COMPUTED_VALUE"""),"حي السبعين - نزلة الكوبري بجوار موقف ناصر - كوم امبو - أسوان")</f>
        <v>حي السبعين - نزلة الكوبري بجوار موقف ناصر - كوم امبو - أسوان</v>
      </c>
      <c r="I2052" s="6" t="str">
        <f ca="1">IFERROR(__xludf.DUMMYFUNCTION("""COMPUTED_VALUE"""),"0972458000")</f>
        <v>0972458000</v>
      </c>
      <c r="J2052" s="6"/>
      <c r="K2052" s="6" t="str">
        <f ca="1">IFERROR(__xludf.DUMMYFUNCTION("""COMPUTED_VALUE"""),"25% علي التحاليل ، 15% علي الاشعة علي الاسعار النقدي المعلنة")</f>
        <v>25% علي التحاليل ، 15% علي الاشعة علي الاسعار النقدي المعلنة</v>
      </c>
    </row>
    <row r="2053" spans="1:11" x14ac:dyDescent="0.25">
      <c r="A2053" s="4" t="str">
        <f ca="1">IFERROR(__xludf.DUMMYFUNCTION("""COMPUTED_VALUE"""),"106495-B")</f>
        <v>106495-B</v>
      </c>
      <c r="B2053" s="5" t="str">
        <f ca="1">IFERROR(__xludf.DUMMYFUNCTION("""COMPUTED_VALUE"""),"أسوان")</f>
        <v>أسوان</v>
      </c>
      <c r="C2053" s="5" t="str">
        <f ca="1">IFERROR(__xludf.DUMMYFUNCTION("""COMPUTED_VALUE"""),"أسوان")</f>
        <v>أسوان</v>
      </c>
      <c r="D2053" s="5" t="str">
        <f ca="1">IFERROR(__xludf.DUMMYFUNCTION("""COMPUTED_VALUE"""),"مركز أشعة و تحاليل")</f>
        <v>مركز أشعة و تحاليل</v>
      </c>
      <c r="E2053" s="5" t="str">
        <f ca="1">IFERROR(__xludf.DUMMYFUNCTION("""COMPUTED_VALUE""")," أشعة و تحاليل")</f>
        <v xml:space="preserve"> أشعة و تحاليل</v>
      </c>
      <c r="F2053" s="5" t="str">
        <f ca="1">IFERROR(__xludf.DUMMYFUNCTION("""COMPUTED_VALUE""")," أشعة و تحاليل")</f>
        <v xml:space="preserve"> أشعة و تحاليل</v>
      </c>
      <c r="G2053" s="5" t="str">
        <f ca="1">IFERROR(__xludf.DUMMYFUNCTION("""COMPUTED_VALUE"""),"مركز النيل للأشعة و التحاليل")</f>
        <v>مركز النيل للأشعة و التحاليل</v>
      </c>
      <c r="H2053" s="5" t="str">
        <f ca="1">IFERROR(__xludf.DUMMYFUNCTION("""COMPUTED_VALUE"""),"مول سيتي سنتر - امام مسجد الطايبة بجوار بنك التعمير و الأسكان - أسوان")</f>
        <v>مول سيتي سنتر - امام مسجد الطايبة بجوار بنك التعمير و الأسكان - أسوان</v>
      </c>
      <c r="I2053" s="6" t="str">
        <f ca="1">IFERROR(__xludf.DUMMYFUNCTION("""COMPUTED_VALUE"""),"0972458000")</f>
        <v>0972458000</v>
      </c>
      <c r="J2053" s="6"/>
      <c r="K2053" s="6" t="str">
        <f ca="1">IFERROR(__xludf.DUMMYFUNCTION("""COMPUTED_VALUE"""),"25% علي التحاليل ، 15% علي الاشعة علي الاسعار النقدي المعلنة")</f>
        <v>25% علي التحاليل ، 15% علي الاشعة علي الاسعار النقدي المعلنة</v>
      </c>
    </row>
    <row r="2054" spans="1:11" x14ac:dyDescent="0.25">
      <c r="A2054" s="4" t="str">
        <f ca="1">IFERROR(__xludf.DUMMYFUNCTION("""COMPUTED_VALUE"""),"106496")</f>
        <v>106496</v>
      </c>
      <c r="B2054" s="5" t="str">
        <f ca="1">IFERROR(__xludf.DUMMYFUNCTION("""COMPUTED_VALUE"""),"الدقهلية")</f>
        <v>الدقهلية</v>
      </c>
      <c r="C2054" s="5" t="str">
        <f ca="1">IFERROR(__xludf.DUMMYFUNCTION("""COMPUTED_VALUE"""),"دكرنس")</f>
        <v>دكرنس</v>
      </c>
      <c r="D2054" s="5" t="str">
        <f ca="1">IFERROR(__xludf.DUMMYFUNCTION("""COMPUTED_VALUE"""),"هيئة الأطباء")</f>
        <v>هيئة الأطباء</v>
      </c>
      <c r="E2054" s="5" t="str">
        <f ca="1">IFERROR(__xludf.DUMMYFUNCTION("""COMPUTED_VALUE"""),"اسنان")</f>
        <v>اسنان</v>
      </c>
      <c r="F2054" s="5" t="str">
        <f ca="1">IFERROR(__xludf.DUMMYFUNCTION("""COMPUTED_VALUE"""),"جراحة الفم والأسنان")</f>
        <v>جراحة الفم والأسنان</v>
      </c>
      <c r="G2054" s="5" t="str">
        <f ca="1">IFERROR(__xludf.DUMMYFUNCTION("""COMPUTED_VALUE"""),"دكتور أيمن مصطفى كامل حسان (عيادات وايت لطب الأسنان)")</f>
        <v>دكتور أيمن مصطفى كامل حسان (عيادات وايت لطب الأسنان)</v>
      </c>
      <c r="H2054" s="5" t="str">
        <f ca="1">IFERROR(__xludf.DUMMYFUNCTION("""COMPUTED_VALUE"""),"دكرنس شارع مجلس المدينة برج تبارك مركز دكرنس - الدقهلية")</f>
        <v>دكرنس شارع مجلس المدينة برج تبارك مركز دكرنس - الدقهلية</v>
      </c>
      <c r="I2054" s="6" t="str">
        <f ca="1">IFERROR(__xludf.DUMMYFUNCTION("""COMPUTED_VALUE"""),"0503460502")</f>
        <v>0503460502</v>
      </c>
      <c r="J2054" s="6"/>
      <c r="K2054" s="6" t="str">
        <f ca="1">IFERROR(__xludf.DUMMYFUNCTION("""COMPUTED_VALUE"""),"خصم 25% علي الاسعار المعلنة")</f>
        <v>خصم 25% علي الاسعار المعلنة</v>
      </c>
    </row>
    <row r="2055" spans="1:11" x14ac:dyDescent="0.25">
      <c r="A2055" s="4" t="str">
        <f ca="1">IFERROR(__xludf.DUMMYFUNCTION("""COMPUTED_VALUE"""),"106498")</f>
        <v>106498</v>
      </c>
      <c r="B2055" s="5" t="str">
        <f ca="1">IFERROR(__xludf.DUMMYFUNCTION("""COMPUTED_VALUE"""),"كفر الشيخ")</f>
        <v>كفر الشيخ</v>
      </c>
      <c r="C2055" s="5" t="str">
        <f ca="1">IFERROR(__xludf.DUMMYFUNCTION("""COMPUTED_VALUE"""),"فوه")</f>
        <v>فوه</v>
      </c>
      <c r="D2055" s="5" t="str">
        <f ca="1">IFERROR(__xludf.DUMMYFUNCTION("""COMPUTED_VALUE"""),"هيئة الأطباء")</f>
        <v>هيئة الأطباء</v>
      </c>
      <c r="E2055" s="5" t="str">
        <f ca="1">IFERROR(__xludf.DUMMYFUNCTION("""COMPUTED_VALUE"""),"باطنة")</f>
        <v>باطنة</v>
      </c>
      <c r="F2055" s="5" t="str">
        <f ca="1">IFERROR(__xludf.DUMMYFUNCTION("""COMPUTED_VALUE"""),"باطنة عامة")</f>
        <v>باطنة عامة</v>
      </c>
      <c r="G2055" s="5" t="str">
        <f ca="1">IFERROR(__xludf.DUMMYFUNCTION("""COMPUTED_VALUE"""),"د. فتح الله فتح الله عبد الفتاح حماد")</f>
        <v>د. فتح الله فتح الله عبد الفتاح حماد</v>
      </c>
      <c r="H2055" s="5" t="str">
        <f ca="1">IFERROR(__xludf.DUMMYFUNCTION("""COMPUTED_VALUE"""),"مطوبس ش مدرية التجارة - فوه - كفر الشيخ")</f>
        <v>مطوبس ش مدرية التجارة - فوه - كفر الشيخ</v>
      </c>
      <c r="I2055" s="6" t="str">
        <f ca="1">IFERROR(__xludf.DUMMYFUNCTION("""COMPUTED_VALUE"""),"1096571564")</f>
        <v>1096571564</v>
      </c>
      <c r="J2055" s="6"/>
      <c r="K2055" s="6" t="str">
        <f ca="1">IFERROR(__xludf.DUMMYFUNCTION("""COMPUTED_VALUE"""),"خصم 20% علي الاسعار المعلنة")</f>
        <v>خصم 20% علي الاسعار المعلنة</v>
      </c>
    </row>
    <row r="2056" spans="1:11" x14ac:dyDescent="0.25">
      <c r="A2056" s="4" t="str">
        <f ca="1">IFERROR(__xludf.DUMMYFUNCTION("""COMPUTED_VALUE"""),"106500")</f>
        <v>106500</v>
      </c>
      <c r="B2056" s="5" t="str">
        <f ca="1">IFERROR(__xludf.DUMMYFUNCTION("""COMPUTED_VALUE"""),"القاهرة")</f>
        <v>القاهرة</v>
      </c>
      <c r="C2056" s="5" t="str">
        <f ca="1">IFERROR(__xludf.DUMMYFUNCTION("""COMPUTED_VALUE"""),"القاهرة الجديدة")</f>
        <v>القاهرة الجديدة</v>
      </c>
      <c r="D2056" s="5" t="str">
        <f ca="1">IFERROR(__xludf.DUMMYFUNCTION("""COMPUTED_VALUE"""),"مركز تأهيل بدنى")</f>
        <v>مركز تأهيل بدنى</v>
      </c>
      <c r="E2056" s="5" t="str">
        <f ca="1">IFERROR(__xludf.DUMMYFUNCTION("""COMPUTED_VALUE"""),"مركز تأهيل بدنى")</f>
        <v>مركز تأهيل بدنى</v>
      </c>
      <c r="F2056" s="5" t="str">
        <f ca="1">IFERROR(__xludf.DUMMYFUNCTION("""COMPUTED_VALUE"""),"مركز تأهيل بدنى")</f>
        <v>مركز تأهيل بدنى</v>
      </c>
      <c r="G2056" s="5" t="str">
        <f ca="1">IFERROR(__xludf.DUMMYFUNCTION("""COMPUTED_VALUE""")," ( رجال فقط ) Island جيم")</f>
        <v xml:space="preserve"> ( رجال فقط ) Island جيم</v>
      </c>
      <c r="H2056" s="5" t="str">
        <f ca="1">IFERROR(__xludf.DUMMYFUNCTION("""COMPUTED_VALUE"""),"بلاتنيم مول - المنطقه السادسة - الحي الثالث - خلف بنزينة توتال - التجمع الخامس")</f>
        <v>بلاتنيم مول - المنطقه السادسة - الحي الثالث - خلف بنزينة توتال - التجمع الخامس</v>
      </c>
      <c r="I2056" s="6" t="str">
        <f ca="1">IFERROR(__xludf.DUMMYFUNCTION("""COMPUTED_VALUE"""),"01016666144")</f>
        <v>01016666144</v>
      </c>
      <c r="J2056" s="6"/>
      <c r="K2056" s="6" t="str">
        <f ca="1">IFERROR(__xludf.DUMMYFUNCTION("""COMPUTED_VALUE"""),"خصم 20% من اجمالي قيمة الخدمة")</f>
        <v>خصم 20% من اجمالي قيمة الخدمة</v>
      </c>
    </row>
    <row r="2057" spans="1:11" x14ac:dyDescent="0.25">
      <c r="A2057" s="4" t="str">
        <f ca="1">IFERROR(__xludf.DUMMYFUNCTION("""COMPUTED_VALUE"""),"106501")</f>
        <v>106501</v>
      </c>
      <c r="B2057" s="5" t="str">
        <f ca="1">IFERROR(__xludf.DUMMYFUNCTION("""COMPUTED_VALUE"""),"القاهرة")</f>
        <v>القاهرة</v>
      </c>
      <c r="C2057" s="5" t="str">
        <f ca="1">IFERROR(__xludf.DUMMYFUNCTION("""COMPUTED_VALUE"""),"مدينة نصر")</f>
        <v>مدينة نصر</v>
      </c>
      <c r="D2057" s="5" t="str">
        <f ca="1">IFERROR(__xludf.DUMMYFUNCTION("""COMPUTED_VALUE"""),"مركز تأهيل بدنى")</f>
        <v>مركز تأهيل بدنى</v>
      </c>
      <c r="E2057" s="5" t="str">
        <f ca="1">IFERROR(__xludf.DUMMYFUNCTION("""COMPUTED_VALUE"""),"مركز تأهيل بدنى")</f>
        <v>مركز تأهيل بدنى</v>
      </c>
      <c r="F2057" s="5" t="str">
        <f ca="1">IFERROR(__xludf.DUMMYFUNCTION("""COMPUTED_VALUE"""),"مركز تأهيل بدنى")</f>
        <v>مركز تأهيل بدنى</v>
      </c>
      <c r="G2057" s="5" t="str">
        <f ca="1">IFERROR(__xludf.DUMMYFUNCTION("""COMPUTED_VALUE"""),"جيم Hers ( للسيدات فقط )")</f>
        <v>جيم Hers ( للسيدات فقط )</v>
      </c>
      <c r="H2057" s="5" t="str">
        <f ca="1">IFERROR(__xludf.DUMMYFUNCTION("""COMPUTED_VALUE"""),"3 شارع كابول - متفرع من شارع مصطفى النحاس - موازي لشارع مكرم البيض - مدينة نصر")</f>
        <v>3 شارع كابول - متفرع من شارع مصطفى النحاس - موازي لشارع مكرم البيض - مدينة نصر</v>
      </c>
      <c r="I2057" s="6" t="str">
        <f ca="1">IFERROR(__xludf.DUMMYFUNCTION("""COMPUTED_VALUE"""),"01152877537")</f>
        <v>01152877537</v>
      </c>
      <c r="J2057" s="6"/>
      <c r="K2057" s="6" t="str">
        <f ca="1">IFERROR(__xludf.DUMMYFUNCTION("""COMPUTED_VALUE"""),"Discount 55%")</f>
        <v>Discount 55%</v>
      </c>
    </row>
    <row r="2058" spans="1:11" x14ac:dyDescent="0.25">
      <c r="A2058" s="4" t="str">
        <f ca="1">IFERROR(__xludf.DUMMYFUNCTION("""COMPUTED_VALUE"""),"106501-B")</f>
        <v>106501-B</v>
      </c>
      <c r="B2058" s="5" t="str">
        <f ca="1">IFERROR(__xludf.DUMMYFUNCTION("""COMPUTED_VALUE"""),"القاهرة")</f>
        <v>القاهرة</v>
      </c>
      <c r="C2058" s="5" t="str">
        <f ca="1">IFERROR(__xludf.DUMMYFUNCTION("""COMPUTED_VALUE"""),"مصر الجديدة")</f>
        <v>مصر الجديدة</v>
      </c>
      <c r="D2058" s="5" t="str">
        <f ca="1">IFERROR(__xludf.DUMMYFUNCTION("""COMPUTED_VALUE"""),"مركز تأهيل بدنى")</f>
        <v>مركز تأهيل بدنى</v>
      </c>
      <c r="E2058" s="5" t="str">
        <f ca="1">IFERROR(__xludf.DUMMYFUNCTION("""COMPUTED_VALUE"""),"مركز تأهيل بدنى")</f>
        <v>مركز تأهيل بدنى</v>
      </c>
      <c r="F2058" s="5" t="str">
        <f ca="1">IFERROR(__xludf.DUMMYFUNCTION("""COMPUTED_VALUE"""),"مركز تأهيل بدنى")</f>
        <v>مركز تأهيل بدنى</v>
      </c>
      <c r="G2058" s="5" t="str">
        <f ca="1">IFERROR(__xludf.DUMMYFUNCTION("""COMPUTED_VALUE"""),"جيم Hers ( للسيدات فقط )")</f>
        <v>جيم Hers ( للسيدات فقط )</v>
      </c>
      <c r="H2058" s="5" t="str">
        <f ca="1">IFERROR(__xludf.DUMMYFUNCTION("""COMPUTED_VALUE"""),"6 شارع محمد متولي الشعراوي - خلف مسجد الصديق - شيراتون - مصر الجديدة")</f>
        <v>6 شارع محمد متولي الشعراوي - خلف مسجد الصديق - شيراتون - مصر الجديدة</v>
      </c>
      <c r="I2058" s="6" t="str">
        <f ca="1">IFERROR(__xludf.DUMMYFUNCTION("""COMPUTED_VALUE"""),"01152877537")</f>
        <v>01152877537</v>
      </c>
      <c r="J2058" s="6"/>
      <c r="K2058" s="6" t="str">
        <f ca="1">IFERROR(__xludf.DUMMYFUNCTION("""COMPUTED_VALUE"""),"Discount 55%")</f>
        <v>Discount 55%</v>
      </c>
    </row>
    <row r="2059" spans="1:11" x14ac:dyDescent="0.25">
      <c r="A2059" s="4" t="str">
        <f ca="1">IFERROR(__xludf.DUMMYFUNCTION("""COMPUTED_VALUE"""),"106501-B")</f>
        <v>106501-B</v>
      </c>
      <c r="B2059" s="5" t="str">
        <f ca="1">IFERROR(__xludf.DUMMYFUNCTION("""COMPUTED_VALUE"""),"القاهرة")</f>
        <v>القاهرة</v>
      </c>
      <c r="C2059" s="5" t="str">
        <f ca="1">IFERROR(__xludf.DUMMYFUNCTION("""COMPUTED_VALUE"""),"الزمالك")</f>
        <v>الزمالك</v>
      </c>
      <c r="D2059" s="5" t="str">
        <f ca="1">IFERROR(__xludf.DUMMYFUNCTION("""COMPUTED_VALUE"""),"مركز تأهيل بدنى")</f>
        <v>مركز تأهيل بدنى</v>
      </c>
      <c r="E2059" s="5" t="str">
        <f ca="1">IFERROR(__xludf.DUMMYFUNCTION("""COMPUTED_VALUE"""),"مركز تأهيل بدنى")</f>
        <v>مركز تأهيل بدنى</v>
      </c>
      <c r="F2059" s="5" t="str">
        <f ca="1">IFERROR(__xludf.DUMMYFUNCTION("""COMPUTED_VALUE"""),"مركز تأهيل بدنى")</f>
        <v>مركز تأهيل بدنى</v>
      </c>
      <c r="G2059" s="5" t="str">
        <f ca="1">IFERROR(__xludf.DUMMYFUNCTION("""COMPUTED_VALUE"""),"جيم Hers ( للسيدات فقط )")</f>
        <v>جيم Hers ( للسيدات فقط )</v>
      </c>
      <c r="H2059" s="5" t="str">
        <f ca="1">IFERROR(__xludf.DUMMYFUNCTION("""COMPUTED_VALUE"""),"15 شارع اسماعيل محمد - ابراج جاسا - الزمالك")</f>
        <v>15 شارع اسماعيل محمد - ابراج جاسا - الزمالك</v>
      </c>
      <c r="I2059" s="6" t="str">
        <f ca="1">IFERROR(__xludf.DUMMYFUNCTION("""COMPUTED_VALUE"""),"01152877537")</f>
        <v>01152877537</v>
      </c>
      <c r="J2059" s="6"/>
      <c r="K2059" s="6" t="str">
        <f ca="1">IFERROR(__xludf.DUMMYFUNCTION("""COMPUTED_VALUE"""),"Discount 55%")</f>
        <v>Discount 55%</v>
      </c>
    </row>
    <row r="2060" spans="1:11" x14ac:dyDescent="0.25">
      <c r="A2060" s="4" t="str">
        <f ca="1">IFERROR(__xludf.DUMMYFUNCTION("""COMPUTED_VALUE"""),"106501-B")</f>
        <v>106501-B</v>
      </c>
      <c r="B2060" s="5" t="str">
        <f ca="1">IFERROR(__xludf.DUMMYFUNCTION("""COMPUTED_VALUE"""),"القاهرة")</f>
        <v>القاهرة</v>
      </c>
      <c r="C2060" s="5" t="str">
        <f ca="1">IFERROR(__xludf.DUMMYFUNCTION("""COMPUTED_VALUE"""),"القاهرة الجديدة")</f>
        <v>القاهرة الجديدة</v>
      </c>
      <c r="D2060" s="5" t="str">
        <f ca="1">IFERROR(__xludf.DUMMYFUNCTION("""COMPUTED_VALUE"""),"مركز تأهيل بدنى")</f>
        <v>مركز تأهيل بدنى</v>
      </c>
      <c r="E2060" s="5" t="str">
        <f ca="1">IFERROR(__xludf.DUMMYFUNCTION("""COMPUTED_VALUE"""),"مركز تأهيل بدنى")</f>
        <v>مركز تأهيل بدنى</v>
      </c>
      <c r="F2060" s="5" t="str">
        <f ca="1">IFERROR(__xludf.DUMMYFUNCTION("""COMPUTED_VALUE"""),"مركز تأهيل بدنى")</f>
        <v>مركز تأهيل بدنى</v>
      </c>
      <c r="G2060" s="5" t="str">
        <f ca="1">IFERROR(__xludf.DUMMYFUNCTION("""COMPUTED_VALUE"""),"جيم Hers ( للسيدات فقط )")</f>
        <v>جيم Hers ( للسيدات فقط )</v>
      </c>
      <c r="H2060" s="5" t="str">
        <f ca="1">IFERROR(__xludf.DUMMYFUNCTION("""COMPUTED_VALUE"""),"توين بلازا مول - التجمع الأول - القاهرة الجديدة")</f>
        <v>توين بلازا مول - التجمع الأول - القاهرة الجديدة</v>
      </c>
      <c r="I2060" s="6" t="str">
        <f ca="1">IFERROR(__xludf.DUMMYFUNCTION("""COMPUTED_VALUE"""),"01152877537")</f>
        <v>01152877537</v>
      </c>
      <c r="J2060" s="6"/>
      <c r="K2060" s="6" t="str">
        <f ca="1">IFERROR(__xludf.DUMMYFUNCTION("""COMPUTED_VALUE"""),"Discount 55%")</f>
        <v>Discount 55%</v>
      </c>
    </row>
    <row r="2061" spans="1:11" x14ac:dyDescent="0.25">
      <c r="A2061" s="4" t="str">
        <f ca="1">IFERROR(__xludf.DUMMYFUNCTION("""COMPUTED_VALUE"""),"106501-B")</f>
        <v>106501-B</v>
      </c>
      <c r="B2061" s="5" t="str">
        <f ca="1">IFERROR(__xludf.DUMMYFUNCTION("""COMPUTED_VALUE"""),"القاهرة")</f>
        <v>القاهرة</v>
      </c>
      <c r="C2061" s="5" t="str">
        <f ca="1">IFERROR(__xludf.DUMMYFUNCTION("""COMPUTED_VALUE"""),"مصر الجديدة")</f>
        <v>مصر الجديدة</v>
      </c>
      <c r="D2061" s="5" t="str">
        <f ca="1">IFERROR(__xludf.DUMMYFUNCTION("""COMPUTED_VALUE"""),"مركز تأهيل بدنى")</f>
        <v>مركز تأهيل بدنى</v>
      </c>
      <c r="E2061" s="5" t="str">
        <f ca="1">IFERROR(__xludf.DUMMYFUNCTION("""COMPUTED_VALUE"""),"مركز تأهيل بدنى")</f>
        <v>مركز تأهيل بدنى</v>
      </c>
      <c r="F2061" s="5" t="str">
        <f ca="1">IFERROR(__xludf.DUMMYFUNCTION("""COMPUTED_VALUE"""),"مركز تأهيل بدنى")</f>
        <v>مركز تأهيل بدنى</v>
      </c>
      <c r="G2061" s="5" t="str">
        <f ca="1">IFERROR(__xludf.DUMMYFUNCTION("""COMPUTED_VALUE"""),"جيم Hers ( للسيدات فقط )")</f>
        <v>جيم Hers ( للسيدات فقط )</v>
      </c>
      <c r="H2061" s="5" t="str">
        <f ca="1">IFERROR(__xludf.DUMMYFUNCTION("""COMPUTED_VALUE"""),"15 شارع عبد المنعم حافظ - متفرع من شارع النزهة - مصر الجديدة")</f>
        <v>15 شارع عبد المنعم حافظ - متفرع من شارع النزهة - مصر الجديدة</v>
      </c>
      <c r="I2061" s="6" t="str">
        <f ca="1">IFERROR(__xludf.DUMMYFUNCTION("""COMPUTED_VALUE"""),"01152877537")</f>
        <v>01152877537</v>
      </c>
      <c r="J2061" s="6"/>
      <c r="K2061" s="6" t="str">
        <f ca="1">IFERROR(__xludf.DUMMYFUNCTION("""COMPUTED_VALUE"""),"Discount 55%")</f>
        <v>Discount 55%</v>
      </c>
    </row>
    <row r="2062" spans="1:11" x14ac:dyDescent="0.25">
      <c r="A2062" s="4" t="str">
        <f ca="1">IFERROR(__xludf.DUMMYFUNCTION("""COMPUTED_VALUE"""),"106502")</f>
        <v>106502</v>
      </c>
      <c r="B2062" s="5" t="str">
        <f ca="1">IFERROR(__xludf.DUMMYFUNCTION("""COMPUTED_VALUE"""),"القاهرة")</f>
        <v>القاهرة</v>
      </c>
      <c r="C2062" s="5" t="str">
        <f ca="1">IFERROR(__xludf.DUMMYFUNCTION("""COMPUTED_VALUE"""),"القاهرة الجديدة")</f>
        <v>القاهرة الجديدة</v>
      </c>
      <c r="D2062" s="5" t="str">
        <f ca="1">IFERROR(__xludf.DUMMYFUNCTION("""COMPUTED_VALUE"""),"مركز تأهيل بدنى")</f>
        <v>مركز تأهيل بدنى</v>
      </c>
      <c r="E2062" s="5" t="str">
        <f ca="1">IFERROR(__xludf.DUMMYFUNCTION("""COMPUTED_VALUE"""),"مركز تأهيل بدنى")</f>
        <v>مركز تأهيل بدنى</v>
      </c>
      <c r="F2062" s="5" t="str">
        <f ca="1">IFERROR(__xludf.DUMMYFUNCTION("""COMPUTED_VALUE"""),"مركز تأهيل بدنى")</f>
        <v>مركز تأهيل بدنى</v>
      </c>
      <c r="G2062" s="5" t="str">
        <f ca="1">IFERROR(__xludf.DUMMYFUNCTION("""COMPUTED_VALUE"""),"جيم Balance ( رجال فقط )")</f>
        <v>جيم Balance ( رجال فقط )</v>
      </c>
      <c r="H2062" s="5" t="str">
        <f ca="1">IFERROR(__xludf.DUMMYFUNCTION("""COMPUTED_VALUE"""),"توين بلازا مول - التجمع الأول - القاهرة الجديدة")</f>
        <v>توين بلازا مول - التجمع الأول - القاهرة الجديدة</v>
      </c>
      <c r="I2062" s="6" t="str">
        <f ca="1">IFERROR(__xludf.DUMMYFUNCTION("""COMPUTED_VALUE"""),"01152877537")</f>
        <v>01152877537</v>
      </c>
      <c r="J2062" s="6"/>
      <c r="K2062" s="6" t="str">
        <f ca="1">IFERROR(__xludf.DUMMYFUNCTION("""COMPUTED_VALUE"""),"Discount 55%")</f>
        <v>Discount 55%</v>
      </c>
    </row>
    <row r="2063" spans="1:11" x14ac:dyDescent="0.25">
      <c r="A2063" s="4" t="str">
        <f ca="1">IFERROR(__xludf.DUMMYFUNCTION("""COMPUTED_VALUE"""),"106502-B")</f>
        <v>106502-B</v>
      </c>
      <c r="B2063" s="5" t="str">
        <f ca="1">IFERROR(__xludf.DUMMYFUNCTION("""COMPUTED_VALUE"""),"القاهرة")</f>
        <v>القاهرة</v>
      </c>
      <c r="C2063" s="5" t="str">
        <f ca="1">IFERROR(__xludf.DUMMYFUNCTION("""COMPUTED_VALUE"""),"مصر الجديدة")</f>
        <v>مصر الجديدة</v>
      </c>
      <c r="D2063" s="5" t="str">
        <f ca="1">IFERROR(__xludf.DUMMYFUNCTION("""COMPUTED_VALUE"""),"مركز تأهيل بدنى")</f>
        <v>مركز تأهيل بدنى</v>
      </c>
      <c r="E2063" s="5" t="str">
        <f ca="1">IFERROR(__xludf.DUMMYFUNCTION("""COMPUTED_VALUE"""),"مركز تأهيل بدنى")</f>
        <v>مركز تأهيل بدنى</v>
      </c>
      <c r="F2063" s="5" t="str">
        <f ca="1">IFERROR(__xludf.DUMMYFUNCTION("""COMPUTED_VALUE"""),"مركز تأهيل بدنى")</f>
        <v>مركز تأهيل بدنى</v>
      </c>
      <c r="G2063" s="5" t="str">
        <f ca="1">IFERROR(__xludf.DUMMYFUNCTION("""COMPUTED_VALUE"""),"جيم Balance ( رجال فقط )")</f>
        <v>جيم Balance ( رجال فقط )</v>
      </c>
      <c r="H2063" s="5" t="str">
        <f ca="1">IFERROR(__xludf.DUMMYFUNCTION("""COMPUTED_VALUE"""),"عماره 11 - مربع 1172 - امتداد شارع عبدالحميد بدوي - امام مرور النزهة - الشيراتون - مصر الجديده")</f>
        <v>عماره 11 - مربع 1172 - امتداد شارع عبدالحميد بدوي - امام مرور النزهة - الشيراتون - مصر الجديده</v>
      </c>
      <c r="I2063" s="6" t="str">
        <f ca="1">IFERROR(__xludf.DUMMYFUNCTION("""COMPUTED_VALUE"""),"01152877537")</f>
        <v>01152877537</v>
      </c>
      <c r="J2063" s="6"/>
      <c r="K2063" s="6" t="str">
        <f ca="1">IFERROR(__xludf.DUMMYFUNCTION("""COMPUTED_VALUE"""),"Discount 55%")</f>
        <v>Discount 55%</v>
      </c>
    </row>
    <row r="2064" spans="1:11" x14ac:dyDescent="0.25">
      <c r="A2064" s="4" t="str">
        <f ca="1">IFERROR(__xludf.DUMMYFUNCTION("""COMPUTED_VALUE"""),"106502-B")</f>
        <v>106502-B</v>
      </c>
      <c r="B2064" s="5" t="str">
        <f ca="1">IFERROR(__xludf.DUMMYFUNCTION("""COMPUTED_VALUE"""),"القاهرة")</f>
        <v>القاهرة</v>
      </c>
      <c r="C2064" s="5" t="str">
        <f ca="1">IFERROR(__xludf.DUMMYFUNCTION("""COMPUTED_VALUE"""),"مدينة نصر")</f>
        <v>مدينة نصر</v>
      </c>
      <c r="D2064" s="5" t="str">
        <f ca="1">IFERROR(__xludf.DUMMYFUNCTION("""COMPUTED_VALUE"""),"مركز تأهيل بدنى")</f>
        <v>مركز تأهيل بدنى</v>
      </c>
      <c r="E2064" s="5" t="str">
        <f ca="1">IFERROR(__xludf.DUMMYFUNCTION("""COMPUTED_VALUE"""),"مركز تأهيل بدنى")</f>
        <v>مركز تأهيل بدنى</v>
      </c>
      <c r="F2064" s="5" t="str">
        <f ca="1">IFERROR(__xludf.DUMMYFUNCTION("""COMPUTED_VALUE"""),"مركز تأهيل بدنى")</f>
        <v>مركز تأهيل بدنى</v>
      </c>
      <c r="G2064" s="5" t="str">
        <f ca="1">IFERROR(__xludf.DUMMYFUNCTION("""COMPUTED_VALUE"""),"جيم Balance ( رجال فقط )")</f>
        <v>جيم Balance ( رجال فقط )</v>
      </c>
      <c r="H2064" s="5" t="str">
        <f ca="1">IFERROR(__xludf.DUMMYFUNCTION("""COMPUTED_VALUE"""),"20 مكرر شارع الفريق علي عامر - متفرع من شارع مكرم عبيد - خلف بنك cib - عبدالرازق السنهوري - الدور الارضي و الاول - مدينة نصر")</f>
        <v>20 مكرر شارع الفريق علي عامر - متفرع من شارع مكرم عبيد - خلف بنك cib - عبدالرازق السنهوري - الدور الارضي و الاول - مدينة نصر</v>
      </c>
      <c r="I2064" s="6" t="str">
        <f ca="1">IFERROR(__xludf.DUMMYFUNCTION("""COMPUTED_VALUE"""),"01152877537")</f>
        <v>01152877537</v>
      </c>
      <c r="J2064" s="6"/>
      <c r="K2064" s="6" t="str">
        <f ca="1">IFERROR(__xludf.DUMMYFUNCTION("""COMPUTED_VALUE"""),"Discount 55%")</f>
        <v>Discount 55%</v>
      </c>
    </row>
    <row r="2065" spans="1:11" x14ac:dyDescent="0.25">
      <c r="A2065" s="4" t="str">
        <f ca="1">IFERROR(__xludf.DUMMYFUNCTION("""COMPUTED_VALUE"""),"106502-B")</f>
        <v>106502-B</v>
      </c>
      <c r="B2065" s="5" t="str">
        <f ca="1">IFERROR(__xludf.DUMMYFUNCTION("""COMPUTED_VALUE"""),"القاهرة")</f>
        <v>القاهرة</v>
      </c>
      <c r="C2065" s="5" t="str">
        <f ca="1">IFERROR(__xludf.DUMMYFUNCTION("""COMPUTED_VALUE"""),"القاهرة الجديدة")</f>
        <v>القاهرة الجديدة</v>
      </c>
      <c r="D2065" s="5" t="str">
        <f ca="1">IFERROR(__xludf.DUMMYFUNCTION("""COMPUTED_VALUE"""),"مركز تأهيل بدنى")</f>
        <v>مركز تأهيل بدنى</v>
      </c>
      <c r="E2065" s="5" t="str">
        <f ca="1">IFERROR(__xludf.DUMMYFUNCTION("""COMPUTED_VALUE"""),"مركز تأهيل بدنى")</f>
        <v>مركز تأهيل بدنى</v>
      </c>
      <c r="F2065" s="5" t="str">
        <f ca="1">IFERROR(__xludf.DUMMYFUNCTION("""COMPUTED_VALUE"""),"مركز تأهيل بدنى")</f>
        <v>مركز تأهيل بدنى</v>
      </c>
      <c r="G2065" s="5" t="str">
        <f ca="1">IFERROR(__xludf.DUMMYFUNCTION("""COMPUTED_VALUE"""),"جيم Balance ( رجال فقط )")</f>
        <v>جيم Balance ( رجال فقط )</v>
      </c>
      <c r="H2065" s="5" t="str">
        <f ca="1">IFERROR(__xludf.DUMMYFUNCTION("""COMPUTED_VALUE"""),"342 شارع التسعين - مول المدينه - الدور ال3 - التجمع الخامس")</f>
        <v>342 شارع التسعين - مول المدينه - الدور ال3 - التجمع الخامس</v>
      </c>
      <c r="I2065" s="6" t="str">
        <f ca="1">IFERROR(__xludf.DUMMYFUNCTION("""COMPUTED_VALUE"""),"01152877537")</f>
        <v>01152877537</v>
      </c>
      <c r="J2065" s="6"/>
      <c r="K2065" s="6" t="str">
        <f ca="1">IFERROR(__xludf.DUMMYFUNCTION("""COMPUTED_VALUE"""),"Discount 55%")</f>
        <v>Discount 55%</v>
      </c>
    </row>
    <row r="2066" spans="1:11" x14ac:dyDescent="0.25">
      <c r="A2066" s="4" t="str">
        <f ca="1">IFERROR(__xludf.DUMMYFUNCTION("""COMPUTED_VALUE"""),"106502-B")</f>
        <v>106502-B</v>
      </c>
      <c r="B2066" s="5" t="str">
        <f ca="1">IFERROR(__xludf.DUMMYFUNCTION("""COMPUTED_VALUE"""),"القاهرة")</f>
        <v>القاهرة</v>
      </c>
      <c r="C2066" s="5" t="str">
        <f ca="1">IFERROR(__xludf.DUMMYFUNCTION("""COMPUTED_VALUE"""),"مصر الجديدة")</f>
        <v>مصر الجديدة</v>
      </c>
      <c r="D2066" s="5" t="str">
        <f ca="1">IFERROR(__xludf.DUMMYFUNCTION("""COMPUTED_VALUE"""),"مركز تأهيل بدنى")</f>
        <v>مركز تأهيل بدنى</v>
      </c>
      <c r="E2066" s="5" t="str">
        <f ca="1">IFERROR(__xludf.DUMMYFUNCTION("""COMPUTED_VALUE"""),"مركز تأهيل بدنى")</f>
        <v>مركز تأهيل بدنى</v>
      </c>
      <c r="F2066" s="5" t="str">
        <f ca="1">IFERROR(__xludf.DUMMYFUNCTION("""COMPUTED_VALUE"""),"مركز تأهيل بدنى")</f>
        <v>مركز تأهيل بدنى</v>
      </c>
      <c r="G2066" s="5" t="str">
        <f ca="1">IFERROR(__xludf.DUMMYFUNCTION("""COMPUTED_VALUE"""),"جيم Balance ( رجال فقط )")</f>
        <v>جيم Balance ( رجال فقط )</v>
      </c>
      <c r="H2066" s="5" t="str">
        <f ca="1">IFERROR(__xludf.DUMMYFUNCTION("""COMPUTED_VALUE"""),"شارع الثوره - خلف سنترال الماظه - مصر الجديده")</f>
        <v>شارع الثوره - خلف سنترال الماظه - مصر الجديده</v>
      </c>
      <c r="I2066" s="6" t="str">
        <f ca="1">IFERROR(__xludf.DUMMYFUNCTION("""COMPUTED_VALUE"""),"01152877537")</f>
        <v>01152877537</v>
      </c>
      <c r="J2066" s="6"/>
      <c r="K2066" s="6" t="str">
        <f ca="1">IFERROR(__xludf.DUMMYFUNCTION("""COMPUTED_VALUE"""),"Discount 55%")</f>
        <v>Discount 55%</v>
      </c>
    </row>
    <row r="2067" spans="1:11" x14ac:dyDescent="0.25">
      <c r="A2067" s="4" t="str">
        <f ca="1">IFERROR(__xludf.DUMMYFUNCTION("""COMPUTED_VALUE"""),"103307-B")</f>
        <v>103307-B</v>
      </c>
      <c r="B2067" s="5" t="str">
        <f ca="1">IFERROR(__xludf.DUMMYFUNCTION("""COMPUTED_VALUE"""),"الجيزة")</f>
        <v>الجيزة</v>
      </c>
      <c r="C2067" s="5" t="str">
        <f ca="1">IFERROR(__xludf.DUMMYFUNCTION("""COMPUTED_VALUE"""),"الشيخ زايد")</f>
        <v>الشيخ زايد</v>
      </c>
      <c r="D2067" s="5" t="str">
        <f ca="1">IFERROR(__xludf.DUMMYFUNCTION("""COMPUTED_VALUE"""),"مركز أشعة و تحاليل")</f>
        <v>مركز أشعة و تحاليل</v>
      </c>
      <c r="E2067" s="5" t="str">
        <f ca="1">IFERROR(__xludf.DUMMYFUNCTION("""COMPUTED_VALUE""")," أشعة و تحاليل")</f>
        <v xml:space="preserve"> أشعة و تحاليل</v>
      </c>
      <c r="F2067" s="5" t="str">
        <f ca="1">IFERROR(__xludf.DUMMYFUNCTION("""COMPUTED_VALUE""")," أشعة و تحاليل")</f>
        <v xml:space="preserve"> أشعة و تحاليل</v>
      </c>
      <c r="G2067" s="5" t="str">
        <f ca="1">IFERROR(__xludf.DUMMYFUNCTION("""COMPUTED_VALUE"""),"مركز القاهرة للأشعة (كايرو سكان)")</f>
        <v>مركز القاهرة للأشعة (كايرو سكان)</v>
      </c>
      <c r="H2067" s="5" t="str">
        <f ca="1">IFERROR(__xludf.DUMMYFUNCTION("""COMPUTED_VALUE"""),"المحور المركزي توين تاورز برج A  بجوار هايبر وان")</f>
        <v>المحور المركزي توين تاورز برج A  بجوار هايبر وان</v>
      </c>
      <c r="I2067" s="6"/>
      <c r="J2067" s="6" t="str">
        <f ca="1">IFERROR(__xludf.DUMMYFUNCTION("""COMPUTED_VALUE"""),"19144")</f>
        <v>19144</v>
      </c>
      <c r="K2067" s="6" t="str">
        <f ca="1">IFERROR(__xludf.DUMMYFUNCTION("""COMPUTED_VALUE"""),"29% على جميع الخدمات")</f>
        <v>29% على جميع الخدمات</v>
      </c>
    </row>
    <row r="2068" spans="1:11" x14ac:dyDescent="0.25">
      <c r="A2068" s="4" t="str">
        <f ca="1">IFERROR(__xludf.DUMMYFUNCTION("""COMPUTED_VALUE"""),"2916-B")</f>
        <v>2916-B</v>
      </c>
      <c r="B2068" s="5" t="str">
        <f ca="1">IFERROR(__xludf.DUMMYFUNCTION("""COMPUTED_VALUE"""),"الجيزة")</f>
        <v>الجيزة</v>
      </c>
      <c r="C2068" s="5" t="str">
        <f ca="1">IFERROR(__xludf.DUMMYFUNCTION("""COMPUTED_VALUE"""),"حدائق الاهرام")</f>
        <v>حدائق الاهرام</v>
      </c>
      <c r="D2068" s="5" t="str">
        <f ca="1">IFERROR(__xludf.DUMMYFUNCTION("""COMPUTED_VALUE"""),"معمل")</f>
        <v>معمل</v>
      </c>
      <c r="E2068" s="5" t="str">
        <f ca="1">IFERROR(__xludf.DUMMYFUNCTION("""COMPUTED_VALUE"""),"معمل")</f>
        <v>معمل</v>
      </c>
      <c r="F2068" s="5" t="str">
        <f ca="1">IFERROR(__xludf.DUMMYFUNCTION("""COMPUTED_VALUE"""),"معمل التحاليل الطبية")</f>
        <v>معمل التحاليل الطبية</v>
      </c>
      <c r="G2068" s="5" t="str">
        <f ca="1">IFERROR(__xludf.DUMMYFUNCTION("""COMPUTED_VALUE"""),"معمل فيرست لاب")</f>
        <v>معمل فيرست لاب</v>
      </c>
      <c r="H2068" s="5" t="str">
        <f ca="1">IFERROR(__xludf.DUMMYFUNCTION("""COMPUTED_VALUE"""),"25 ب شارع الثروة المعدنية- البوابة الاولي- الدور الاول")</f>
        <v>25 ب شارع الثروة المعدنية- البوابة الاولي- الدور الاول</v>
      </c>
      <c r="I2068" s="6" t="str">
        <f ca="1">IFERROR(__xludf.DUMMYFUNCTION("""COMPUTED_VALUE"""),"01147778656")</f>
        <v>01147778656</v>
      </c>
      <c r="J2068" s="6"/>
      <c r="K2068" s="6" t="str">
        <f ca="1">IFERROR(__xludf.DUMMYFUNCTION("""COMPUTED_VALUE"""),"20% خصم علي الأسعار النقدي المعلنه")</f>
        <v>20% خصم علي الأسعار النقدي المعلنه</v>
      </c>
    </row>
    <row r="2069" spans="1:11" x14ac:dyDescent="0.25">
      <c r="A2069" s="4" t="str">
        <f ca="1">IFERROR(__xludf.DUMMYFUNCTION("""COMPUTED_VALUE"""),"2916-B")</f>
        <v>2916-B</v>
      </c>
      <c r="B2069" s="5" t="str">
        <f ca="1">IFERROR(__xludf.DUMMYFUNCTION("""COMPUTED_VALUE"""),"القاهرة")</f>
        <v>القاهرة</v>
      </c>
      <c r="C2069" s="5" t="str">
        <f ca="1">IFERROR(__xludf.DUMMYFUNCTION("""COMPUTED_VALUE"""),"المطرية")</f>
        <v>المطرية</v>
      </c>
      <c r="D2069" s="5" t="str">
        <f ca="1">IFERROR(__xludf.DUMMYFUNCTION("""COMPUTED_VALUE"""),"معمل")</f>
        <v>معمل</v>
      </c>
      <c r="E2069" s="5" t="str">
        <f ca="1">IFERROR(__xludf.DUMMYFUNCTION("""COMPUTED_VALUE"""),"معمل")</f>
        <v>معمل</v>
      </c>
      <c r="F2069" s="5" t="str">
        <f ca="1">IFERROR(__xludf.DUMMYFUNCTION("""COMPUTED_VALUE"""),"معمل التحاليل الطبية")</f>
        <v>معمل التحاليل الطبية</v>
      </c>
      <c r="G2069" s="5" t="str">
        <f ca="1">IFERROR(__xludf.DUMMYFUNCTION("""COMPUTED_VALUE"""),"معمل فيرست لاب")</f>
        <v>معمل فيرست لاب</v>
      </c>
      <c r="H2069" s="5" t="str">
        <f ca="1">IFERROR(__xludf.DUMMYFUNCTION("""COMPUTED_VALUE"""),"3أشارع الحرية-ميدان المطرية-أعلي توكيل راية-الدور الاول
")</f>
        <v xml:space="preserve">3أشارع الحرية-ميدان المطرية-أعلي توكيل راية-الدور الاول
</v>
      </c>
      <c r="I2069" s="6" t="str">
        <f ca="1">IFERROR(__xludf.DUMMYFUNCTION("""COMPUTED_VALUE"""),"01144428629")</f>
        <v>01144428629</v>
      </c>
      <c r="J2069" s="6"/>
      <c r="K2069" s="6" t="str">
        <f ca="1">IFERROR(__xludf.DUMMYFUNCTION("""COMPUTED_VALUE"""),"20% خصم علي الأسعار النقدي المعلنه")</f>
        <v>20% خصم علي الأسعار النقدي المعلنه</v>
      </c>
    </row>
    <row r="2070" spans="1:11" x14ac:dyDescent="0.25">
      <c r="A2070" s="4" t="str">
        <f ca="1">IFERROR(__xludf.DUMMYFUNCTION("""COMPUTED_VALUE"""),"2916-B")</f>
        <v>2916-B</v>
      </c>
      <c r="B2070" s="5" t="str">
        <f ca="1">IFERROR(__xludf.DUMMYFUNCTION("""COMPUTED_VALUE"""),"القليوبية")</f>
        <v>القليوبية</v>
      </c>
      <c r="C2070" s="5" t="str">
        <f ca="1">IFERROR(__xludf.DUMMYFUNCTION("""COMPUTED_VALUE"""),"قليوب")</f>
        <v>قليوب</v>
      </c>
      <c r="D2070" s="5" t="str">
        <f ca="1">IFERROR(__xludf.DUMMYFUNCTION("""COMPUTED_VALUE"""),"معمل")</f>
        <v>معمل</v>
      </c>
      <c r="E2070" s="5" t="str">
        <f ca="1">IFERROR(__xludf.DUMMYFUNCTION("""COMPUTED_VALUE"""),"معمل")</f>
        <v>معمل</v>
      </c>
      <c r="F2070" s="5" t="str">
        <f ca="1">IFERROR(__xludf.DUMMYFUNCTION("""COMPUTED_VALUE"""),"معمل التحاليل الطبية")</f>
        <v>معمل التحاليل الطبية</v>
      </c>
      <c r="G2070" s="5" t="str">
        <f ca="1">IFERROR(__xludf.DUMMYFUNCTION("""COMPUTED_VALUE"""),"معمل فيرست لاب")</f>
        <v>معمل فيرست لاب</v>
      </c>
      <c r="H2070" s="5" t="str">
        <f ca="1">IFERROR(__xludf.DUMMYFUNCTION("""COMPUTED_VALUE"""),"برج زعزع الاداري-قليوب المحطه - امام مركز قليوب - الدور الاول علوي
")</f>
        <v xml:space="preserve">برج زعزع الاداري-قليوب المحطه - امام مركز قليوب - الدور الاول علوي
</v>
      </c>
      <c r="I2070" s="6" t="str">
        <f ca="1">IFERROR(__xludf.DUMMYFUNCTION("""COMPUTED_VALUE"""),"01117211633")</f>
        <v>01117211633</v>
      </c>
      <c r="J2070" s="6"/>
      <c r="K2070" s="6" t="str">
        <f ca="1">IFERROR(__xludf.DUMMYFUNCTION("""COMPUTED_VALUE"""),"20% خصم علي الأسعار النقدي المعلنه")</f>
        <v>20% خصم علي الأسعار النقدي المعلنه</v>
      </c>
    </row>
    <row r="2071" spans="1:11" x14ac:dyDescent="0.25">
      <c r="A2071" s="4" t="str">
        <f ca="1">IFERROR(__xludf.DUMMYFUNCTION("""COMPUTED_VALUE"""),"2916-B")</f>
        <v>2916-B</v>
      </c>
      <c r="B2071" s="5" t="str">
        <f ca="1">IFERROR(__xludf.DUMMYFUNCTION("""COMPUTED_VALUE"""),"الغربية")</f>
        <v>الغربية</v>
      </c>
      <c r="C2071" s="5" t="str">
        <f ca="1">IFERROR(__xludf.DUMMYFUNCTION("""COMPUTED_VALUE"""),"زفتى")</f>
        <v>زفتى</v>
      </c>
      <c r="D2071" s="5" t="str">
        <f ca="1">IFERROR(__xludf.DUMMYFUNCTION("""COMPUTED_VALUE"""),"معمل")</f>
        <v>معمل</v>
      </c>
      <c r="E2071" s="5" t="str">
        <f ca="1">IFERROR(__xludf.DUMMYFUNCTION("""COMPUTED_VALUE"""),"معمل")</f>
        <v>معمل</v>
      </c>
      <c r="F2071" s="5" t="str">
        <f ca="1">IFERROR(__xludf.DUMMYFUNCTION("""COMPUTED_VALUE"""),"معمل التحاليل الطبية")</f>
        <v>معمل التحاليل الطبية</v>
      </c>
      <c r="G2071" s="5" t="str">
        <f ca="1">IFERROR(__xludf.DUMMYFUNCTION("""COMPUTED_VALUE"""),"معمل فيرست لاب")</f>
        <v>معمل فيرست لاب</v>
      </c>
      <c r="H2071" s="5" t="str">
        <f ca="1">IFERROR(__xludf.DUMMYFUNCTION("""COMPUTED_VALUE"""),"برج ابو شوشة أمام مجلس المدينة -فوق موبنيل -الدور الثالث
")</f>
        <v xml:space="preserve">برج ابو شوشة أمام مجلس المدينة -فوق موبنيل -الدور الثالث
</v>
      </c>
      <c r="I2071" s="6" t="str">
        <f ca="1">IFERROR(__xludf.DUMMYFUNCTION("""COMPUTED_VALUE"""),"01111876622")</f>
        <v>01111876622</v>
      </c>
      <c r="J2071" s="6"/>
      <c r="K2071" s="6" t="str">
        <f ca="1">IFERROR(__xludf.DUMMYFUNCTION("""COMPUTED_VALUE"""),"20% خصم علي الأسعار النقدي المعلنه")</f>
        <v>20% خصم علي الأسعار النقدي المعلنه</v>
      </c>
    </row>
    <row r="2072" spans="1:11" x14ac:dyDescent="0.25">
      <c r="A2072" s="4" t="str">
        <f ca="1">IFERROR(__xludf.DUMMYFUNCTION("""COMPUTED_VALUE"""),"2916-B")</f>
        <v>2916-B</v>
      </c>
      <c r="B2072" s="5" t="str">
        <f ca="1">IFERROR(__xludf.DUMMYFUNCTION("""COMPUTED_VALUE"""),"الغربية")</f>
        <v>الغربية</v>
      </c>
      <c r="C2072" s="5" t="str">
        <f ca="1">IFERROR(__xludf.DUMMYFUNCTION("""COMPUTED_VALUE"""),"زفتى")</f>
        <v>زفتى</v>
      </c>
      <c r="D2072" s="5" t="str">
        <f ca="1">IFERROR(__xludf.DUMMYFUNCTION("""COMPUTED_VALUE"""),"معمل")</f>
        <v>معمل</v>
      </c>
      <c r="E2072" s="5" t="str">
        <f ca="1">IFERROR(__xludf.DUMMYFUNCTION("""COMPUTED_VALUE"""),"معمل")</f>
        <v>معمل</v>
      </c>
      <c r="F2072" s="5" t="str">
        <f ca="1">IFERROR(__xludf.DUMMYFUNCTION("""COMPUTED_VALUE"""),"معمل التحاليل الطبية")</f>
        <v>معمل التحاليل الطبية</v>
      </c>
      <c r="G2072" s="5" t="str">
        <f ca="1">IFERROR(__xludf.DUMMYFUNCTION("""COMPUTED_VALUE"""),"معمل فيرست لاب")</f>
        <v>معمل فيرست لاب</v>
      </c>
      <c r="H2072" s="5" t="str">
        <f ca="1">IFERROR(__xludf.DUMMYFUNCTION("""COMPUTED_VALUE"""),"شارع الجيش -برج الازهري-بجور مسجد الشحري-الدور الثالث
")</f>
        <v xml:space="preserve">شارع الجيش -برج الازهري-بجور مسجد الشحري-الدور الثالث
</v>
      </c>
      <c r="I2072" s="6" t="str">
        <f ca="1">IFERROR(__xludf.DUMMYFUNCTION("""COMPUTED_VALUE"""),"01556384899")</f>
        <v>01556384899</v>
      </c>
      <c r="J2072" s="6"/>
      <c r="K2072" s="6" t="str">
        <f ca="1">IFERROR(__xludf.DUMMYFUNCTION("""COMPUTED_VALUE"""),"20% خصم علي الأسعار النقدي المعلنه")</f>
        <v>20% خصم علي الأسعار النقدي المعلنه</v>
      </c>
    </row>
    <row r="2073" spans="1:11" x14ac:dyDescent="0.25">
      <c r="A2073" s="4" t="str">
        <f ca="1">IFERROR(__xludf.DUMMYFUNCTION("""COMPUTED_VALUE"""),"2916-B")</f>
        <v>2916-B</v>
      </c>
      <c r="B2073" s="5" t="str">
        <f ca="1">IFERROR(__xludf.DUMMYFUNCTION("""COMPUTED_VALUE"""),"الغربية")</f>
        <v>الغربية</v>
      </c>
      <c r="C2073" s="5" t="str">
        <f ca="1">IFERROR(__xludf.DUMMYFUNCTION("""COMPUTED_VALUE"""),"السنطة")</f>
        <v>السنطة</v>
      </c>
      <c r="D2073" s="5" t="str">
        <f ca="1">IFERROR(__xludf.DUMMYFUNCTION("""COMPUTED_VALUE"""),"معمل")</f>
        <v>معمل</v>
      </c>
      <c r="E2073" s="5" t="str">
        <f ca="1">IFERROR(__xludf.DUMMYFUNCTION("""COMPUTED_VALUE"""),"معمل")</f>
        <v>معمل</v>
      </c>
      <c r="F2073" s="5" t="str">
        <f ca="1">IFERROR(__xludf.DUMMYFUNCTION("""COMPUTED_VALUE"""),"معمل التحاليل الطبية")</f>
        <v>معمل التحاليل الطبية</v>
      </c>
      <c r="G2073" s="5" t="str">
        <f ca="1">IFERROR(__xludf.DUMMYFUNCTION("""COMPUTED_VALUE"""),"معمل فيرست لاب")</f>
        <v>معمل فيرست لاب</v>
      </c>
      <c r="H2073" s="5" t="str">
        <f ca="1">IFERROR(__xludf.DUMMYFUNCTION("""COMPUTED_VALUE"""),"شارع الجلاء-برج الاطباء- امام البنك الاهلي المصري
")</f>
        <v xml:space="preserve">شارع الجلاء-برج الاطباء- امام البنك الاهلي المصري
</v>
      </c>
      <c r="I2073" s="6" t="str">
        <f ca="1">IFERROR(__xludf.DUMMYFUNCTION("""COMPUTED_VALUE"""),"01103023528")</f>
        <v>01103023528</v>
      </c>
      <c r="J2073" s="6"/>
      <c r="K2073" s="6" t="str">
        <f ca="1">IFERROR(__xludf.DUMMYFUNCTION("""COMPUTED_VALUE"""),"20% خصم علي الأسعار النقدي المعلنه")</f>
        <v>20% خصم علي الأسعار النقدي المعلنه</v>
      </c>
    </row>
    <row r="2074" spans="1:11" x14ac:dyDescent="0.25">
      <c r="A2074" s="4" t="str">
        <f ca="1">IFERROR(__xludf.DUMMYFUNCTION("""COMPUTED_VALUE"""),"2916-B")</f>
        <v>2916-B</v>
      </c>
      <c r="B2074" s="5" t="str">
        <f ca="1">IFERROR(__xludf.DUMMYFUNCTION("""COMPUTED_VALUE"""),"الشرقية")</f>
        <v>الشرقية</v>
      </c>
      <c r="C2074" s="5" t="str">
        <f ca="1">IFERROR(__xludf.DUMMYFUNCTION("""COMPUTED_VALUE"""),"الزقازيق")</f>
        <v>الزقازيق</v>
      </c>
      <c r="D2074" s="5" t="str">
        <f ca="1">IFERROR(__xludf.DUMMYFUNCTION("""COMPUTED_VALUE"""),"معمل")</f>
        <v>معمل</v>
      </c>
      <c r="E2074" s="5" t="str">
        <f ca="1">IFERROR(__xludf.DUMMYFUNCTION("""COMPUTED_VALUE"""),"معمل")</f>
        <v>معمل</v>
      </c>
      <c r="F2074" s="5" t="str">
        <f ca="1">IFERROR(__xludf.DUMMYFUNCTION("""COMPUTED_VALUE"""),"معمل التحاليل الطبية")</f>
        <v>معمل التحاليل الطبية</v>
      </c>
      <c r="G2074" s="5" t="str">
        <f ca="1">IFERROR(__xludf.DUMMYFUNCTION("""COMPUTED_VALUE"""),"معمل فيرست لاب")</f>
        <v>معمل فيرست لاب</v>
      </c>
      <c r="H2074" s="5" t="str">
        <f ca="1">IFERROR(__xludf.DUMMYFUNCTION("""COMPUTED_VALUE"""),"برج الجلاء بجوار عالم ماركت-أمام عمر أفندي-الدور الخامس
")</f>
        <v xml:space="preserve">برج الجلاء بجوار عالم ماركت-أمام عمر أفندي-الدور الخامس
</v>
      </c>
      <c r="I2074" s="6" t="str">
        <f ca="1">IFERROR(__xludf.DUMMYFUNCTION("""COMPUTED_VALUE"""),"01151840007")</f>
        <v>01151840007</v>
      </c>
      <c r="J2074" s="6"/>
      <c r="K2074" s="6" t="str">
        <f ca="1">IFERROR(__xludf.DUMMYFUNCTION("""COMPUTED_VALUE"""),"20% خصم علي الأسعار النقدي المعلنه")</f>
        <v>20% خصم علي الأسعار النقدي المعلنه</v>
      </c>
    </row>
    <row r="2075" spans="1:11" x14ac:dyDescent="0.25">
      <c r="A2075" s="4" t="str">
        <f ca="1">IFERROR(__xludf.DUMMYFUNCTION("""COMPUTED_VALUE"""),"2916-B")</f>
        <v>2916-B</v>
      </c>
      <c r="B2075" s="5" t="str">
        <f ca="1">IFERROR(__xludf.DUMMYFUNCTION("""COMPUTED_VALUE"""),"الإسماعيلية")</f>
        <v>الإسماعيلية</v>
      </c>
      <c r="C2075" s="5" t="str">
        <f ca="1">IFERROR(__xludf.DUMMYFUNCTION("""COMPUTED_VALUE"""),"الإسماعيلية")</f>
        <v>الإسماعيلية</v>
      </c>
      <c r="D2075" s="5" t="str">
        <f ca="1">IFERROR(__xludf.DUMMYFUNCTION("""COMPUTED_VALUE"""),"معمل")</f>
        <v>معمل</v>
      </c>
      <c r="E2075" s="5" t="str">
        <f ca="1">IFERROR(__xludf.DUMMYFUNCTION("""COMPUTED_VALUE"""),"معمل")</f>
        <v>معمل</v>
      </c>
      <c r="F2075" s="5" t="str">
        <f ca="1">IFERROR(__xludf.DUMMYFUNCTION("""COMPUTED_VALUE"""),"معمل التحاليل الطبية")</f>
        <v>معمل التحاليل الطبية</v>
      </c>
      <c r="G2075" s="5" t="str">
        <f ca="1">IFERROR(__xludf.DUMMYFUNCTION("""COMPUTED_VALUE"""),"معمل فيرست لاب")</f>
        <v>معمل فيرست لاب</v>
      </c>
      <c r="H2075" s="5" t="str">
        <f ca="1">IFERROR(__xludf.DUMMYFUNCTION("""COMPUTED_VALUE"""),"ش شبين الكوم-أعلي كنتاكي أمام معهد أل نوح -الدور الاول
")</f>
        <v xml:space="preserve">ش شبين الكوم-أعلي كنتاكي أمام معهد أل نوح -الدور الاول
</v>
      </c>
      <c r="I2075" s="6" t="str">
        <f ca="1">IFERROR(__xludf.DUMMYFUNCTION("""COMPUTED_VALUE"""),"01152983388")</f>
        <v>01152983388</v>
      </c>
      <c r="J2075" s="6"/>
      <c r="K2075" s="6" t="str">
        <f ca="1">IFERROR(__xludf.DUMMYFUNCTION("""COMPUTED_VALUE"""),"20% خصم علي الأسعار النقدي المعلنه")</f>
        <v>20% خصم علي الأسعار النقدي المعلنه</v>
      </c>
    </row>
    <row r="2076" spans="1:11" x14ac:dyDescent="0.25">
      <c r="A2076" s="4" t="str">
        <f ca="1">IFERROR(__xludf.DUMMYFUNCTION("""COMPUTED_VALUE"""),"2916-B")</f>
        <v>2916-B</v>
      </c>
      <c r="B2076" s="5" t="str">
        <f ca="1">IFERROR(__xludf.DUMMYFUNCTION("""COMPUTED_VALUE"""),"الاسكندرية")</f>
        <v>الاسكندرية</v>
      </c>
      <c r="C2076" s="5" t="str">
        <f ca="1">IFERROR(__xludf.DUMMYFUNCTION("""COMPUTED_VALUE"""),"محطة الرمل")</f>
        <v>محطة الرمل</v>
      </c>
      <c r="D2076" s="5" t="str">
        <f ca="1">IFERROR(__xludf.DUMMYFUNCTION("""COMPUTED_VALUE"""),"معمل")</f>
        <v>معمل</v>
      </c>
      <c r="E2076" s="5" t="str">
        <f ca="1">IFERROR(__xludf.DUMMYFUNCTION("""COMPUTED_VALUE"""),"معمل")</f>
        <v>معمل</v>
      </c>
      <c r="F2076" s="5" t="str">
        <f ca="1">IFERROR(__xludf.DUMMYFUNCTION("""COMPUTED_VALUE"""),"معمل التحاليل الطبية")</f>
        <v>معمل التحاليل الطبية</v>
      </c>
      <c r="G2076" s="5" t="str">
        <f ca="1">IFERROR(__xludf.DUMMYFUNCTION("""COMPUTED_VALUE"""),"معمل فيرست لاب")</f>
        <v>معمل فيرست لاب</v>
      </c>
      <c r="H2076" s="5" t="str">
        <f ca="1">IFERROR(__xludf.DUMMYFUNCTION("""COMPUTED_VALUE"""),"8ش كليه الطب -برج الاطباء-محطه الرمل - الدور الخامس
")</f>
        <v xml:space="preserve">8ش كليه الطب -برج الاطباء-محطه الرمل - الدور الخامس
</v>
      </c>
      <c r="I2076" s="6" t="str">
        <f ca="1">IFERROR(__xludf.DUMMYFUNCTION("""COMPUTED_VALUE"""),"01125514147")</f>
        <v>01125514147</v>
      </c>
      <c r="J2076" s="6"/>
      <c r="K2076" s="6" t="str">
        <f ca="1">IFERROR(__xludf.DUMMYFUNCTION("""COMPUTED_VALUE"""),"20% خصم علي الأسعار النقدي المعلنه")</f>
        <v>20% خصم علي الأسعار النقدي المعلنه</v>
      </c>
    </row>
    <row r="2077" spans="1:11" x14ac:dyDescent="0.25">
      <c r="A2077" s="4" t="str">
        <f ca="1">IFERROR(__xludf.DUMMYFUNCTION("""COMPUTED_VALUE"""),"106492")</f>
        <v>106492</v>
      </c>
      <c r="B2077" s="5" t="str">
        <f ca="1">IFERROR(__xludf.DUMMYFUNCTION("""COMPUTED_VALUE"""),"الجيزة")</f>
        <v>الجيزة</v>
      </c>
      <c r="C2077" s="5" t="str">
        <f ca="1">IFERROR(__xludf.DUMMYFUNCTION("""COMPUTED_VALUE"""),"أطفيح")</f>
        <v>أطفيح</v>
      </c>
      <c r="D2077" s="5" t="str">
        <f ca="1">IFERROR(__xludf.DUMMYFUNCTION("""COMPUTED_VALUE"""),"مستشفى")</f>
        <v>مستشفى</v>
      </c>
      <c r="E2077" s="5" t="str">
        <f ca="1">IFERROR(__xludf.DUMMYFUNCTION("""COMPUTED_VALUE"""),"مستشفي طبي متكامل")</f>
        <v>مستشفي طبي متكامل</v>
      </c>
      <c r="F2077" s="5" t="str">
        <f ca="1">IFERROR(__xludf.DUMMYFUNCTION("""COMPUTED_VALUE"""),"جميع التخصصات الطبية")</f>
        <v>جميع التخصصات الطبية</v>
      </c>
      <c r="G2077" s="5" t="str">
        <f ca="1">IFERROR(__xludf.DUMMYFUNCTION("""COMPUTED_VALUE"""),"مركز الرضوي للجراحة (مركز الرضوي للجراحة العامة)")</f>
        <v>مركز الرضوي للجراحة (مركز الرضوي للجراحة العامة)</v>
      </c>
      <c r="H2077" s="5" t="str">
        <f ca="1">IFERROR(__xludf.DUMMYFUNCTION("""COMPUTED_VALUE"""),"القبابات مركز اطفيح بجوار الاسعاف - الجيزة")</f>
        <v>القبابات مركز اطفيح بجوار الاسعاف - الجيزة</v>
      </c>
      <c r="I2077" s="6" t="str">
        <f ca="1">IFERROR(__xludf.DUMMYFUNCTION("""COMPUTED_VALUE"""),"01120062900")</f>
        <v>01120062900</v>
      </c>
      <c r="J2077" s="6"/>
      <c r="K2077" s="6" t="str">
        <f ca="1">IFERROR(__xludf.DUMMYFUNCTION("""COMPUTED_VALUE"""),"خصم 25% علي الاسعار المعلنة")</f>
        <v>خصم 25% علي الاسعار المعلنة</v>
      </c>
    </row>
    <row r="2078" spans="1:11" x14ac:dyDescent="0.25">
      <c r="A2078" s="4" t="str">
        <f ca="1">IFERROR(__xludf.DUMMYFUNCTION("""COMPUTED_VALUE"""),"105046-B")</f>
        <v>105046-B</v>
      </c>
      <c r="B2078" s="5" t="str">
        <f ca="1">IFERROR(__xludf.DUMMYFUNCTION("""COMPUTED_VALUE"""),"الجيزة")</f>
        <v>الجيزة</v>
      </c>
      <c r="C2078" s="5" t="str">
        <f ca="1">IFERROR(__xludf.DUMMYFUNCTION("""COMPUTED_VALUE"""),"فيصل")</f>
        <v>فيصل</v>
      </c>
      <c r="D2078" s="5" t="str">
        <f ca="1">IFERROR(__xludf.DUMMYFUNCTION("""COMPUTED_VALUE"""),"مركز علاج طبيعي")</f>
        <v>مركز علاج طبيعي</v>
      </c>
      <c r="E2078" s="5" t="str">
        <f ca="1">IFERROR(__xludf.DUMMYFUNCTION("""COMPUTED_VALUE"""),"علاج طبيعي")</f>
        <v>علاج طبيعي</v>
      </c>
      <c r="F2078" s="5" t="str">
        <f ca="1">IFERROR(__xludf.DUMMYFUNCTION("""COMPUTED_VALUE"""),"جلسات العلاج الطبيعي")</f>
        <v>جلسات العلاج الطبيعي</v>
      </c>
      <c r="G2078" s="5" t="str">
        <f ca="1">IFERROR(__xludf.DUMMYFUNCTION("""COMPUTED_VALUE"""),"مركز النيل للعلاج الطبيعي")</f>
        <v>مركز النيل للعلاج الطبيعي</v>
      </c>
      <c r="H2078" s="5" t="str">
        <f ca="1">IFERROR(__xludf.DUMMYFUNCTION("""COMPUTED_VALUE"""),"3ش احمد لطفي السيد - محطة المساحة امام مستشفى الجزيرة فيصل - الجيزة .")</f>
        <v>3ش احمد لطفي السيد - محطة المساحة امام مستشفى الجزيرة فيصل - الجيزة .</v>
      </c>
      <c r="I2078" s="6" t="str">
        <f ca="1">IFERROR(__xludf.DUMMYFUNCTION("""COMPUTED_VALUE"""),"01111120054")</f>
        <v>01111120054</v>
      </c>
      <c r="J2078" s="6"/>
      <c r="K2078" s="6" t="str">
        <f ca="1">IFERROR(__xludf.DUMMYFUNCTION("""COMPUTED_VALUE"""),"25% نسبة خصم")</f>
        <v>25% نسبة خصم</v>
      </c>
    </row>
    <row r="2079" spans="1:11" x14ac:dyDescent="0.25">
      <c r="A2079" s="4" t="str">
        <f ca="1">IFERROR(__xludf.DUMMYFUNCTION("""COMPUTED_VALUE"""),"1763-B")</f>
        <v>1763-B</v>
      </c>
      <c r="B2079" s="5" t="str">
        <f ca="1">IFERROR(__xludf.DUMMYFUNCTION("""COMPUTED_VALUE"""),"البحر الاحمر")</f>
        <v>البحر الاحمر</v>
      </c>
      <c r="C2079" s="5" t="str">
        <f ca="1">IFERROR(__xludf.DUMMYFUNCTION("""COMPUTED_VALUE"""),"الغردقة")</f>
        <v>الغردقة</v>
      </c>
      <c r="D2079" s="5" t="str">
        <f ca="1">IFERROR(__xludf.DUMMYFUNCTION("""COMPUTED_VALUE"""),"هيئة الأطباء")</f>
        <v>هيئة الأطباء</v>
      </c>
      <c r="E2079" s="5" t="str">
        <f ca="1">IFERROR(__xludf.DUMMYFUNCTION("""COMPUTED_VALUE"""),"اسنان")</f>
        <v>اسنان</v>
      </c>
      <c r="F2079" s="5" t="str">
        <f ca="1">IFERROR(__xludf.DUMMYFUNCTION("""COMPUTED_VALUE"""),"جراحة الفم والأسنان")</f>
        <v>جراحة الفم والأسنان</v>
      </c>
      <c r="G2079" s="5" t="str">
        <f ca="1">IFERROR(__xludf.DUMMYFUNCTION("""COMPUTED_VALUE"""),"المركز المصري الاول لطب الأسنان ( د/ حسين محمد طاهر)")</f>
        <v>المركز المصري الاول لطب الأسنان ( د/ حسين محمد طاهر)</v>
      </c>
      <c r="H2079" s="5" t="str">
        <f ca="1">IFERROR(__xludf.DUMMYFUNCTION("""COMPUTED_VALUE"""),"الغردقه الدهار شارع النصر مول سفن ستار أعلى سبينس")</f>
        <v>الغردقه الدهار شارع النصر مول سفن ستار أعلى سبينس</v>
      </c>
      <c r="I2079" s="6" t="str">
        <f ca="1">IFERROR(__xludf.DUMMYFUNCTION("""COMPUTED_VALUE"""),"01149995363")</f>
        <v>01149995363</v>
      </c>
      <c r="J2079" s="6"/>
      <c r="K2079" s="6" t="str">
        <f ca="1">IFERROR(__xludf.DUMMYFUNCTION("""COMPUTED_VALUE"""),"30% على الكشوفات ,10% على التركيبات ,10% على الإجراءات ,5% على الزراعات")</f>
        <v>30% على الكشوفات ,10% على التركيبات ,10% على الإجراءات ,5% على الزراعات</v>
      </c>
    </row>
    <row r="2080" spans="1:11" x14ac:dyDescent="0.25">
      <c r="A2080" s="4" t="str">
        <f ca="1">IFERROR(__xludf.DUMMYFUNCTION("""COMPUTED_VALUE"""),"106547")</f>
        <v>106547</v>
      </c>
      <c r="B2080" s="5" t="str">
        <f ca="1">IFERROR(__xludf.DUMMYFUNCTION("""COMPUTED_VALUE"""),"بني سويف")</f>
        <v>بني سويف</v>
      </c>
      <c r="C2080" s="5" t="str">
        <f ca="1">IFERROR(__xludf.DUMMYFUNCTION("""COMPUTED_VALUE"""),"الواسطى")</f>
        <v>الواسطى</v>
      </c>
      <c r="D2080" s="5" t="str">
        <f ca="1">IFERROR(__xludf.DUMMYFUNCTION("""COMPUTED_VALUE"""),"مركز علاج طبيعي")</f>
        <v>مركز علاج طبيعي</v>
      </c>
      <c r="E2080" s="5" t="str">
        <f ca="1">IFERROR(__xludf.DUMMYFUNCTION("""COMPUTED_VALUE"""),"علاج طبيعي")</f>
        <v>علاج طبيعي</v>
      </c>
      <c r="F2080" s="5" t="str">
        <f ca="1">IFERROR(__xludf.DUMMYFUNCTION("""COMPUTED_VALUE"""),"جلسات العلاج الطبيعي")</f>
        <v>جلسات العلاج الطبيعي</v>
      </c>
      <c r="G2080" s="5" t="str">
        <f ca="1">IFERROR(__xludf.DUMMYFUNCTION("""COMPUTED_VALUE"""),"د. محمود فرحات مراد فرحات (مركز الشريف للعلاج الطبيعي)")</f>
        <v>د. محمود فرحات مراد فرحات (مركز الشريف للعلاج الطبيعي)</v>
      </c>
      <c r="H2080" s="5" t="str">
        <f ca="1">IFERROR(__xludf.DUMMYFUNCTION("""COMPUTED_VALUE"""),"شارع سعد زغلول مركز الواسطي - بني سويف")</f>
        <v>شارع سعد زغلول مركز الواسطي - بني سويف</v>
      </c>
      <c r="I2080" s="6" t="str">
        <f ca="1">IFERROR(__xludf.DUMMYFUNCTION("""COMPUTED_VALUE"""),"01222593311")</f>
        <v>01222593311</v>
      </c>
      <c r="J2080" s="6"/>
      <c r="K2080" s="6" t="str">
        <f ca="1">IFERROR(__xludf.DUMMYFUNCTION("""COMPUTED_VALUE"""),"خصم 30% علي الاسعار النقدي")</f>
        <v>خصم 30% علي الاسعار النقدي</v>
      </c>
    </row>
    <row r="2081" spans="1:11" x14ac:dyDescent="0.25">
      <c r="A2081" s="4" t="str">
        <f ca="1">IFERROR(__xludf.DUMMYFUNCTION("""COMPUTED_VALUE"""),"106548")</f>
        <v>106548</v>
      </c>
      <c r="B2081" s="5" t="str">
        <f ca="1">IFERROR(__xludf.DUMMYFUNCTION("""COMPUTED_VALUE"""),"أسوان")</f>
        <v>أسوان</v>
      </c>
      <c r="C2081" s="5" t="str">
        <f ca="1">IFERROR(__xludf.DUMMYFUNCTION("""COMPUTED_VALUE"""),"ادفو")</f>
        <v>ادفو</v>
      </c>
      <c r="D2081" s="5" t="str">
        <f ca="1">IFERROR(__xludf.DUMMYFUNCTION("""COMPUTED_VALUE"""),"صيدلية")</f>
        <v>صيدلية</v>
      </c>
      <c r="E2081" s="5" t="str">
        <f ca="1">IFERROR(__xludf.DUMMYFUNCTION("""COMPUTED_VALUE"""),"صيدلية")</f>
        <v>صيدلية</v>
      </c>
      <c r="F2081" s="5" t="str">
        <f ca="1">IFERROR(__xludf.DUMMYFUNCTION("""COMPUTED_VALUE"""),"صيدلية (أدوية ومستلزمات طبية)")</f>
        <v>صيدلية (أدوية ومستلزمات طبية)</v>
      </c>
      <c r="G2081" s="5" t="str">
        <f ca="1">IFERROR(__xludf.DUMMYFUNCTION("""COMPUTED_VALUE"""),"صيدلية د/ هبة عبد الحافظ محمد (صيدلية الرحمة)")</f>
        <v>صيدلية د/ هبة عبد الحافظ محمد (صيدلية الرحمة)</v>
      </c>
      <c r="H2081" s="5" t="str">
        <f ca="1">IFERROR(__xludf.DUMMYFUNCTION("""COMPUTED_VALUE"""),"كورنيش النيل بجوار المستشفي العام - ادفو - اسوان")</f>
        <v>كورنيش النيل بجوار المستشفي العام - ادفو - اسوان</v>
      </c>
      <c r="I2081" s="6" t="str">
        <f ca="1">IFERROR(__xludf.DUMMYFUNCTION("""COMPUTED_VALUE"""),"01157635635")</f>
        <v>01157635635</v>
      </c>
      <c r="J2081" s="6"/>
      <c r="K2081" s="6" t="str">
        <f ca="1">IFERROR(__xludf.DUMMYFUNCTION("""COMPUTED_VALUE"""),"خصم 16% علي المحلي و 8% علي المستورد")</f>
        <v>خصم 16% علي المحلي و 8% علي المستورد</v>
      </c>
    </row>
    <row r="2082" spans="1:11" x14ac:dyDescent="0.25">
      <c r="A2082" s="4" t="str">
        <f ca="1">IFERROR(__xludf.DUMMYFUNCTION("""COMPUTED_VALUE"""),"106551")</f>
        <v>106551</v>
      </c>
      <c r="B2082" s="5" t="str">
        <f ca="1">IFERROR(__xludf.DUMMYFUNCTION("""COMPUTED_VALUE"""),"أسيوط")</f>
        <v>أسيوط</v>
      </c>
      <c r="C2082" s="5" t="str">
        <f ca="1">IFERROR(__xludf.DUMMYFUNCTION("""COMPUTED_VALUE"""),"صدفا")</f>
        <v>صدفا</v>
      </c>
      <c r="D2082" s="5" t="str">
        <f ca="1">IFERROR(__xludf.DUMMYFUNCTION("""COMPUTED_VALUE"""),"صيدلية")</f>
        <v>صيدلية</v>
      </c>
      <c r="E2082" s="5" t="str">
        <f ca="1">IFERROR(__xludf.DUMMYFUNCTION("""COMPUTED_VALUE"""),"صيدلية")</f>
        <v>صيدلية</v>
      </c>
      <c r="F2082" s="5" t="str">
        <f ca="1">IFERROR(__xludf.DUMMYFUNCTION("""COMPUTED_VALUE"""),"صيدلية (أدوية ومستلزمات طبية)")</f>
        <v>صيدلية (أدوية ومستلزمات طبية)</v>
      </c>
      <c r="G2082" s="5" t="str">
        <f ca="1">IFERROR(__xludf.DUMMYFUNCTION("""COMPUTED_VALUE"""),"صيدلية ايمن محمد جابر بخيت")</f>
        <v>صيدلية ايمن محمد جابر بخيت</v>
      </c>
      <c r="H2082" s="5" t="str">
        <f ca="1">IFERROR(__xludf.DUMMYFUNCTION("""COMPUTED_VALUE"""),"مركز صدفا - شارع الجيش - اسيوط")</f>
        <v>مركز صدفا - شارع الجيش - اسيوط</v>
      </c>
      <c r="I2082" s="6" t="str">
        <f ca="1">IFERROR(__xludf.DUMMYFUNCTION("""COMPUTED_VALUE"""),"01007677299")</f>
        <v>01007677299</v>
      </c>
      <c r="J2082" s="6"/>
      <c r="K2082" s="6" t="str">
        <f ca="1">IFERROR(__xludf.DUMMYFUNCTION("""COMPUTED_VALUE"""),"خصم 15% علي المحلي و9% علي المستورد")</f>
        <v>خصم 15% علي المحلي و9% علي المستورد</v>
      </c>
    </row>
    <row r="2083" spans="1:11" x14ac:dyDescent="0.25">
      <c r="A2083" s="4" t="str">
        <f ca="1">IFERROR(__xludf.DUMMYFUNCTION("""COMPUTED_VALUE"""),"106553")</f>
        <v>106553</v>
      </c>
      <c r="B2083" s="5" t="str">
        <f ca="1">IFERROR(__xludf.DUMMYFUNCTION("""COMPUTED_VALUE"""),"الوادى الجديد")</f>
        <v>الوادى الجديد</v>
      </c>
      <c r="C2083" s="5" t="str">
        <f ca="1">IFERROR(__xludf.DUMMYFUNCTION("""COMPUTED_VALUE"""),"الخارجة")</f>
        <v>الخارجة</v>
      </c>
      <c r="D2083" s="5" t="str">
        <f ca="1">IFERROR(__xludf.DUMMYFUNCTION("""COMPUTED_VALUE"""),"صيدلية")</f>
        <v>صيدلية</v>
      </c>
      <c r="E2083" s="5" t="str">
        <f ca="1">IFERROR(__xludf.DUMMYFUNCTION("""COMPUTED_VALUE"""),"صيدلية")</f>
        <v>صيدلية</v>
      </c>
      <c r="F2083" s="5" t="str">
        <f ca="1">IFERROR(__xludf.DUMMYFUNCTION("""COMPUTED_VALUE"""),"صيدلية (أدوية ومستلزمات طبية)")</f>
        <v>صيدلية (أدوية ومستلزمات طبية)</v>
      </c>
      <c r="G2083" s="5" t="str">
        <f ca="1">IFERROR(__xludf.DUMMYFUNCTION("""COMPUTED_VALUE"""),"صيدلية احمد ابراهيم حسين احمد")</f>
        <v>صيدلية احمد ابراهيم حسين احمد</v>
      </c>
      <c r="H2083" s="5" t="str">
        <f ca="1">IFERROR(__xludf.DUMMYFUNCTION("""COMPUTED_VALUE"""),"الخارجة بجوار الجمعية الشرعية- الوادي الجديد")</f>
        <v>الخارجة بجوار الجمعية الشرعية- الوادي الجديد</v>
      </c>
      <c r="I2083" s="6" t="str">
        <f ca="1">IFERROR(__xludf.DUMMYFUNCTION("""COMPUTED_VALUE"""),"01067403355")</f>
        <v>01067403355</v>
      </c>
      <c r="J2083" s="6"/>
      <c r="K2083" s="6" t="str">
        <f ca="1">IFERROR(__xludf.DUMMYFUNCTION("""COMPUTED_VALUE"""),"خصم 16% علي المحلي و8% علي المستورد")</f>
        <v>خصم 16% علي المحلي و8% علي المستورد</v>
      </c>
    </row>
    <row r="2084" spans="1:11" x14ac:dyDescent="0.25">
      <c r="A2084" s="4" t="str">
        <f ca="1">IFERROR(__xludf.DUMMYFUNCTION("""COMPUTED_VALUE"""),"1763-B")</f>
        <v>1763-B</v>
      </c>
      <c r="B2084" s="5" t="str">
        <f ca="1">IFERROR(__xludf.DUMMYFUNCTION("""COMPUTED_VALUE"""),"البحر الاحمر")</f>
        <v>البحر الاحمر</v>
      </c>
      <c r="C2084" s="5" t="str">
        <f ca="1">IFERROR(__xludf.DUMMYFUNCTION("""COMPUTED_VALUE"""),"رأس غارب")</f>
        <v>رأس غارب</v>
      </c>
      <c r="D2084" s="5" t="str">
        <f ca="1">IFERROR(__xludf.DUMMYFUNCTION("""COMPUTED_VALUE"""),"هيئة الأطباء")</f>
        <v>هيئة الأطباء</v>
      </c>
      <c r="E2084" s="5" t="str">
        <f ca="1">IFERROR(__xludf.DUMMYFUNCTION("""COMPUTED_VALUE"""),"اسنان")</f>
        <v>اسنان</v>
      </c>
      <c r="F2084" s="5" t="str">
        <f ca="1">IFERROR(__xludf.DUMMYFUNCTION("""COMPUTED_VALUE"""),"جراحة الفم والأسنان")</f>
        <v>جراحة الفم والأسنان</v>
      </c>
      <c r="G2084" s="5" t="str">
        <f ca="1">IFERROR(__xludf.DUMMYFUNCTION("""COMPUTED_VALUE"""),"المركز المصري الاول لطب الأسنان ( د/ حسين محمد طاهر)")</f>
        <v>المركز المصري الاول لطب الأسنان ( د/ حسين محمد طاهر)</v>
      </c>
      <c r="H2084" s="5" t="str">
        <f ca="1">IFERROR(__xludf.DUMMYFUNCTION("""COMPUTED_VALUE"""),"شارع الإذاعة  أمام معمل المختبر")</f>
        <v>شارع الإذاعة  أمام معمل المختبر</v>
      </c>
      <c r="I2084" s="6" t="str">
        <f ca="1">IFERROR(__xludf.DUMMYFUNCTION("""COMPUTED_VALUE"""),"01028848802")</f>
        <v>01028848802</v>
      </c>
      <c r="J2084" s="6"/>
      <c r="K2084" s="6" t="str">
        <f ca="1">IFERROR(__xludf.DUMMYFUNCTION("""COMPUTED_VALUE"""),"30% على الكشوفات ,10% على التركيبات ,10% على الإجراءات ,5% على الزراعات")</f>
        <v>30% على الكشوفات ,10% على التركيبات ,10% على الإجراءات ,5% على الزراعات</v>
      </c>
    </row>
    <row r="2085" spans="1:11" x14ac:dyDescent="0.25">
      <c r="A2085" s="4" t="str">
        <f ca="1">IFERROR(__xludf.DUMMYFUNCTION("""COMPUTED_VALUE"""),"106554")</f>
        <v>106554</v>
      </c>
      <c r="B2085" s="5" t="str">
        <f ca="1">IFERROR(__xludf.DUMMYFUNCTION("""COMPUTED_VALUE"""),"المنيا")</f>
        <v>المنيا</v>
      </c>
      <c r="C2085" s="5" t="str">
        <f ca="1">IFERROR(__xludf.DUMMYFUNCTION("""COMPUTED_VALUE"""),"مغاغة")</f>
        <v>مغاغة</v>
      </c>
      <c r="D2085" s="5" t="str">
        <f ca="1">IFERROR(__xludf.DUMMYFUNCTION("""COMPUTED_VALUE"""),"هيئة الأطباء")</f>
        <v>هيئة الأطباء</v>
      </c>
      <c r="E2085" s="5" t="str">
        <f ca="1">IFERROR(__xludf.DUMMYFUNCTION("""COMPUTED_VALUE"""),"جراحة")</f>
        <v>جراحة</v>
      </c>
      <c r="F2085" s="5" t="str">
        <f ca="1">IFERROR(__xludf.DUMMYFUNCTION("""COMPUTED_VALUE"""),"جراحة عظام")</f>
        <v>جراحة عظام</v>
      </c>
      <c r="G2085" s="5" t="str">
        <f ca="1">IFERROR(__xludf.DUMMYFUNCTION("""COMPUTED_VALUE"""),"د. امام محمد حسن درويش")</f>
        <v>د. امام محمد حسن درويش</v>
      </c>
      <c r="H2085" s="5" t="str">
        <f ca="1">IFERROR(__xludf.DUMMYFUNCTION("""COMPUTED_VALUE"""),"شارع عمر بن الخطاب - مغاغه - المنيا")</f>
        <v>شارع عمر بن الخطاب - مغاغه - المنيا</v>
      </c>
      <c r="I2085" s="6" t="str">
        <f ca="1">IFERROR(__xludf.DUMMYFUNCTION("""COMPUTED_VALUE"""),"01226408769")</f>
        <v>01226408769</v>
      </c>
      <c r="J2085" s="6"/>
      <c r="K2085" s="6" t="str">
        <f ca="1">IFERROR(__xludf.DUMMYFUNCTION("""COMPUTED_VALUE"""),"خصم 30% علي الاسعار النقدي")</f>
        <v>خصم 30% علي الاسعار النقدي</v>
      </c>
    </row>
    <row r="2086" spans="1:11" x14ac:dyDescent="0.25">
      <c r="A2086" s="4" t="str">
        <f ca="1">IFERROR(__xludf.DUMMYFUNCTION("""COMPUTED_VALUE"""),"1763")</f>
        <v>1763</v>
      </c>
      <c r="B2086" s="5" t="str">
        <f ca="1">IFERROR(__xludf.DUMMYFUNCTION("""COMPUTED_VALUE"""),"القاهرة")</f>
        <v>القاهرة</v>
      </c>
      <c r="C2086" s="5" t="str">
        <f ca="1">IFERROR(__xludf.DUMMYFUNCTION("""COMPUTED_VALUE"""),"مصر الجديدة")</f>
        <v>مصر الجديدة</v>
      </c>
      <c r="D2086" s="5" t="str">
        <f ca="1">IFERROR(__xludf.DUMMYFUNCTION("""COMPUTED_VALUE"""),"هيئة الأطباء")</f>
        <v>هيئة الأطباء</v>
      </c>
      <c r="E2086" s="5" t="str">
        <f ca="1">IFERROR(__xludf.DUMMYFUNCTION("""COMPUTED_VALUE"""),"اسنان")</f>
        <v>اسنان</v>
      </c>
      <c r="F2086" s="5" t="str">
        <f ca="1">IFERROR(__xludf.DUMMYFUNCTION("""COMPUTED_VALUE"""),"جراحة الفم والأسنان")</f>
        <v>جراحة الفم والأسنان</v>
      </c>
      <c r="G2086" s="5" t="str">
        <f ca="1">IFERROR(__xludf.DUMMYFUNCTION("""COMPUTED_VALUE"""),"المركز المصري الاول لطب الأسنان ( د/ حسين محمد طاهر)")</f>
        <v>المركز المصري الاول لطب الأسنان ( د/ حسين محمد طاهر)</v>
      </c>
      <c r="H2086" s="5" t="str">
        <f ca="1">IFERROR(__xludf.DUMMYFUNCTION("""COMPUTED_VALUE"""),"168 ش النزهة - ميدان سانت فاطيما")</f>
        <v>168 ش النزهة - ميدان سانت فاطيما</v>
      </c>
      <c r="I2086" s="6" t="str">
        <f ca="1">IFERROR(__xludf.DUMMYFUNCTION("""COMPUTED_VALUE"""),"0554465400")</f>
        <v>0554465400</v>
      </c>
      <c r="J2086" s="6"/>
      <c r="K2086" s="6" t="str">
        <f ca="1">IFERROR(__xludf.DUMMYFUNCTION("""COMPUTED_VALUE"""),"30% على الكشوفات ,10% على التركيبات ,10% على الإجراءات ,5% على الزراعات")</f>
        <v>30% على الكشوفات ,10% على التركيبات ,10% على الإجراءات ,5% على الزراعات</v>
      </c>
    </row>
    <row r="2087" spans="1:11" x14ac:dyDescent="0.25">
      <c r="A2087" s="4" t="str">
        <f ca="1">IFERROR(__xludf.DUMMYFUNCTION("""COMPUTED_VALUE"""),"105345-B")</f>
        <v>105345-B</v>
      </c>
      <c r="B2087" s="5" t="str">
        <f ca="1">IFERROR(__xludf.DUMMYFUNCTION("""COMPUTED_VALUE"""),"الفيوم")</f>
        <v>الفيوم</v>
      </c>
      <c r="C2087" s="5" t="str">
        <f ca="1">IFERROR(__xludf.DUMMYFUNCTION("""COMPUTED_VALUE"""),"الفيوم")</f>
        <v>الفيوم</v>
      </c>
      <c r="D2087" s="5" t="str">
        <f ca="1">IFERROR(__xludf.DUMMYFUNCTION("""COMPUTED_VALUE"""),"هيئة الأطباء")</f>
        <v>هيئة الأطباء</v>
      </c>
      <c r="E2087" s="5" t="str">
        <f ca="1">IFERROR(__xludf.DUMMYFUNCTION("""COMPUTED_VALUE"""),"أطفال")</f>
        <v>أطفال</v>
      </c>
      <c r="F2087" s="5" t="str">
        <f ca="1">IFERROR(__xludf.DUMMYFUNCTION("""COMPUTED_VALUE"""),"طب أطفال")</f>
        <v>طب أطفال</v>
      </c>
      <c r="G2087" s="5" t="str">
        <f ca="1">IFERROR(__xludf.DUMMYFUNCTION("""COMPUTED_VALUE"""),"د/ محمد محمد عبد الفتاح مجاهد")</f>
        <v>د/ محمد محمد عبد الفتاح مجاهد</v>
      </c>
      <c r="H2087" s="5" t="str">
        <f ca="1">IFERROR(__xludf.DUMMYFUNCTION("""COMPUTED_VALUE"""),"156 شارع عمر بن الخطاب - اطسا - الفيوم")</f>
        <v>156 شارع عمر بن الخطاب - اطسا - الفيوم</v>
      </c>
      <c r="I2087" s="6" t="str">
        <f ca="1">IFERROR(__xludf.DUMMYFUNCTION("""COMPUTED_VALUE"""),"01006242209")</f>
        <v>01006242209</v>
      </c>
      <c r="J2087" s="6"/>
      <c r="K2087" s="6" t="str">
        <f ca="1">IFERROR(__xludf.DUMMYFUNCTION("""COMPUTED_VALUE"""),"كشف مع استنشاق: 50 جنية ,")</f>
        <v>كشف مع استنشاق: 50 جنية ,</v>
      </c>
    </row>
    <row r="2088" spans="1:11" x14ac:dyDescent="0.25">
      <c r="A2088" s="4" t="str">
        <f ca="1">IFERROR(__xludf.DUMMYFUNCTION("""COMPUTED_VALUE"""),"106070-B")</f>
        <v>106070-B</v>
      </c>
      <c r="B2088" s="5" t="str">
        <f ca="1">IFERROR(__xludf.DUMMYFUNCTION("""COMPUTED_VALUE"""),"القاهرة")</f>
        <v>القاهرة</v>
      </c>
      <c r="C2088" s="5" t="str">
        <f ca="1">IFERROR(__xludf.DUMMYFUNCTION("""COMPUTED_VALUE"""),"مدينة بدر")</f>
        <v>مدينة بدر</v>
      </c>
      <c r="D2088" s="5" t="str">
        <f ca="1">IFERROR(__xludf.DUMMYFUNCTION("""COMPUTED_VALUE"""),"هيئة الأطباء")</f>
        <v>هيئة الأطباء</v>
      </c>
      <c r="E2088" s="5" t="str">
        <f ca="1">IFERROR(__xludf.DUMMYFUNCTION("""COMPUTED_VALUE"""),"اسنان")</f>
        <v>اسنان</v>
      </c>
      <c r="F2088" s="5" t="str">
        <f ca="1">IFERROR(__xludf.DUMMYFUNCTION("""COMPUTED_VALUE"""),"جراحة الفم والأسنان")</f>
        <v>جراحة الفم والأسنان</v>
      </c>
      <c r="G2088" s="5" t="str">
        <f ca="1">IFERROR(__xludf.DUMMYFUNCTION("""COMPUTED_VALUE"""),"د/كريم احمد سيف الاسلام عبدالفتاح قشطي")</f>
        <v>د/كريم احمد سيف الاسلام عبدالفتاح قشطي</v>
      </c>
      <c r="H2088" s="5" t="str">
        <f ca="1">IFERROR(__xludf.DUMMYFUNCTION("""COMPUTED_VALUE"""),"6 شارع الجامعة الروسية - الدور الثاني - مدينة بدر - القاهرة")</f>
        <v>6 شارع الجامعة الروسية - الدور الثاني - مدينة بدر - القاهرة</v>
      </c>
      <c r="I2088" s="6" t="str">
        <f ca="1">IFERROR(__xludf.DUMMYFUNCTION("""COMPUTED_VALUE"""),"0405718575")</f>
        <v>0405718575</v>
      </c>
      <c r="J2088" s="6"/>
      <c r="K2088" s="6" t="str">
        <f ca="1">IFERROR(__xludf.DUMMYFUNCTION("""COMPUTED_VALUE"""),"خصم 35% علي الاسعار النقدي")</f>
        <v>خصم 35% علي الاسعار النقدي</v>
      </c>
    </row>
    <row r="2089" spans="1:11" x14ac:dyDescent="0.25">
      <c r="A2089" s="4" t="str">
        <f ca="1">IFERROR(__xludf.DUMMYFUNCTION("""COMPUTED_VALUE"""),"106555")</f>
        <v>106555</v>
      </c>
      <c r="B2089" s="5" t="str">
        <f ca="1">IFERROR(__xludf.DUMMYFUNCTION("""COMPUTED_VALUE"""),"الدقهلية")</f>
        <v>الدقهلية</v>
      </c>
      <c r="C2089" s="5" t="str">
        <f ca="1">IFERROR(__xludf.DUMMYFUNCTION("""COMPUTED_VALUE"""),"المنصورة")</f>
        <v>المنصورة</v>
      </c>
      <c r="D2089" s="5" t="str">
        <f ca="1">IFERROR(__xludf.DUMMYFUNCTION("""COMPUTED_VALUE"""),"هيئة الأطباء")</f>
        <v>هيئة الأطباء</v>
      </c>
      <c r="E2089" s="5" t="str">
        <f ca="1">IFERROR(__xludf.DUMMYFUNCTION("""COMPUTED_VALUE"""),"اسنان")</f>
        <v>اسنان</v>
      </c>
      <c r="F2089" s="5" t="str">
        <f ca="1">IFERROR(__xludf.DUMMYFUNCTION("""COMPUTED_VALUE"""),"جراحة الفم والأسنان")</f>
        <v>جراحة الفم والأسنان</v>
      </c>
      <c r="G2089" s="5" t="str">
        <f ca="1">IFERROR(__xludf.DUMMYFUNCTION("""COMPUTED_VALUE"""),"د. عبد الرحمن طارق عبد ربه عبد الجواد")</f>
        <v>د. عبد الرحمن طارق عبد ربه عبد الجواد</v>
      </c>
      <c r="H2089" s="5" t="str">
        <f ca="1">IFERROR(__xludf.DUMMYFUNCTION("""COMPUTED_VALUE"""),"برج مكة ش الترعة مقابل أهل الشام - المنصورة")</f>
        <v>برج مكة ش الترعة مقابل أهل الشام - المنصورة</v>
      </c>
      <c r="I2089" s="6" t="str">
        <f ca="1">IFERROR(__xludf.DUMMYFUNCTION("""COMPUTED_VALUE"""),"01555936973")</f>
        <v>01555936973</v>
      </c>
      <c r="J2089" s="6"/>
      <c r="K2089" s="6" t="str">
        <f ca="1">IFERROR(__xludf.DUMMYFUNCTION("""COMPUTED_VALUE"""),"خصم 30% علي الاسعار النقدي")</f>
        <v>خصم 30% علي الاسعار النقدي</v>
      </c>
    </row>
    <row r="2090" spans="1:11" x14ac:dyDescent="0.25">
      <c r="A2090" s="4" t="str">
        <f ca="1">IFERROR(__xludf.DUMMYFUNCTION("""COMPUTED_VALUE"""),"106556")</f>
        <v>106556</v>
      </c>
      <c r="B2090" s="5" t="str">
        <f ca="1">IFERROR(__xludf.DUMMYFUNCTION("""COMPUTED_VALUE"""),"القاهرة")</f>
        <v>القاهرة</v>
      </c>
      <c r="C2090" s="5" t="str">
        <f ca="1">IFERROR(__xludf.DUMMYFUNCTION("""COMPUTED_VALUE"""),"المعادى")</f>
        <v>المعادى</v>
      </c>
      <c r="D2090" s="5" t="str">
        <f ca="1">IFERROR(__xludf.DUMMYFUNCTION("""COMPUTED_VALUE"""),"هيئة الأطباء")</f>
        <v>هيئة الأطباء</v>
      </c>
      <c r="E2090" s="5" t="str">
        <f ca="1">IFERROR(__xludf.DUMMYFUNCTION("""COMPUTED_VALUE"""),"باطنة")</f>
        <v>باطنة</v>
      </c>
      <c r="F2090" s="5" t="str">
        <f ca="1">IFERROR(__xludf.DUMMYFUNCTION("""COMPUTED_VALUE"""),"قلب واوعية دموية")</f>
        <v>قلب واوعية دموية</v>
      </c>
      <c r="G2090" s="5" t="str">
        <f ca="1">IFERROR(__xludf.DUMMYFUNCTION("""COMPUTED_VALUE"""),"د. معتصم محمد سمير محمد محمود")</f>
        <v>د. معتصم محمد سمير محمد محمود</v>
      </c>
      <c r="H2090" s="5" t="str">
        <f ca="1">IFERROR(__xludf.DUMMYFUNCTION("""COMPUTED_VALUE"""),"159 شارع أحمد ذكي المعادي")</f>
        <v>159 شارع أحمد ذكي المعادي</v>
      </c>
      <c r="I2090" s="6" t="str">
        <f ca="1">IFERROR(__xludf.DUMMYFUNCTION("""COMPUTED_VALUE"""),"01009283422")</f>
        <v>01009283422</v>
      </c>
      <c r="J2090" s="6"/>
      <c r="K2090" s="6" t="str">
        <f ca="1">IFERROR(__xludf.DUMMYFUNCTION("""COMPUTED_VALUE"""),"خصم 50% علي الاسعار النقدي")</f>
        <v>خصم 50% علي الاسعار النقدي</v>
      </c>
    </row>
    <row r="2091" spans="1:11" x14ac:dyDescent="0.25">
      <c r="A2091" s="4" t="str">
        <f ca="1">IFERROR(__xludf.DUMMYFUNCTION("""COMPUTED_VALUE"""),"106558")</f>
        <v>106558</v>
      </c>
      <c r="B2091" s="5" t="str">
        <f ca="1">IFERROR(__xludf.DUMMYFUNCTION("""COMPUTED_VALUE"""),"الدقهلية")</f>
        <v>الدقهلية</v>
      </c>
      <c r="C2091" s="5" t="str">
        <f ca="1">IFERROR(__xludf.DUMMYFUNCTION("""COMPUTED_VALUE"""),"دكرنس")</f>
        <v>دكرنس</v>
      </c>
      <c r="D2091" s="5" t="str">
        <f ca="1">IFERROR(__xludf.DUMMYFUNCTION("""COMPUTED_VALUE"""),"صيدلية")</f>
        <v>صيدلية</v>
      </c>
      <c r="E2091" s="5" t="str">
        <f ca="1">IFERROR(__xludf.DUMMYFUNCTION("""COMPUTED_VALUE"""),"صيدلية")</f>
        <v>صيدلية</v>
      </c>
      <c r="F2091" s="5" t="str">
        <f ca="1">IFERROR(__xludf.DUMMYFUNCTION("""COMPUTED_VALUE"""),"صيدلية (أدوية ومستلزمات طبية)")</f>
        <v>صيدلية (أدوية ومستلزمات طبية)</v>
      </c>
      <c r="G2091" s="5" t="str">
        <f ca="1">IFERROR(__xludf.DUMMYFUNCTION("""COMPUTED_VALUE"""),"صيدلية د/ محمود محمد محرز محمد جاد")</f>
        <v>صيدلية د/ محمود محمد محرز محمد جاد</v>
      </c>
      <c r="H2091" s="5" t="str">
        <f ca="1">IFERROR(__xludf.DUMMYFUNCTION("""COMPUTED_VALUE"""),"دكرنس - شارع عبدالمنعم رياض بجوار الأسعاف - الدقهليه")</f>
        <v>دكرنس - شارع عبدالمنعم رياض بجوار الأسعاف - الدقهليه</v>
      </c>
      <c r="I2091" s="6" t="str">
        <f ca="1">IFERROR(__xludf.DUMMYFUNCTION("""COMPUTED_VALUE"""),"0503488666")</f>
        <v>0503488666</v>
      </c>
      <c r="J2091" s="6"/>
      <c r="K2091" s="6" t="str">
        <f ca="1">IFERROR(__xludf.DUMMYFUNCTION("""COMPUTED_VALUE"""),"خصم  13% علي المحلي و 7% علي المستورد")</f>
        <v>خصم  13% علي المحلي و 7% علي المستورد</v>
      </c>
    </row>
    <row r="2092" spans="1:11" x14ac:dyDescent="0.25">
      <c r="A2092" s="4" t="str">
        <f ca="1">IFERROR(__xludf.DUMMYFUNCTION("""COMPUTED_VALUE"""),"106561")</f>
        <v>106561</v>
      </c>
      <c r="B2092" s="5" t="str">
        <f ca="1">IFERROR(__xludf.DUMMYFUNCTION("""COMPUTED_VALUE"""),"دمياط")</f>
        <v>دمياط</v>
      </c>
      <c r="C2092" s="5" t="str">
        <f ca="1">IFERROR(__xludf.DUMMYFUNCTION("""COMPUTED_VALUE"""),"دمياط الجديدة")</f>
        <v>دمياط الجديدة</v>
      </c>
      <c r="D2092" s="5" t="str">
        <f ca="1">IFERROR(__xludf.DUMMYFUNCTION("""COMPUTED_VALUE"""),"صيدلية")</f>
        <v>صيدلية</v>
      </c>
      <c r="E2092" s="5" t="str">
        <f ca="1">IFERROR(__xludf.DUMMYFUNCTION("""COMPUTED_VALUE"""),"صيدلية")</f>
        <v>صيدلية</v>
      </c>
      <c r="F2092" s="5" t="str">
        <f ca="1">IFERROR(__xludf.DUMMYFUNCTION("""COMPUTED_VALUE"""),"صيدلية (أدوية ومستلزمات طبية)")</f>
        <v>صيدلية (أدوية ومستلزمات طبية)</v>
      </c>
      <c r="G2092" s="5" t="str">
        <f ca="1">IFERROR(__xludf.DUMMYFUNCTION("""COMPUTED_VALUE"""),"صيدلية د. ولاء تاج الدين انور محمد الصايغ")</f>
        <v>صيدلية د. ولاء تاج الدين انور محمد الصايغ</v>
      </c>
      <c r="H2092" s="5" t="str">
        <f ca="1">IFERROR(__xludf.DUMMYFUNCTION("""COMPUTED_VALUE"""),"فارسكور شارع النقراشي امام ستوديو جنايني - دمياط")</f>
        <v>فارسكور شارع النقراشي امام ستوديو جنايني - دمياط</v>
      </c>
      <c r="I2092" s="6" t="str">
        <f ca="1">IFERROR(__xludf.DUMMYFUNCTION("""COMPUTED_VALUE"""),"0573454020")</f>
        <v>0573454020</v>
      </c>
      <c r="J2092" s="6"/>
      <c r="K2092" s="6" t="str">
        <f ca="1">IFERROR(__xludf.DUMMYFUNCTION("""COMPUTED_VALUE"""),"خصم  12% علي المحلي و 6% علي المستورد")</f>
        <v>خصم  12% علي المحلي و 6% علي المستورد</v>
      </c>
    </row>
    <row r="2093" spans="1:11" x14ac:dyDescent="0.25">
      <c r="A2093" s="4" t="str">
        <f ca="1">IFERROR(__xludf.DUMMYFUNCTION("""COMPUTED_VALUE"""),"106562")</f>
        <v>106562</v>
      </c>
      <c r="B2093" s="5" t="str">
        <f ca="1">IFERROR(__xludf.DUMMYFUNCTION("""COMPUTED_VALUE"""),"البحيرة")</f>
        <v>البحيرة</v>
      </c>
      <c r="C2093" s="5" t="str">
        <f ca="1">IFERROR(__xludf.DUMMYFUNCTION("""COMPUTED_VALUE"""),"ابو المطامير")</f>
        <v>ابو المطامير</v>
      </c>
      <c r="D2093" s="5" t="str">
        <f ca="1">IFERROR(__xludf.DUMMYFUNCTION("""COMPUTED_VALUE"""),"مستشفى")</f>
        <v>مستشفى</v>
      </c>
      <c r="E2093" s="5" t="str">
        <f ca="1">IFERROR(__xludf.DUMMYFUNCTION("""COMPUTED_VALUE"""),"مستشفي طبي متكامل")</f>
        <v>مستشفي طبي متكامل</v>
      </c>
      <c r="F2093" s="5" t="str">
        <f ca="1">IFERROR(__xludf.DUMMYFUNCTION("""COMPUTED_VALUE"""),"جميع التخصصات الطبية")</f>
        <v>جميع التخصصات الطبية</v>
      </c>
      <c r="G2093" s="5" t="str">
        <f ca="1">IFERROR(__xludf.DUMMYFUNCTION("""COMPUTED_VALUE"""),"الزهراء بحوش عيسي للاستثمارات الطبية ش ذ م م ( مستشفي الزهراء التخصصي)")</f>
        <v>الزهراء بحوش عيسي للاستثمارات الطبية ش ذ م م ( مستشفي الزهراء التخصصي)</v>
      </c>
      <c r="H2093" s="5" t="str">
        <f ca="1">IFERROR(__xludf.DUMMYFUNCTION("""COMPUTED_VALUE"""),"الدور الأرضي ملك جمعه عبدالستار السيد طريق أبو المطا - حوش عيسي - البحيرة")</f>
        <v>الدور الأرضي ملك جمعه عبدالستار السيد طريق أبو المطا - حوش عيسي - البحيرة</v>
      </c>
      <c r="I2093" s="6" t="str">
        <f ca="1">IFERROR(__xludf.DUMMYFUNCTION("""COMPUTED_VALUE"""),"-")</f>
        <v>-</v>
      </c>
      <c r="J2093" s="6"/>
      <c r="K2093" s="6" t="str">
        <f ca="1">IFERROR(__xludf.DUMMYFUNCTION("""COMPUTED_VALUE"""),"خصم 15% علي الاسعار النقدي")</f>
        <v>خصم 15% علي الاسعار النقدي</v>
      </c>
    </row>
    <row r="2094" spans="1:11" x14ac:dyDescent="0.25">
      <c r="A2094" s="4" t="str">
        <f ca="1">IFERROR(__xludf.DUMMYFUNCTION("""COMPUTED_VALUE"""),"106563")</f>
        <v>106563</v>
      </c>
      <c r="B2094" s="5" t="str">
        <f ca="1">IFERROR(__xludf.DUMMYFUNCTION("""COMPUTED_VALUE"""),"المنيا")</f>
        <v>المنيا</v>
      </c>
      <c r="C2094" s="5" t="str">
        <f ca="1">IFERROR(__xludf.DUMMYFUNCTION("""COMPUTED_VALUE"""),"مطاى")</f>
        <v>مطاى</v>
      </c>
      <c r="D2094" s="5" t="str">
        <f ca="1">IFERROR(__xludf.DUMMYFUNCTION("""COMPUTED_VALUE"""),"هيئة الأطباء")</f>
        <v>هيئة الأطباء</v>
      </c>
      <c r="E2094" s="5" t="str">
        <f ca="1">IFERROR(__xludf.DUMMYFUNCTION("""COMPUTED_VALUE"""),"باطنة")</f>
        <v>باطنة</v>
      </c>
      <c r="F2094" s="5" t="str">
        <f ca="1">IFERROR(__xludf.DUMMYFUNCTION("""COMPUTED_VALUE"""),"صدرية")</f>
        <v>صدرية</v>
      </c>
      <c r="G2094" s="5" t="str">
        <f ca="1">IFERROR(__xludf.DUMMYFUNCTION("""COMPUTED_VALUE"""),"د/ نبيل نصيف رزق عبد المسيح")</f>
        <v>د/ نبيل نصيف رزق عبد المسيح</v>
      </c>
      <c r="H2094" s="5" t="str">
        <f ca="1">IFERROR(__xludf.DUMMYFUNCTION("""COMPUTED_VALUE"""),"منشاه مطاي - مطاي - المنيا")</f>
        <v>منشاه مطاي - مطاي - المنيا</v>
      </c>
      <c r="I2094" s="6" t="str">
        <f ca="1">IFERROR(__xludf.DUMMYFUNCTION("""COMPUTED_VALUE"""),"01005032659")</f>
        <v>01005032659</v>
      </c>
      <c r="J2094" s="6"/>
      <c r="K2094" s="6" t="str">
        <f ca="1">IFERROR(__xludf.DUMMYFUNCTION("""COMPUTED_VALUE"""),"خصم 25% علي الاسعار النقدي")</f>
        <v>خصم 25% علي الاسعار النقدي</v>
      </c>
    </row>
    <row r="2095" spans="1:11" x14ac:dyDescent="0.25">
      <c r="A2095" s="4" t="str">
        <f ca="1">IFERROR(__xludf.DUMMYFUNCTION("""COMPUTED_VALUE"""),"106564")</f>
        <v>106564</v>
      </c>
      <c r="B2095" s="5" t="str">
        <f ca="1">IFERROR(__xludf.DUMMYFUNCTION("""COMPUTED_VALUE"""),"المنيا")</f>
        <v>المنيا</v>
      </c>
      <c r="C2095" s="5" t="str">
        <f ca="1">IFERROR(__xludf.DUMMYFUNCTION("""COMPUTED_VALUE"""),"المنيا")</f>
        <v>المنيا</v>
      </c>
      <c r="D2095" s="5" t="str">
        <f ca="1">IFERROR(__xludf.DUMMYFUNCTION("""COMPUTED_VALUE"""),"مستشفى")</f>
        <v>مستشفى</v>
      </c>
      <c r="E2095" s="5" t="str">
        <f ca="1">IFERROR(__xludf.DUMMYFUNCTION("""COMPUTED_VALUE"""),"مستشفي طبي متخصص")</f>
        <v>مستشفي طبي متخصص</v>
      </c>
      <c r="F2095" s="5" t="str">
        <f ca="1">IFERROR(__xludf.DUMMYFUNCTION("""COMPUTED_VALUE"""),"رمد (جراحة عيون)")</f>
        <v>رمد (جراحة عيون)</v>
      </c>
      <c r="G2095" s="5" t="str">
        <f ca="1">IFERROR(__xludf.DUMMYFUNCTION("""COMPUTED_VALUE"""),"مركز الزمبيلى للعيون")</f>
        <v>مركز الزمبيلى للعيون</v>
      </c>
      <c r="H2095" s="5" t="str">
        <f ca="1">IFERROR(__xludf.DUMMYFUNCTION("""COMPUTED_VALUE"""),"رقم 5 ش العاشر من رمضان بجوار بنك الدم - المنيا")</f>
        <v>رقم 5 ش العاشر من رمضان بجوار بنك الدم - المنيا</v>
      </c>
      <c r="I2095" s="6" t="str">
        <f ca="1">IFERROR(__xludf.DUMMYFUNCTION("""COMPUTED_VALUE"""),"01117957857")</f>
        <v>01117957857</v>
      </c>
      <c r="J2095" s="6"/>
      <c r="K2095" s="6" t="str">
        <f ca="1">IFERROR(__xludf.DUMMYFUNCTION("""COMPUTED_VALUE"""),"خصم 30% علي الكشف و 25% علي باقي الخدمات 
")</f>
        <v xml:space="preserve">خصم 30% علي الكشف و 25% علي باقي الخدمات 
</v>
      </c>
    </row>
    <row r="2096" spans="1:11" x14ac:dyDescent="0.25">
      <c r="A2096" s="4" t="str">
        <f ca="1">IFERROR(__xludf.DUMMYFUNCTION("""COMPUTED_VALUE"""),"106566")</f>
        <v>106566</v>
      </c>
      <c r="B2096" s="5" t="str">
        <f ca="1">IFERROR(__xludf.DUMMYFUNCTION("""COMPUTED_VALUE"""),"القاهرة")</f>
        <v>القاهرة</v>
      </c>
      <c r="C2096" s="5" t="str">
        <f ca="1">IFERROR(__xludf.DUMMYFUNCTION("""COMPUTED_VALUE"""),"المطرية")</f>
        <v>المطرية</v>
      </c>
      <c r="D2096" s="5" t="str">
        <f ca="1">IFERROR(__xludf.DUMMYFUNCTION("""COMPUTED_VALUE"""),"مركز علاج طبيعي")</f>
        <v>مركز علاج طبيعي</v>
      </c>
      <c r="E2096" s="5" t="str">
        <f ca="1">IFERROR(__xludf.DUMMYFUNCTION("""COMPUTED_VALUE"""),"علاج طبيعي")</f>
        <v>علاج طبيعي</v>
      </c>
      <c r="F2096" s="5" t="str">
        <f ca="1">IFERROR(__xludf.DUMMYFUNCTION("""COMPUTED_VALUE"""),"جلسات العلاج الطبيعي")</f>
        <v>جلسات العلاج الطبيعي</v>
      </c>
      <c r="G2096" s="5" t="str">
        <f ca="1">IFERROR(__xludf.DUMMYFUNCTION("""COMPUTED_VALUE"""),"المركز المصري فيزيكال للعلاج الطبيعي و التأهيل")</f>
        <v>المركز المصري فيزيكال للعلاج الطبيعي و التأهيل</v>
      </c>
      <c r="H2096" s="5" t="str">
        <f ca="1">IFERROR(__xludf.DUMMYFUNCTION("""COMPUTED_VALUE"""),"137 شارع المطراوي - المطرية - القاهره")</f>
        <v>137 شارع المطراوي - المطرية - القاهره</v>
      </c>
      <c r="I2096" s="6" t="str">
        <f ca="1">IFERROR(__xludf.DUMMYFUNCTION("""COMPUTED_VALUE"""),"0226525515")</f>
        <v>0226525515</v>
      </c>
      <c r="J2096" s="6"/>
      <c r="K2096" s="6" t="str">
        <f ca="1">IFERROR(__xludf.DUMMYFUNCTION("""COMPUTED_VALUE"""),"خصم 30%على الكشف , 20% على الخدمات التغذية والسمنة و15% على خدمات العلاج الطبيعي")</f>
        <v>خصم 30%على الكشف , 20% على الخدمات التغذية والسمنة و15% على خدمات العلاج الطبيعي</v>
      </c>
    </row>
    <row r="2097" spans="1:11" x14ac:dyDescent="0.25">
      <c r="A2097" s="4" t="str">
        <f ca="1">IFERROR(__xludf.DUMMYFUNCTION("""COMPUTED_VALUE"""),"106569")</f>
        <v>106569</v>
      </c>
      <c r="B2097" s="5" t="str">
        <f ca="1">IFERROR(__xludf.DUMMYFUNCTION("""COMPUTED_VALUE"""),"الأقصر")</f>
        <v>الأقصر</v>
      </c>
      <c r="C2097" s="5" t="str">
        <f ca="1">IFERROR(__xludf.DUMMYFUNCTION("""COMPUTED_VALUE"""),"اسنا")</f>
        <v>اسنا</v>
      </c>
      <c r="D2097" s="5" t="str">
        <f ca="1">IFERROR(__xludf.DUMMYFUNCTION("""COMPUTED_VALUE"""),"صيدلية")</f>
        <v>صيدلية</v>
      </c>
      <c r="E2097" s="5" t="str">
        <f ca="1">IFERROR(__xludf.DUMMYFUNCTION("""COMPUTED_VALUE"""),"صيدلية")</f>
        <v>صيدلية</v>
      </c>
      <c r="F2097" s="5" t="str">
        <f ca="1">IFERROR(__xludf.DUMMYFUNCTION("""COMPUTED_VALUE"""),"صيدلية (أدوية ومستلزمات طبية)")</f>
        <v>صيدلية (أدوية ومستلزمات طبية)</v>
      </c>
      <c r="G2097" s="5" t="str">
        <f ca="1">IFERROR(__xludf.DUMMYFUNCTION("""COMPUTED_VALUE"""),"صيدلية د. ماري نسيم رياض فام (صيدلية الأمل)")</f>
        <v>صيدلية د. ماري نسيم رياض فام (صيدلية الأمل)</v>
      </c>
      <c r="H2097" s="5" t="str">
        <f ca="1">IFERROR(__xludf.DUMMYFUNCTION("""COMPUTED_VALUE"""),"4 أمام الراهبات - أسنا - الأقصر")</f>
        <v>4 أمام الراهبات - أسنا - الأقصر</v>
      </c>
      <c r="I2097" s="6" t="str">
        <f ca="1">IFERROR(__xludf.DUMMYFUNCTION("""COMPUTED_VALUE"""),"01273971567")</f>
        <v>01273971567</v>
      </c>
      <c r="J2097" s="6"/>
      <c r="K2097" s="6" t="str">
        <f ca="1">IFERROR(__xludf.DUMMYFUNCTION("""COMPUTED_VALUE"""),"خصم  15% علي المحلي و 9% علي المستورد")</f>
        <v>خصم  15% علي المحلي و 9% علي المستورد</v>
      </c>
    </row>
    <row r="2098" spans="1:11" x14ac:dyDescent="0.25">
      <c r="A2098" s="4" t="str">
        <f ca="1">IFERROR(__xludf.DUMMYFUNCTION("""COMPUTED_VALUE"""),"106570")</f>
        <v>106570</v>
      </c>
      <c r="B2098" s="5" t="str">
        <f ca="1">IFERROR(__xludf.DUMMYFUNCTION("""COMPUTED_VALUE"""),"دمياط")</f>
        <v>دمياط</v>
      </c>
      <c r="C2098" s="5" t="str">
        <f ca="1">IFERROR(__xludf.DUMMYFUNCTION("""COMPUTED_VALUE"""),"دمياط الجديدة")</f>
        <v>دمياط الجديدة</v>
      </c>
      <c r="D2098" s="5" t="str">
        <f ca="1">IFERROR(__xludf.DUMMYFUNCTION("""COMPUTED_VALUE"""),"هيئة الأطباء")</f>
        <v>هيئة الأطباء</v>
      </c>
      <c r="E2098" s="5" t="str">
        <f ca="1">IFERROR(__xludf.DUMMYFUNCTION("""COMPUTED_VALUE"""),"اسنان")</f>
        <v>اسنان</v>
      </c>
      <c r="F2098" s="5" t="str">
        <f ca="1">IFERROR(__xludf.DUMMYFUNCTION("""COMPUTED_VALUE"""),"جراحة الفم والأسنان")</f>
        <v>جراحة الفم والأسنان</v>
      </c>
      <c r="G2098" s="5" t="str">
        <f ca="1">IFERROR(__xludf.DUMMYFUNCTION("""COMPUTED_VALUE"""),"د. محمد نبيل حامد ابو العز")</f>
        <v>د. محمد نبيل حامد ابو العز</v>
      </c>
      <c r="H2098" s="5" t="str">
        <f ca="1">IFERROR(__xludf.DUMMYFUNCTION("""COMPUTED_VALUE"""),"شارع ناصر بندر كفر سعد - دمياط")</f>
        <v>شارع ناصر بندر كفر سعد - دمياط</v>
      </c>
      <c r="I2098" s="6" t="str">
        <f ca="1">IFERROR(__xludf.DUMMYFUNCTION("""COMPUTED_VALUE"""),"01092863715")</f>
        <v>01092863715</v>
      </c>
      <c r="J2098" s="6"/>
      <c r="K2098" s="6" t="str">
        <f ca="1">IFERROR(__xludf.DUMMYFUNCTION("""COMPUTED_VALUE"""),"خصم 25% علي الاسعار النقدي")</f>
        <v>خصم 25% علي الاسعار النقدي</v>
      </c>
    </row>
    <row r="2099" spans="1:11" x14ac:dyDescent="0.25">
      <c r="A2099" s="4" t="str">
        <f ca="1">IFERROR(__xludf.DUMMYFUNCTION("""COMPUTED_VALUE"""),"106575")</f>
        <v>106575</v>
      </c>
      <c r="B2099" s="5" t="str">
        <f ca="1">IFERROR(__xludf.DUMMYFUNCTION("""COMPUTED_VALUE"""),"دمياط")</f>
        <v>دمياط</v>
      </c>
      <c r="C2099" s="5" t="str">
        <f ca="1">IFERROR(__xludf.DUMMYFUNCTION("""COMPUTED_VALUE"""),"دمياط الجديدة")</f>
        <v>دمياط الجديدة</v>
      </c>
      <c r="D2099" s="5" t="str">
        <f ca="1">IFERROR(__xludf.DUMMYFUNCTION("""COMPUTED_VALUE"""),"هيئة الأطباء")</f>
        <v>هيئة الأطباء</v>
      </c>
      <c r="E2099" s="5" t="str">
        <f ca="1">IFERROR(__xludf.DUMMYFUNCTION("""COMPUTED_VALUE"""),"اسنان")</f>
        <v>اسنان</v>
      </c>
      <c r="F2099" s="5" t="str">
        <f ca="1">IFERROR(__xludf.DUMMYFUNCTION("""COMPUTED_VALUE"""),"جراحة الفم والأسنان")</f>
        <v>جراحة الفم والأسنان</v>
      </c>
      <c r="G2099" s="5" t="str">
        <f ca="1">IFERROR(__xludf.DUMMYFUNCTION("""COMPUTED_VALUE"""),"د/ عبد العليم ابو بكر البدراوي ابراهيم")</f>
        <v>د/ عبد العليم ابو بكر البدراوي ابراهيم</v>
      </c>
      <c r="H2099" s="5" t="str">
        <f ca="1">IFERROR(__xludf.DUMMYFUNCTION("""COMPUTED_VALUE"""),"دمياط - دمياط الجديدة شارع الكفراوي عماره 33/38")</f>
        <v>دمياط - دمياط الجديدة شارع الكفراوي عماره 33/38</v>
      </c>
      <c r="I2099" s="6" t="str">
        <f ca="1">IFERROR(__xludf.DUMMYFUNCTION("""COMPUTED_VALUE"""),"01005680707")</f>
        <v>01005680707</v>
      </c>
      <c r="J2099" s="6"/>
      <c r="K2099" s="6" t="str">
        <f ca="1">IFERROR(__xludf.DUMMYFUNCTION("""COMPUTED_VALUE"""),"خصم 25% علي الاسعار النقدي")</f>
        <v>خصم 25% علي الاسعار النقدي</v>
      </c>
    </row>
    <row r="2100" spans="1:11" x14ac:dyDescent="0.25">
      <c r="A2100" s="4" t="str">
        <f ca="1">IFERROR(__xludf.DUMMYFUNCTION("""COMPUTED_VALUE"""),"106576")</f>
        <v>106576</v>
      </c>
      <c r="B2100" s="5" t="str">
        <f ca="1">IFERROR(__xludf.DUMMYFUNCTION("""COMPUTED_VALUE"""),"البحيرة")</f>
        <v>البحيرة</v>
      </c>
      <c r="C2100" s="5" t="str">
        <f ca="1">IFERROR(__xludf.DUMMYFUNCTION("""COMPUTED_VALUE"""),"ابو المطامير")</f>
        <v>ابو المطامير</v>
      </c>
      <c r="D2100" s="5" t="str">
        <f ca="1">IFERROR(__xludf.DUMMYFUNCTION("""COMPUTED_VALUE"""),"صيدلية")</f>
        <v>صيدلية</v>
      </c>
      <c r="E2100" s="5" t="str">
        <f ca="1">IFERROR(__xludf.DUMMYFUNCTION("""COMPUTED_VALUE"""),"صيدلية")</f>
        <v>صيدلية</v>
      </c>
      <c r="F2100" s="5" t="str">
        <f ca="1">IFERROR(__xludf.DUMMYFUNCTION("""COMPUTED_VALUE"""),"صيدلية (أدوية ومستلزمات طبية)")</f>
        <v>صيدلية (أدوية ومستلزمات طبية)</v>
      </c>
      <c r="G2100" s="5" t="str">
        <f ca="1">IFERROR(__xludf.DUMMYFUNCTION("""COMPUTED_VALUE"""),"صيدلية د/ محمد راغب فتحى محمود قريطم")</f>
        <v>صيدلية د/ محمد راغب فتحى محمود قريطم</v>
      </c>
      <c r="H2100" s="5" t="str">
        <f ca="1">IFERROR(__xludf.DUMMYFUNCTION("""COMPUTED_VALUE"""),"خلف المستشفي العام - حوش عيسي - البحيرة")</f>
        <v>خلف المستشفي العام - حوش عيسي - البحيرة</v>
      </c>
      <c r="I2100" s="6" t="str">
        <f ca="1">IFERROR(__xludf.DUMMYFUNCTION("""COMPUTED_VALUE"""),"01553677299")</f>
        <v>01553677299</v>
      </c>
      <c r="J2100" s="6"/>
      <c r="K2100" s="6" t="str">
        <f ca="1">IFERROR(__xludf.DUMMYFUNCTION("""COMPUTED_VALUE"""),"خصم  14% علي المحلي و7% علي المستورد")</f>
        <v>خصم  14% علي المحلي و7% علي المستورد</v>
      </c>
    </row>
    <row r="2101" spans="1:11" x14ac:dyDescent="0.25">
      <c r="A2101" s="4" t="str">
        <f ca="1">IFERROR(__xludf.DUMMYFUNCTION("""COMPUTED_VALUE"""),"106582")</f>
        <v>106582</v>
      </c>
      <c r="B2101" s="5" t="str">
        <f ca="1">IFERROR(__xludf.DUMMYFUNCTION("""COMPUTED_VALUE"""),"القاهرة")</f>
        <v>القاهرة</v>
      </c>
      <c r="C2101" s="5" t="str">
        <f ca="1">IFERROR(__xludf.DUMMYFUNCTION("""COMPUTED_VALUE"""),"مصر الجديدة")</f>
        <v>مصر الجديدة</v>
      </c>
      <c r="D2101" s="5" t="str">
        <f ca="1">IFERROR(__xludf.DUMMYFUNCTION("""COMPUTED_VALUE"""),"مجمع عيادات")</f>
        <v>مجمع عيادات</v>
      </c>
      <c r="E2101" s="5" t="str">
        <f ca="1">IFERROR(__xludf.DUMMYFUNCTION("""COMPUTED_VALUE"""),"تجميل الاسنان")</f>
        <v>تجميل الاسنان</v>
      </c>
      <c r="F2101" s="5" t="str">
        <f ca="1">IFERROR(__xludf.DUMMYFUNCTION("""COMPUTED_VALUE"""),"تجميل الاسنان")</f>
        <v>تجميل الاسنان</v>
      </c>
      <c r="G2101" s="5" t="str">
        <f ca="1">IFERROR(__xludf.DUMMYFUNCTION("""COMPUTED_VALUE"""),"عيادات دكتورة الاء ايمن")</f>
        <v>عيادات دكتورة الاء ايمن</v>
      </c>
      <c r="H2101" s="5" t="str">
        <f ca="1">IFERROR(__xludf.DUMMYFUNCTION("""COMPUTED_VALUE"""),"91ب شارع الميرغني - العمار المثلث العقاري
 محطه مترو كليه البنات الدور 6 - شقه 24 -مصر الجديده")</f>
        <v>91ب شارع الميرغني - العمار المثلث العقاري
 محطه مترو كليه البنات الدور 6 - شقه 24 -مصر الجديده</v>
      </c>
      <c r="I2101" s="6" t="str">
        <f ca="1">IFERROR(__xludf.DUMMYFUNCTION("""COMPUTED_VALUE"""),"224157558")</f>
        <v>224157558</v>
      </c>
      <c r="J2101" s="6"/>
      <c r="K2101" s="6" t="str">
        <f ca="1">IFERROR(__xludf.DUMMYFUNCTION("""COMPUTED_VALUE"""),"خصم يصل الي 30%")</f>
        <v>خصم يصل الي 30%</v>
      </c>
    </row>
    <row r="2102" spans="1:11" x14ac:dyDescent="0.25">
      <c r="A2102" s="4" t="str">
        <f ca="1">IFERROR(__xludf.DUMMYFUNCTION("""COMPUTED_VALUE"""),"106582-B")</f>
        <v>106582-B</v>
      </c>
      <c r="B2102" s="5" t="str">
        <f ca="1">IFERROR(__xludf.DUMMYFUNCTION("""COMPUTED_VALUE"""),"الجيزة")</f>
        <v>الجيزة</v>
      </c>
      <c r="C2102" s="5" t="str">
        <f ca="1">IFERROR(__xludf.DUMMYFUNCTION("""COMPUTED_VALUE"""),"المهندسين")</f>
        <v>المهندسين</v>
      </c>
      <c r="D2102" s="5" t="str">
        <f ca="1">IFERROR(__xludf.DUMMYFUNCTION("""COMPUTED_VALUE"""),"مجمع عيادات")</f>
        <v>مجمع عيادات</v>
      </c>
      <c r="E2102" s="5" t="str">
        <f ca="1">IFERROR(__xludf.DUMMYFUNCTION("""COMPUTED_VALUE"""),"تجميل الاسنان")</f>
        <v>تجميل الاسنان</v>
      </c>
      <c r="F2102" s="5" t="str">
        <f ca="1">IFERROR(__xludf.DUMMYFUNCTION("""COMPUTED_VALUE"""),"تجميل الاسنان")</f>
        <v>تجميل الاسنان</v>
      </c>
      <c r="G2102" s="5" t="str">
        <f ca="1">IFERROR(__xludf.DUMMYFUNCTION("""COMPUTED_VALUE"""),"عيادات دكتورة الاء ايمن")</f>
        <v>عيادات دكتورة الاء ايمن</v>
      </c>
      <c r="H2102" s="5" t="str">
        <f ca="1">IFERROR(__xludf.DUMMYFUNCTION("""COMPUTED_VALUE"""),"25 جزيره العرب - الدور 5 شقه 11 - المهندسين")</f>
        <v>25 جزيره العرب - الدور 5 شقه 11 - المهندسين</v>
      </c>
      <c r="I2102" s="6" t="str">
        <f ca="1">IFERROR(__xludf.DUMMYFUNCTION("""COMPUTED_VALUE"""),"0233441173")</f>
        <v>0233441173</v>
      </c>
      <c r="J2102" s="6"/>
      <c r="K2102" s="6" t="str">
        <f ca="1">IFERROR(__xludf.DUMMYFUNCTION("""COMPUTED_VALUE"""),"خصم يصل الي 30%")</f>
        <v>خصم يصل الي 30%</v>
      </c>
    </row>
    <row r="2103" spans="1:11" x14ac:dyDescent="0.25">
      <c r="A2103" s="4" t="str">
        <f ca="1">IFERROR(__xludf.DUMMYFUNCTION("""COMPUTED_VALUE"""),"105044-B")</f>
        <v>105044-B</v>
      </c>
      <c r="B2103" s="5" t="str">
        <f ca="1">IFERROR(__xludf.DUMMYFUNCTION("""COMPUTED_VALUE"""),"الاسكندرية")</f>
        <v>الاسكندرية</v>
      </c>
      <c r="C2103" s="5" t="str">
        <f ca="1">IFERROR(__xludf.DUMMYFUNCTION("""COMPUTED_VALUE"""),"سموحة")</f>
        <v>سموحة</v>
      </c>
      <c r="D2103" s="5" t="str">
        <f ca="1">IFERROR(__xludf.DUMMYFUNCTION("""COMPUTED_VALUE"""),"هيئة الأطباء")</f>
        <v>هيئة الأطباء</v>
      </c>
      <c r="E2103" s="5" t="str">
        <f ca="1">IFERROR(__xludf.DUMMYFUNCTION("""COMPUTED_VALUE"""),"اسنان")</f>
        <v>اسنان</v>
      </c>
      <c r="F2103" s="5" t="str">
        <f ca="1">IFERROR(__xludf.DUMMYFUNCTION("""COMPUTED_VALUE"""),"جراحة الفم والأسنان")</f>
        <v>جراحة الفم والأسنان</v>
      </c>
      <c r="G2103" s="5" t="str">
        <f ca="1">IFERROR(__xludf.DUMMYFUNCTION("""COMPUTED_VALUE"""),"مركز تاج لعلاج الاسنان (شركة انترناشيونال ميديكال كير للخدمات الطبية )")</f>
        <v>مركز تاج لعلاج الاسنان (شركة انترناشيونال ميديكال كير للخدمات الطبية )</v>
      </c>
      <c r="H2103" s="5" t="str">
        <f ca="1">IFERROR(__xludf.DUMMYFUNCTION("""COMPUTED_VALUE"""),"شارع البرت الاول ابراج الدلتا لايف-سموحة-الاسكندرية")</f>
        <v>شارع البرت الاول ابراج الدلتا لايف-سموحة-الاسكندرية</v>
      </c>
      <c r="I2103" s="6" t="str">
        <f ca="1">IFERROR(__xludf.DUMMYFUNCTION("""COMPUTED_VALUE"""),"034238925")</f>
        <v>034238925</v>
      </c>
      <c r="J2103" s="6"/>
      <c r="K2103" s="6" t="str">
        <f ca="1">IFERROR(__xludf.DUMMYFUNCTION("""COMPUTED_VALUE"""),"خصم 50% علي الكشف ، خصم 30% علي باقى الإجراءات ماعدا الإجراءات التجملية")</f>
        <v>خصم 50% علي الكشف ، خصم 30% علي باقى الإجراءات ماعدا الإجراءات التجملية</v>
      </c>
    </row>
    <row r="2104" spans="1:11" x14ac:dyDescent="0.25">
      <c r="A2104" s="4" t="str">
        <f ca="1">IFERROR(__xludf.DUMMYFUNCTION("""COMPUTED_VALUE"""),"105624-B")</f>
        <v>105624-B</v>
      </c>
      <c r="B2104" s="5" t="str">
        <f ca="1">IFERROR(__xludf.DUMMYFUNCTION("""COMPUTED_VALUE"""),"الجيزة")</f>
        <v>الجيزة</v>
      </c>
      <c r="C2104" s="5" t="str">
        <f ca="1">IFERROR(__xludf.DUMMYFUNCTION("""COMPUTED_VALUE"""),"فيصل")</f>
        <v>فيصل</v>
      </c>
      <c r="D2104" s="5" t="str">
        <f ca="1">IFERROR(__xludf.DUMMYFUNCTION("""COMPUTED_VALUE"""),"هيئة الأطباء")</f>
        <v>هيئة الأطباء</v>
      </c>
      <c r="E2104" s="5" t="str">
        <f ca="1">IFERROR(__xludf.DUMMYFUNCTION("""COMPUTED_VALUE"""),"اسنان")</f>
        <v>اسنان</v>
      </c>
      <c r="F2104" s="5" t="str">
        <f ca="1">IFERROR(__xludf.DUMMYFUNCTION("""COMPUTED_VALUE"""),"جراحة الفم والأسنان")</f>
        <v>جراحة الفم والأسنان</v>
      </c>
      <c r="G2104" s="5" t="str">
        <f ca="1">IFERROR(__xludf.DUMMYFUNCTION("""COMPUTED_VALUE"""),"د.باسم إبراهيم يوسف لاشين")</f>
        <v>د.باسم إبراهيم يوسف لاشين</v>
      </c>
      <c r="H2104" s="5" t="str">
        <f ca="1">IFERROR(__xludf.DUMMYFUNCTION("""COMPUTED_VALUE"""),"فيصل 189 الدور الثالث محطة الطوابق")</f>
        <v>فيصل 189 الدور الثالث محطة الطوابق</v>
      </c>
      <c r="I2104" s="6" t="str">
        <f ca="1">IFERROR(__xludf.DUMMYFUNCTION("""COMPUTED_VALUE"""),"01007027370")</f>
        <v>01007027370</v>
      </c>
      <c r="J2104" s="6"/>
      <c r="K2104" s="6" t="str">
        <f ca="1">IFERROR(__xludf.DUMMYFUNCTION("""COMPUTED_VALUE"""),"50%خصم علي الكشوفات وخصم 25% علي باقي الخدمات المعلنة")</f>
        <v>50%خصم علي الكشوفات وخصم 25% علي باقي الخدمات المعلنة</v>
      </c>
    </row>
    <row r="2105" spans="1:11" x14ac:dyDescent="0.25">
      <c r="A2105" s="4" t="str">
        <f ca="1">IFERROR(__xludf.DUMMYFUNCTION("""COMPUTED_VALUE"""),"105624-B")</f>
        <v>105624-B</v>
      </c>
      <c r="B2105" s="5" t="str">
        <f ca="1">IFERROR(__xludf.DUMMYFUNCTION("""COMPUTED_VALUE"""),"القاهرة")</f>
        <v>القاهرة</v>
      </c>
      <c r="C2105" s="5" t="str">
        <f ca="1">IFERROR(__xludf.DUMMYFUNCTION("""COMPUTED_VALUE"""),"القاهرة الجديدة")</f>
        <v>القاهرة الجديدة</v>
      </c>
      <c r="D2105" s="5" t="str">
        <f ca="1">IFERROR(__xludf.DUMMYFUNCTION("""COMPUTED_VALUE"""),"هيئة الأطباء")</f>
        <v>هيئة الأطباء</v>
      </c>
      <c r="E2105" s="5" t="str">
        <f ca="1">IFERROR(__xludf.DUMMYFUNCTION("""COMPUTED_VALUE"""),"اسنان")</f>
        <v>اسنان</v>
      </c>
      <c r="F2105" s="5" t="str">
        <f ca="1">IFERROR(__xludf.DUMMYFUNCTION("""COMPUTED_VALUE"""),"جراحة الفم والأسنان")</f>
        <v>جراحة الفم والأسنان</v>
      </c>
      <c r="G2105" s="5" t="str">
        <f ca="1">IFERROR(__xludf.DUMMYFUNCTION("""COMPUTED_VALUE"""),"د.باسم إبراهيم يوسف لاشين")</f>
        <v>د.باسم إبراهيم يوسف لاشين</v>
      </c>
      <c r="H2105" s="5" t="str">
        <f ca="1">IFERROR(__xludf.DUMMYFUNCTION("""COMPUTED_VALUE"""),"مبنى ميديكال بارك بريمير وحده 313")</f>
        <v>مبنى ميديكال بارك بريمير وحده 313</v>
      </c>
      <c r="I2105" s="6" t="str">
        <f ca="1">IFERROR(__xludf.DUMMYFUNCTION("""COMPUTED_VALUE"""),"01007027370")</f>
        <v>01007027370</v>
      </c>
      <c r="J2105" s="6"/>
      <c r="K2105" s="6" t="str">
        <f ca="1">IFERROR(__xludf.DUMMYFUNCTION("""COMPUTED_VALUE"""),"50%خصم علي الكشوفات وخصم 25% علي باقي الخدمات المعلنة")</f>
        <v>50%خصم علي الكشوفات وخصم 25% علي باقي الخدمات المعلنة</v>
      </c>
    </row>
    <row r="2106" spans="1:11" x14ac:dyDescent="0.25">
      <c r="A2106" s="4" t="str">
        <f ca="1">IFERROR(__xludf.DUMMYFUNCTION("""COMPUTED_VALUE"""),"105624-B")</f>
        <v>105624-B</v>
      </c>
      <c r="B2106" s="5" t="str">
        <f ca="1">IFERROR(__xludf.DUMMYFUNCTION("""COMPUTED_VALUE"""),"الجيزة")</f>
        <v>الجيزة</v>
      </c>
      <c r="C2106" s="5" t="str">
        <f ca="1">IFERROR(__xludf.DUMMYFUNCTION("""COMPUTED_VALUE"""),"المهندسين")</f>
        <v>المهندسين</v>
      </c>
      <c r="D2106" s="5" t="str">
        <f ca="1">IFERROR(__xludf.DUMMYFUNCTION("""COMPUTED_VALUE"""),"هيئة الأطباء")</f>
        <v>هيئة الأطباء</v>
      </c>
      <c r="E2106" s="5" t="str">
        <f ca="1">IFERROR(__xludf.DUMMYFUNCTION("""COMPUTED_VALUE"""),"اسنان")</f>
        <v>اسنان</v>
      </c>
      <c r="F2106" s="5" t="str">
        <f ca="1">IFERROR(__xludf.DUMMYFUNCTION("""COMPUTED_VALUE"""),"جراحة الفم والأسنان")</f>
        <v>جراحة الفم والأسنان</v>
      </c>
      <c r="G2106" s="5" t="str">
        <f ca="1">IFERROR(__xludf.DUMMYFUNCTION("""COMPUTED_VALUE"""),"د.باسم إبراهيم يوسف لاشين")</f>
        <v>د.باسم إبراهيم يوسف لاشين</v>
      </c>
      <c r="H2106" s="5" t="str">
        <f ca="1">IFERROR(__xludf.DUMMYFUNCTION("""COMPUTED_VALUE"""),"المهندسين 47 شارع جامعه الدول العربيه اعلى مطعم جاد")</f>
        <v>المهندسين 47 شارع جامعه الدول العربيه اعلى مطعم جاد</v>
      </c>
      <c r="I2106" s="6" t="str">
        <f ca="1">IFERROR(__xludf.DUMMYFUNCTION("""COMPUTED_VALUE"""),"01020388828")</f>
        <v>01020388828</v>
      </c>
      <c r="J2106" s="6"/>
      <c r="K2106" s="6" t="str">
        <f ca="1">IFERROR(__xludf.DUMMYFUNCTION("""COMPUTED_VALUE"""),"50%خصم علي الكشوفات وخصم 25% علي باقي الخدمات المعلنة")</f>
        <v>50%خصم علي الكشوفات وخصم 25% علي باقي الخدمات المعلنة</v>
      </c>
    </row>
    <row r="2107" spans="1:11" x14ac:dyDescent="0.25">
      <c r="A2107" s="4" t="str">
        <f ca="1">IFERROR(__xludf.DUMMYFUNCTION("""COMPUTED_VALUE"""),"105624-B")</f>
        <v>105624-B</v>
      </c>
      <c r="B2107" s="5" t="str">
        <f ca="1">IFERROR(__xludf.DUMMYFUNCTION("""COMPUTED_VALUE"""),"القاهرة")</f>
        <v>القاهرة</v>
      </c>
      <c r="C2107" s="5" t="str">
        <f ca="1">IFERROR(__xludf.DUMMYFUNCTION("""COMPUTED_VALUE"""),"مصر الجديدة")</f>
        <v>مصر الجديدة</v>
      </c>
      <c r="D2107" s="5" t="str">
        <f ca="1">IFERROR(__xludf.DUMMYFUNCTION("""COMPUTED_VALUE"""),"هيئة الأطباء")</f>
        <v>هيئة الأطباء</v>
      </c>
      <c r="E2107" s="5" t="str">
        <f ca="1">IFERROR(__xludf.DUMMYFUNCTION("""COMPUTED_VALUE"""),"اسنان")</f>
        <v>اسنان</v>
      </c>
      <c r="F2107" s="5" t="str">
        <f ca="1">IFERROR(__xludf.DUMMYFUNCTION("""COMPUTED_VALUE"""),"جراحة الفم والأسنان")</f>
        <v>جراحة الفم والأسنان</v>
      </c>
      <c r="G2107" s="5" t="str">
        <f ca="1">IFERROR(__xludf.DUMMYFUNCTION("""COMPUTED_VALUE"""),"د.باسم إبراهيم يوسف لاشين")</f>
        <v>د.باسم إبراهيم يوسف لاشين</v>
      </c>
      <c r="H2107" s="5" t="str">
        <f ca="1">IFERROR(__xludf.DUMMYFUNCTION("""COMPUTED_VALUE"""),"77 شارع فريد سميكة خلف نادي الطيران")</f>
        <v>77 شارع فريد سميكة خلف نادي الطيران</v>
      </c>
      <c r="I2107" s="6" t="str">
        <f ca="1">IFERROR(__xludf.DUMMYFUNCTION("""COMPUTED_VALUE"""),"01007027370")</f>
        <v>01007027370</v>
      </c>
      <c r="J2107" s="6"/>
      <c r="K2107" s="6" t="str">
        <f ca="1">IFERROR(__xludf.DUMMYFUNCTION("""COMPUTED_VALUE"""),"50%خصم علي الكشوفات وخصم 25% علي باقي الخدمات المعلنة")</f>
        <v>50%خصم علي الكشوفات وخصم 25% علي باقي الخدمات المعلنة</v>
      </c>
    </row>
    <row r="2108" spans="1:11" x14ac:dyDescent="0.25">
      <c r="A2108" s="4" t="str">
        <f ca="1">IFERROR(__xludf.DUMMYFUNCTION("""COMPUTED_VALUE"""),"105624-B")</f>
        <v>105624-B</v>
      </c>
      <c r="B2108" s="5" t="str">
        <f ca="1">IFERROR(__xludf.DUMMYFUNCTION("""COMPUTED_VALUE"""),"الجيزة")</f>
        <v>الجيزة</v>
      </c>
      <c r="C2108" s="5" t="str">
        <f ca="1">IFERROR(__xludf.DUMMYFUNCTION("""COMPUTED_VALUE"""),"السادس من اكتوبر")</f>
        <v>السادس من اكتوبر</v>
      </c>
      <c r="D2108" s="5" t="str">
        <f ca="1">IFERROR(__xludf.DUMMYFUNCTION("""COMPUTED_VALUE"""),"هيئة الأطباء")</f>
        <v>هيئة الأطباء</v>
      </c>
      <c r="E2108" s="5" t="str">
        <f ca="1">IFERROR(__xludf.DUMMYFUNCTION("""COMPUTED_VALUE"""),"اسنان")</f>
        <v>اسنان</v>
      </c>
      <c r="F2108" s="5" t="str">
        <f ca="1">IFERROR(__xludf.DUMMYFUNCTION("""COMPUTED_VALUE"""),"جراحة الفم والأسنان")</f>
        <v>جراحة الفم والأسنان</v>
      </c>
      <c r="G2108" s="5" t="str">
        <f ca="1">IFERROR(__xludf.DUMMYFUNCTION("""COMPUTED_VALUE"""),"د.باسم إبراهيم يوسف لاشين")</f>
        <v>د.باسم إبراهيم يوسف لاشين</v>
      </c>
      <c r="H2108" s="5" t="str">
        <f ca="1">IFERROR(__xludf.DUMMYFUNCTION("""COMPUTED_VALUE"""),"الحي الثاني قريب من ميدان الحصري فوق تشيك تشيكن")</f>
        <v>الحي الثاني قريب من ميدان الحصري فوق تشيك تشيكن</v>
      </c>
      <c r="I2108" s="6" t="str">
        <f ca="1">IFERROR(__xludf.DUMMYFUNCTION("""COMPUTED_VALUE"""),"01020388828")</f>
        <v>01020388828</v>
      </c>
      <c r="J2108" s="6"/>
      <c r="K2108" s="6" t="str">
        <f ca="1">IFERROR(__xludf.DUMMYFUNCTION("""COMPUTED_VALUE"""),"50%خصم علي الكشوفات وخصم 25% علي باقي الخدمات المعلنة")</f>
        <v>50%خصم علي الكشوفات وخصم 25% علي باقي الخدمات المعلنة</v>
      </c>
    </row>
    <row r="2109" spans="1:11" x14ac:dyDescent="0.25">
      <c r="A2109" s="4" t="str">
        <f ca="1">IFERROR(__xludf.DUMMYFUNCTION("""COMPUTED_VALUE"""),"105624-B")</f>
        <v>105624-B</v>
      </c>
      <c r="B2109" s="5" t="str">
        <f ca="1">IFERROR(__xludf.DUMMYFUNCTION("""COMPUTED_VALUE"""),"الجيزة")</f>
        <v>الجيزة</v>
      </c>
      <c r="C2109" s="5" t="str">
        <f ca="1">IFERROR(__xludf.DUMMYFUNCTION("""COMPUTED_VALUE"""),"فيصل")</f>
        <v>فيصل</v>
      </c>
      <c r="D2109" s="5" t="str">
        <f ca="1">IFERROR(__xludf.DUMMYFUNCTION("""COMPUTED_VALUE"""),"هيئة الأطباء")</f>
        <v>هيئة الأطباء</v>
      </c>
      <c r="E2109" s="5" t="str">
        <f ca="1">IFERROR(__xludf.DUMMYFUNCTION("""COMPUTED_VALUE"""),"اسنان")</f>
        <v>اسنان</v>
      </c>
      <c r="F2109" s="5" t="str">
        <f ca="1">IFERROR(__xludf.DUMMYFUNCTION("""COMPUTED_VALUE"""),"جراحة الفم والأسنان")</f>
        <v>جراحة الفم والأسنان</v>
      </c>
      <c r="G2109" s="5" t="str">
        <f ca="1">IFERROR(__xludf.DUMMYFUNCTION("""COMPUTED_VALUE"""),"د.باسم إبراهيم يوسف لاشين")</f>
        <v>د.باسم إبراهيم يوسف لاشين</v>
      </c>
      <c r="H2109" s="5" t="str">
        <f ca="1">IFERROR(__xludf.DUMMYFUNCTION("""COMPUTED_VALUE"""),"2خالد امين منتصف شارع العريش")</f>
        <v>2خالد امين منتصف شارع العريش</v>
      </c>
      <c r="I2109" s="6" t="str">
        <f ca="1">IFERROR(__xludf.DUMMYFUNCTION("""COMPUTED_VALUE"""),"01020388828")</f>
        <v>01020388828</v>
      </c>
      <c r="J2109" s="6"/>
      <c r="K2109" s="6" t="str">
        <f ca="1">IFERROR(__xludf.DUMMYFUNCTION("""COMPUTED_VALUE"""),"50%خصم علي الكشوفات وخصم 25% علي باقي الخدمات المعلنة")</f>
        <v>50%خصم علي الكشوفات وخصم 25% علي باقي الخدمات المعلنة</v>
      </c>
    </row>
    <row r="2110" spans="1:11" x14ac:dyDescent="0.25">
      <c r="A2110" s="4" t="str">
        <f ca="1">IFERROR(__xludf.DUMMYFUNCTION("""COMPUTED_VALUE"""),"105624-B")</f>
        <v>105624-B</v>
      </c>
      <c r="B2110" s="5" t="str">
        <f ca="1">IFERROR(__xludf.DUMMYFUNCTION("""COMPUTED_VALUE"""),"الجيزة")</f>
        <v>الجيزة</v>
      </c>
      <c r="C2110" s="5" t="str">
        <f ca="1">IFERROR(__xludf.DUMMYFUNCTION("""COMPUTED_VALUE"""),"حدائق الاهرام")</f>
        <v>حدائق الاهرام</v>
      </c>
      <c r="D2110" s="5" t="str">
        <f ca="1">IFERROR(__xludf.DUMMYFUNCTION("""COMPUTED_VALUE"""),"هيئة الأطباء")</f>
        <v>هيئة الأطباء</v>
      </c>
      <c r="E2110" s="5" t="str">
        <f ca="1">IFERROR(__xludf.DUMMYFUNCTION("""COMPUTED_VALUE"""),"اسنان")</f>
        <v>اسنان</v>
      </c>
      <c r="F2110" s="5" t="str">
        <f ca="1">IFERROR(__xludf.DUMMYFUNCTION("""COMPUTED_VALUE"""),"جراحة الفم والأسنان")</f>
        <v>جراحة الفم والأسنان</v>
      </c>
      <c r="G2110" s="5" t="str">
        <f ca="1">IFERROR(__xludf.DUMMYFUNCTION("""COMPUTED_VALUE"""),"د.باسم إبراهيم يوسف لاشين")</f>
        <v>د.باسم إبراهيم يوسف لاشين</v>
      </c>
      <c r="H2110" s="5" t="str">
        <f ca="1">IFERROR(__xludf.DUMMYFUNCTION("""COMPUTED_VALUE"""),"1 شارع جاردينيا البوابه الاولى اعلى هايبر")</f>
        <v>1 شارع جاردينيا البوابه الاولى اعلى هايبر</v>
      </c>
      <c r="I2110" s="6" t="str">
        <f ca="1">IFERROR(__xludf.DUMMYFUNCTION("""COMPUTED_VALUE"""),"01020388828")</f>
        <v>01020388828</v>
      </c>
      <c r="J2110" s="6"/>
      <c r="K2110" s="6" t="str">
        <f ca="1">IFERROR(__xludf.DUMMYFUNCTION("""COMPUTED_VALUE"""),"50%خصم علي الكشوفات وخصم 25% علي باقي الخدمات المعلنة")</f>
        <v>50%خصم علي الكشوفات وخصم 25% علي باقي الخدمات المعلنة</v>
      </c>
    </row>
    <row r="2111" spans="1:11" x14ac:dyDescent="0.25">
      <c r="A2111" s="4" t="str">
        <f ca="1">IFERROR(__xludf.DUMMYFUNCTION("""COMPUTED_VALUE"""),"105624-B")</f>
        <v>105624-B</v>
      </c>
      <c r="B2111" s="5" t="str">
        <f ca="1">IFERROR(__xludf.DUMMYFUNCTION("""COMPUTED_VALUE"""),"الفيوم")</f>
        <v>الفيوم</v>
      </c>
      <c r="C2111" s="5" t="str">
        <f ca="1">IFERROR(__xludf.DUMMYFUNCTION("""COMPUTED_VALUE"""),"الفيوم")</f>
        <v>الفيوم</v>
      </c>
      <c r="D2111" s="5" t="str">
        <f ca="1">IFERROR(__xludf.DUMMYFUNCTION("""COMPUTED_VALUE"""),"هيئة الأطباء")</f>
        <v>هيئة الأطباء</v>
      </c>
      <c r="E2111" s="5" t="str">
        <f ca="1">IFERROR(__xludf.DUMMYFUNCTION("""COMPUTED_VALUE"""),"اسنان")</f>
        <v>اسنان</v>
      </c>
      <c r="F2111" s="5" t="str">
        <f ca="1">IFERROR(__xludf.DUMMYFUNCTION("""COMPUTED_VALUE"""),"جراحة الفم والأسنان")</f>
        <v>جراحة الفم والأسنان</v>
      </c>
      <c r="G2111" s="5" t="str">
        <f ca="1">IFERROR(__xludf.DUMMYFUNCTION("""COMPUTED_VALUE"""),"د.باسم إبراهيم يوسف لاشين")</f>
        <v>د.باسم إبراهيم يوسف لاشين</v>
      </c>
      <c r="H2111" s="5" t="str">
        <f ca="1">IFERROR(__xludf.DUMMYFUNCTION("""COMPUTED_VALUE"""),"ميدان المسله برج البراء")</f>
        <v>ميدان المسله برج البراء</v>
      </c>
      <c r="I2111" s="6" t="str">
        <f ca="1">IFERROR(__xludf.DUMMYFUNCTION("""COMPUTED_VALUE"""),"01020388828")</f>
        <v>01020388828</v>
      </c>
      <c r="J2111" s="6"/>
      <c r="K2111" s="6" t="str">
        <f ca="1">IFERROR(__xludf.DUMMYFUNCTION("""COMPUTED_VALUE"""),"50%خصم علي الكشوفات وخصم 25% علي باقي الخدمات المعلنة")</f>
        <v>50%خصم علي الكشوفات وخصم 25% علي باقي الخدمات المعلنة</v>
      </c>
    </row>
    <row r="2112" spans="1:11" x14ac:dyDescent="0.25">
      <c r="A2112" s="4" t="str">
        <f ca="1">IFERROR(__xludf.DUMMYFUNCTION("""COMPUTED_VALUE"""),"105136-B")</f>
        <v>105136-B</v>
      </c>
      <c r="B2112" s="5" t="str">
        <f ca="1">IFERROR(__xludf.DUMMYFUNCTION("""COMPUTED_VALUE"""),"الجيزة")</f>
        <v>الجيزة</v>
      </c>
      <c r="C2112" s="5" t="str">
        <f ca="1">IFERROR(__xludf.DUMMYFUNCTION("""COMPUTED_VALUE"""),"حدائق الاهرام")</f>
        <v>حدائق الاهرام</v>
      </c>
      <c r="D2112" s="5" t="str">
        <f ca="1">IFERROR(__xludf.DUMMYFUNCTION("""COMPUTED_VALUE"""),"مجمع عيادات")</f>
        <v>مجمع عيادات</v>
      </c>
      <c r="E2112" s="5" t="str">
        <f ca="1">IFERROR(__xludf.DUMMYFUNCTION("""COMPUTED_VALUE"""),"جميع التخصصات")</f>
        <v>جميع التخصصات</v>
      </c>
      <c r="F2112" s="5" t="str">
        <f ca="1">IFERROR(__xludf.DUMMYFUNCTION("""COMPUTED_VALUE"""),"جميع التخصصات الطبية")</f>
        <v>جميع التخصصات الطبية</v>
      </c>
      <c r="G2112" s="5" t="str">
        <f ca="1">IFERROR(__xludf.DUMMYFUNCTION("""COMPUTED_VALUE"""),"سيتي كلينك للخدمات الطبية")</f>
        <v>سيتي كلينك للخدمات الطبية</v>
      </c>
      <c r="H2112" s="5" t="str">
        <f ca="1">IFERROR(__xludf.DUMMYFUNCTION("""COMPUTED_VALUE"""),"حدائق الاهرام ، البوابة الاولى : 135 ج شارع د/ عمر طه متفرع من شارع جاردنيا ")</f>
        <v xml:space="preserve">حدائق الاهرام ، البوابة الاولى : 135 ج شارع د/ عمر طه متفرع من شارع جاردنيا </v>
      </c>
      <c r="I2112" s="6" t="str">
        <f ca="1">IFERROR(__xludf.DUMMYFUNCTION("""COMPUTED_VALUE"""),"01020443304")</f>
        <v>01020443304</v>
      </c>
      <c r="J2112" s="6"/>
      <c r="K2112" s="6" t="str">
        <f ca="1">IFERROR(__xludf.DUMMYFUNCTION("""COMPUTED_VALUE"""),"20% نسبة خصم")</f>
        <v>20% نسبة خصم</v>
      </c>
    </row>
    <row r="2113" spans="1:11" x14ac:dyDescent="0.25">
      <c r="A2113" s="4" t="str">
        <f ca="1">IFERROR(__xludf.DUMMYFUNCTION("""COMPUTED_VALUE"""),"105136-B")</f>
        <v>105136-B</v>
      </c>
      <c r="B2113" s="5" t="str">
        <f ca="1">IFERROR(__xludf.DUMMYFUNCTION("""COMPUTED_VALUE"""),"بني سويف")</f>
        <v>بني سويف</v>
      </c>
      <c r="C2113" s="5" t="str">
        <f ca="1">IFERROR(__xludf.DUMMYFUNCTION("""COMPUTED_VALUE"""),"بني سويف")</f>
        <v>بني سويف</v>
      </c>
      <c r="D2113" s="5" t="str">
        <f ca="1">IFERROR(__xludf.DUMMYFUNCTION("""COMPUTED_VALUE"""),"مجمع عيادات")</f>
        <v>مجمع عيادات</v>
      </c>
      <c r="E2113" s="5" t="str">
        <f ca="1">IFERROR(__xludf.DUMMYFUNCTION("""COMPUTED_VALUE"""),"جميع التخصصات")</f>
        <v>جميع التخصصات</v>
      </c>
      <c r="F2113" s="5" t="str">
        <f ca="1">IFERROR(__xludf.DUMMYFUNCTION("""COMPUTED_VALUE"""),"جميع التخصصات الطبية")</f>
        <v>جميع التخصصات الطبية</v>
      </c>
      <c r="G2113" s="5" t="str">
        <f ca="1">IFERROR(__xludf.DUMMYFUNCTION("""COMPUTED_VALUE"""),"سيتي كلينك للخدمات الطبية")</f>
        <v>سيتي كلينك للخدمات الطبية</v>
      </c>
      <c r="H2113" s="5" t="str">
        <f ca="1">IFERROR(__xludf.DUMMYFUNCTION("""COMPUTED_VALUE"""),"برج حديث المدينه شارع صلاح سالم
")</f>
        <v xml:space="preserve">برج حديث المدينه شارع صلاح سالم
</v>
      </c>
      <c r="I2113" s="6" t="str">
        <f ca="1">IFERROR(__xludf.DUMMYFUNCTION("""COMPUTED_VALUE"""),"01281152610
")</f>
        <v xml:space="preserve">01281152610
</v>
      </c>
      <c r="J2113" s="6"/>
      <c r="K2113" s="6" t="str">
        <f ca="1">IFERROR(__xludf.DUMMYFUNCTION("""COMPUTED_VALUE"""),"20% نسبة خصم")</f>
        <v>20% نسبة خصم</v>
      </c>
    </row>
    <row r="2114" spans="1:11" x14ac:dyDescent="0.25">
      <c r="A2114" s="4" t="str">
        <f ca="1">IFERROR(__xludf.DUMMYFUNCTION("""COMPUTED_VALUE"""),"105297-B")</f>
        <v>105297-B</v>
      </c>
      <c r="B2114" s="5" t="str">
        <f ca="1">IFERROR(__xludf.DUMMYFUNCTION("""COMPUTED_VALUE"""),"القاهرة")</f>
        <v>القاهرة</v>
      </c>
      <c r="C2114" s="5" t="str">
        <f ca="1">IFERROR(__xludf.DUMMYFUNCTION("""COMPUTED_VALUE"""),"القاهرة الجديدة")</f>
        <v>القاهرة الجديدة</v>
      </c>
      <c r="D2114" s="5" t="str">
        <f ca="1">IFERROR(__xludf.DUMMYFUNCTION("""COMPUTED_VALUE"""),"مستشفى")</f>
        <v>مستشفى</v>
      </c>
      <c r="E2114" s="5" t="str">
        <f ca="1">IFERROR(__xludf.DUMMYFUNCTION("""COMPUTED_VALUE"""),"مستشفي طبي متخصص")</f>
        <v>مستشفي طبي متخصص</v>
      </c>
      <c r="F2114" s="5" t="str">
        <f ca="1">IFERROR(__xludf.DUMMYFUNCTION("""COMPUTED_VALUE"""),"رمد (جراحة عيون)")</f>
        <v>رمد (جراحة عيون)</v>
      </c>
      <c r="G2114" s="5" t="str">
        <f ca="1">IFERROR(__xludf.DUMMYFUNCTION("""COMPUTED_VALUE"""),"شركة المركز الاستشاري  للشبكية والجسم الزجاجى (مركز المشرق للعيون)")</f>
        <v>شركة المركز الاستشاري  للشبكية والجسم الزجاجى (مركز المشرق للعيون)</v>
      </c>
      <c r="H2114" s="5" t="str">
        <f ca="1">IFERROR(__xludf.DUMMYFUNCTION("""COMPUTED_VALUE"""),"مدينتي  - مبني اسبتاليا ميديكال هب - مجموعة 101 -B10 -أمام مسجد الرحمة")</f>
        <v>مدينتي  - مبني اسبتاليا ميديكال هب - مجموعة 101 -B10 -أمام مسجد الرحمة</v>
      </c>
      <c r="I2114" s="6"/>
      <c r="J2114" s="6" t="str">
        <f ca="1">IFERROR(__xludf.DUMMYFUNCTION("""COMPUTED_VALUE"""),"16178")</f>
        <v>16178</v>
      </c>
      <c r="K2114" s="6" t="str">
        <f ca="1">IFERROR(__xludf.DUMMYFUNCTION("""COMPUTED_VALUE"""),"خصم 50% علي الكشف و خصم 25% علي الفحوصات و العمليات، 10% علي عمليات تصحيح الابصار.")</f>
        <v>خصم 50% علي الكشف و خصم 25% علي الفحوصات و العمليات، 10% علي عمليات تصحيح الابصار.</v>
      </c>
    </row>
    <row r="2115" spans="1:11" x14ac:dyDescent="0.25">
      <c r="A2115" s="4" t="str">
        <f ca="1">IFERROR(__xludf.DUMMYFUNCTION("""COMPUTED_VALUE"""),"106583")</f>
        <v>106583</v>
      </c>
      <c r="B2115" s="5" t="str">
        <f ca="1">IFERROR(__xludf.DUMMYFUNCTION("""COMPUTED_VALUE"""),"قنا")</f>
        <v>قنا</v>
      </c>
      <c r="C2115" s="5" t="str">
        <f ca="1">IFERROR(__xludf.DUMMYFUNCTION("""COMPUTED_VALUE"""),"دشنا")</f>
        <v>دشنا</v>
      </c>
      <c r="D2115" s="5" t="str">
        <f ca="1">IFERROR(__xludf.DUMMYFUNCTION("""COMPUTED_VALUE"""),"صيدلية")</f>
        <v>صيدلية</v>
      </c>
      <c r="E2115" s="5" t="str">
        <f ca="1">IFERROR(__xludf.DUMMYFUNCTION("""COMPUTED_VALUE"""),"صيدلية")</f>
        <v>صيدلية</v>
      </c>
      <c r="F2115" s="5" t="str">
        <f ca="1">IFERROR(__xludf.DUMMYFUNCTION("""COMPUTED_VALUE"""),"صيدلية (أدوية ومستلزمات طبية)")</f>
        <v>صيدلية (أدوية ومستلزمات طبية)</v>
      </c>
      <c r="G2115" s="5" t="str">
        <f ca="1">IFERROR(__xludf.DUMMYFUNCTION("""COMPUTED_VALUE"""),"صيدلية د/ مصطفى احمد حمدون أبو الدهب")</f>
        <v>صيدلية د/ مصطفى احمد حمدون أبو الدهب</v>
      </c>
      <c r="H2115" s="5" t="str">
        <f ca="1">IFERROR(__xludf.DUMMYFUNCTION("""COMPUTED_VALUE"""),"دشنا - صفارة شارع طراد النيل - قنا")</f>
        <v>دشنا - صفارة شارع طراد النيل - قنا</v>
      </c>
      <c r="I2115" s="6" t="str">
        <f ca="1">IFERROR(__xludf.DUMMYFUNCTION("""COMPUTED_VALUE"""),"1060820246")</f>
        <v>1060820246</v>
      </c>
      <c r="J2115" s="6"/>
      <c r="K2115" s="6" t="str">
        <f ca="1">IFERROR(__xludf.DUMMYFUNCTION("""COMPUTED_VALUE"""),"خصم 14٪ على الأدوية المحلية و 7٪ على الأدوية المستوردة")</f>
        <v>خصم 14٪ على الأدوية المحلية و 7٪ على الأدوية المستوردة</v>
      </c>
    </row>
    <row r="2116" spans="1:11" x14ac:dyDescent="0.25">
      <c r="A2116" s="4" t="str">
        <f ca="1">IFERROR(__xludf.DUMMYFUNCTION("""COMPUTED_VALUE"""),"106585")</f>
        <v>106585</v>
      </c>
      <c r="B2116" s="5" t="str">
        <f ca="1">IFERROR(__xludf.DUMMYFUNCTION("""COMPUTED_VALUE"""),"المنوفية")</f>
        <v>المنوفية</v>
      </c>
      <c r="C2116" s="5" t="str">
        <f ca="1">IFERROR(__xludf.DUMMYFUNCTION("""COMPUTED_VALUE"""),"شبين الكوم")</f>
        <v>شبين الكوم</v>
      </c>
      <c r="D2116" s="5" t="str">
        <f ca="1">IFERROR(__xludf.DUMMYFUNCTION("""COMPUTED_VALUE"""),"هيئة الأطباء")</f>
        <v>هيئة الأطباء</v>
      </c>
      <c r="E2116" s="5" t="str">
        <f ca="1">IFERROR(__xludf.DUMMYFUNCTION("""COMPUTED_VALUE"""),"اسنان")</f>
        <v>اسنان</v>
      </c>
      <c r="F2116" s="5" t="str">
        <f ca="1">IFERROR(__xludf.DUMMYFUNCTION("""COMPUTED_VALUE"""),"جراحة الفم والأسنان")</f>
        <v>جراحة الفم والأسنان</v>
      </c>
      <c r="G2116" s="5" t="str">
        <f ca="1">IFERROR(__xludf.DUMMYFUNCTION("""COMPUTED_VALUE"""),"د/ محمد محمود غريب حبيب")</f>
        <v>د/ محمد محمود غريب حبيب</v>
      </c>
      <c r="H2116" s="5" t="str">
        <f ca="1">IFERROR(__xludf.DUMMYFUNCTION("""COMPUTED_VALUE"""),"برج الميدان ميدان شرف شبين الكوم - المنوفية")</f>
        <v>برج الميدان ميدان شرف شبين الكوم - المنوفية</v>
      </c>
      <c r="I2116" s="6" t="str">
        <f ca="1">IFERROR(__xludf.DUMMYFUNCTION("""COMPUTED_VALUE"""),"1555466688")</f>
        <v>1555466688</v>
      </c>
      <c r="J2116" s="6"/>
      <c r="K2116" s="6" t="str">
        <f ca="1">IFERROR(__xludf.DUMMYFUNCTION("""COMPUTED_VALUE"""),"خصم 25% علي الاسعار النقدي")</f>
        <v>خصم 25% علي الاسعار النقدي</v>
      </c>
    </row>
    <row r="2117" spans="1:11" x14ac:dyDescent="0.25">
      <c r="A2117" s="4" t="str">
        <f ca="1">IFERROR(__xludf.DUMMYFUNCTION("""COMPUTED_VALUE"""),"106584")</f>
        <v>106584</v>
      </c>
      <c r="B2117" s="5" t="str">
        <f ca="1">IFERROR(__xludf.DUMMYFUNCTION("""COMPUTED_VALUE"""),"الجيزة")</f>
        <v>الجيزة</v>
      </c>
      <c r="C2117" s="5" t="str">
        <f ca="1">IFERROR(__xludf.DUMMYFUNCTION("""COMPUTED_VALUE"""),"الشيخ زايد")</f>
        <v>الشيخ زايد</v>
      </c>
      <c r="D2117" s="5" t="str">
        <f ca="1">IFERROR(__xludf.DUMMYFUNCTION("""COMPUTED_VALUE"""),"صيدلية")</f>
        <v>صيدلية</v>
      </c>
      <c r="E2117" s="5" t="str">
        <f ca="1">IFERROR(__xludf.DUMMYFUNCTION("""COMPUTED_VALUE"""),"صيدلية")</f>
        <v>صيدلية</v>
      </c>
      <c r="F2117" s="5" t="str">
        <f ca="1">IFERROR(__xludf.DUMMYFUNCTION("""COMPUTED_VALUE"""),"صيدلية (أدوية ومستلزمات طبية)")</f>
        <v>صيدلية (أدوية ومستلزمات طبية)</v>
      </c>
      <c r="G2117" s="5" t="str">
        <f ca="1">IFERROR(__xludf.DUMMYFUNCTION("""COMPUTED_VALUE"""),"ويل لادارة و تشغيل الصيدليات")</f>
        <v>ويل لادارة و تشغيل الصيدليات</v>
      </c>
      <c r="H2117" s="5" t="str">
        <f ca="1">IFERROR(__xludf.DUMMYFUNCTION("""COMPUTED_VALUE"""),"بوابة 4 بيفري هيلز الشيخ زايد")</f>
        <v>بوابة 4 بيفري هيلز الشيخ زايد</v>
      </c>
      <c r="I2117" s="6" t="str">
        <f ca="1">IFERROR(__xludf.DUMMYFUNCTION("""COMPUTED_VALUE"""),"0238579755")</f>
        <v>0238579755</v>
      </c>
      <c r="J2117" s="6"/>
      <c r="K2117" s="6" t="str">
        <f ca="1">IFERROR(__xludf.DUMMYFUNCTION("""COMPUTED_VALUE"""),"خصم 8٪ على الأدوية المحلية و 3٪ على الأدوية المستوردة")</f>
        <v>خصم 8٪ على الأدوية المحلية و 3٪ على الأدوية المستوردة</v>
      </c>
    </row>
    <row r="2118" spans="1:11" x14ac:dyDescent="0.25">
      <c r="A2118" s="4" t="str">
        <f ca="1">IFERROR(__xludf.DUMMYFUNCTION("""COMPUTED_VALUE"""),"106586")</f>
        <v>106586</v>
      </c>
      <c r="B2118" s="5" t="str">
        <f ca="1">IFERROR(__xludf.DUMMYFUNCTION("""COMPUTED_VALUE"""),"الفيوم")</f>
        <v>الفيوم</v>
      </c>
      <c r="C2118" s="5" t="str">
        <f ca="1">IFERROR(__xludf.DUMMYFUNCTION("""COMPUTED_VALUE"""),"الفيوم")</f>
        <v>الفيوم</v>
      </c>
      <c r="D2118" s="5" t="str">
        <f ca="1">IFERROR(__xludf.DUMMYFUNCTION("""COMPUTED_VALUE"""),"صيدلية")</f>
        <v>صيدلية</v>
      </c>
      <c r="E2118" s="5" t="str">
        <f ca="1">IFERROR(__xludf.DUMMYFUNCTION("""COMPUTED_VALUE"""),"صيدلية")</f>
        <v>صيدلية</v>
      </c>
      <c r="F2118" s="5" t="str">
        <f ca="1">IFERROR(__xludf.DUMMYFUNCTION("""COMPUTED_VALUE"""),"صيدلية (أدوية ومستلزمات طبية)")</f>
        <v>صيدلية (أدوية ومستلزمات طبية)</v>
      </c>
      <c r="G2118" s="5" t="str">
        <f ca="1">IFERROR(__xludf.DUMMYFUNCTION("""COMPUTED_VALUE"""),"شركة تداوي لادارة الصيدليات و تجارة الادوية و المستلزمات الطبيه")</f>
        <v>شركة تداوي لادارة الصيدليات و تجارة الادوية و المستلزمات الطبيه</v>
      </c>
      <c r="H2118" s="5" t="str">
        <f ca="1">IFERROR(__xludf.DUMMYFUNCTION("""COMPUTED_VALUE"""),"8 شارع بحر تنهلة - بندر الفيوم - الفيوم")</f>
        <v>8 شارع بحر تنهلة - بندر الفيوم - الفيوم</v>
      </c>
      <c r="I2118" s="6" t="str">
        <f ca="1">IFERROR(__xludf.DUMMYFUNCTION("""COMPUTED_VALUE"""),"842152000")</f>
        <v>842152000</v>
      </c>
      <c r="J2118" s="6"/>
      <c r="K2118" s="6" t="str">
        <f ca="1">IFERROR(__xludf.DUMMYFUNCTION("""COMPUTED_VALUE"""),"خصم 15٪ على الأدوية المحلية و 7٪ على الأدوية المستوردة")</f>
        <v>خصم 15٪ على الأدوية المحلية و 7٪ على الأدوية المستوردة</v>
      </c>
    </row>
    <row r="2119" spans="1:11" x14ac:dyDescent="0.25">
      <c r="A2119" s="4" t="str">
        <f ca="1">IFERROR(__xludf.DUMMYFUNCTION("""COMPUTED_VALUE"""),"106586-B")</f>
        <v>106586-B</v>
      </c>
      <c r="B2119" s="5" t="str">
        <f ca="1">IFERROR(__xludf.DUMMYFUNCTION("""COMPUTED_VALUE"""),"الفيوم")</f>
        <v>الفيوم</v>
      </c>
      <c r="C2119" s="5" t="str">
        <f ca="1">IFERROR(__xludf.DUMMYFUNCTION("""COMPUTED_VALUE"""),"الفيوم")</f>
        <v>الفيوم</v>
      </c>
      <c r="D2119" s="5" t="str">
        <f ca="1">IFERROR(__xludf.DUMMYFUNCTION("""COMPUTED_VALUE"""),"صيدلية")</f>
        <v>صيدلية</v>
      </c>
      <c r="E2119" s="5" t="str">
        <f ca="1">IFERROR(__xludf.DUMMYFUNCTION("""COMPUTED_VALUE"""),"صيدلية")</f>
        <v>صيدلية</v>
      </c>
      <c r="F2119" s="5" t="str">
        <f ca="1">IFERROR(__xludf.DUMMYFUNCTION("""COMPUTED_VALUE"""),"صيدلية (أدوية ومستلزمات طبية)")</f>
        <v>صيدلية (أدوية ومستلزمات طبية)</v>
      </c>
      <c r="G2119" s="5" t="str">
        <f ca="1">IFERROR(__xludf.DUMMYFUNCTION("""COMPUTED_VALUE"""),"شركة تداوي لادارة الصيدليات و تجارة الادوية و المستلزمات الطبيه")</f>
        <v>شركة تداوي لادارة الصيدليات و تجارة الادوية و المستلزمات الطبيه</v>
      </c>
      <c r="H2119" s="5" t="str">
        <f ca="1">IFERROR(__xludf.DUMMYFUNCTION("""COMPUTED_VALUE"""),"شارع جورج نيروز المتفرع من شارع النبوي المهندس - المسلة - بندر الفيوم - الفيوم")</f>
        <v>شارع جورج نيروز المتفرع من شارع النبوي المهندس - المسلة - بندر الفيوم - الفيوم</v>
      </c>
      <c r="I2119" s="6" t="str">
        <f ca="1">IFERROR(__xludf.DUMMYFUNCTION("""COMPUTED_VALUE"""),"1501509398")</f>
        <v>1501509398</v>
      </c>
      <c r="J2119" s="6"/>
      <c r="K2119" s="6" t="str">
        <f ca="1">IFERROR(__xludf.DUMMYFUNCTION("""COMPUTED_VALUE"""),"خصم 15٪ على الأدوية المحلية و 7٪ على الأدوية المستوردة")</f>
        <v>خصم 15٪ على الأدوية المحلية و 7٪ على الأدوية المستوردة</v>
      </c>
    </row>
    <row r="2120" spans="1:11" x14ac:dyDescent="0.25">
      <c r="A2120" s="4" t="str">
        <f ca="1">IFERROR(__xludf.DUMMYFUNCTION("""COMPUTED_VALUE"""),"106589")</f>
        <v>106589</v>
      </c>
      <c r="B2120" s="5" t="str">
        <f ca="1">IFERROR(__xludf.DUMMYFUNCTION("""COMPUTED_VALUE"""),"الجيزة")</f>
        <v>الجيزة</v>
      </c>
      <c r="C2120" s="5" t="str">
        <f ca="1">IFERROR(__xludf.DUMMYFUNCTION("""COMPUTED_VALUE"""),"الدقي")</f>
        <v>الدقي</v>
      </c>
      <c r="D2120" s="5" t="str">
        <f ca="1">IFERROR(__xludf.DUMMYFUNCTION("""COMPUTED_VALUE"""),"هيئة الأطباء")</f>
        <v>هيئة الأطباء</v>
      </c>
      <c r="E2120" s="5" t="str">
        <f ca="1">IFERROR(__xludf.DUMMYFUNCTION("""COMPUTED_VALUE"""),"باطنة")</f>
        <v>باطنة</v>
      </c>
      <c r="F2120" s="5" t="str">
        <f ca="1">IFERROR(__xludf.DUMMYFUNCTION("""COMPUTED_VALUE"""),"قلب واوعية دموية")</f>
        <v>قلب واوعية دموية</v>
      </c>
      <c r="G2120" s="5" t="str">
        <f ca="1">IFERROR(__xludf.DUMMYFUNCTION("""COMPUTED_VALUE"""),"د. خالد رفعت محمد عبد المجيد")</f>
        <v>د. خالد رفعت محمد عبد المجيد</v>
      </c>
      <c r="H2120" s="5" t="str">
        <f ca="1">IFERROR(__xludf.DUMMYFUNCTION("""COMPUTED_VALUE"""),"20 ش البطل احمد عبد العزيز - الدقي - الجيزة")</f>
        <v>20 ش البطل احمد عبد العزيز - الدقي - الجيزة</v>
      </c>
      <c r="I2120" s="6" t="str">
        <f ca="1">IFERROR(__xludf.DUMMYFUNCTION("""COMPUTED_VALUE"""),"01067827258")</f>
        <v>01067827258</v>
      </c>
      <c r="J2120" s="6"/>
      <c r="K2120" s="6" t="str">
        <f ca="1">IFERROR(__xludf.DUMMYFUNCTION("""COMPUTED_VALUE"""),"خصم 30% علي الاسعار النقدي")</f>
        <v>خصم 30% علي الاسعار النقدي</v>
      </c>
    </row>
    <row r="2121" spans="1:11" x14ac:dyDescent="0.25">
      <c r="A2121" s="4" t="str">
        <f ca="1">IFERROR(__xludf.DUMMYFUNCTION("""COMPUTED_VALUE"""),"106589-B")</f>
        <v>106589-B</v>
      </c>
      <c r="B2121" s="5" t="str">
        <f ca="1">IFERROR(__xludf.DUMMYFUNCTION("""COMPUTED_VALUE"""),"الجيزة")</f>
        <v>الجيزة</v>
      </c>
      <c r="C2121" s="5" t="str">
        <f ca="1">IFERROR(__xludf.DUMMYFUNCTION("""COMPUTED_VALUE"""),"الشيخ زايد")</f>
        <v>الشيخ زايد</v>
      </c>
      <c r="D2121" s="5" t="str">
        <f ca="1">IFERROR(__xludf.DUMMYFUNCTION("""COMPUTED_VALUE"""),"هيئة الأطباء")</f>
        <v>هيئة الأطباء</v>
      </c>
      <c r="E2121" s="5" t="str">
        <f ca="1">IFERROR(__xludf.DUMMYFUNCTION("""COMPUTED_VALUE"""),"باطنة")</f>
        <v>باطنة</v>
      </c>
      <c r="F2121" s="5" t="str">
        <f ca="1">IFERROR(__xludf.DUMMYFUNCTION("""COMPUTED_VALUE"""),"قلب واوعية دموية")</f>
        <v>قلب واوعية دموية</v>
      </c>
      <c r="G2121" s="5" t="str">
        <f ca="1">IFERROR(__xludf.DUMMYFUNCTION("""COMPUTED_VALUE"""),"د. خالد رفعت محمد عبد المجيد")</f>
        <v>د. خالد رفعت محمد عبد المجيد</v>
      </c>
      <c r="H2121" s="5" t="str">
        <f ca="1">IFERROR(__xludf.DUMMYFUNCTION("""COMPUTED_VALUE"""),"مبني medpoint الطبي - الشيخ زايد")</f>
        <v>مبني medpoint الطبي - الشيخ زايد</v>
      </c>
      <c r="I2121" s="6" t="str">
        <f ca="1">IFERROR(__xludf.DUMMYFUNCTION("""COMPUTED_VALUE"""),"01067827258")</f>
        <v>01067827258</v>
      </c>
      <c r="J2121" s="6"/>
      <c r="K2121" s="6" t="str">
        <f ca="1">IFERROR(__xludf.DUMMYFUNCTION("""COMPUTED_VALUE"""),"خصم 30% علي الاسعار النقدي")</f>
        <v>خصم 30% علي الاسعار النقدي</v>
      </c>
    </row>
    <row r="2122" spans="1:11" x14ac:dyDescent="0.25">
      <c r="A2122" s="4" t="str">
        <f ca="1">IFERROR(__xludf.DUMMYFUNCTION("""COMPUTED_VALUE"""),"106589-B")</f>
        <v>106589-B</v>
      </c>
      <c r="B2122" s="5" t="str">
        <f ca="1">IFERROR(__xludf.DUMMYFUNCTION("""COMPUTED_VALUE"""),"بني سويف")</f>
        <v>بني سويف</v>
      </c>
      <c r="C2122" s="5" t="str">
        <f ca="1">IFERROR(__xludf.DUMMYFUNCTION("""COMPUTED_VALUE"""),"بني سويف")</f>
        <v>بني سويف</v>
      </c>
      <c r="D2122" s="5" t="str">
        <f ca="1">IFERROR(__xludf.DUMMYFUNCTION("""COMPUTED_VALUE"""),"هيئة الأطباء")</f>
        <v>هيئة الأطباء</v>
      </c>
      <c r="E2122" s="5" t="str">
        <f ca="1">IFERROR(__xludf.DUMMYFUNCTION("""COMPUTED_VALUE"""),"باطنة")</f>
        <v>باطنة</v>
      </c>
      <c r="F2122" s="5" t="str">
        <f ca="1">IFERROR(__xludf.DUMMYFUNCTION("""COMPUTED_VALUE"""),"قلب واوعية دموية")</f>
        <v>قلب واوعية دموية</v>
      </c>
      <c r="G2122" s="5" t="str">
        <f ca="1">IFERROR(__xludf.DUMMYFUNCTION("""COMPUTED_VALUE"""),"د. خالد رفعت محمد عبد المجيد")</f>
        <v>د. خالد رفعت محمد عبد المجيد</v>
      </c>
      <c r="H2122" s="5" t="str">
        <f ca="1">IFERROR(__xludf.DUMMYFUNCTION("""COMPUTED_VALUE"""),"برج الندي اول شارع الاتوبيس القديم- بني سويف")</f>
        <v>برج الندي اول شارع الاتوبيس القديم- بني سويف</v>
      </c>
      <c r="I2122" s="6" t="str">
        <f ca="1">IFERROR(__xludf.DUMMYFUNCTION("""COMPUTED_VALUE"""),"01067827258")</f>
        <v>01067827258</v>
      </c>
      <c r="J2122" s="6"/>
      <c r="K2122" s="6" t="str">
        <f ca="1">IFERROR(__xludf.DUMMYFUNCTION("""COMPUTED_VALUE"""),"خصم 30% علي الاسعار النقدي")</f>
        <v>خصم 30% علي الاسعار النقدي</v>
      </c>
    </row>
    <row r="2123" spans="1:11" x14ac:dyDescent="0.25">
      <c r="A2123" s="4" t="str">
        <f ca="1">IFERROR(__xludf.DUMMYFUNCTION("""COMPUTED_VALUE"""),"106590")</f>
        <v>106590</v>
      </c>
      <c r="B2123" s="5" t="str">
        <f ca="1">IFERROR(__xludf.DUMMYFUNCTION("""COMPUTED_VALUE"""),"كفر الشيخ")</f>
        <v>كفر الشيخ</v>
      </c>
      <c r="C2123" s="5" t="str">
        <f ca="1">IFERROR(__xludf.DUMMYFUNCTION("""COMPUTED_VALUE"""),"دسوق")</f>
        <v>دسوق</v>
      </c>
      <c r="D2123" s="5" t="str">
        <f ca="1">IFERROR(__xludf.DUMMYFUNCTION("""COMPUTED_VALUE"""),"مستشفى")</f>
        <v>مستشفى</v>
      </c>
      <c r="E2123" s="5" t="str">
        <f ca="1">IFERROR(__xludf.DUMMYFUNCTION("""COMPUTED_VALUE"""),"مستشفي طبي متخصص")</f>
        <v>مستشفي طبي متخصص</v>
      </c>
      <c r="F2123" s="5" t="str">
        <f ca="1">IFERROR(__xludf.DUMMYFUNCTION("""COMPUTED_VALUE"""),"رمد (جراحة عيون)")</f>
        <v>رمد (جراحة عيون)</v>
      </c>
      <c r="G2123" s="5" t="str">
        <f ca="1">IFERROR(__xludf.DUMMYFUNCTION("""COMPUTED_VALUE"""),"مستشفي مركز دسوق للعيون و الليزر")</f>
        <v>مستشفي مركز دسوق للعيون و الليزر</v>
      </c>
      <c r="H2123" s="5" t="str">
        <f ca="1">IFERROR(__xludf.DUMMYFUNCTION("""COMPUTED_VALUE"""),"31 ش مدحت الزيات برج جمال مكي دسوق - كفر الشيخ")</f>
        <v>31 ش مدحت الزيات برج جمال مكي دسوق - كفر الشيخ</v>
      </c>
      <c r="I2123" s="6" t="str">
        <f ca="1">IFERROR(__xludf.DUMMYFUNCTION("""COMPUTED_VALUE"""),"0472551441")</f>
        <v>0472551441</v>
      </c>
      <c r="J2123" s="6"/>
      <c r="K2123" s="6" t="str">
        <f ca="1">IFERROR(__xludf.DUMMYFUNCTION("""COMPUTED_VALUE"""),"خصم 20% علي الكشف، 25% علي العمليات، 15% علي الفحوصات علي الاسعار النقدي المعلنة.")</f>
        <v>خصم 20% علي الكشف، 25% علي العمليات، 15% علي الفحوصات علي الاسعار النقدي المعلنة.</v>
      </c>
    </row>
    <row r="2124" spans="1:11" x14ac:dyDescent="0.25">
      <c r="A2124" s="4" t="str">
        <f ca="1">IFERROR(__xludf.DUMMYFUNCTION("""COMPUTED_VALUE"""),"106591")</f>
        <v>106591</v>
      </c>
      <c r="B2124" s="5" t="str">
        <f ca="1">IFERROR(__xludf.DUMMYFUNCTION("""COMPUTED_VALUE"""),"المنيا")</f>
        <v>المنيا</v>
      </c>
      <c r="C2124" s="5" t="str">
        <f ca="1">IFERROR(__xludf.DUMMYFUNCTION("""COMPUTED_VALUE"""),"مغاغة")</f>
        <v>مغاغة</v>
      </c>
      <c r="D2124" s="5" t="str">
        <f ca="1">IFERROR(__xludf.DUMMYFUNCTION("""COMPUTED_VALUE"""),"مستشفى")</f>
        <v>مستشفى</v>
      </c>
      <c r="E2124" s="5" t="str">
        <f ca="1">IFERROR(__xludf.DUMMYFUNCTION("""COMPUTED_VALUE"""),"مستشفي طبي متخصص")</f>
        <v>مستشفي طبي متخصص</v>
      </c>
      <c r="F2124" s="5" t="str">
        <f ca="1">IFERROR(__xludf.DUMMYFUNCTION("""COMPUTED_VALUE"""),"مناظير الجهاز الهضمي")</f>
        <v>مناظير الجهاز الهضمي</v>
      </c>
      <c r="G2124" s="5" t="str">
        <f ca="1">IFERROR(__xludf.DUMMYFUNCTION("""COMPUTED_VALUE"""),"أحمد ابراهيم أبو الفتح ابراهيم (مركز الكوثر للباطنه و الرعايه المركزه)")</f>
        <v>أحمد ابراهيم أبو الفتح ابراهيم (مركز الكوثر للباطنه و الرعايه المركزه)</v>
      </c>
      <c r="H2124" s="5" t="str">
        <f ca="1">IFERROR(__xludf.DUMMYFUNCTION("""COMPUTED_VALUE"""),"شارع المدارس قليني - مغاغه - المنيا")</f>
        <v>شارع المدارس قليني - مغاغه - المنيا</v>
      </c>
      <c r="I2124" s="6" t="str">
        <f ca="1">IFERROR(__xludf.DUMMYFUNCTION("""COMPUTED_VALUE"""),"01112255433")</f>
        <v>01112255433</v>
      </c>
      <c r="J2124" s="6"/>
      <c r="K2124" s="6" t="str">
        <f ca="1">IFERROR(__xludf.DUMMYFUNCTION("""COMPUTED_VALUE"""),"25% على الكشف , 15% على باقى الخدمات ")</f>
        <v xml:space="preserve">25% على الكشف , 15% على باقى الخدمات </v>
      </c>
    </row>
    <row r="2125" spans="1:11" x14ac:dyDescent="0.25">
      <c r="A2125" s="4" t="str">
        <f ca="1">IFERROR(__xludf.DUMMYFUNCTION("""COMPUTED_VALUE"""),"106592")</f>
        <v>106592</v>
      </c>
      <c r="B2125" s="5" t="str">
        <f ca="1">IFERROR(__xludf.DUMMYFUNCTION("""COMPUTED_VALUE"""),"الشرقية")</f>
        <v>الشرقية</v>
      </c>
      <c r="C2125" s="5" t="str">
        <f ca="1">IFERROR(__xludf.DUMMYFUNCTION("""COMPUTED_VALUE"""),"بلبيس")</f>
        <v>بلبيس</v>
      </c>
      <c r="D2125" s="5" t="str">
        <f ca="1">IFERROR(__xludf.DUMMYFUNCTION("""COMPUTED_VALUE"""),"مركز علاج طبيعي")</f>
        <v>مركز علاج طبيعي</v>
      </c>
      <c r="E2125" s="5" t="str">
        <f ca="1">IFERROR(__xludf.DUMMYFUNCTION("""COMPUTED_VALUE"""),"علاج طبيعي")</f>
        <v>علاج طبيعي</v>
      </c>
      <c r="F2125" s="5" t="str">
        <f ca="1">IFERROR(__xludf.DUMMYFUNCTION("""COMPUTED_VALUE"""),"جلسات العلاج الطبيعي")</f>
        <v>جلسات العلاج الطبيعي</v>
      </c>
      <c r="G2125" s="5" t="str">
        <f ca="1">IFERROR(__xludf.DUMMYFUNCTION("""COMPUTED_VALUE"""),"د.محمد علي محمد اسماعيل")</f>
        <v>د.محمد علي محمد اسماعيل</v>
      </c>
      <c r="H2125" s="5" t="str">
        <f ca="1">IFERROR(__xludf.DUMMYFUNCTION("""COMPUTED_VALUE"""),"بلبيس- ميت جابر- معهد الفتيات اعلي صيدليه د. هبة بلبيس - الشرقية")</f>
        <v>بلبيس- ميت جابر- معهد الفتيات اعلي صيدليه د. هبة بلبيس - الشرقية</v>
      </c>
      <c r="I2125" s="6" t="str">
        <f ca="1">IFERROR(__xludf.DUMMYFUNCTION("""COMPUTED_VALUE"""),"01024245810")</f>
        <v>01024245810</v>
      </c>
      <c r="J2125" s="6"/>
      <c r="K2125" s="6" t="str">
        <f ca="1">IFERROR(__xludf.DUMMYFUNCTION("""COMPUTED_VALUE"""),"خصم 20% علي الاسعار النقدي")</f>
        <v>خصم 20% علي الاسعار النقدي</v>
      </c>
    </row>
    <row r="2126" spans="1:11" x14ac:dyDescent="0.25">
      <c r="A2126" s="4" t="str">
        <f ca="1">IFERROR(__xludf.DUMMYFUNCTION("""COMPUTED_VALUE"""),"106592-B")</f>
        <v>106592-B</v>
      </c>
      <c r="B2126" s="5" t="str">
        <f ca="1">IFERROR(__xludf.DUMMYFUNCTION("""COMPUTED_VALUE"""),"الشرقية")</f>
        <v>الشرقية</v>
      </c>
      <c r="C2126" s="5" t="str">
        <f ca="1">IFERROR(__xludf.DUMMYFUNCTION("""COMPUTED_VALUE"""),"بلبيس")</f>
        <v>بلبيس</v>
      </c>
      <c r="D2126" s="5" t="str">
        <f ca="1">IFERROR(__xludf.DUMMYFUNCTION("""COMPUTED_VALUE"""),"مركز علاج طبيعي")</f>
        <v>مركز علاج طبيعي</v>
      </c>
      <c r="E2126" s="5" t="str">
        <f ca="1">IFERROR(__xludf.DUMMYFUNCTION("""COMPUTED_VALUE"""),"علاج طبيعي")</f>
        <v>علاج طبيعي</v>
      </c>
      <c r="F2126" s="5" t="str">
        <f ca="1">IFERROR(__xludf.DUMMYFUNCTION("""COMPUTED_VALUE"""),"جلسات العلاج الطبيعي")</f>
        <v>جلسات العلاج الطبيعي</v>
      </c>
      <c r="G2126" s="5" t="str">
        <f ca="1">IFERROR(__xludf.DUMMYFUNCTION("""COMPUTED_VALUE"""),"د.محمد علي محمد اسماعيل")</f>
        <v>د.محمد علي محمد اسماعيل</v>
      </c>
      <c r="H2126" s="5" t="str">
        <f ca="1">IFERROR(__xludf.DUMMYFUNCTION("""COMPUTED_VALUE"""),"بلبيس - البلاشون - بجوار نادي البلاشون الرياضي - أمام مكتبة وحيد")</f>
        <v>بلبيس - البلاشون - بجوار نادي البلاشون الرياضي - أمام مكتبة وحيد</v>
      </c>
      <c r="I2126" s="6" t="str">
        <f ca="1">IFERROR(__xludf.DUMMYFUNCTION("""COMPUTED_VALUE"""),"01016816223")</f>
        <v>01016816223</v>
      </c>
      <c r="J2126" s="6"/>
      <c r="K2126" s="6" t="str">
        <f ca="1">IFERROR(__xludf.DUMMYFUNCTION("""COMPUTED_VALUE"""),"خصم 20% علي الاسعار النقدي")</f>
        <v>خصم 20% علي الاسعار النقدي</v>
      </c>
    </row>
    <row r="2127" spans="1:11" x14ac:dyDescent="0.25">
      <c r="A2127" s="4" t="str">
        <f ca="1">IFERROR(__xludf.DUMMYFUNCTION("""COMPUTED_VALUE"""),"106592-B")</f>
        <v>106592-B</v>
      </c>
      <c r="B2127" s="5" t="str">
        <f ca="1">IFERROR(__xludf.DUMMYFUNCTION("""COMPUTED_VALUE"""),"الشرقية")</f>
        <v>الشرقية</v>
      </c>
      <c r="C2127" s="5" t="str">
        <f ca="1">IFERROR(__xludf.DUMMYFUNCTION("""COMPUTED_VALUE"""),"منيا القمح")</f>
        <v>منيا القمح</v>
      </c>
      <c r="D2127" s="5" t="str">
        <f ca="1">IFERROR(__xludf.DUMMYFUNCTION("""COMPUTED_VALUE"""),"مركز علاج طبيعي")</f>
        <v>مركز علاج طبيعي</v>
      </c>
      <c r="E2127" s="5" t="str">
        <f ca="1">IFERROR(__xludf.DUMMYFUNCTION("""COMPUTED_VALUE"""),"علاج طبيعي")</f>
        <v>علاج طبيعي</v>
      </c>
      <c r="F2127" s="5" t="str">
        <f ca="1">IFERROR(__xludf.DUMMYFUNCTION("""COMPUTED_VALUE"""),"جلسات العلاج الطبيعي")</f>
        <v>جلسات العلاج الطبيعي</v>
      </c>
      <c r="G2127" s="5" t="str">
        <f ca="1">IFERROR(__xludf.DUMMYFUNCTION("""COMPUTED_VALUE"""),"د.محمد علي محمد اسماعيل")</f>
        <v>د.محمد علي محمد اسماعيل</v>
      </c>
      <c r="H2127" s="5" t="str">
        <f ca="1">IFERROR(__xludf.DUMMYFUNCTION("""COMPUTED_VALUE"""),"منيا القمح - شارع التأمين الصحي - البوسطة القديمة - أمام التأمين الصحي")</f>
        <v>منيا القمح - شارع التأمين الصحي - البوسطة القديمة - أمام التأمين الصحي</v>
      </c>
      <c r="I2127" s="6" t="str">
        <f ca="1">IFERROR(__xludf.DUMMYFUNCTION("""COMPUTED_VALUE"""),"01276460680")</f>
        <v>01276460680</v>
      </c>
      <c r="J2127" s="6"/>
      <c r="K2127" s="6" t="str">
        <f ca="1">IFERROR(__xludf.DUMMYFUNCTION("""COMPUTED_VALUE"""),"خصم 20% علي الاسعار النقدي")</f>
        <v>خصم 20% علي الاسعار النقدي</v>
      </c>
    </row>
    <row r="2128" spans="1:11" x14ac:dyDescent="0.25">
      <c r="A2128" s="4" t="str">
        <f ca="1">IFERROR(__xludf.DUMMYFUNCTION("""COMPUTED_VALUE"""),"106592-B")</f>
        <v>106592-B</v>
      </c>
      <c r="B2128" s="5" t="str">
        <f ca="1">IFERROR(__xludf.DUMMYFUNCTION("""COMPUTED_VALUE"""),"الشرقية")</f>
        <v>الشرقية</v>
      </c>
      <c r="C2128" s="5" t="str">
        <f ca="1">IFERROR(__xludf.DUMMYFUNCTION("""COMPUTED_VALUE"""),"الزقازيق")</f>
        <v>الزقازيق</v>
      </c>
      <c r="D2128" s="5" t="str">
        <f ca="1">IFERROR(__xludf.DUMMYFUNCTION("""COMPUTED_VALUE"""),"مركز علاج طبيعي")</f>
        <v>مركز علاج طبيعي</v>
      </c>
      <c r="E2128" s="5" t="str">
        <f ca="1">IFERROR(__xludf.DUMMYFUNCTION("""COMPUTED_VALUE"""),"علاج طبيعي")</f>
        <v>علاج طبيعي</v>
      </c>
      <c r="F2128" s="5" t="str">
        <f ca="1">IFERROR(__xludf.DUMMYFUNCTION("""COMPUTED_VALUE"""),"جلسات العلاج الطبيعي")</f>
        <v>جلسات العلاج الطبيعي</v>
      </c>
      <c r="G2128" s="5" t="str">
        <f ca="1">IFERROR(__xludf.DUMMYFUNCTION("""COMPUTED_VALUE"""),"د.محمد علي محمد اسماعيل")</f>
        <v>د.محمد علي محمد اسماعيل</v>
      </c>
      <c r="H2128" s="5" t="str">
        <f ca="1">IFERROR(__xludf.DUMMYFUNCTION("""COMPUTED_VALUE"""),"طريق موقف المنصورة أمام مطعم رزق - برج الغلمي")</f>
        <v>طريق موقف المنصورة أمام مطعم رزق - برج الغلمي</v>
      </c>
      <c r="I2128" s="6" t="str">
        <f ca="1">IFERROR(__xludf.DUMMYFUNCTION("""COMPUTED_VALUE"""),"01010663546")</f>
        <v>01010663546</v>
      </c>
      <c r="J2128" s="6"/>
      <c r="K2128" s="6" t="str">
        <f ca="1">IFERROR(__xludf.DUMMYFUNCTION("""COMPUTED_VALUE"""),"خصم 20% علي الاسعار النقدي")</f>
        <v>خصم 20% علي الاسعار النقدي</v>
      </c>
    </row>
    <row r="2129" spans="1:11" x14ac:dyDescent="0.25">
      <c r="A2129" s="4" t="str">
        <f ca="1">IFERROR(__xludf.DUMMYFUNCTION("""COMPUTED_VALUE"""),"106592-B")</f>
        <v>106592-B</v>
      </c>
      <c r="B2129" s="5" t="str">
        <f ca="1">IFERROR(__xludf.DUMMYFUNCTION("""COMPUTED_VALUE"""),"الشرقية")</f>
        <v>الشرقية</v>
      </c>
      <c r="C2129" s="5" t="str">
        <f ca="1">IFERROR(__xludf.DUMMYFUNCTION("""COMPUTED_VALUE"""),"الزقازيق")</f>
        <v>الزقازيق</v>
      </c>
      <c r="D2129" s="5" t="str">
        <f ca="1">IFERROR(__xludf.DUMMYFUNCTION("""COMPUTED_VALUE"""),"مركز علاج طبيعي")</f>
        <v>مركز علاج طبيعي</v>
      </c>
      <c r="E2129" s="5" t="str">
        <f ca="1">IFERROR(__xludf.DUMMYFUNCTION("""COMPUTED_VALUE"""),"علاج طبيعي")</f>
        <v>علاج طبيعي</v>
      </c>
      <c r="F2129" s="5" t="str">
        <f ca="1">IFERROR(__xludf.DUMMYFUNCTION("""COMPUTED_VALUE"""),"جلسات العلاج الطبيعي")</f>
        <v>جلسات العلاج الطبيعي</v>
      </c>
      <c r="G2129" s="5" t="str">
        <f ca="1">IFERROR(__xludf.DUMMYFUNCTION("""COMPUTED_VALUE"""),"د.محمد علي محمد اسماعيل")</f>
        <v>د.محمد علي محمد اسماعيل</v>
      </c>
      <c r="H2129" s="5" t="str">
        <f ca="1">IFERROR(__xludf.DUMMYFUNCTION("""COMPUTED_VALUE"""),"الزقازيق - نشوه- كفر عتيق - أمام فرن النحاس")</f>
        <v>الزقازيق - نشوه- كفر عتيق - أمام فرن النحاس</v>
      </c>
      <c r="I2129" s="6" t="str">
        <f ca="1">IFERROR(__xludf.DUMMYFUNCTION("""COMPUTED_VALUE"""),"01016816223")</f>
        <v>01016816223</v>
      </c>
      <c r="J2129" s="6"/>
      <c r="K2129" s="6" t="str">
        <f ca="1">IFERROR(__xludf.DUMMYFUNCTION("""COMPUTED_VALUE"""),"خصم 20% علي الاسعار النقدي")</f>
        <v>خصم 20% علي الاسعار النقدي</v>
      </c>
    </row>
    <row r="2130" spans="1:11" x14ac:dyDescent="0.25">
      <c r="A2130" s="4" t="str">
        <f ca="1">IFERROR(__xludf.DUMMYFUNCTION("""COMPUTED_VALUE"""),"106592-B")</f>
        <v>106592-B</v>
      </c>
      <c r="B2130" s="5" t="str">
        <f ca="1">IFERROR(__xludf.DUMMYFUNCTION("""COMPUTED_VALUE"""),"الشرقية")</f>
        <v>الشرقية</v>
      </c>
      <c r="C2130" s="5" t="str">
        <f ca="1">IFERROR(__xludf.DUMMYFUNCTION("""COMPUTED_VALUE"""),"مشتول السوق")</f>
        <v>مشتول السوق</v>
      </c>
      <c r="D2130" s="5" t="str">
        <f ca="1">IFERROR(__xludf.DUMMYFUNCTION("""COMPUTED_VALUE"""),"مركز علاج طبيعي")</f>
        <v>مركز علاج طبيعي</v>
      </c>
      <c r="E2130" s="5" t="str">
        <f ca="1">IFERROR(__xludf.DUMMYFUNCTION("""COMPUTED_VALUE"""),"علاج طبيعي")</f>
        <v>علاج طبيعي</v>
      </c>
      <c r="F2130" s="5" t="str">
        <f ca="1">IFERROR(__xludf.DUMMYFUNCTION("""COMPUTED_VALUE"""),"جلسات العلاج الطبيعي")</f>
        <v>جلسات العلاج الطبيعي</v>
      </c>
      <c r="G2130" s="5" t="str">
        <f ca="1">IFERROR(__xludf.DUMMYFUNCTION("""COMPUTED_VALUE"""),"د.محمد علي محمد اسماعيل")</f>
        <v>د.محمد علي محمد اسماعيل</v>
      </c>
      <c r="H2130" s="5" t="str">
        <f ca="1">IFERROR(__xludf.DUMMYFUNCTION("""COMPUTED_VALUE"""),"مشتول السوق - شارع أحمد عثمان بجوار مدرسة نور الهدي الخاصة - مركز مبارك")</f>
        <v>مشتول السوق - شارع أحمد عثمان بجوار مدرسة نور الهدي الخاصة - مركز مبارك</v>
      </c>
      <c r="I2130" s="6" t="str">
        <f ca="1">IFERROR(__xludf.DUMMYFUNCTION("""COMPUTED_VALUE"""),"01153072527")</f>
        <v>01153072527</v>
      </c>
      <c r="J2130" s="6"/>
      <c r="K2130" s="6" t="str">
        <f ca="1">IFERROR(__xludf.DUMMYFUNCTION("""COMPUTED_VALUE"""),"خصم 20% علي الاسعار النقدي")</f>
        <v>خصم 20% علي الاسعار النقدي</v>
      </c>
    </row>
    <row r="2131" spans="1:11" x14ac:dyDescent="0.25">
      <c r="A2131" s="4" t="str">
        <f ca="1">IFERROR(__xludf.DUMMYFUNCTION("""COMPUTED_VALUE"""),"106597")</f>
        <v>106597</v>
      </c>
      <c r="B2131" s="5" t="str">
        <f ca="1">IFERROR(__xludf.DUMMYFUNCTION("""COMPUTED_VALUE"""),"الجيزة")</f>
        <v>الجيزة</v>
      </c>
      <c r="C2131" s="5" t="str">
        <f ca="1">IFERROR(__xludf.DUMMYFUNCTION("""COMPUTED_VALUE"""),"الطالبية")</f>
        <v>الطالبية</v>
      </c>
      <c r="D2131" s="5" t="str">
        <f ca="1">IFERROR(__xludf.DUMMYFUNCTION("""COMPUTED_VALUE"""),"هيئة الأطباء")</f>
        <v>هيئة الأطباء</v>
      </c>
      <c r="E2131" s="5" t="str">
        <f ca="1">IFERROR(__xludf.DUMMYFUNCTION("""COMPUTED_VALUE"""),"اسنان")</f>
        <v>اسنان</v>
      </c>
      <c r="F2131" s="5" t="str">
        <f ca="1">IFERROR(__xludf.DUMMYFUNCTION("""COMPUTED_VALUE"""),"جراحة الفم والأسنان")</f>
        <v>جراحة الفم والأسنان</v>
      </c>
      <c r="G2131" s="5" t="str">
        <f ca="1">IFERROR(__xludf.DUMMYFUNCTION("""COMPUTED_VALUE"""),"د / رامي احمد كمال محمد اسماعيل")</f>
        <v>د / رامي احمد كمال محمد اسماعيل</v>
      </c>
      <c r="H2131" s="5" t="str">
        <f ca="1">IFERROR(__xludf.DUMMYFUNCTION("""COMPUTED_VALUE"""),"2 شارع علي حشيش محرم الطالبيه - الجيزة")</f>
        <v>2 شارع علي حشيش محرم الطالبيه - الجيزة</v>
      </c>
      <c r="I2131" s="6" t="str">
        <f ca="1">IFERROR(__xludf.DUMMYFUNCTION("""COMPUTED_VALUE"""),"37777428")</f>
        <v>37777428</v>
      </c>
      <c r="J2131" s="6"/>
      <c r="K2131" s="6" t="str">
        <f ca="1">IFERROR(__xludf.DUMMYFUNCTION("""COMPUTED_VALUE"""),"خصم 30% علي الاسعار النقدي")</f>
        <v>خصم 30% علي الاسعار النقدي</v>
      </c>
    </row>
    <row r="2132" spans="1:11" x14ac:dyDescent="0.25">
      <c r="A2132" s="4" t="str">
        <f ca="1">IFERROR(__xludf.DUMMYFUNCTION("""COMPUTED_VALUE"""),"106597-B")</f>
        <v>106597-B</v>
      </c>
      <c r="B2132" s="5" t="str">
        <f ca="1">IFERROR(__xludf.DUMMYFUNCTION("""COMPUTED_VALUE"""),"الجيزة")</f>
        <v>الجيزة</v>
      </c>
      <c r="C2132" s="5" t="str">
        <f ca="1">IFERROR(__xludf.DUMMYFUNCTION("""COMPUTED_VALUE"""),"السادس من اكتوبر")</f>
        <v>السادس من اكتوبر</v>
      </c>
      <c r="D2132" s="5" t="str">
        <f ca="1">IFERROR(__xludf.DUMMYFUNCTION("""COMPUTED_VALUE"""),"هيئة الأطباء")</f>
        <v>هيئة الأطباء</v>
      </c>
      <c r="E2132" s="5" t="str">
        <f ca="1">IFERROR(__xludf.DUMMYFUNCTION("""COMPUTED_VALUE"""),"اسنان")</f>
        <v>اسنان</v>
      </c>
      <c r="F2132" s="5" t="str">
        <f ca="1">IFERROR(__xludf.DUMMYFUNCTION("""COMPUTED_VALUE"""),"جراحة الفم والأسنان")</f>
        <v>جراحة الفم والأسنان</v>
      </c>
      <c r="G2132" s="5" t="str">
        <f ca="1">IFERROR(__xludf.DUMMYFUNCTION("""COMPUTED_VALUE"""),"د / رامي احمد كمال محمد اسماعيل")</f>
        <v>د / رامي احمد كمال محمد اسماعيل</v>
      </c>
      <c r="H2132" s="5" t="str">
        <f ca="1">IFERROR(__xludf.DUMMYFUNCTION("""COMPUTED_VALUE"""),"مول رويال فالي طريق الحي الايطالي الدور الثاني - حدائق أكتوبر")</f>
        <v>مول رويال فالي طريق الحي الايطالي الدور الثاني - حدائق أكتوبر</v>
      </c>
      <c r="I2132" s="6" t="str">
        <f ca="1">IFERROR(__xludf.DUMMYFUNCTION("""COMPUTED_VALUE"""),"37777428")</f>
        <v>37777428</v>
      </c>
      <c r="J2132" s="6"/>
      <c r="K2132" s="6" t="str">
        <f ca="1">IFERROR(__xludf.DUMMYFUNCTION("""COMPUTED_VALUE"""),"خصم 30% علي الاسعار النقدي")</f>
        <v>خصم 30% علي الاسعار النقدي</v>
      </c>
    </row>
    <row r="2133" spans="1:11" x14ac:dyDescent="0.25">
      <c r="A2133" s="4" t="str">
        <f ca="1">IFERROR(__xludf.DUMMYFUNCTION("""COMPUTED_VALUE"""),"105046-B")</f>
        <v>105046-B</v>
      </c>
      <c r="B2133" s="5" t="str">
        <f ca="1">IFERROR(__xludf.DUMMYFUNCTION("""COMPUTED_VALUE"""),"الجيزة")</f>
        <v>الجيزة</v>
      </c>
      <c r="C2133" s="5" t="str">
        <f ca="1">IFERROR(__xludf.DUMMYFUNCTION("""COMPUTED_VALUE"""),"السادس من اكتوبر")</f>
        <v>السادس من اكتوبر</v>
      </c>
      <c r="D2133" s="5" t="str">
        <f ca="1">IFERROR(__xludf.DUMMYFUNCTION("""COMPUTED_VALUE"""),"مركز علاج طبيعي")</f>
        <v>مركز علاج طبيعي</v>
      </c>
      <c r="E2133" s="5" t="str">
        <f ca="1">IFERROR(__xludf.DUMMYFUNCTION("""COMPUTED_VALUE"""),"علاج طبيعي")</f>
        <v>علاج طبيعي</v>
      </c>
      <c r="F2133" s="5" t="str">
        <f ca="1">IFERROR(__xludf.DUMMYFUNCTION("""COMPUTED_VALUE"""),"جلسات العلاج الطبيعي")</f>
        <v>جلسات العلاج الطبيعي</v>
      </c>
      <c r="G2133" s="5" t="str">
        <f ca="1">IFERROR(__xludf.DUMMYFUNCTION("""COMPUTED_VALUE"""),"مركز النيل للعلاج الطبيعي")</f>
        <v>مركز النيل للعلاج الطبيعي</v>
      </c>
      <c r="H2133" s="5" t="str">
        <f ca="1">IFERROR(__xludf.DUMMYFUNCTION("""COMPUTED_VALUE"""),"الحي العاشر شقه 7 الدور الثاني علوي - شارع المنوريل عمارة 39 امام سيلفر مول")</f>
        <v>الحي العاشر شقه 7 الدور الثاني علوي - شارع المنوريل عمارة 39 امام سيلفر مول</v>
      </c>
      <c r="I2133" s="6" t="str">
        <f ca="1">IFERROR(__xludf.DUMMYFUNCTION("""COMPUTED_VALUE"""),"01121937404")</f>
        <v>01121937404</v>
      </c>
      <c r="J2133" s="6"/>
      <c r="K2133" s="6" t="str">
        <f ca="1">IFERROR(__xludf.DUMMYFUNCTION("""COMPUTED_VALUE"""),"25% نسبة خصم")</f>
        <v>25% نسبة خصم</v>
      </c>
    </row>
    <row r="2134" spans="1:11" x14ac:dyDescent="0.25">
      <c r="A2134" s="4" t="str">
        <f ca="1">IFERROR(__xludf.DUMMYFUNCTION("""COMPUTED_VALUE"""),"106601")</f>
        <v>106601</v>
      </c>
      <c r="B2134" s="5" t="str">
        <f ca="1">IFERROR(__xludf.DUMMYFUNCTION("""COMPUTED_VALUE"""),"الوادى الجديد")</f>
        <v>الوادى الجديد</v>
      </c>
      <c r="C2134" s="5" t="str">
        <f ca="1">IFERROR(__xludf.DUMMYFUNCTION("""COMPUTED_VALUE"""),"الداخلة")</f>
        <v>الداخلة</v>
      </c>
      <c r="D2134" s="5" t="str">
        <f ca="1">IFERROR(__xludf.DUMMYFUNCTION("""COMPUTED_VALUE"""),"مستشفى")</f>
        <v>مستشفى</v>
      </c>
      <c r="E2134" s="5" t="str">
        <f ca="1">IFERROR(__xludf.DUMMYFUNCTION("""COMPUTED_VALUE"""),"مستشفي طبي متكامل")</f>
        <v>مستشفي طبي متكامل</v>
      </c>
      <c r="F2134" s="5" t="str">
        <f ca="1">IFERROR(__xludf.DUMMYFUNCTION("""COMPUTED_VALUE"""),"جميع التخصصات الطبية")</f>
        <v>جميع التخصصات الطبية</v>
      </c>
      <c r="G2134" s="5" t="str">
        <f ca="1">IFERROR(__xludf.DUMMYFUNCTION("""COMPUTED_VALUE"""),"مركز الحرمين للجراحة العامة")</f>
        <v>مركز الحرمين للجراحة العامة</v>
      </c>
      <c r="H2134" s="5" t="str">
        <f ca="1">IFERROR(__xludf.DUMMYFUNCTION("""COMPUTED_VALUE"""),"الداخله - موط - الوادي الجديد")</f>
        <v>الداخله - موط - الوادي الجديد</v>
      </c>
      <c r="I2134" s="6" t="str">
        <f ca="1">IFERROR(__xludf.DUMMYFUNCTION("""COMPUTED_VALUE"""),"01202345533")</f>
        <v>01202345533</v>
      </c>
      <c r="J2134" s="6"/>
      <c r="K2134" s="6" t="str">
        <f ca="1">IFERROR(__xludf.DUMMYFUNCTION("""COMPUTED_VALUE"""),"خصم 20% علي الاسعار النقدي")</f>
        <v>خصم 20% علي الاسعار النقدي</v>
      </c>
    </row>
    <row r="2135" spans="1:11" x14ac:dyDescent="0.25">
      <c r="A2135" s="4" t="str">
        <f ca="1">IFERROR(__xludf.DUMMYFUNCTION("""COMPUTED_VALUE"""),"104892-B")</f>
        <v>104892-B</v>
      </c>
      <c r="B2135" s="5" t="str">
        <f ca="1">IFERROR(__xludf.DUMMYFUNCTION("""COMPUTED_VALUE"""),"الفيوم")</f>
        <v>الفيوم</v>
      </c>
      <c r="C2135" s="5" t="str">
        <f ca="1">IFERROR(__xludf.DUMMYFUNCTION("""COMPUTED_VALUE"""),"الفيوم")</f>
        <v>الفيوم</v>
      </c>
      <c r="D2135" s="5" t="str">
        <f ca="1">IFERROR(__xludf.DUMMYFUNCTION("""COMPUTED_VALUE"""),"مركز أشعة")</f>
        <v>مركز أشعة</v>
      </c>
      <c r="E2135" s="5" t="str">
        <f ca="1">IFERROR(__xludf.DUMMYFUNCTION("""COMPUTED_VALUE"""),"مركز أشعة")</f>
        <v>مركز أشعة</v>
      </c>
      <c r="F2135" s="5" t="str">
        <f ca="1">IFERROR(__xludf.DUMMYFUNCTION("""COMPUTED_VALUE"""),"مركز الأشعة التشخيصية")</f>
        <v>مركز الأشعة التشخيصية</v>
      </c>
      <c r="G2135" s="5" t="str">
        <f ca="1">IFERROR(__xludf.DUMMYFUNCTION("""COMPUTED_VALUE"""),"مركز دار الاشعة (د/ احمد حسن حسن رزق)")</f>
        <v>مركز دار الاشعة (د/ احمد حسن حسن رزق)</v>
      </c>
      <c r="H2135" s="5" t="str">
        <f ca="1">IFERROR(__xludf.DUMMYFUNCTION("""COMPUTED_VALUE"""),"اطسا شارع عمر بن الخطاب الشونه القديمه
")</f>
        <v xml:space="preserve">اطسا شارع عمر بن الخطاب الشونه القديمه
</v>
      </c>
      <c r="I2135" s="6" t="str">
        <f ca="1">IFERROR(__xludf.DUMMYFUNCTION("""COMPUTED_VALUE"""),"01097045458")</f>
        <v>01097045458</v>
      </c>
      <c r="J2135" s="6"/>
      <c r="K2135" s="6" t="str">
        <f ca="1">IFERROR(__xludf.DUMMYFUNCTION("""COMPUTED_VALUE"""),"خصم يصل الي 20%")</f>
        <v>خصم يصل الي 20%</v>
      </c>
    </row>
    <row r="2136" spans="1:11" x14ac:dyDescent="0.25">
      <c r="A2136" s="4" t="str">
        <f ca="1">IFERROR(__xludf.DUMMYFUNCTION("""COMPUTED_VALUE"""),"106603")</f>
        <v>106603</v>
      </c>
      <c r="B2136" s="5" t="str">
        <f ca="1">IFERROR(__xludf.DUMMYFUNCTION("""COMPUTED_VALUE"""),"قنا")</f>
        <v>قنا</v>
      </c>
      <c r="C2136" s="5" t="str">
        <f ca="1">IFERROR(__xludf.DUMMYFUNCTION("""COMPUTED_VALUE"""),"فرشوط")</f>
        <v>فرشوط</v>
      </c>
      <c r="D2136" s="5" t="str">
        <f ca="1">IFERROR(__xludf.DUMMYFUNCTION("""COMPUTED_VALUE"""),"صيدلية")</f>
        <v>صيدلية</v>
      </c>
      <c r="E2136" s="5" t="str">
        <f ca="1">IFERROR(__xludf.DUMMYFUNCTION("""COMPUTED_VALUE"""),"صيدلية")</f>
        <v>صيدلية</v>
      </c>
      <c r="F2136" s="5" t="str">
        <f ca="1">IFERROR(__xludf.DUMMYFUNCTION("""COMPUTED_VALUE"""),"صيدلية (أدوية ومستلزمات طبية)")</f>
        <v>صيدلية (أدوية ومستلزمات طبية)</v>
      </c>
      <c r="G2136" s="5" t="str">
        <f ca="1">IFERROR(__xludf.DUMMYFUNCTION("""COMPUTED_VALUE"""),"صيدلية د/ حازم عبدالرازق حسين طنطاوي")</f>
        <v>صيدلية د/ حازم عبدالرازق حسين طنطاوي</v>
      </c>
      <c r="H2136" s="5" t="str">
        <f ca="1">IFERROR(__xludf.DUMMYFUNCTION("""COMPUTED_VALUE"""),"سمهود أبو تشت - قنا")</f>
        <v>سمهود أبو تشت - قنا</v>
      </c>
      <c r="I2136" s="6" t="str">
        <f ca="1">IFERROR(__xludf.DUMMYFUNCTION("""COMPUTED_VALUE"""),"1003781684")</f>
        <v>1003781684</v>
      </c>
      <c r="J2136" s="6"/>
      <c r="K2136" s="6" t="str">
        <f ca="1">IFERROR(__xludf.DUMMYFUNCTION("""COMPUTED_VALUE"""),"خصم 15% علي المحلي و 15% علي المستورد")</f>
        <v>خصم 15% علي المحلي و 15% علي المستورد</v>
      </c>
    </row>
    <row r="2137" spans="1:11" x14ac:dyDescent="0.25">
      <c r="A2137" s="4" t="str">
        <f ca="1">IFERROR(__xludf.DUMMYFUNCTION("""COMPUTED_VALUE"""),"106604")</f>
        <v>106604</v>
      </c>
      <c r="B2137" s="5" t="str">
        <f ca="1">IFERROR(__xludf.DUMMYFUNCTION("""COMPUTED_VALUE"""),"المنوفية")</f>
        <v>المنوفية</v>
      </c>
      <c r="C2137" s="5" t="str">
        <f ca="1">IFERROR(__xludf.DUMMYFUNCTION("""COMPUTED_VALUE"""),"منوف")</f>
        <v>منوف</v>
      </c>
      <c r="D2137" s="5" t="str">
        <f ca="1">IFERROR(__xludf.DUMMYFUNCTION("""COMPUTED_VALUE"""),"صيدلية")</f>
        <v>صيدلية</v>
      </c>
      <c r="E2137" s="5" t="str">
        <f ca="1">IFERROR(__xludf.DUMMYFUNCTION("""COMPUTED_VALUE"""),"صيدلية")</f>
        <v>صيدلية</v>
      </c>
      <c r="F2137" s="5" t="str">
        <f ca="1">IFERROR(__xludf.DUMMYFUNCTION("""COMPUTED_VALUE"""),"صيدلية (أدوية ومستلزمات طبية)")</f>
        <v>صيدلية (أدوية ومستلزمات طبية)</v>
      </c>
      <c r="G2137" s="5" t="str">
        <f ca="1">IFERROR(__xludf.DUMMYFUNCTION("""COMPUTED_VALUE"""),"صيدلية د/ تيسير مصطفي عثمان النحراوي")</f>
        <v>صيدلية د/ تيسير مصطفي عثمان النحراوي</v>
      </c>
      <c r="H2137" s="5" t="str">
        <f ca="1">IFERROR(__xludf.DUMMYFUNCTION("""COMPUTED_VALUE"""),"مساكن سوق الاحد امام المرور منوف - المنوفية")</f>
        <v>مساكن سوق الاحد امام المرور منوف - المنوفية</v>
      </c>
      <c r="I2137" s="6" t="str">
        <f ca="1">IFERROR(__xludf.DUMMYFUNCTION("""COMPUTED_VALUE"""),"0483674760")</f>
        <v>0483674760</v>
      </c>
      <c r="J2137" s="6"/>
      <c r="K2137" s="6" t="str">
        <f ca="1">IFERROR(__xludf.DUMMYFUNCTION("""COMPUTED_VALUE"""),"خصم 14% علي المحلي و 7% علي المستورد")</f>
        <v>خصم 14% علي المحلي و 7% علي المستورد</v>
      </c>
    </row>
    <row r="2138" spans="1:11" x14ac:dyDescent="0.25">
      <c r="A2138" s="4" t="str">
        <f ca="1">IFERROR(__xludf.DUMMYFUNCTION("""COMPUTED_VALUE"""),"104719-B")</f>
        <v>104719-B</v>
      </c>
      <c r="B2138" s="5" t="str">
        <f ca="1">IFERROR(__xludf.DUMMYFUNCTION("""COMPUTED_VALUE"""),"القاهرة")</f>
        <v>القاهرة</v>
      </c>
      <c r="C2138" s="5" t="str">
        <f ca="1">IFERROR(__xludf.DUMMYFUNCTION("""COMPUTED_VALUE"""),"مدينة نصر")</f>
        <v>مدينة نصر</v>
      </c>
      <c r="D2138" s="5" t="str">
        <f ca="1">IFERROR(__xludf.DUMMYFUNCTION("""COMPUTED_VALUE"""),"شركة")</f>
        <v>شركة</v>
      </c>
      <c r="E2138" s="5" t="str">
        <f ca="1">IFERROR(__xludf.DUMMYFUNCTION("""COMPUTED_VALUE"""),"شركة اجهزة طبية")</f>
        <v>شركة اجهزة طبية</v>
      </c>
      <c r="F2138" s="5" t="str">
        <f ca="1">IFERROR(__xludf.DUMMYFUNCTION("""COMPUTED_VALUE"""),"مركز بصريات")</f>
        <v>مركز بصريات</v>
      </c>
      <c r="G2138" s="5" t="str">
        <f ca="1">IFERROR(__xludf.DUMMYFUNCTION("""COMPUTED_VALUE"""),"شركة أوبتك جاليري للتجارة")</f>
        <v>شركة أوبتك جاليري للتجارة</v>
      </c>
      <c r="H2138" s="5" t="str">
        <f ca="1">IFERROR(__xludf.DUMMYFUNCTION("""COMPUTED_VALUE"""),"71عمارات رابعة الاستثمارى – بجوار العقاد مول                                  - مدينة نصر - القاهرة")</f>
        <v>71عمارات رابعة الاستثمارى – بجوار العقاد مول                                  - مدينة نصر - القاهرة</v>
      </c>
      <c r="I2138" s="6" t="str">
        <f ca="1">IFERROR(__xludf.DUMMYFUNCTION("""COMPUTED_VALUE"""),"01017709967")</f>
        <v>01017709967</v>
      </c>
      <c r="J2138" s="6"/>
      <c r="K2138" s="6" t="str">
        <f ca="1">IFERROR(__xludf.DUMMYFUNCTION("""COMPUTED_VALUE"""),"25% نسبة خصم")</f>
        <v>25% نسبة خصم</v>
      </c>
    </row>
    <row r="2139" spans="1:11" x14ac:dyDescent="0.25">
      <c r="A2139" s="4" t="str">
        <f ca="1">IFERROR(__xludf.DUMMYFUNCTION("""COMPUTED_VALUE"""),"106612")</f>
        <v>106612</v>
      </c>
      <c r="B2139" s="5" t="str">
        <f ca="1">IFERROR(__xludf.DUMMYFUNCTION("""COMPUTED_VALUE"""),"المنيا")</f>
        <v>المنيا</v>
      </c>
      <c r="C2139" s="5" t="str">
        <f ca="1">IFERROR(__xludf.DUMMYFUNCTION("""COMPUTED_VALUE"""),"مطاى")</f>
        <v>مطاى</v>
      </c>
      <c r="D2139" s="5" t="str">
        <f ca="1">IFERROR(__xludf.DUMMYFUNCTION("""COMPUTED_VALUE"""),"صيدلية")</f>
        <v>صيدلية</v>
      </c>
      <c r="E2139" s="5" t="str">
        <f ca="1">IFERROR(__xludf.DUMMYFUNCTION("""COMPUTED_VALUE"""),"صيدلية")</f>
        <v>صيدلية</v>
      </c>
      <c r="F2139" s="5" t="str">
        <f ca="1">IFERROR(__xludf.DUMMYFUNCTION("""COMPUTED_VALUE"""),"صيدلية (أدوية ومستلزمات طبية)")</f>
        <v>صيدلية (أدوية ومستلزمات طبية)</v>
      </c>
      <c r="G2139" s="5" t="str">
        <f ca="1">IFERROR(__xludf.DUMMYFUNCTION("""COMPUTED_VALUE"""),"صيدلية ميشيل عزمي عياد وهبه")</f>
        <v>صيدلية ميشيل عزمي عياد وهبه</v>
      </c>
      <c r="H2139" s="5" t="str">
        <f ca="1">IFERROR(__xludf.DUMMYFUNCTION("""COMPUTED_VALUE"""),"4 ش الجلاء - مطاي - المنيا")</f>
        <v>4 ش الجلاء - مطاي - المنيا</v>
      </c>
      <c r="I2139" s="6" t="str">
        <f ca="1">IFERROR(__xludf.DUMMYFUNCTION("""COMPUTED_VALUE"""),"0863933440")</f>
        <v>0863933440</v>
      </c>
      <c r="J2139" s="6"/>
      <c r="K2139" s="6" t="str">
        <f ca="1">IFERROR(__xludf.DUMMYFUNCTION("""COMPUTED_VALUE"""),"خصم 14% علي المحلي و 7% علي المستورد")</f>
        <v>خصم 14% علي المحلي و 7% علي المستورد</v>
      </c>
    </row>
    <row r="2140" spans="1:11" x14ac:dyDescent="0.25">
      <c r="A2140" s="4" t="str">
        <f ca="1">IFERROR(__xludf.DUMMYFUNCTION("""COMPUTED_VALUE"""),"106615")</f>
        <v>106615</v>
      </c>
      <c r="B2140" s="5" t="str">
        <f ca="1">IFERROR(__xludf.DUMMYFUNCTION("""COMPUTED_VALUE"""),"الجيزة")</f>
        <v>الجيزة</v>
      </c>
      <c r="C2140" s="5" t="str">
        <f ca="1">IFERROR(__xludf.DUMMYFUNCTION("""COMPUTED_VALUE"""),"الدقي")</f>
        <v>الدقي</v>
      </c>
      <c r="D2140" s="5" t="str">
        <f ca="1">IFERROR(__xludf.DUMMYFUNCTION("""COMPUTED_VALUE"""),"هيئة الأطباء")</f>
        <v>هيئة الأطباء</v>
      </c>
      <c r="E2140" s="5" t="str">
        <f ca="1">IFERROR(__xludf.DUMMYFUNCTION("""COMPUTED_VALUE"""),"اسنان")</f>
        <v>اسنان</v>
      </c>
      <c r="F2140" s="5" t="str">
        <f ca="1">IFERROR(__xludf.DUMMYFUNCTION("""COMPUTED_VALUE"""),"جراحة الفم والأسنان")</f>
        <v>جراحة الفم والأسنان</v>
      </c>
      <c r="G2140" s="5" t="str">
        <f ca="1">IFERROR(__xludf.DUMMYFUNCTION("""COMPUTED_VALUE"""),"داك لزراعة و تجميل الاسنان Dental ART Clinics")</f>
        <v>داك لزراعة و تجميل الاسنان Dental ART Clinics</v>
      </c>
      <c r="H2140" s="5" t="str">
        <f ca="1">IFERROR(__xludf.DUMMYFUNCTION("""COMPUTED_VALUE"""),"108 شارع التحرير الدقي امام محطة مترو الدقي الدور الثاني")</f>
        <v>108 شارع التحرير الدقي امام محطة مترو الدقي الدور الثاني</v>
      </c>
      <c r="I2140" s="6" t="str">
        <f ca="1">IFERROR(__xludf.DUMMYFUNCTION("""COMPUTED_VALUE"""),"0233369568")</f>
        <v>0233369568</v>
      </c>
      <c r="J2140" s="6"/>
      <c r="K2140" s="6" t="str">
        <f ca="1">IFERROR(__xludf.DUMMYFUNCTION("""COMPUTED_VALUE"""),"خصم 30% علي الاسعار النقدي")</f>
        <v>خصم 30% علي الاسعار النقدي</v>
      </c>
    </row>
    <row r="2141" spans="1:11" x14ac:dyDescent="0.25">
      <c r="A2141" s="4" t="str">
        <f ca="1">IFERROR(__xludf.DUMMYFUNCTION("""COMPUTED_VALUE"""),"106615-B")</f>
        <v>106615-B</v>
      </c>
      <c r="B2141" s="5" t="str">
        <f ca="1">IFERROR(__xludf.DUMMYFUNCTION("""COMPUTED_VALUE"""),"الجيزة")</f>
        <v>الجيزة</v>
      </c>
      <c r="C2141" s="5" t="str">
        <f ca="1">IFERROR(__xludf.DUMMYFUNCTION("""COMPUTED_VALUE"""),"المهندسين")</f>
        <v>المهندسين</v>
      </c>
      <c r="D2141" s="5" t="str">
        <f ca="1">IFERROR(__xludf.DUMMYFUNCTION("""COMPUTED_VALUE"""),"هيئة الأطباء")</f>
        <v>هيئة الأطباء</v>
      </c>
      <c r="E2141" s="5" t="str">
        <f ca="1">IFERROR(__xludf.DUMMYFUNCTION("""COMPUTED_VALUE"""),"اسنان")</f>
        <v>اسنان</v>
      </c>
      <c r="F2141" s="5" t="str">
        <f ca="1">IFERROR(__xludf.DUMMYFUNCTION("""COMPUTED_VALUE"""),"جراحة الفم والأسنان")</f>
        <v>جراحة الفم والأسنان</v>
      </c>
      <c r="G2141" s="5" t="str">
        <f ca="1">IFERROR(__xludf.DUMMYFUNCTION("""COMPUTED_VALUE"""),"داك لزراعة و تجميل الاسنان Dental ART Clinics")</f>
        <v>داك لزراعة و تجميل الاسنان Dental ART Clinics</v>
      </c>
      <c r="H2141" s="5" t="str">
        <f ca="1">IFERROR(__xludf.DUMMYFUNCTION("""COMPUTED_VALUE"""),"14 شارع محيي الدين ابو العز اعلي صيدلية الكمال")</f>
        <v>14 شارع محيي الدين ابو العز اعلي صيدلية الكمال</v>
      </c>
      <c r="I2141" s="6" t="str">
        <f ca="1">IFERROR(__xludf.DUMMYFUNCTION("""COMPUTED_VALUE"""),"01000499047 ")</f>
        <v xml:space="preserve">01000499047 </v>
      </c>
      <c r="J2141" s="6"/>
      <c r="K2141" s="6" t="str">
        <f ca="1">IFERROR(__xludf.DUMMYFUNCTION("""COMPUTED_VALUE"""),"خصم 30% علي الاسعار النقدي")</f>
        <v>خصم 30% علي الاسعار النقدي</v>
      </c>
    </row>
    <row r="2142" spans="1:11" x14ac:dyDescent="0.25">
      <c r="A2142" s="4" t="str">
        <f ca="1">IFERROR(__xludf.DUMMYFUNCTION("""COMPUTED_VALUE"""),"106615-B")</f>
        <v>106615-B</v>
      </c>
      <c r="B2142" s="5" t="str">
        <f ca="1">IFERROR(__xludf.DUMMYFUNCTION("""COMPUTED_VALUE"""),"الجيزة")</f>
        <v>الجيزة</v>
      </c>
      <c r="C2142" s="5" t="str">
        <f ca="1">IFERROR(__xludf.DUMMYFUNCTION("""COMPUTED_VALUE"""),"الدقي")</f>
        <v>الدقي</v>
      </c>
      <c r="D2142" s="5" t="str">
        <f ca="1">IFERROR(__xludf.DUMMYFUNCTION("""COMPUTED_VALUE"""),"هيئة الأطباء")</f>
        <v>هيئة الأطباء</v>
      </c>
      <c r="E2142" s="5" t="str">
        <f ca="1">IFERROR(__xludf.DUMMYFUNCTION("""COMPUTED_VALUE"""),"اسنان")</f>
        <v>اسنان</v>
      </c>
      <c r="F2142" s="5" t="str">
        <f ca="1">IFERROR(__xludf.DUMMYFUNCTION("""COMPUTED_VALUE"""),"جراحة الفم والأسنان")</f>
        <v>جراحة الفم والأسنان</v>
      </c>
      <c r="G2142" s="5" t="str">
        <f ca="1">IFERROR(__xludf.DUMMYFUNCTION("""COMPUTED_VALUE"""),"داك لزراعة و تجميل الاسنان Dental ART Clinics")</f>
        <v>داك لزراعة و تجميل الاسنان Dental ART Clinics</v>
      </c>
      <c r="H2142" s="5" t="str">
        <f ca="1">IFERROR(__xludf.DUMMYFUNCTION("""COMPUTED_VALUE"""),"52 شارع جامعة الدول اعلي رضوان العجيل و توشيبا العربي بجوار جامع مصطفي محمود شقه 54 الدور ال11")</f>
        <v>52 شارع جامعة الدول اعلي رضوان العجيل و توشيبا العربي بجوار جامع مصطفي محمود شقه 54 الدور ال11</v>
      </c>
      <c r="I2142" s="6" t="str">
        <f ca="1">IFERROR(__xludf.DUMMYFUNCTION("""COMPUTED_VALUE"""),"1029404444")</f>
        <v>1029404444</v>
      </c>
      <c r="J2142" s="6"/>
      <c r="K2142" s="6" t="str">
        <f ca="1">IFERROR(__xludf.DUMMYFUNCTION("""COMPUTED_VALUE"""),"خصم 30% علي الاسعار النقدي")</f>
        <v>خصم 30% علي الاسعار النقدي</v>
      </c>
    </row>
    <row r="2143" spans="1:11" x14ac:dyDescent="0.25">
      <c r="A2143" s="4" t="str">
        <f ca="1">IFERROR(__xludf.DUMMYFUNCTION("""COMPUTED_VALUE"""),"106615-B")</f>
        <v>106615-B</v>
      </c>
      <c r="B2143" s="5" t="str">
        <f ca="1">IFERROR(__xludf.DUMMYFUNCTION("""COMPUTED_VALUE"""),"القاهرة")</f>
        <v>القاهرة</v>
      </c>
      <c r="C2143" s="5" t="str">
        <f ca="1">IFERROR(__xludf.DUMMYFUNCTION("""COMPUTED_VALUE"""),"شبرا")</f>
        <v>شبرا</v>
      </c>
      <c r="D2143" s="5" t="str">
        <f ca="1">IFERROR(__xludf.DUMMYFUNCTION("""COMPUTED_VALUE"""),"هيئة الأطباء")</f>
        <v>هيئة الأطباء</v>
      </c>
      <c r="E2143" s="5" t="str">
        <f ca="1">IFERROR(__xludf.DUMMYFUNCTION("""COMPUTED_VALUE"""),"اسنان")</f>
        <v>اسنان</v>
      </c>
      <c r="F2143" s="5" t="str">
        <f ca="1">IFERROR(__xludf.DUMMYFUNCTION("""COMPUTED_VALUE"""),"جراحة الفم والأسنان")</f>
        <v>جراحة الفم والأسنان</v>
      </c>
      <c r="G2143" s="5" t="str">
        <f ca="1">IFERROR(__xludf.DUMMYFUNCTION("""COMPUTED_VALUE"""),"داك لزراعة و تجميل الاسنان Dental ART Clinics")</f>
        <v>داك لزراعة و تجميل الاسنان Dental ART Clinics</v>
      </c>
      <c r="H2143" s="5" t="str">
        <f ca="1">IFERROR(__xludf.DUMMYFUNCTION("""COMPUTED_VALUE"""),"10 شارع ابو الخير مساكن الظباط امام قسم اول اعلي صيدلية القرش")</f>
        <v>10 شارع ابو الخير مساكن الظباط امام قسم اول اعلي صيدلية القرش</v>
      </c>
      <c r="I2143" s="6" t="str">
        <f ca="1">IFERROR(__xludf.DUMMYFUNCTION("""COMPUTED_VALUE"""),"1554728800")</f>
        <v>1554728800</v>
      </c>
      <c r="J2143" s="6"/>
      <c r="K2143" s="6" t="str">
        <f ca="1">IFERROR(__xludf.DUMMYFUNCTION("""COMPUTED_VALUE"""),"خصم 30% علي الاسعار النقدي")</f>
        <v>خصم 30% علي الاسعار النقدي</v>
      </c>
    </row>
    <row r="2144" spans="1:11" x14ac:dyDescent="0.25">
      <c r="A2144" s="4" t="str">
        <f ca="1">IFERROR(__xludf.DUMMYFUNCTION("""COMPUTED_VALUE"""),"106616")</f>
        <v>106616</v>
      </c>
      <c r="B2144" s="5" t="str">
        <f ca="1">IFERROR(__xludf.DUMMYFUNCTION("""COMPUTED_VALUE"""),"القليوبية")</f>
        <v>القليوبية</v>
      </c>
      <c r="C2144" s="5" t="str">
        <f ca="1">IFERROR(__xludf.DUMMYFUNCTION("""COMPUTED_VALUE"""),"قليوب")</f>
        <v>قليوب</v>
      </c>
      <c r="D2144" s="5" t="str">
        <f ca="1">IFERROR(__xludf.DUMMYFUNCTION("""COMPUTED_VALUE"""),"هيئة الأطباء")</f>
        <v>هيئة الأطباء</v>
      </c>
      <c r="E2144" s="5" t="str">
        <f ca="1">IFERROR(__xludf.DUMMYFUNCTION("""COMPUTED_VALUE"""),"اسنان")</f>
        <v>اسنان</v>
      </c>
      <c r="F2144" s="5" t="str">
        <f ca="1">IFERROR(__xludf.DUMMYFUNCTION("""COMPUTED_VALUE"""),"جراحة الفم والأسنان")</f>
        <v>جراحة الفم والأسنان</v>
      </c>
      <c r="G2144" s="5" t="str">
        <f ca="1">IFERROR(__xludf.DUMMYFUNCTION("""COMPUTED_VALUE"""),"د.محمد رضا صالح فرج")</f>
        <v>د.محمد رضا صالح فرج</v>
      </c>
      <c r="H2144" s="5" t="str">
        <f ca="1">IFERROR(__xludf.DUMMYFUNCTION("""COMPUTED_VALUE"""),"شارع أحمد عرابي منطي مركز قليوب")</f>
        <v>شارع أحمد عرابي منطي مركز قليوب</v>
      </c>
      <c r="I2144" s="6" t="str">
        <f ca="1">IFERROR(__xludf.DUMMYFUNCTION("""COMPUTED_VALUE"""),"0245056365")</f>
        <v>0245056365</v>
      </c>
      <c r="J2144" s="6"/>
      <c r="K2144" s="6" t="str">
        <f ca="1">IFERROR(__xludf.DUMMYFUNCTION("""COMPUTED_VALUE"""),"خصم 50% علي الكشف و خصم 30% علي باقي الخدمات المعلنة")</f>
        <v>خصم 50% علي الكشف و خصم 30% علي باقي الخدمات المعلنة</v>
      </c>
    </row>
    <row r="2145" spans="1:11" x14ac:dyDescent="0.25">
      <c r="A2145" s="4" t="str">
        <f ca="1">IFERROR(__xludf.DUMMYFUNCTION("""COMPUTED_VALUE"""),"104243-B")</f>
        <v>104243-B</v>
      </c>
      <c r="B2145" s="5" t="str">
        <f ca="1">IFERROR(__xludf.DUMMYFUNCTION("""COMPUTED_VALUE"""),"الاسكندرية")</f>
        <v>الاسكندرية</v>
      </c>
      <c r="C2145" s="5" t="str">
        <f ca="1">IFERROR(__xludf.DUMMYFUNCTION("""COMPUTED_VALUE"""),"محرم بيك")</f>
        <v>محرم بيك</v>
      </c>
      <c r="D2145" s="5" t="str">
        <f ca="1">IFERROR(__xludf.DUMMYFUNCTION("""COMPUTED_VALUE"""),"مستشفى")</f>
        <v>مستشفى</v>
      </c>
      <c r="E2145" s="5" t="str">
        <f ca="1">IFERROR(__xludf.DUMMYFUNCTION("""COMPUTED_VALUE"""),"مستشفي طبي متخصص")</f>
        <v>مستشفي طبي متخصص</v>
      </c>
      <c r="F2145" s="5" t="str">
        <f ca="1">IFERROR(__xludf.DUMMYFUNCTION("""COMPUTED_VALUE"""),"جراحة أوعية دموية")</f>
        <v>جراحة أوعية دموية</v>
      </c>
      <c r="G2145" s="5" t="str">
        <f ca="1">IFERROR(__xludf.DUMMYFUNCTION("""COMPUTED_VALUE"""),"مركز أي فين ( للأوردة )")</f>
        <v>مركز أي فين ( للأوردة )</v>
      </c>
      <c r="H2145" s="5" t="str">
        <f ca="1">IFERROR(__xludf.DUMMYFUNCTION("""COMPUTED_VALUE"""),"داخل مستشفى ايليت")</f>
        <v>داخل مستشفى ايليت</v>
      </c>
      <c r="I2145" s="6"/>
      <c r="J2145" s="6" t="str">
        <f ca="1">IFERROR(__xludf.DUMMYFUNCTION("""COMPUTED_VALUE"""),"15780")</f>
        <v>15780</v>
      </c>
      <c r="K2145" s="6" t="str">
        <f ca="1">IFERROR(__xludf.DUMMYFUNCTION("""COMPUTED_VALUE"""),"خصم 25% على الكشف , خصم 15% على باقي الاجراءات")</f>
        <v>خصم 25% على الكشف , خصم 15% على باقي الاجراءات</v>
      </c>
    </row>
    <row r="2146" spans="1:11" x14ac:dyDescent="0.25">
      <c r="A2146" s="4" t="str">
        <f ca="1">IFERROR(__xludf.DUMMYFUNCTION("""COMPUTED_VALUE"""),"106621")</f>
        <v>106621</v>
      </c>
      <c r="B2146" s="5" t="str">
        <f ca="1">IFERROR(__xludf.DUMMYFUNCTION("""COMPUTED_VALUE"""),"المنوفية")</f>
        <v>المنوفية</v>
      </c>
      <c r="C2146" s="5" t="str">
        <f ca="1">IFERROR(__xludf.DUMMYFUNCTION("""COMPUTED_VALUE"""),"شبين الكوم")</f>
        <v>شبين الكوم</v>
      </c>
      <c r="D2146" s="5" t="str">
        <f ca="1">IFERROR(__xludf.DUMMYFUNCTION("""COMPUTED_VALUE"""),"هيئة الأطباء")</f>
        <v>هيئة الأطباء</v>
      </c>
      <c r="E2146" s="5" t="str">
        <f ca="1">IFERROR(__xludf.DUMMYFUNCTION("""COMPUTED_VALUE"""),"اسنان")</f>
        <v>اسنان</v>
      </c>
      <c r="F2146" s="5" t="str">
        <f ca="1">IFERROR(__xludf.DUMMYFUNCTION("""COMPUTED_VALUE"""),"جراحة الفم والأسنان")</f>
        <v>جراحة الفم والأسنان</v>
      </c>
      <c r="G2146" s="5" t="str">
        <f ca="1">IFERROR(__xludf.DUMMYFUNCTION("""COMPUTED_VALUE"""),"د/ ضياء احمد رمضان أحمد")</f>
        <v>د/ ضياء احمد رمضان أحمد</v>
      </c>
      <c r="H2146" s="5" t="str">
        <f ca="1">IFERROR(__xludf.DUMMYFUNCTION("""COMPUTED_VALUE"""),"ش الأمين من ش عبدالمنعم عمارة الانوار المحمدية شبين الكوم - المنوفية")</f>
        <v>ش الأمين من ش عبدالمنعم عمارة الانوار المحمدية شبين الكوم - المنوفية</v>
      </c>
      <c r="I2146" s="6" t="str">
        <f ca="1">IFERROR(__xludf.DUMMYFUNCTION("""COMPUTED_VALUE"""),"01000212793")</f>
        <v>01000212793</v>
      </c>
      <c r="J2146" s="6"/>
      <c r="K2146" s="6" t="str">
        <f ca="1">IFERROR(__xludf.DUMMYFUNCTION("""COMPUTED_VALUE"""),"خصم 25% علي الاسعار النقدي")</f>
        <v>خصم 25% علي الاسعار النقدي</v>
      </c>
    </row>
    <row r="2147" spans="1:11" x14ac:dyDescent="0.25">
      <c r="A2147" s="4" t="str">
        <f ca="1">IFERROR(__xludf.DUMMYFUNCTION("""COMPUTED_VALUE"""),"106213-B")</f>
        <v>106213-B</v>
      </c>
      <c r="B2147" s="5" t="str">
        <f ca="1">IFERROR(__xludf.DUMMYFUNCTION("""COMPUTED_VALUE"""),"القاهرة")</f>
        <v>القاهرة</v>
      </c>
      <c r="C2147" s="5" t="str">
        <f ca="1">IFERROR(__xludf.DUMMYFUNCTION("""COMPUTED_VALUE"""),"المعادى")</f>
        <v>المعادى</v>
      </c>
      <c r="D2147" s="5" t="str">
        <f ca="1">IFERROR(__xludf.DUMMYFUNCTION("""COMPUTED_VALUE"""),"مجمع عيادات")</f>
        <v>مجمع عيادات</v>
      </c>
      <c r="E2147" s="5" t="str">
        <f ca="1">IFERROR(__xludf.DUMMYFUNCTION("""COMPUTED_VALUE"""),"جميع التخصصات")</f>
        <v>جميع التخصصات</v>
      </c>
      <c r="F2147" s="5" t="str">
        <f ca="1">IFERROR(__xludf.DUMMYFUNCTION("""COMPUTED_VALUE"""),"جميع التخصصات الطبية")</f>
        <v>جميع التخصصات الطبية</v>
      </c>
      <c r="G2147" s="5" t="str">
        <f ca="1">IFERROR(__xludf.DUMMYFUNCTION("""COMPUTED_VALUE"""),"شركة داوي لتجهيز المنشات الطبية")</f>
        <v>شركة داوي لتجهيز المنشات الطبية</v>
      </c>
      <c r="H2147" s="5" t="str">
        <f ca="1">IFERROR(__xludf.DUMMYFUNCTION("""COMPUTED_VALUE"""),"13 شارع النصر – المعادي الجديدة (أمام مطعم جندوفلي وبجوار التوحيد والنور
")</f>
        <v xml:space="preserve">13 شارع النصر – المعادي الجديدة (أمام مطعم جندوفلي وبجوار التوحيد والنور
</v>
      </c>
      <c r="I2147" s="6" t="str">
        <f ca="1">IFERROR(__xludf.DUMMYFUNCTION("""COMPUTED_VALUE"""),"01279048142")</f>
        <v>01279048142</v>
      </c>
      <c r="J2147" s="6" t="str">
        <f ca="1">IFERROR(__xludf.DUMMYFUNCTION("""COMPUTED_VALUE"""),"16850")</f>
        <v>16850</v>
      </c>
      <c r="K2147" s="6" t="str">
        <f ca="1">IFERROR(__xludf.DUMMYFUNCTION("""COMPUTED_VALUE"""),"خصم 25% علي جميع الخدمات و20% علي خدمات الاسنان")</f>
        <v>خصم 25% علي جميع الخدمات و20% علي خدمات الاسنان</v>
      </c>
    </row>
    <row r="2148" spans="1:11" x14ac:dyDescent="0.25">
      <c r="A2148" s="4" t="str">
        <f ca="1">IFERROR(__xludf.DUMMYFUNCTION("""COMPUTED_VALUE"""),"1753-B")</f>
        <v>1753-B</v>
      </c>
      <c r="B2148" s="5" t="str">
        <f ca="1">IFERROR(__xludf.DUMMYFUNCTION("""COMPUTED_VALUE"""),"القاهرة")</f>
        <v>القاهرة</v>
      </c>
      <c r="C2148" s="5" t="str">
        <f ca="1">IFERROR(__xludf.DUMMYFUNCTION("""COMPUTED_VALUE"""),"المعادى")</f>
        <v>المعادى</v>
      </c>
      <c r="D2148" s="5" t="str">
        <f ca="1">IFERROR(__xludf.DUMMYFUNCTION("""COMPUTED_VALUE"""),"مركز أشعة")</f>
        <v>مركز أشعة</v>
      </c>
      <c r="E2148" s="5" t="str">
        <f ca="1">IFERROR(__xludf.DUMMYFUNCTION("""COMPUTED_VALUE"""),"مركز أشعة")</f>
        <v>مركز أشعة</v>
      </c>
      <c r="F2148" s="5" t="str">
        <f ca="1">IFERROR(__xludf.DUMMYFUNCTION("""COMPUTED_VALUE"""),"مركز الأشعة التشخيصية")</f>
        <v>مركز الأشعة التشخيصية</v>
      </c>
      <c r="G2148" s="5" t="str">
        <f ca="1">IFERROR(__xludf.DUMMYFUNCTION("""COMPUTED_VALUE"""),"ألفا سكان")</f>
        <v>ألفا سكان</v>
      </c>
      <c r="H2148" s="5" t="str">
        <f ca="1">IFERROR(__xludf.DUMMYFUNCTION("""COMPUTED_VALUE"""),"38 بلوك ب ، شارع النادي الجديد ميدان فونتانا امام المركز الاولمبي بالمعادى")</f>
        <v>38 بلوك ب ، شارع النادي الجديد ميدان فونتانا امام المركز الاولمبي بالمعادى</v>
      </c>
      <c r="I2148" s="6" t="str">
        <f ca="1">IFERROR(__xludf.DUMMYFUNCTION("""COMPUTED_VALUE"""),"0225215015
")</f>
        <v xml:space="preserve">0225215015
</v>
      </c>
      <c r="J2148" s="6" t="str">
        <f ca="1">IFERROR(__xludf.DUMMYFUNCTION("""COMPUTED_VALUE"""),"16171")</f>
        <v>16171</v>
      </c>
      <c r="K2148" s="6" t="str">
        <f ca="1">IFERROR(__xludf.DUMMYFUNCTION("""COMPUTED_VALUE"""),"10% على جميع الخدمات المقدمة")</f>
        <v>10% على جميع الخدمات المقدمة</v>
      </c>
    </row>
    <row r="2149" spans="1:11" x14ac:dyDescent="0.25">
      <c r="A2149" s="4" t="str">
        <f ca="1">IFERROR(__xludf.DUMMYFUNCTION("""COMPUTED_VALUE"""),"104296-B")</f>
        <v>104296-B</v>
      </c>
      <c r="B2149" s="5" t="str">
        <f ca="1">IFERROR(__xludf.DUMMYFUNCTION("""COMPUTED_VALUE"""),"الجيزة")</f>
        <v>الجيزة</v>
      </c>
      <c r="C2149" s="5" t="str">
        <f ca="1">IFERROR(__xludf.DUMMYFUNCTION("""COMPUTED_VALUE"""),"الدقي")</f>
        <v>الدقي</v>
      </c>
      <c r="D2149" s="5" t="str">
        <f ca="1">IFERROR(__xludf.DUMMYFUNCTION("""COMPUTED_VALUE"""),"مركز علاج طبيعي")</f>
        <v>مركز علاج طبيعي</v>
      </c>
      <c r="E2149" s="5" t="str">
        <f ca="1">IFERROR(__xludf.DUMMYFUNCTION("""COMPUTED_VALUE"""),"علاج طبيعي")</f>
        <v>علاج طبيعي</v>
      </c>
      <c r="F2149" s="5" t="str">
        <f ca="1">IFERROR(__xludf.DUMMYFUNCTION("""COMPUTED_VALUE"""),"جلسات العلاج الطبيعي")</f>
        <v>جلسات العلاج الطبيعي</v>
      </c>
      <c r="G2149" s="5" t="str">
        <f ca="1">IFERROR(__xludf.DUMMYFUNCTION("""COMPUTED_VALUE"""),"مركز ألفا كير للعلاج الطبيعي (د.كريم عبدالقوى عبدالله)")</f>
        <v>مركز ألفا كير للعلاج الطبيعي (د.كريم عبدالقوى عبدالله)</v>
      </c>
      <c r="H2149" s="5" t="str">
        <f ca="1">IFERROR(__xludf.DUMMYFUNCTION("""COMPUTED_VALUE"""),"96 ش النيل ميدان الجلاء")</f>
        <v>96 ش النيل ميدان الجلاء</v>
      </c>
      <c r="I2149" s="6" t="str">
        <f ca="1">IFERROR(__xludf.DUMMYFUNCTION("""COMPUTED_VALUE"""),"01090200292")</f>
        <v>01090200292</v>
      </c>
      <c r="J2149" s="6" t="str">
        <f ca="1">IFERROR(__xludf.DUMMYFUNCTION("""COMPUTED_VALUE"""),"15662")</f>
        <v>15662</v>
      </c>
      <c r="K2149" s="6" t="str">
        <f ca="1">IFERROR(__xludf.DUMMYFUNCTION("""COMPUTED_VALUE"""),"30% على جميع الخدمات")</f>
        <v>30% على جميع الخدمات</v>
      </c>
    </row>
    <row r="2150" spans="1:11" x14ac:dyDescent="0.25">
      <c r="A2150" s="4" t="str">
        <f ca="1">IFERROR(__xludf.DUMMYFUNCTION("""COMPUTED_VALUE"""),"104296-B")</f>
        <v>104296-B</v>
      </c>
      <c r="B2150" s="5" t="str">
        <f ca="1">IFERROR(__xludf.DUMMYFUNCTION("""COMPUTED_VALUE"""),"الشرقية")</f>
        <v>الشرقية</v>
      </c>
      <c r="C2150" s="5" t="str">
        <f ca="1">IFERROR(__xludf.DUMMYFUNCTION("""COMPUTED_VALUE"""),"الزقازيق")</f>
        <v>الزقازيق</v>
      </c>
      <c r="D2150" s="5" t="str">
        <f ca="1">IFERROR(__xludf.DUMMYFUNCTION("""COMPUTED_VALUE"""),"مركز علاج طبيعي")</f>
        <v>مركز علاج طبيعي</v>
      </c>
      <c r="E2150" s="5" t="str">
        <f ca="1">IFERROR(__xludf.DUMMYFUNCTION("""COMPUTED_VALUE"""),"علاج طبيعي")</f>
        <v>علاج طبيعي</v>
      </c>
      <c r="F2150" s="5" t="str">
        <f ca="1">IFERROR(__xludf.DUMMYFUNCTION("""COMPUTED_VALUE"""),"جلسات العلاج الطبيعي")</f>
        <v>جلسات العلاج الطبيعي</v>
      </c>
      <c r="G2150" s="5" t="str">
        <f ca="1">IFERROR(__xludf.DUMMYFUNCTION("""COMPUTED_VALUE"""),"مركز ألفا كير للعلاج الطبيعي (د.كريم عبدالقوى عبدالله)")</f>
        <v>مركز ألفا كير للعلاج الطبيعي (د.كريم عبدالقوى عبدالله)</v>
      </c>
      <c r="H2150" s="5" t="str">
        <f ca="1">IFERROR(__xludf.DUMMYFUNCTION("""COMPUTED_VALUE"""),"شارع الغشام بجوار مسجد ابو احمد ")</f>
        <v xml:space="preserve">شارع الغشام بجوار مسجد ابو احمد </v>
      </c>
      <c r="I2150" s="6" t="str">
        <f ca="1">IFERROR(__xludf.DUMMYFUNCTION("""COMPUTED_VALUE"""),"15662")</f>
        <v>15662</v>
      </c>
      <c r="J2150" s="6" t="str">
        <f ca="1">IFERROR(__xludf.DUMMYFUNCTION("""COMPUTED_VALUE"""),"15662")</f>
        <v>15662</v>
      </c>
      <c r="K2150" s="6" t="str">
        <f ca="1">IFERROR(__xludf.DUMMYFUNCTION("""COMPUTED_VALUE"""),"30% على جميع الخدمات")</f>
        <v>30% على جميع الخدمات</v>
      </c>
    </row>
    <row r="2151" spans="1:11" x14ac:dyDescent="0.25">
      <c r="A2151" s="4" t="str">
        <f ca="1">IFERROR(__xludf.DUMMYFUNCTION("""COMPUTED_VALUE"""),"106626")</f>
        <v>106626</v>
      </c>
      <c r="B2151" s="5" t="str">
        <f ca="1">IFERROR(__xludf.DUMMYFUNCTION("""COMPUTED_VALUE"""),"القاهرة")</f>
        <v>القاهرة</v>
      </c>
      <c r="C2151" s="5" t="str">
        <f ca="1">IFERROR(__xludf.DUMMYFUNCTION("""COMPUTED_VALUE"""),"عين شمس")</f>
        <v>عين شمس</v>
      </c>
      <c r="D2151" s="5" t="str">
        <f ca="1">IFERROR(__xludf.DUMMYFUNCTION("""COMPUTED_VALUE"""),"هيئة الأطباء")</f>
        <v>هيئة الأطباء</v>
      </c>
      <c r="E2151" s="5" t="str">
        <f ca="1">IFERROR(__xludf.DUMMYFUNCTION("""COMPUTED_VALUE"""),"اسنان")</f>
        <v>اسنان</v>
      </c>
      <c r="F2151" s="5" t="str">
        <f ca="1">IFERROR(__xludf.DUMMYFUNCTION("""COMPUTED_VALUE"""),"جراحة الفم والأسنان")</f>
        <v>جراحة الفم والأسنان</v>
      </c>
      <c r="G2151" s="5" t="str">
        <f ca="1">IFERROR(__xludf.DUMMYFUNCTION("""COMPUTED_VALUE"""),"د/ سحر السطوحي محمد (عيادة الابتسامه لطب و جراحة الفم و الاسنان)")</f>
        <v>د/ سحر السطوحي محمد (عيادة الابتسامه لطب و جراحة الفم و الاسنان)</v>
      </c>
      <c r="H2151" s="5" t="str">
        <f ca="1">IFERROR(__xludf.DUMMYFUNCTION("""COMPUTED_VALUE"""),"160 ش جسر السويس منطق الف مسكن عين شمس - القاهرة")</f>
        <v>160 ش جسر السويس منطق الف مسكن عين شمس - القاهرة</v>
      </c>
      <c r="I2151" s="6" t="str">
        <f ca="1">IFERROR(__xludf.DUMMYFUNCTION("""COMPUTED_VALUE"""),"1555251225")</f>
        <v>1555251225</v>
      </c>
      <c r="J2151" s="6"/>
      <c r="K2151" s="6" t="str">
        <f ca="1">IFERROR(__xludf.DUMMYFUNCTION("""COMPUTED_VALUE"""),"خصم 30% علي الاسعار النقدي")</f>
        <v>خصم 30% علي الاسعار النقدي</v>
      </c>
    </row>
    <row r="2152" spans="1:11" x14ac:dyDescent="0.25">
      <c r="A2152" s="4" t="str">
        <f ca="1">IFERROR(__xludf.DUMMYFUNCTION("""COMPUTED_VALUE"""),"106627")</f>
        <v>106627</v>
      </c>
      <c r="B2152" s="5" t="str">
        <f ca="1">IFERROR(__xludf.DUMMYFUNCTION("""COMPUTED_VALUE"""),"الغربية")</f>
        <v>الغربية</v>
      </c>
      <c r="C2152" s="5" t="str">
        <f ca="1">IFERROR(__xludf.DUMMYFUNCTION("""COMPUTED_VALUE"""),"المحلة الكبرى")</f>
        <v>المحلة الكبرى</v>
      </c>
      <c r="D2152" s="5" t="str">
        <f ca="1">IFERROR(__xludf.DUMMYFUNCTION("""COMPUTED_VALUE"""),"مجمع عيادات")</f>
        <v>مجمع عيادات</v>
      </c>
      <c r="E2152" s="5" t="str">
        <f ca="1">IFERROR(__xludf.DUMMYFUNCTION("""COMPUTED_VALUE"""),"جميع التخصصات")</f>
        <v>جميع التخصصات</v>
      </c>
      <c r="F2152" s="5" t="str">
        <f ca="1">IFERROR(__xludf.DUMMYFUNCTION("""COMPUTED_VALUE"""),"جميع التخصصات الطبية")</f>
        <v>جميع التخصصات الطبية</v>
      </c>
      <c r="G2152" s="5" t="str">
        <f ca="1">IFERROR(__xludf.DUMMYFUNCTION("""COMPUTED_VALUE"""),"د/ محمد عبد الرحمن محمد عبد الرحمن عوض ( عيادات ماي كلينيك التخصصية)")</f>
        <v>د/ محمد عبد الرحمن محمد عبد الرحمن عوض ( عيادات ماي كلينيك التخصصية)</v>
      </c>
      <c r="H2152" s="5" t="str">
        <f ca="1">IFERROR(__xludf.DUMMYFUNCTION("""COMPUTED_VALUE"""),"34 ش محب فوق صيدليات كلينك المحلة الكبري - الغربية")</f>
        <v>34 ش محب فوق صيدليات كلينك المحلة الكبري - الغربية</v>
      </c>
      <c r="I2152" s="6" t="str">
        <f ca="1">IFERROR(__xludf.DUMMYFUNCTION("""COMPUTED_VALUE"""),"01557762677")</f>
        <v>01557762677</v>
      </c>
      <c r="J2152" s="6"/>
      <c r="K2152" s="6" t="str">
        <f ca="1">IFERROR(__xludf.DUMMYFUNCTION("""COMPUTED_VALUE"""),"خصم 25% علي الاسعار النقدي")</f>
        <v>خصم 25% علي الاسعار النقدي</v>
      </c>
    </row>
    <row r="2153" spans="1:11" x14ac:dyDescent="0.25">
      <c r="A2153" s="4" t="str">
        <f ca="1">IFERROR(__xludf.DUMMYFUNCTION("""COMPUTED_VALUE"""),"106629")</f>
        <v>106629</v>
      </c>
      <c r="B2153" s="5" t="str">
        <f ca="1">IFERROR(__xludf.DUMMYFUNCTION("""COMPUTED_VALUE"""),"دمياط")</f>
        <v>دمياط</v>
      </c>
      <c r="C2153" s="5" t="str">
        <f ca="1">IFERROR(__xludf.DUMMYFUNCTION("""COMPUTED_VALUE"""),"راس البر")</f>
        <v>راس البر</v>
      </c>
      <c r="D2153" s="5" t="str">
        <f ca="1">IFERROR(__xludf.DUMMYFUNCTION("""COMPUTED_VALUE"""),"مستشفى")</f>
        <v>مستشفى</v>
      </c>
      <c r="E2153" s="5" t="str">
        <f ca="1">IFERROR(__xludf.DUMMYFUNCTION("""COMPUTED_VALUE"""),"مستشفي طبي متكامل")</f>
        <v>مستشفي طبي متكامل</v>
      </c>
      <c r="F2153" s="5" t="str">
        <f ca="1">IFERROR(__xludf.DUMMYFUNCTION("""COMPUTED_VALUE"""),"جميع التخصصات الطبية")</f>
        <v>جميع التخصصات الطبية</v>
      </c>
      <c r="G2153" s="5" t="str">
        <f ca="1">IFERROR(__xludf.DUMMYFUNCTION("""COMPUTED_VALUE"""),"ياسر عبد الوهاب علي عسل (مستشفي الدلتا)")</f>
        <v>ياسر عبد الوهاب علي عسل (مستشفي الدلتا)</v>
      </c>
      <c r="H2153" s="5" t="str">
        <f ca="1">IFERROR(__xludf.DUMMYFUNCTION("""COMPUTED_VALUE""")," ش99 مستشفي الدلتا اعلي جمعيه دعوه الحق - رأس البر- دمياط")</f>
        <v xml:space="preserve"> ش99 مستشفي الدلتا اعلي جمعيه دعوه الحق - رأس البر- دمياط</v>
      </c>
      <c r="I2153" s="6" t="str">
        <f ca="1">IFERROR(__xludf.DUMMYFUNCTION("""COMPUTED_VALUE"""),"0572528381")</f>
        <v>0572528381</v>
      </c>
      <c r="J2153" s="6"/>
      <c r="K2153" s="6" t="str">
        <f ca="1">IFERROR(__xludf.DUMMYFUNCTION("""COMPUTED_VALUE"""),"خصم 25% علي الاسعار النقدي")</f>
        <v>خصم 25% علي الاسعار النقدي</v>
      </c>
    </row>
    <row r="2154" spans="1:11" x14ac:dyDescent="0.25">
      <c r="A2154" s="4" t="str">
        <f ca="1">IFERROR(__xludf.DUMMYFUNCTION("""COMPUTED_VALUE"""),"106631")</f>
        <v>106631</v>
      </c>
      <c r="B2154" s="5" t="str">
        <f ca="1">IFERROR(__xludf.DUMMYFUNCTION("""COMPUTED_VALUE"""),"كفر الشيخ")</f>
        <v>كفر الشيخ</v>
      </c>
      <c r="C2154" s="5" t="str">
        <f ca="1">IFERROR(__xludf.DUMMYFUNCTION("""COMPUTED_VALUE"""),"دسوق")</f>
        <v>دسوق</v>
      </c>
      <c r="D2154" s="5" t="str">
        <f ca="1">IFERROR(__xludf.DUMMYFUNCTION("""COMPUTED_VALUE"""),"مستشفى")</f>
        <v>مستشفى</v>
      </c>
      <c r="E2154" s="5" t="str">
        <f ca="1">IFERROR(__xludf.DUMMYFUNCTION("""COMPUTED_VALUE"""),"مستشفي طبي متكامل")</f>
        <v>مستشفي طبي متكامل</v>
      </c>
      <c r="F2154" s="5" t="str">
        <f ca="1">IFERROR(__xludf.DUMMYFUNCTION("""COMPUTED_VALUE"""),"جميع التخصصات الطبية")</f>
        <v>جميع التخصصات الطبية</v>
      </c>
      <c r="G2154" s="5" t="str">
        <f ca="1">IFERROR(__xludf.DUMMYFUNCTION("""COMPUTED_VALUE"""),"شركة مستشفي الزهراء (مستشفي الزهراء)")</f>
        <v>شركة مستشفي الزهراء (مستشفي الزهراء)</v>
      </c>
      <c r="H2154" s="5" t="str">
        <f ca="1">IFERROR(__xludf.DUMMYFUNCTION("""COMPUTED_VALUE"""),"شارع الجيش - دسوق - كفر الشيخ")</f>
        <v>شارع الجيش - دسوق - كفر الشيخ</v>
      </c>
      <c r="I2154" s="6" t="str">
        <f ca="1">IFERROR(__xludf.DUMMYFUNCTION("""COMPUTED_VALUE"""),"0472559933")</f>
        <v>0472559933</v>
      </c>
      <c r="J2154" s="6"/>
      <c r="K2154" s="6" t="str">
        <f ca="1">IFERROR(__xludf.DUMMYFUNCTION("""COMPUTED_VALUE"""),"خصم 25% علي الاسعار النقدي")</f>
        <v>خصم 25% علي الاسعار النقدي</v>
      </c>
    </row>
    <row r="2155" spans="1:11" x14ac:dyDescent="0.25">
      <c r="A2155" s="4" t="str">
        <f ca="1">IFERROR(__xludf.DUMMYFUNCTION("""COMPUTED_VALUE"""),"105374-B")</f>
        <v>105374-B</v>
      </c>
      <c r="B2155" s="5" t="str">
        <f ca="1">IFERROR(__xludf.DUMMYFUNCTION("""COMPUTED_VALUE"""),"القاهرة")</f>
        <v>القاهرة</v>
      </c>
      <c r="C2155" s="5" t="str">
        <f ca="1">IFERROR(__xludf.DUMMYFUNCTION("""COMPUTED_VALUE"""),"المعادى")</f>
        <v>المعادى</v>
      </c>
      <c r="D2155" s="5" t="str">
        <f ca="1">IFERROR(__xludf.DUMMYFUNCTION("""COMPUTED_VALUE"""),"مستشفى")</f>
        <v>مستشفى</v>
      </c>
      <c r="E2155" s="5" t="str">
        <f ca="1">IFERROR(__xludf.DUMMYFUNCTION("""COMPUTED_VALUE"""),"مستشفي طبي متخصص")</f>
        <v>مستشفي طبي متخصص</v>
      </c>
      <c r="F2155" s="5" t="str">
        <f ca="1">IFERROR(__xludf.DUMMYFUNCTION("""COMPUTED_VALUE"""),"قلب واوعية دموية")</f>
        <v>قلب واوعية دموية</v>
      </c>
      <c r="G2155" s="5" t="str">
        <f ca="1">IFERROR(__xludf.DUMMYFUNCTION("""COMPUTED_VALUE"""),"مركز هارت كير  كلينكس لفحوصات القلب المتقدمة")</f>
        <v>مركز هارت كير  كلينكس لفحوصات القلب المتقدمة</v>
      </c>
      <c r="H2155" s="5" t="str">
        <f ca="1">IFERROR(__xludf.DUMMYFUNCTION("""COMPUTED_VALUE"""),"شارع 216 دجلة المعادي عماره4/2 الدور الاول")</f>
        <v>شارع 216 دجلة المعادي عماره4/2 الدور الاول</v>
      </c>
      <c r="I2155" s="6" t="str">
        <f ca="1">IFERROR(__xludf.DUMMYFUNCTION("""COMPUTED_VALUE"""),"201023937397")</f>
        <v>201023937397</v>
      </c>
      <c r="J2155" s="6"/>
      <c r="K2155" s="6" t="str">
        <f ca="1">IFERROR(__xludf.DUMMYFUNCTION("""COMPUTED_VALUE"""),"30% علي الاسعار النقدي المعلنه")</f>
        <v>30% علي الاسعار النقدي المعلنه</v>
      </c>
    </row>
    <row r="2156" spans="1:11" x14ac:dyDescent="0.25">
      <c r="A2156" s="4" t="str">
        <f ca="1">IFERROR(__xludf.DUMMYFUNCTION("""COMPUTED_VALUE"""),"105374-B")</f>
        <v>105374-B</v>
      </c>
      <c r="B2156" s="5" t="str">
        <f ca="1">IFERROR(__xludf.DUMMYFUNCTION("""COMPUTED_VALUE"""),"القاهرة")</f>
        <v>القاهرة</v>
      </c>
      <c r="C2156" s="5" t="str">
        <f ca="1">IFERROR(__xludf.DUMMYFUNCTION("""COMPUTED_VALUE"""),"القاهرة الجديدة")</f>
        <v>القاهرة الجديدة</v>
      </c>
      <c r="D2156" s="5" t="str">
        <f ca="1">IFERROR(__xludf.DUMMYFUNCTION("""COMPUTED_VALUE"""),"مستشفى")</f>
        <v>مستشفى</v>
      </c>
      <c r="E2156" s="5" t="str">
        <f ca="1">IFERROR(__xludf.DUMMYFUNCTION("""COMPUTED_VALUE"""),"مستشفي طبي متخصص")</f>
        <v>مستشفي طبي متخصص</v>
      </c>
      <c r="F2156" s="5" t="str">
        <f ca="1">IFERROR(__xludf.DUMMYFUNCTION("""COMPUTED_VALUE"""),"قلب واوعية دموية")</f>
        <v>قلب واوعية دموية</v>
      </c>
      <c r="G2156" s="5" t="str">
        <f ca="1">IFERROR(__xludf.DUMMYFUNCTION("""COMPUTED_VALUE"""),"مركز هارت كير  كلينكس لفحوصات القلب المتقدمة")</f>
        <v>مركز هارت كير  كلينكس لفحوصات القلب المتقدمة</v>
      </c>
      <c r="H2156" s="5" t="str">
        <f ca="1">IFERROR(__xludf.DUMMYFUNCTION("""COMPUTED_VALUE"""),"مبنى hcc عياده 333 خلف المستشفى الجوي")</f>
        <v>مبنى hcc عياده 333 خلف المستشفى الجوي</v>
      </c>
      <c r="I2156" s="6" t="str">
        <f ca="1">IFERROR(__xludf.DUMMYFUNCTION("""COMPUTED_VALUE"""),"201023937397")</f>
        <v>201023937397</v>
      </c>
      <c r="J2156" s="6"/>
      <c r="K2156" s="6" t="str">
        <f ca="1">IFERROR(__xludf.DUMMYFUNCTION("""COMPUTED_VALUE"""),"30% علي الاسعار النقدي المعلنه")</f>
        <v>30% علي الاسعار النقدي المعلنه</v>
      </c>
    </row>
    <row r="2157" spans="1:11" x14ac:dyDescent="0.25">
      <c r="A2157" s="4" t="str">
        <f ca="1">IFERROR(__xludf.DUMMYFUNCTION("""COMPUTED_VALUE"""),"105585-B")</f>
        <v>105585-B</v>
      </c>
      <c r="B2157" s="5" t="str">
        <f ca="1">IFERROR(__xludf.DUMMYFUNCTION("""COMPUTED_VALUE"""),"قنا")</f>
        <v>قنا</v>
      </c>
      <c r="C2157" s="5" t="str">
        <f ca="1">IFERROR(__xludf.DUMMYFUNCTION("""COMPUTED_VALUE"""),"قنا")</f>
        <v>قنا</v>
      </c>
      <c r="D2157" s="5" t="str">
        <f ca="1">IFERROR(__xludf.DUMMYFUNCTION("""COMPUTED_VALUE"""),"مجمع عيادات")</f>
        <v>مجمع عيادات</v>
      </c>
      <c r="E2157" s="5" t="str">
        <f ca="1">IFERROR(__xludf.DUMMYFUNCTION("""COMPUTED_VALUE"""),"جميع التخصصات")</f>
        <v>جميع التخصصات</v>
      </c>
      <c r="F2157" s="5" t="str">
        <f ca="1">IFERROR(__xludf.DUMMYFUNCTION("""COMPUTED_VALUE"""),"جميع التخصصات الطبية")</f>
        <v>جميع التخصصات الطبية</v>
      </c>
      <c r="G2157" s="5" t="str">
        <f ca="1">IFERROR(__xludf.DUMMYFUNCTION("""COMPUTED_VALUE"""),"عيادات الكرمة التخصصية للعلاج والوقاية من امراض السكر ومضاعفاته")</f>
        <v>عيادات الكرمة التخصصية للعلاج والوقاية من امراض السكر ومضاعفاته</v>
      </c>
      <c r="H2157" s="5" t="str">
        <f ca="1">IFERROR(__xludf.DUMMYFUNCTION("""COMPUTED_VALUE"""),"شارع البحر امام كوبري دندره داخل مستشفى شفا")</f>
        <v>شارع البحر امام كوبري دندره داخل مستشفى شفا</v>
      </c>
      <c r="I2157" s="6" t="str">
        <f ca="1">IFERROR(__xludf.DUMMYFUNCTION("""COMPUTED_VALUE"""),"01000933566")</f>
        <v>01000933566</v>
      </c>
      <c r="J2157" s="6"/>
      <c r="K2157" s="6" t="str">
        <f ca="1">IFERROR(__xludf.DUMMYFUNCTION("""COMPUTED_VALUE"""),"خصم 30% علي الأسعار النقدي المعلنة")</f>
        <v>خصم 30% علي الأسعار النقدي المعلنة</v>
      </c>
    </row>
    <row r="2158" spans="1:11" x14ac:dyDescent="0.25">
      <c r="A2158" s="4" t="str">
        <f ca="1">IFERROR(__xludf.DUMMYFUNCTION("""COMPUTED_VALUE"""),"106636")</f>
        <v>106636</v>
      </c>
      <c r="B2158" s="5" t="str">
        <f ca="1">IFERROR(__xludf.DUMMYFUNCTION("""COMPUTED_VALUE"""),"القاهرة")</f>
        <v>القاهرة</v>
      </c>
      <c r="C2158" s="5" t="str">
        <f ca="1">IFERROR(__xludf.DUMMYFUNCTION("""COMPUTED_VALUE"""),"مصر الجديدة")</f>
        <v>مصر الجديدة</v>
      </c>
      <c r="D2158" s="5" t="str">
        <f ca="1">IFERROR(__xludf.DUMMYFUNCTION("""COMPUTED_VALUE"""),"مستشفى")</f>
        <v>مستشفى</v>
      </c>
      <c r="E2158" s="5" t="str">
        <f ca="1">IFERROR(__xludf.DUMMYFUNCTION("""COMPUTED_VALUE"""),"مستشفي طبي متكامل")</f>
        <v>مستشفي طبي متكامل</v>
      </c>
      <c r="F2158" s="5" t="str">
        <f ca="1">IFERROR(__xludf.DUMMYFUNCTION("""COMPUTED_VALUE"""),"جميع التخصصات الطبية")</f>
        <v>جميع التخصصات الطبية</v>
      </c>
      <c r="G2158" s="5" t="str">
        <f ca="1">IFERROR(__xludf.DUMMYFUNCTION("""COMPUTED_VALUE"""),"مستشفي الأمريكي للعقم و المناظير")</f>
        <v>مستشفي الأمريكي للعقم و المناظير</v>
      </c>
      <c r="H2158" s="5" t="str">
        <f ca="1">IFERROR(__xludf.DUMMYFUNCTION("""COMPUTED_VALUE"""),"شارع خالد بن الوليد - خلف شيراتون المطار مربع 15/1136")</f>
        <v>شارع خالد بن الوليد - خلف شيراتون المطار مربع 15/1136</v>
      </c>
      <c r="I2158" s="6" t="str">
        <f ca="1">IFERROR(__xludf.DUMMYFUNCTION("""COMPUTED_VALUE"""),"0222670702")</f>
        <v>0222670702</v>
      </c>
      <c r="J2158" s="6"/>
      <c r="K2158" s="6" t="str">
        <f ca="1">IFERROR(__xludf.DUMMYFUNCTION("""COMPUTED_VALUE"""),"40% علي الأسعار النقدي المعلنة")</f>
        <v>40% علي الأسعار النقدي المعلنة</v>
      </c>
    </row>
    <row r="2159" spans="1:11" x14ac:dyDescent="0.25">
      <c r="A2159" s="4" t="str">
        <f ca="1">IFERROR(__xludf.DUMMYFUNCTION("""COMPUTED_VALUE"""),"106640")</f>
        <v>106640</v>
      </c>
      <c r="B2159" s="5" t="str">
        <f ca="1">IFERROR(__xludf.DUMMYFUNCTION("""COMPUTED_VALUE"""),"القاهرة")</f>
        <v>القاهرة</v>
      </c>
      <c r="C2159" s="5" t="str">
        <f ca="1">IFERROR(__xludf.DUMMYFUNCTION("""COMPUTED_VALUE"""),"المرج")</f>
        <v>المرج</v>
      </c>
      <c r="D2159" s="5" t="str">
        <f ca="1">IFERROR(__xludf.DUMMYFUNCTION("""COMPUTED_VALUE"""),"مستشفى")</f>
        <v>مستشفى</v>
      </c>
      <c r="E2159" s="5" t="str">
        <f ca="1">IFERROR(__xludf.DUMMYFUNCTION("""COMPUTED_VALUE"""),"مستشفي طبي متكامل")</f>
        <v>مستشفي طبي متكامل</v>
      </c>
      <c r="F2159" s="5" t="str">
        <f ca="1">IFERROR(__xludf.DUMMYFUNCTION("""COMPUTED_VALUE"""),"جميع التخصصات الطبية")</f>
        <v>جميع التخصصات الطبية</v>
      </c>
      <c r="G2159" s="5" t="str">
        <f ca="1">IFERROR(__xludf.DUMMYFUNCTION("""COMPUTED_VALUE"""),"ايه ام اتش لادارة المستشفيات ( مستشفي نور الهدي)")</f>
        <v>ايه ام اتش لادارة المستشفيات ( مستشفي نور الهدي)</v>
      </c>
      <c r="H2159" s="5" t="str">
        <f ca="1">IFERROR(__xludf.DUMMYFUNCTION("""COMPUTED_VALUE"""),"شارع مؤسسة الزكاه - بركه الحاج - المرج - القليوبية")</f>
        <v>شارع مؤسسة الزكاه - بركه الحاج - المرج - القليوبية</v>
      </c>
      <c r="I2159" s="6" t="str">
        <f ca="1">IFERROR(__xludf.DUMMYFUNCTION("""COMPUTED_VALUE"""),"0221824931")</f>
        <v>0221824931</v>
      </c>
      <c r="J2159" s="6"/>
      <c r="K2159" s="6" t="str">
        <f ca="1">IFERROR(__xludf.DUMMYFUNCTION("""COMPUTED_VALUE"""),"خصم 25% علي الاسعار النقدي")</f>
        <v>خصم 25% علي الاسعار النقدي</v>
      </c>
    </row>
    <row r="2160" spans="1:11" x14ac:dyDescent="0.25">
      <c r="A2160" s="4" t="str">
        <f ca="1">IFERROR(__xludf.DUMMYFUNCTION("""COMPUTED_VALUE"""),"106642")</f>
        <v>106642</v>
      </c>
      <c r="B2160" s="5" t="str">
        <f ca="1">IFERROR(__xludf.DUMMYFUNCTION("""COMPUTED_VALUE"""),"الدقهلية")</f>
        <v>الدقهلية</v>
      </c>
      <c r="C2160" s="5" t="str">
        <f ca="1">IFERROR(__xludf.DUMMYFUNCTION("""COMPUTED_VALUE"""),"طلخا")</f>
        <v>طلخا</v>
      </c>
      <c r="D2160" s="5" t="str">
        <f ca="1">IFERROR(__xludf.DUMMYFUNCTION("""COMPUTED_VALUE"""),"صيدلية")</f>
        <v>صيدلية</v>
      </c>
      <c r="E2160" s="5" t="str">
        <f ca="1">IFERROR(__xludf.DUMMYFUNCTION("""COMPUTED_VALUE"""),"صيدلية")</f>
        <v>صيدلية</v>
      </c>
      <c r="F2160" s="5" t="str">
        <f ca="1">IFERROR(__xludf.DUMMYFUNCTION("""COMPUTED_VALUE"""),"صيدلية (أدوية ومستلزمات طبية)")</f>
        <v>صيدلية (أدوية ومستلزمات طبية)</v>
      </c>
      <c r="G2160" s="5" t="str">
        <f ca="1">IFERROR(__xludf.DUMMYFUNCTION("""COMPUTED_VALUE"""),"صيدلية مني علاء المهدي")</f>
        <v>صيدلية مني علاء المهدي</v>
      </c>
      <c r="H2160" s="5" t="str">
        <f ca="1">IFERROR(__xludf.DUMMYFUNCTION("""COMPUTED_VALUE"""),"طلخا شارع البحر الأعظم برج الفجر-  الدقهلية")</f>
        <v>طلخا شارع البحر الأعظم برج الفجر-  الدقهلية</v>
      </c>
      <c r="I2160" s="6" t="str">
        <f ca="1">IFERROR(__xludf.DUMMYFUNCTION("""COMPUTED_VALUE"""),"0502527268")</f>
        <v>0502527268</v>
      </c>
      <c r="J2160" s="6"/>
      <c r="K2160" s="6" t="str">
        <f ca="1">IFERROR(__xludf.DUMMYFUNCTION("""COMPUTED_VALUE"""),"14%على المحلى ,7% على المستورد")</f>
        <v>14%على المحلى ,7% على المستورد</v>
      </c>
    </row>
    <row r="2161" spans="1:11" x14ac:dyDescent="0.25">
      <c r="A2161" s="4" t="str">
        <f ca="1">IFERROR(__xludf.DUMMYFUNCTION("""COMPUTED_VALUE"""),"106643")</f>
        <v>106643</v>
      </c>
      <c r="B2161" s="5" t="str">
        <f ca="1">IFERROR(__xludf.DUMMYFUNCTION("""COMPUTED_VALUE"""),"المنيا")</f>
        <v>المنيا</v>
      </c>
      <c r="C2161" s="5" t="str">
        <f ca="1">IFERROR(__xludf.DUMMYFUNCTION("""COMPUTED_VALUE"""),"عدوة")</f>
        <v>عدوة</v>
      </c>
      <c r="D2161" s="5" t="str">
        <f ca="1">IFERROR(__xludf.DUMMYFUNCTION("""COMPUTED_VALUE"""),"صيدلية")</f>
        <v>صيدلية</v>
      </c>
      <c r="E2161" s="5" t="str">
        <f ca="1">IFERROR(__xludf.DUMMYFUNCTION("""COMPUTED_VALUE"""),"صيدلية")</f>
        <v>صيدلية</v>
      </c>
      <c r="F2161" s="5" t="str">
        <f ca="1">IFERROR(__xludf.DUMMYFUNCTION("""COMPUTED_VALUE"""),"صيدلية (أدوية ومستلزمات طبية)")</f>
        <v>صيدلية (أدوية ومستلزمات طبية)</v>
      </c>
      <c r="G2161" s="5" t="str">
        <f ca="1">IFERROR(__xludf.DUMMYFUNCTION("""COMPUTED_VALUE"""),"صيدلية د/ أمنية محمد الحسيني محمد")</f>
        <v>صيدلية د/ أمنية محمد الحسيني محمد</v>
      </c>
      <c r="H2161" s="5" t="str">
        <f ca="1">IFERROR(__xludf.DUMMYFUNCTION("""COMPUTED_VALUE"""),"قليني فهمي مركز مغاغة - المنيا")</f>
        <v>قليني فهمي مركز مغاغة - المنيا</v>
      </c>
      <c r="I2161" s="6" t="str">
        <f ca="1">IFERROR(__xludf.DUMMYFUNCTION("""COMPUTED_VALUE"""),"01146422357")</f>
        <v>01146422357</v>
      </c>
      <c r="J2161" s="6"/>
      <c r="K2161" s="6" t="str">
        <f ca="1">IFERROR(__xludf.DUMMYFUNCTION("""COMPUTED_VALUE"""),"14%على المحلى ,7% على المستورد")</f>
        <v>14%على المحلى ,7% على المستورد</v>
      </c>
    </row>
    <row r="2162" spans="1:11" x14ac:dyDescent="0.25">
      <c r="A2162" s="4" t="str">
        <f ca="1">IFERROR(__xludf.DUMMYFUNCTION("""COMPUTED_VALUE"""),"106643-B")</f>
        <v>106643-B</v>
      </c>
      <c r="B2162" s="5" t="str">
        <f ca="1">IFERROR(__xludf.DUMMYFUNCTION("""COMPUTED_VALUE"""),"المنيا")</f>
        <v>المنيا</v>
      </c>
      <c r="C2162" s="5" t="str">
        <f ca="1">IFERROR(__xludf.DUMMYFUNCTION("""COMPUTED_VALUE"""),"عدوة")</f>
        <v>عدوة</v>
      </c>
      <c r="D2162" s="5" t="str">
        <f ca="1">IFERROR(__xludf.DUMMYFUNCTION("""COMPUTED_VALUE"""),"صيدلية")</f>
        <v>صيدلية</v>
      </c>
      <c r="E2162" s="5" t="str">
        <f ca="1">IFERROR(__xludf.DUMMYFUNCTION("""COMPUTED_VALUE"""),"صيدلية")</f>
        <v>صيدلية</v>
      </c>
      <c r="F2162" s="5" t="str">
        <f ca="1">IFERROR(__xludf.DUMMYFUNCTION("""COMPUTED_VALUE"""),"صيدلية (أدوية ومستلزمات طبية)")</f>
        <v>صيدلية (أدوية ومستلزمات طبية)</v>
      </c>
      <c r="G2162" s="5" t="str">
        <f ca="1">IFERROR(__xludf.DUMMYFUNCTION("""COMPUTED_VALUE"""),"صيدلية د/ أمنية محمد الحسيني محمد")</f>
        <v>صيدلية د/ أمنية محمد الحسيني محمد</v>
      </c>
      <c r="H2162" s="5" t="str">
        <f ca="1">IFERROR(__xludf.DUMMYFUNCTION("""COMPUTED_VALUE"""),"بندر العدوه شارع الشهيد أحمد اسماعيل مع حارة الكرامة - العدوه - المنيا")</f>
        <v>بندر العدوه شارع الشهيد أحمد اسماعيل مع حارة الكرامة - العدوه - المنيا</v>
      </c>
      <c r="I2162" s="6" t="str">
        <f ca="1">IFERROR(__xludf.DUMMYFUNCTION("""COMPUTED_VALUE"""),"01146422357")</f>
        <v>01146422357</v>
      </c>
      <c r="J2162" s="6"/>
      <c r="K2162" s="6" t="str">
        <f ca="1">IFERROR(__xludf.DUMMYFUNCTION("""COMPUTED_VALUE"""),"14%على المحلى ,7% على المستورد")</f>
        <v>14%على المحلى ,7% على المستورد</v>
      </c>
    </row>
    <row r="2163" spans="1:11" x14ac:dyDescent="0.25">
      <c r="A2163" s="4" t="str">
        <f ca="1">IFERROR(__xludf.DUMMYFUNCTION("""COMPUTED_VALUE"""),"106644")</f>
        <v>106644</v>
      </c>
      <c r="B2163" s="5" t="str">
        <f ca="1">IFERROR(__xludf.DUMMYFUNCTION("""COMPUTED_VALUE"""),"الدقهلية")</f>
        <v>الدقهلية</v>
      </c>
      <c r="C2163" s="5" t="str">
        <f ca="1">IFERROR(__xludf.DUMMYFUNCTION("""COMPUTED_VALUE"""),"ميت غمر")</f>
        <v>ميت غمر</v>
      </c>
      <c r="D2163" s="5" t="str">
        <f ca="1">IFERROR(__xludf.DUMMYFUNCTION("""COMPUTED_VALUE"""),"مستشفى")</f>
        <v>مستشفى</v>
      </c>
      <c r="E2163" s="5" t="str">
        <f ca="1">IFERROR(__xludf.DUMMYFUNCTION("""COMPUTED_VALUE"""),"مستشفي طبي متخصص")</f>
        <v>مستشفي طبي متخصص</v>
      </c>
      <c r="F2163" s="5" t="str">
        <f ca="1">IFERROR(__xludf.DUMMYFUNCTION("""COMPUTED_VALUE"""),"رمد (جراحة عيون)")</f>
        <v>رمد (جراحة عيون)</v>
      </c>
      <c r="G2163" s="5" t="str">
        <f ca="1">IFERROR(__xludf.DUMMYFUNCTION("""COMPUTED_VALUE"""),"سامح مسعد عبد الرؤوف يوسف فوده (مركز الدلتا لليزك و العيون)")</f>
        <v>سامح مسعد عبد الرؤوف يوسف فوده (مركز الدلتا لليزك و العيون)</v>
      </c>
      <c r="H2163" s="5" t="str">
        <f ca="1">IFERROR(__xludf.DUMMYFUNCTION("""COMPUTED_VALUE"""),"ميت غمر شارع الأسكندرية خلف شركة الكهرباء - الدقهليه")</f>
        <v>ميت غمر شارع الأسكندرية خلف شركة الكهرباء - الدقهليه</v>
      </c>
      <c r="I2163" s="6" t="str">
        <f ca="1">IFERROR(__xludf.DUMMYFUNCTION("""COMPUTED_VALUE"""),"0504906761")</f>
        <v>0504906761</v>
      </c>
      <c r="J2163" s="6"/>
      <c r="K2163" s="6" t="str">
        <f ca="1">IFERROR(__xludf.DUMMYFUNCTION("""COMPUTED_VALUE"""),"خصم 30% علي الكشف و 25% علي باقي الخدمات المعلنة")</f>
        <v>خصم 30% علي الكشف و 25% علي باقي الخدمات المعلنة</v>
      </c>
    </row>
    <row r="2164" spans="1:11" x14ac:dyDescent="0.25">
      <c r="A2164" s="4" t="str">
        <f ca="1">IFERROR(__xludf.DUMMYFUNCTION("""COMPUTED_VALUE"""),"106645")</f>
        <v>106645</v>
      </c>
      <c r="B2164" s="5" t="str">
        <f ca="1">IFERROR(__xludf.DUMMYFUNCTION("""COMPUTED_VALUE"""),"المنوفية")</f>
        <v>المنوفية</v>
      </c>
      <c r="C2164" s="5" t="str">
        <f ca="1">IFERROR(__xludf.DUMMYFUNCTION("""COMPUTED_VALUE"""),"قويسنا")</f>
        <v>قويسنا</v>
      </c>
      <c r="D2164" s="5" t="str">
        <f ca="1">IFERROR(__xludf.DUMMYFUNCTION("""COMPUTED_VALUE"""),"مركز علاج طبيعي")</f>
        <v>مركز علاج طبيعي</v>
      </c>
      <c r="E2164" s="5" t="str">
        <f ca="1">IFERROR(__xludf.DUMMYFUNCTION("""COMPUTED_VALUE"""),"علاج طبيعي")</f>
        <v>علاج طبيعي</v>
      </c>
      <c r="F2164" s="5" t="str">
        <f ca="1">IFERROR(__xludf.DUMMYFUNCTION("""COMPUTED_VALUE"""),"جلسات العلاج الطبيعي")</f>
        <v>جلسات العلاج الطبيعي</v>
      </c>
      <c r="G2164" s="5" t="str">
        <f ca="1">IFERROR(__xludf.DUMMYFUNCTION("""COMPUTED_VALUE"""),"مركز د/ محمد حندوق عبدالفتاح حندوق (مركز الهنا للعلاج الطبيعي)")</f>
        <v>مركز د/ محمد حندوق عبدالفتاح حندوق (مركز الهنا للعلاج الطبيعي)</v>
      </c>
      <c r="H2164" s="5" t="str">
        <f ca="1">IFERROR(__xludf.DUMMYFUNCTION("""COMPUTED_VALUE"""),"ميت بره مركز قويسنا - المنوفية")</f>
        <v>ميت بره مركز قويسنا - المنوفية</v>
      </c>
      <c r="I2164" s="6" t="str">
        <f ca="1">IFERROR(__xludf.DUMMYFUNCTION("""COMPUTED_VALUE"""),"01025615656")</f>
        <v>01025615656</v>
      </c>
      <c r="J2164" s="6"/>
      <c r="K2164" s="6" t="str">
        <f ca="1">IFERROR(__xludf.DUMMYFUNCTION("""COMPUTED_VALUE"""),"25% علي الأسعار النقدي المعلنة")</f>
        <v>25% علي الأسعار النقدي المعلنة</v>
      </c>
    </row>
    <row r="2165" spans="1:11" x14ac:dyDescent="0.25">
      <c r="A2165" s="4" t="str">
        <f ca="1">IFERROR(__xludf.DUMMYFUNCTION("""COMPUTED_VALUE"""),"106647")</f>
        <v>106647</v>
      </c>
      <c r="B2165" s="5" t="str">
        <f ca="1">IFERROR(__xludf.DUMMYFUNCTION("""COMPUTED_VALUE"""),"دمياط")</f>
        <v>دمياط</v>
      </c>
      <c r="C2165" s="5" t="str">
        <f ca="1">IFERROR(__xludf.DUMMYFUNCTION("""COMPUTED_VALUE"""),"راس البر")</f>
        <v>راس البر</v>
      </c>
      <c r="D2165" s="5" t="str">
        <f ca="1">IFERROR(__xludf.DUMMYFUNCTION("""COMPUTED_VALUE"""),"معمل")</f>
        <v>معمل</v>
      </c>
      <c r="E2165" s="5" t="str">
        <f ca="1">IFERROR(__xludf.DUMMYFUNCTION("""COMPUTED_VALUE"""),"معمل")</f>
        <v>معمل</v>
      </c>
      <c r="F2165" s="5" t="str">
        <f ca="1">IFERROR(__xludf.DUMMYFUNCTION("""COMPUTED_VALUE"""),"معمل التحاليل الطبية")</f>
        <v>معمل التحاليل الطبية</v>
      </c>
      <c r="G2165" s="5" t="str">
        <f ca="1">IFERROR(__xludf.DUMMYFUNCTION("""COMPUTED_VALUE"""),"ياسر عبدالوهاب علي عسل و شركاه (دلتا لاب)")</f>
        <v>ياسر عبدالوهاب علي عسل و شركاه (دلتا لاب)</v>
      </c>
      <c r="H2165" s="5" t="str">
        <f ca="1">IFERROR(__xludf.DUMMYFUNCTION("""COMPUTED_VALUE"""),"رأس البر - مستشفي الدلتا شارع 101")</f>
        <v>رأس البر - مستشفي الدلتا شارع 101</v>
      </c>
      <c r="I2165" s="6" t="str">
        <f ca="1">IFERROR(__xludf.DUMMYFUNCTION("""COMPUTED_VALUE"""),"0572364496")</f>
        <v>0572364496</v>
      </c>
      <c r="J2165" s="6"/>
      <c r="K2165" s="6" t="str">
        <f ca="1">IFERROR(__xludf.DUMMYFUNCTION("""COMPUTED_VALUE"""),"30% علي الأسعار النقدي المعلنة")</f>
        <v>30% علي الأسعار النقدي المعلنة</v>
      </c>
    </row>
    <row r="2166" spans="1:11" x14ac:dyDescent="0.25">
      <c r="A2166" s="4" t="str">
        <f ca="1">IFERROR(__xludf.DUMMYFUNCTION("""COMPUTED_VALUE"""),"106647-B")</f>
        <v>106647-B</v>
      </c>
      <c r="B2166" s="5" t="str">
        <f ca="1">IFERROR(__xludf.DUMMYFUNCTION("""COMPUTED_VALUE"""),"دمياط")</f>
        <v>دمياط</v>
      </c>
      <c r="C2166" s="5" t="str">
        <f ca="1">IFERROR(__xludf.DUMMYFUNCTION("""COMPUTED_VALUE"""),"دمياط")</f>
        <v>دمياط</v>
      </c>
      <c r="D2166" s="5" t="str">
        <f ca="1">IFERROR(__xludf.DUMMYFUNCTION("""COMPUTED_VALUE"""),"معمل")</f>
        <v>معمل</v>
      </c>
      <c r="E2166" s="5" t="str">
        <f ca="1">IFERROR(__xludf.DUMMYFUNCTION("""COMPUTED_VALUE"""),"معمل")</f>
        <v>معمل</v>
      </c>
      <c r="F2166" s="5" t="str">
        <f ca="1">IFERROR(__xludf.DUMMYFUNCTION("""COMPUTED_VALUE"""),"معمل التحاليل الطبية")</f>
        <v>معمل التحاليل الطبية</v>
      </c>
      <c r="G2166" s="5" t="str">
        <f ca="1">IFERROR(__xludf.DUMMYFUNCTION("""COMPUTED_VALUE"""),"ياسر عبدالوهاب علي عسل و شركاه (دلتا لاب)")</f>
        <v>ياسر عبدالوهاب علي عسل و شركاه (دلتا لاب)</v>
      </c>
      <c r="H2166" s="5" t="str">
        <f ca="1">IFERROR(__xludf.DUMMYFUNCTION("""COMPUTED_VALUE"""),"دمياط - برج الغرفة التجارية - الدور الخامس")</f>
        <v>دمياط - برج الغرفة التجارية - الدور الخامس</v>
      </c>
      <c r="I2166" s="6" t="str">
        <f ca="1">IFERROR(__xludf.DUMMYFUNCTION("""COMPUTED_VALUE"""),"0572364496")</f>
        <v>0572364496</v>
      </c>
      <c r="J2166" s="6"/>
      <c r="K2166" s="6" t="str">
        <f ca="1">IFERROR(__xludf.DUMMYFUNCTION("""COMPUTED_VALUE"""),"30% علي الأسعار النقدي المعلنة")</f>
        <v>30% علي الأسعار النقدي المعلنة</v>
      </c>
    </row>
    <row r="2167" spans="1:11" x14ac:dyDescent="0.25">
      <c r="A2167" s="4" t="str">
        <f ca="1">IFERROR(__xludf.DUMMYFUNCTION("""COMPUTED_VALUE"""),"106647-B")</f>
        <v>106647-B</v>
      </c>
      <c r="B2167" s="5" t="str">
        <f ca="1">IFERROR(__xludf.DUMMYFUNCTION("""COMPUTED_VALUE"""),"دمياط")</f>
        <v>دمياط</v>
      </c>
      <c r="C2167" s="5" t="str">
        <f ca="1">IFERROR(__xludf.DUMMYFUNCTION("""COMPUTED_VALUE"""),"دمياط")</f>
        <v>دمياط</v>
      </c>
      <c r="D2167" s="5" t="str">
        <f ca="1">IFERROR(__xludf.DUMMYFUNCTION("""COMPUTED_VALUE"""),"معمل")</f>
        <v>معمل</v>
      </c>
      <c r="E2167" s="5" t="str">
        <f ca="1">IFERROR(__xludf.DUMMYFUNCTION("""COMPUTED_VALUE"""),"معمل")</f>
        <v>معمل</v>
      </c>
      <c r="F2167" s="5" t="str">
        <f ca="1">IFERROR(__xludf.DUMMYFUNCTION("""COMPUTED_VALUE"""),"معمل التحاليل الطبية")</f>
        <v>معمل التحاليل الطبية</v>
      </c>
      <c r="G2167" s="5" t="str">
        <f ca="1">IFERROR(__xludf.DUMMYFUNCTION("""COMPUTED_VALUE"""),"ياسر عبدالوهاب علي عسل و شركاه (دلتا لاب)")</f>
        <v>ياسر عبدالوهاب علي عسل و شركاه (دلتا لاب)</v>
      </c>
      <c r="H2167" s="5" t="str">
        <f ca="1">IFERROR(__xludf.DUMMYFUNCTION("""COMPUTED_VALUE"""),"سوق الحسبة شارع فكري زاهر")</f>
        <v>سوق الحسبة شارع فكري زاهر</v>
      </c>
      <c r="I2167" s="6" t="str">
        <f ca="1">IFERROR(__xludf.DUMMYFUNCTION("""COMPUTED_VALUE"""),"0572364496")</f>
        <v>0572364496</v>
      </c>
      <c r="J2167" s="6"/>
      <c r="K2167" s="6" t="str">
        <f ca="1">IFERROR(__xludf.DUMMYFUNCTION("""COMPUTED_VALUE"""),"30% علي الأسعار النقدي المعلنة")</f>
        <v>30% علي الأسعار النقدي المعلنة</v>
      </c>
    </row>
    <row r="2168" spans="1:11" x14ac:dyDescent="0.25">
      <c r="A2168" s="4" t="str">
        <f ca="1">IFERROR(__xludf.DUMMYFUNCTION("""COMPUTED_VALUE"""),"106647-B")</f>
        <v>106647-B</v>
      </c>
      <c r="B2168" s="5" t="str">
        <f ca="1">IFERROR(__xludf.DUMMYFUNCTION("""COMPUTED_VALUE"""),"دمياط")</f>
        <v>دمياط</v>
      </c>
      <c r="C2168" s="5" t="str">
        <f ca="1">IFERROR(__xludf.DUMMYFUNCTION("""COMPUTED_VALUE"""),"دمياط")</f>
        <v>دمياط</v>
      </c>
      <c r="D2168" s="5" t="str">
        <f ca="1">IFERROR(__xludf.DUMMYFUNCTION("""COMPUTED_VALUE"""),"معمل")</f>
        <v>معمل</v>
      </c>
      <c r="E2168" s="5" t="str">
        <f ca="1">IFERROR(__xludf.DUMMYFUNCTION("""COMPUTED_VALUE"""),"معمل")</f>
        <v>معمل</v>
      </c>
      <c r="F2168" s="5" t="str">
        <f ca="1">IFERROR(__xludf.DUMMYFUNCTION("""COMPUTED_VALUE"""),"معمل التحاليل الطبية")</f>
        <v>معمل التحاليل الطبية</v>
      </c>
      <c r="G2168" s="5" t="str">
        <f ca="1">IFERROR(__xludf.DUMMYFUNCTION("""COMPUTED_VALUE"""),"ياسر عبدالوهاب علي عسل و شركاه (دلتا لاب)")</f>
        <v>ياسر عبدالوهاب علي عسل و شركاه (دلتا لاب)</v>
      </c>
      <c r="H2168" s="5" t="str">
        <f ca="1">IFERROR(__xludf.DUMMYFUNCTION("""COMPUTED_VALUE"""),"كفر سعد - تفتيش عمارة الهوال الدور الثاني")</f>
        <v>كفر سعد - تفتيش عمارة الهوال الدور الثاني</v>
      </c>
      <c r="I2168" s="6" t="str">
        <f ca="1">IFERROR(__xludf.DUMMYFUNCTION("""COMPUTED_VALUE"""),"0572364496")</f>
        <v>0572364496</v>
      </c>
      <c r="J2168" s="6"/>
      <c r="K2168" s="6" t="str">
        <f ca="1">IFERROR(__xludf.DUMMYFUNCTION("""COMPUTED_VALUE"""),"30% علي الأسعار النقدي المعلنة")</f>
        <v>30% علي الأسعار النقدي المعلنة</v>
      </c>
    </row>
    <row r="2169" spans="1:11" x14ac:dyDescent="0.25">
      <c r="A2169" s="4" t="str">
        <f ca="1">IFERROR(__xludf.DUMMYFUNCTION("""COMPUTED_VALUE"""),"106648")</f>
        <v>106648</v>
      </c>
      <c r="B2169" s="5" t="str">
        <f ca="1">IFERROR(__xludf.DUMMYFUNCTION("""COMPUTED_VALUE"""),"المنوفية")</f>
        <v>المنوفية</v>
      </c>
      <c r="C2169" s="5" t="str">
        <f ca="1">IFERROR(__xludf.DUMMYFUNCTION("""COMPUTED_VALUE"""),"شبين الكوم")</f>
        <v>شبين الكوم</v>
      </c>
      <c r="D2169" s="5" t="str">
        <f ca="1">IFERROR(__xludf.DUMMYFUNCTION("""COMPUTED_VALUE"""),"مستشفى")</f>
        <v>مستشفى</v>
      </c>
      <c r="E2169" s="5" t="str">
        <f ca="1">IFERROR(__xludf.DUMMYFUNCTION("""COMPUTED_VALUE"""),"مستشفي طبي متكامل")</f>
        <v>مستشفي طبي متكامل</v>
      </c>
      <c r="F2169" s="5" t="str">
        <f ca="1">IFERROR(__xludf.DUMMYFUNCTION("""COMPUTED_VALUE"""),"جميع التخصصات الطبية")</f>
        <v>جميع التخصصات الطبية</v>
      </c>
      <c r="G2169" s="5" t="str">
        <f ca="1">IFERROR(__xludf.DUMMYFUNCTION("""COMPUTED_VALUE"""),"الاصالة للخدمات الطبية (مستشفى المعلمين)")</f>
        <v>الاصالة للخدمات الطبية (مستشفى المعلمين)</v>
      </c>
      <c r="H2169" s="5" t="str">
        <f ca="1">IFERROR(__xludf.DUMMYFUNCTION("""COMPUTED_VALUE"""),"20 ش عباس متفرع من ش محمود شاهين البر الشرقي شبين الكوم - المنوفية")</f>
        <v>20 ش عباس متفرع من ش محمود شاهين البر الشرقي شبين الكوم - المنوفية</v>
      </c>
      <c r="I2169" s="6" t="str">
        <f ca="1">IFERROR(__xludf.DUMMYFUNCTION("""COMPUTED_VALUE"""),"0482194518")</f>
        <v>0482194518</v>
      </c>
      <c r="J2169" s="6"/>
      <c r="K2169" s="6" t="str">
        <f ca="1">IFERROR(__xludf.DUMMYFUNCTION("""COMPUTED_VALUE"""),"25% علي الأسعار النقدي المعلنة")</f>
        <v>25% علي الأسعار النقدي المعلنة</v>
      </c>
    </row>
    <row r="2170" spans="1:11" x14ac:dyDescent="0.25">
      <c r="A2170" s="4" t="str">
        <f ca="1">IFERROR(__xludf.DUMMYFUNCTION("""COMPUTED_VALUE"""),"106649")</f>
        <v>106649</v>
      </c>
      <c r="B2170" s="5" t="str">
        <f ca="1">IFERROR(__xludf.DUMMYFUNCTION("""COMPUTED_VALUE"""),"القاهرة")</f>
        <v>القاهرة</v>
      </c>
      <c r="C2170" s="5" t="str">
        <f ca="1">IFERROR(__xludf.DUMMYFUNCTION("""COMPUTED_VALUE"""),"مدينة الشروق")</f>
        <v>مدينة الشروق</v>
      </c>
      <c r="D2170" s="5" t="str">
        <f ca="1">IFERROR(__xludf.DUMMYFUNCTION("""COMPUTED_VALUE"""),"مستشفى")</f>
        <v>مستشفى</v>
      </c>
      <c r="E2170" s="5" t="str">
        <f ca="1">IFERROR(__xludf.DUMMYFUNCTION("""COMPUTED_VALUE"""),"مستشفي طبي متكامل")</f>
        <v>مستشفي طبي متكامل</v>
      </c>
      <c r="F2170" s="5" t="str">
        <f ca="1">IFERROR(__xludf.DUMMYFUNCTION("""COMPUTED_VALUE"""),"جميع التخصصات الطبية")</f>
        <v>جميع التخصصات الطبية</v>
      </c>
      <c r="G2170" s="5" t="str">
        <f ca="1">IFERROR(__xludf.DUMMYFUNCTION("""COMPUTED_VALUE"""),"الشركة السويسريه لادارة المستشفيات  (مستشفي الشروق السويسري التخصصي)")</f>
        <v>الشركة السويسريه لادارة المستشفيات  (مستشفي الشروق السويسري التخصصي)</v>
      </c>
      <c r="H2170" s="5" t="str">
        <f ca="1">IFERROR(__xludf.DUMMYFUNCTION("""COMPUTED_VALUE"""),"قطعة رقم 4 شمال شرق حي النادي - الشروق - القاهرة")</f>
        <v>قطعة رقم 4 شمال شرق حي النادي - الشروق - القاهرة</v>
      </c>
      <c r="I2170" s="6" t="str">
        <f ca="1">IFERROR(__xludf.DUMMYFUNCTION("""COMPUTED_VALUE"""),"0220307850")</f>
        <v>0220307850</v>
      </c>
      <c r="J2170" s="6"/>
      <c r="K2170" s="6" t="str">
        <f ca="1">IFERROR(__xludf.DUMMYFUNCTION("""COMPUTED_VALUE"""),"10% علي الأسعار النقدي المعلنة")</f>
        <v>10% علي الأسعار النقدي المعلنة</v>
      </c>
    </row>
    <row r="2171" spans="1:11" x14ac:dyDescent="0.25">
      <c r="A2171" s="4" t="str">
        <f ca="1">IFERROR(__xludf.DUMMYFUNCTION("""COMPUTED_VALUE"""),"106650")</f>
        <v>106650</v>
      </c>
      <c r="B2171" s="5" t="str">
        <f ca="1">IFERROR(__xludf.DUMMYFUNCTION("""COMPUTED_VALUE"""),"كفر الشيخ")</f>
        <v>كفر الشيخ</v>
      </c>
      <c r="C2171" s="5" t="str">
        <f ca="1">IFERROR(__xludf.DUMMYFUNCTION("""COMPUTED_VALUE"""),"قلين")</f>
        <v>قلين</v>
      </c>
      <c r="D2171" s="5" t="str">
        <f ca="1">IFERROR(__xludf.DUMMYFUNCTION("""COMPUTED_VALUE"""),"هيئة الأطباء")</f>
        <v>هيئة الأطباء</v>
      </c>
      <c r="E2171" s="5" t="str">
        <f ca="1">IFERROR(__xludf.DUMMYFUNCTION("""COMPUTED_VALUE"""),"جراحة")</f>
        <v>جراحة</v>
      </c>
      <c r="F2171" s="5" t="str">
        <f ca="1">IFERROR(__xludf.DUMMYFUNCTION("""COMPUTED_VALUE"""),"جراحة عظام")</f>
        <v>جراحة عظام</v>
      </c>
      <c r="G2171" s="5" t="str">
        <f ca="1">IFERROR(__xludf.DUMMYFUNCTION("""COMPUTED_VALUE"""),"د/ محمد سعد عبدالعزيز بشته")</f>
        <v>د/ محمد سعد عبدالعزيز بشته</v>
      </c>
      <c r="H2171" s="5" t="str">
        <f ca="1">IFERROR(__xludf.DUMMYFUNCTION("""COMPUTED_VALUE"""),"قلين المحطة - مركز قلين - كفر الشيخ")</f>
        <v>قلين المحطة - مركز قلين - كفر الشيخ</v>
      </c>
      <c r="I2171" s="6" t="str">
        <f ca="1">IFERROR(__xludf.DUMMYFUNCTION("""COMPUTED_VALUE"""),"0473405026")</f>
        <v>0473405026</v>
      </c>
      <c r="J2171" s="6"/>
      <c r="K2171" s="6" t="str">
        <f ca="1">IFERROR(__xludf.DUMMYFUNCTION("""COMPUTED_VALUE"""),"25% علي الأسعار النقدي المعلنة")</f>
        <v>25% علي الأسعار النقدي المعلنة</v>
      </c>
    </row>
    <row r="2172" spans="1:11" x14ac:dyDescent="0.25">
      <c r="A2172" s="4" t="str">
        <f ca="1">IFERROR(__xludf.DUMMYFUNCTION("""COMPUTED_VALUE"""),"106652")</f>
        <v>106652</v>
      </c>
      <c r="B2172" s="5" t="str">
        <f ca="1">IFERROR(__xludf.DUMMYFUNCTION("""COMPUTED_VALUE"""),"الجيزة")</f>
        <v>الجيزة</v>
      </c>
      <c r="C2172" s="5" t="str">
        <f ca="1">IFERROR(__xludf.DUMMYFUNCTION("""COMPUTED_VALUE"""),"العياط")</f>
        <v>العياط</v>
      </c>
      <c r="D2172" s="5" t="str">
        <f ca="1">IFERROR(__xludf.DUMMYFUNCTION("""COMPUTED_VALUE"""),"مستشفى")</f>
        <v>مستشفى</v>
      </c>
      <c r="E2172" s="5" t="str">
        <f ca="1">IFERROR(__xludf.DUMMYFUNCTION("""COMPUTED_VALUE"""),"مستشفي طبي متخصص")</f>
        <v>مستشفي طبي متخصص</v>
      </c>
      <c r="F2172" s="5" t="str">
        <f ca="1">IFERROR(__xludf.DUMMYFUNCTION("""COMPUTED_VALUE"""),"جراحة عظام")</f>
        <v>جراحة عظام</v>
      </c>
      <c r="G2172" s="5" t="str">
        <f ca="1">IFERROR(__xludf.DUMMYFUNCTION("""COMPUTED_VALUE"""),"مركز اكنان لجراحة العظام و الكسور (محمد رفعت الحسيني محمد الدبس)")</f>
        <v>مركز اكنان لجراحة العظام و الكسور (محمد رفعت الحسيني محمد الدبس)</v>
      </c>
      <c r="H2172" s="5" t="str">
        <f ca="1">IFERROR(__xludf.DUMMYFUNCTION("""COMPUTED_VALUE"""),"30 ش الدبس من شارع الجيش - العياط - الجيزة")</f>
        <v>30 ش الدبس من شارع الجيش - العياط - الجيزة</v>
      </c>
      <c r="I2172" s="6" t="str">
        <f ca="1">IFERROR(__xludf.DUMMYFUNCTION("""COMPUTED_VALUE"""),"01223246946")</f>
        <v>01223246946</v>
      </c>
      <c r="J2172" s="6"/>
      <c r="K2172" s="6" t="str">
        <f ca="1">IFERROR(__xludf.DUMMYFUNCTION("""COMPUTED_VALUE"""),"30% علي الأسعار النقدي المعلنة")</f>
        <v>30% علي الأسعار النقدي المعلنة</v>
      </c>
    </row>
    <row r="2173" spans="1:11" x14ac:dyDescent="0.25">
      <c r="A2173" s="4" t="str">
        <f ca="1">IFERROR(__xludf.DUMMYFUNCTION("""COMPUTED_VALUE"""),"106653")</f>
        <v>106653</v>
      </c>
      <c r="B2173" s="5" t="str">
        <f ca="1">IFERROR(__xludf.DUMMYFUNCTION("""COMPUTED_VALUE"""),"الدقهلية")</f>
        <v>الدقهلية</v>
      </c>
      <c r="C2173" s="5" t="str">
        <f ca="1">IFERROR(__xludf.DUMMYFUNCTION("""COMPUTED_VALUE"""),"بلقاس")</f>
        <v>بلقاس</v>
      </c>
      <c r="D2173" s="5" t="str">
        <f ca="1">IFERROR(__xludf.DUMMYFUNCTION("""COMPUTED_VALUE"""),"هيئة الأطباء")</f>
        <v>هيئة الأطباء</v>
      </c>
      <c r="E2173" s="5" t="str">
        <f ca="1">IFERROR(__xludf.DUMMYFUNCTION("""COMPUTED_VALUE"""),"باطنة")</f>
        <v>باطنة</v>
      </c>
      <c r="F2173" s="5" t="str">
        <f ca="1">IFERROR(__xludf.DUMMYFUNCTION("""COMPUTED_VALUE"""),"قلب واوعية دموية")</f>
        <v>قلب واوعية دموية</v>
      </c>
      <c r="G2173" s="5" t="str">
        <f ca="1">IFERROR(__xludf.DUMMYFUNCTION("""COMPUTED_VALUE"""),"د/ جانيت كرم عوض الله")</f>
        <v>د/ جانيت كرم عوض الله</v>
      </c>
      <c r="H2173" s="5" t="str">
        <f ca="1">IFERROR(__xludf.DUMMYFUNCTION("""COMPUTED_VALUE"""),"بلقاس شارع الثورة بجوار بنك القاهرة - الدقهلية")</f>
        <v>بلقاس شارع الثورة بجوار بنك القاهرة - الدقهلية</v>
      </c>
      <c r="I2173" s="6" t="str">
        <f ca="1">IFERROR(__xludf.DUMMYFUNCTION("""COMPUTED_VALUE"""),"01224431224")</f>
        <v>01224431224</v>
      </c>
      <c r="J2173" s="6"/>
      <c r="K2173" s="6" t="str">
        <f ca="1">IFERROR(__xludf.DUMMYFUNCTION("""COMPUTED_VALUE"""),"30% علي الأسعار النقدي المعلنة")</f>
        <v>30% علي الأسعار النقدي المعلنة</v>
      </c>
    </row>
    <row r="2174" spans="1:11" x14ac:dyDescent="0.25">
      <c r="A2174" s="4" t="str">
        <f ca="1">IFERROR(__xludf.DUMMYFUNCTION("""COMPUTED_VALUE"""),"106654")</f>
        <v>106654</v>
      </c>
      <c r="B2174" s="5" t="str">
        <f ca="1">IFERROR(__xludf.DUMMYFUNCTION("""COMPUTED_VALUE"""),"البحيرة")</f>
        <v>البحيرة</v>
      </c>
      <c r="C2174" s="5" t="str">
        <f ca="1">IFERROR(__xludf.DUMMYFUNCTION("""COMPUTED_VALUE"""),"ايتاي البارود")</f>
        <v>ايتاي البارود</v>
      </c>
      <c r="D2174" s="5" t="str">
        <f ca="1">IFERROR(__xludf.DUMMYFUNCTION("""COMPUTED_VALUE"""),"مجمع عيادات")</f>
        <v>مجمع عيادات</v>
      </c>
      <c r="E2174" s="5" t="str">
        <f ca="1">IFERROR(__xludf.DUMMYFUNCTION("""COMPUTED_VALUE"""),"جميع التخصصات")</f>
        <v>جميع التخصصات</v>
      </c>
      <c r="F2174" s="5" t="str">
        <f ca="1">IFERROR(__xludf.DUMMYFUNCTION("""COMPUTED_VALUE"""),"جميع التخصصات الطبية")</f>
        <v>جميع التخصصات الطبية</v>
      </c>
      <c r="G2174" s="5" t="str">
        <f ca="1">IFERROR(__xludf.DUMMYFUNCTION("""COMPUTED_VALUE"""),"د/ ياسمين علي احمد علي (سمارت ميديكال كير)")</f>
        <v>د/ ياسمين علي احمد علي (سمارت ميديكال كير)</v>
      </c>
      <c r="H2174" s="5" t="str">
        <f ca="1">IFERROR(__xludf.DUMMYFUNCTION("""COMPUTED_VALUE"""),"شارع الجزائر - ايتاي البارود - البحيرة")</f>
        <v>شارع الجزائر - ايتاي البارود - البحيرة</v>
      </c>
      <c r="I2174" s="6" t="str">
        <f ca="1">IFERROR(__xludf.DUMMYFUNCTION("""COMPUTED_VALUE"""),"0640343045")</f>
        <v>0640343045</v>
      </c>
      <c r="J2174" s="6"/>
      <c r="K2174" s="6" t="str">
        <f ca="1">IFERROR(__xludf.DUMMYFUNCTION("""COMPUTED_VALUE"""),"30% علي الأسعار النقدي المعلنة")</f>
        <v>30% علي الأسعار النقدي المعلنة</v>
      </c>
    </row>
    <row r="2175" spans="1:11" x14ac:dyDescent="0.25">
      <c r="A2175" s="4" t="str">
        <f ca="1">IFERROR(__xludf.DUMMYFUNCTION("""COMPUTED_VALUE"""),"106656")</f>
        <v>106656</v>
      </c>
      <c r="B2175" s="5" t="str">
        <f ca="1">IFERROR(__xludf.DUMMYFUNCTION("""COMPUTED_VALUE"""),"الاسكندرية")</f>
        <v>الاسكندرية</v>
      </c>
      <c r="C2175" s="5" t="str">
        <f ca="1">IFERROR(__xludf.DUMMYFUNCTION("""COMPUTED_VALUE"""),"محرم بيك")</f>
        <v>محرم بيك</v>
      </c>
      <c r="D2175" s="5" t="str">
        <f ca="1">IFERROR(__xludf.DUMMYFUNCTION("""COMPUTED_VALUE"""),"هيئة الأطباء")</f>
        <v>هيئة الأطباء</v>
      </c>
      <c r="E2175" s="5" t="str">
        <f ca="1">IFERROR(__xludf.DUMMYFUNCTION("""COMPUTED_VALUE"""),"اسنان")</f>
        <v>اسنان</v>
      </c>
      <c r="F2175" s="5" t="str">
        <f ca="1">IFERROR(__xludf.DUMMYFUNCTION("""COMPUTED_VALUE"""),"جراحة الفم والأسنان")</f>
        <v>جراحة الفم والأسنان</v>
      </c>
      <c r="G2175" s="5" t="str">
        <f ca="1">IFERROR(__xludf.DUMMYFUNCTION("""COMPUTED_VALUE"""),"د/ اسماعيل عبد المطلب اسماعيل عبد القادر")</f>
        <v>د/ اسماعيل عبد المطلب اسماعيل عبد القادر</v>
      </c>
      <c r="H2175" s="5" t="str">
        <f ca="1">IFERROR(__xludf.DUMMYFUNCTION("""COMPUTED_VALUE"""),"7 شارع الأمير عمر - محرم بك - الأسكندرية")</f>
        <v>7 شارع الأمير عمر - محرم بك - الأسكندرية</v>
      </c>
      <c r="I2175" s="6" t="str">
        <f ca="1">IFERROR(__xludf.DUMMYFUNCTION("""COMPUTED_VALUE"""),"034211042")</f>
        <v>034211042</v>
      </c>
      <c r="J2175" s="6"/>
      <c r="K2175" s="6" t="str">
        <f ca="1">IFERROR(__xludf.DUMMYFUNCTION("""COMPUTED_VALUE"""),"30% علي الأسعار النقدي المعلنة")</f>
        <v>30% علي الأسعار النقدي المعلنة</v>
      </c>
    </row>
    <row r="2176" spans="1:11" x14ac:dyDescent="0.25">
      <c r="A2176" s="4" t="str">
        <f ca="1">IFERROR(__xludf.DUMMYFUNCTION("""COMPUTED_VALUE"""),"106658")</f>
        <v>106658</v>
      </c>
      <c r="B2176" s="5" t="str">
        <f ca="1">IFERROR(__xludf.DUMMYFUNCTION("""COMPUTED_VALUE"""),"الاسكندرية")</f>
        <v>الاسكندرية</v>
      </c>
      <c r="C2176" s="5" t="str">
        <f ca="1">IFERROR(__xludf.DUMMYFUNCTION("""COMPUTED_VALUE"""),"سيدي جابر")</f>
        <v>سيدي جابر</v>
      </c>
      <c r="D2176" s="5" t="str">
        <f ca="1">IFERROR(__xludf.DUMMYFUNCTION("""COMPUTED_VALUE"""),"مستشفى")</f>
        <v>مستشفى</v>
      </c>
      <c r="E2176" s="5" t="str">
        <f ca="1">IFERROR(__xludf.DUMMYFUNCTION("""COMPUTED_VALUE"""),"مستشفي طبي متخصص")</f>
        <v>مستشفي طبي متخصص</v>
      </c>
      <c r="F2176" s="5" t="str">
        <f ca="1">IFERROR(__xludf.DUMMYFUNCTION("""COMPUTED_VALUE"""),"مركز أورام")</f>
        <v>مركز أورام</v>
      </c>
      <c r="G2176" s="5" t="str">
        <f ca="1">IFERROR(__xludf.DUMMYFUNCTION("""COMPUTED_VALUE"""),"شركة مركز ترياق لعلاج الأورام ش.ذ.م.م")</f>
        <v>شركة مركز ترياق لعلاج الأورام ش.ذ.م.م</v>
      </c>
      <c r="H2176" s="5" t="str">
        <f ca="1">IFERROR(__xludf.DUMMYFUNCTION("""COMPUTED_VALUE"""),"247 طريق الحرية شقة 28 الدور السادس سبورتنج سيدي جابر - الأسكندرية")</f>
        <v>247 طريق الحرية شقة 28 الدور السادس سبورتنج سيدي جابر - الأسكندرية</v>
      </c>
      <c r="I2176" s="6" t="str">
        <f ca="1">IFERROR(__xludf.DUMMYFUNCTION("""COMPUTED_VALUE"""),"034294449")</f>
        <v>034294449</v>
      </c>
      <c r="J2176" s="6"/>
      <c r="K2176" s="6" t="str">
        <f ca="1">IFERROR(__xludf.DUMMYFUNCTION("""COMPUTED_VALUE"""),"20% علي الأسعار النقدي المعلنة")</f>
        <v>20% علي الأسعار النقدي المعلنة</v>
      </c>
    </row>
    <row r="2177" spans="1:11" x14ac:dyDescent="0.25">
      <c r="A2177" s="4" t="str">
        <f ca="1">IFERROR(__xludf.DUMMYFUNCTION("""COMPUTED_VALUE"""),"106659")</f>
        <v>106659</v>
      </c>
      <c r="B2177" s="5" t="str">
        <f ca="1">IFERROR(__xludf.DUMMYFUNCTION("""COMPUTED_VALUE"""),"البحيرة")</f>
        <v>البحيرة</v>
      </c>
      <c r="C2177" s="5" t="str">
        <f ca="1">IFERROR(__xludf.DUMMYFUNCTION("""COMPUTED_VALUE"""),"دمنهور")</f>
        <v>دمنهور</v>
      </c>
      <c r="D2177" s="5" t="str">
        <f ca="1">IFERROR(__xludf.DUMMYFUNCTION("""COMPUTED_VALUE"""),"مستشفى")</f>
        <v>مستشفى</v>
      </c>
      <c r="E2177" s="5" t="str">
        <f ca="1">IFERROR(__xludf.DUMMYFUNCTION("""COMPUTED_VALUE"""),"مستشفي طبي متكامل")</f>
        <v>مستشفي طبي متكامل</v>
      </c>
      <c r="F2177" s="5" t="str">
        <f ca="1">IFERROR(__xludf.DUMMYFUNCTION("""COMPUTED_VALUE"""),"جميع التخصصات الطبية")</f>
        <v>جميع التخصصات الطبية</v>
      </c>
      <c r="G2177" s="5" t="str">
        <f ca="1">IFERROR(__xludf.DUMMYFUNCTION("""COMPUTED_VALUE"""),"مستشفى دار الأمومه دمنهور")</f>
        <v>مستشفى دار الأمومه دمنهور</v>
      </c>
      <c r="H2177" s="5" t="str">
        <f ca="1">IFERROR(__xludf.DUMMYFUNCTION("""COMPUTED_VALUE"""),"اتحاد ملاك برج الهنا السكني شارع 26 م خلف النادي - دمنهور - البحيرة")</f>
        <v>اتحاد ملاك برج الهنا السكني شارع 26 م خلف النادي - دمنهور - البحيرة</v>
      </c>
      <c r="I2177" s="6" t="str">
        <f ca="1">IFERROR(__xludf.DUMMYFUNCTION("""COMPUTED_VALUE"""),"0453340040")</f>
        <v>0453340040</v>
      </c>
      <c r="J2177" s="6"/>
      <c r="K2177" s="6" t="str">
        <f ca="1">IFERROR(__xludf.DUMMYFUNCTION("""COMPUTED_VALUE"""),"25% علي الأسعار النقدي المعلنة")</f>
        <v>25% علي الأسعار النقدي المعلنة</v>
      </c>
    </row>
    <row r="2178" spans="1:11" x14ac:dyDescent="0.25">
      <c r="A2178" s="4" t="str">
        <f ca="1">IFERROR(__xludf.DUMMYFUNCTION("""COMPUTED_VALUE"""),"106661")</f>
        <v>106661</v>
      </c>
      <c r="B2178" s="5" t="str">
        <f ca="1">IFERROR(__xludf.DUMMYFUNCTION("""COMPUTED_VALUE"""),"الجيزة")</f>
        <v>الجيزة</v>
      </c>
      <c r="C2178" s="5" t="str">
        <f ca="1">IFERROR(__xludf.DUMMYFUNCTION("""COMPUTED_VALUE"""),"العياط")</f>
        <v>العياط</v>
      </c>
      <c r="D2178" s="5" t="str">
        <f ca="1">IFERROR(__xludf.DUMMYFUNCTION("""COMPUTED_VALUE"""),"صيدلية")</f>
        <v>صيدلية</v>
      </c>
      <c r="E2178" s="5" t="str">
        <f ca="1">IFERROR(__xludf.DUMMYFUNCTION("""COMPUTED_VALUE"""),"صيدلية")</f>
        <v>صيدلية</v>
      </c>
      <c r="F2178" s="5" t="str">
        <f ca="1">IFERROR(__xludf.DUMMYFUNCTION("""COMPUTED_VALUE"""),"صيدلية (أدوية ومستلزمات طبية)")</f>
        <v>صيدلية (أدوية ومستلزمات طبية)</v>
      </c>
      <c r="G2178" s="5" t="str">
        <f ca="1">IFERROR(__xludf.DUMMYFUNCTION("""COMPUTED_VALUE"""),"صيدلية د/ محمد علاء الدين عبد العزيز يونس")</f>
        <v>صيدلية د/ محمد علاء الدين عبد العزيز يونس</v>
      </c>
      <c r="H2178" s="5" t="str">
        <f ca="1">IFERROR(__xludf.DUMMYFUNCTION("""COMPUTED_VALUE"""),"شارع الجيش - العياط -الجيزة")</f>
        <v>شارع الجيش - العياط -الجيزة</v>
      </c>
      <c r="I2178" s="6" t="str">
        <f ca="1">IFERROR(__xludf.DUMMYFUNCTION("""COMPUTED_VALUE"""),"01119886583")</f>
        <v>01119886583</v>
      </c>
      <c r="J2178" s="6"/>
      <c r="K2178" s="6" t="str">
        <f ca="1">IFERROR(__xludf.DUMMYFUNCTION("""COMPUTED_VALUE"""),"خصم 14% علي المحلي و 7% علي المستورد")</f>
        <v>خصم 14% علي المحلي و 7% علي المستورد</v>
      </c>
    </row>
    <row r="2179" spans="1:11" x14ac:dyDescent="0.25">
      <c r="A2179" s="4" t="str">
        <f ca="1">IFERROR(__xludf.DUMMYFUNCTION("""COMPUTED_VALUE"""),"106663")</f>
        <v>106663</v>
      </c>
      <c r="B2179" s="5" t="str">
        <f ca="1">IFERROR(__xludf.DUMMYFUNCTION("""COMPUTED_VALUE"""),"الجيزة")</f>
        <v>الجيزة</v>
      </c>
      <c r="C2179" s="5" t="str">
        <f ca="1">IFERROR(__xludf.DUMMYFUNCTION("""COMPUTED_VALUE"""),"الدقي")</f>
        <v>الدقي</v>
      </c>
      <c r="D2179" s="5" t="str">
        <f ca="1">IFERROR(__xludf.DUMMYFUNCTION("""COMPUTED_VALUE"""),"صيدلية")</f>
        <v>صيدلية</v>
      </c>
      <c r="E2179" s="5" t="str">
        <f ca="1">IFERROR(__xludf.DUMMYFUNCTION("""COMPUTED_VALUE"""),"صيدلية")</f>
        <v>صيدلية</v>
      </c>
      <c r="F2179" s="5" t="str">
        <f ca="1">IFERROR(__xludf.DUMMYFUNCTION("""COMPUTED_VALUE"""),"صيدلية (أدوية ومستلزمات طبية)")</f>
        <v>صيدلية (أدوية ومستلزمات طبية)</v>
      </c>
      <c r="G2179" s="5" t="str">
        <f ca="1">IFERROR(__xludf.DUMMYFUNCTION("""COMPUTED_VALUE"""),"سي اتش جي للمستشفيات (صيدلية مستشفي الكاتب)")</f>
        <v>سي اتش جي للمستشفيات (صيدلية مستشفي الكاتب)</v>
      </c>
      <c r="H2179" s="5" t="str">
        <f ca="1">IFERROR(__xludf.DUMMYFUNCTION("""COMPUTED_VALUE"""),"17 شارع الدكتور عبدالله الكاتب - مستشفي الكاتب الدقي")</f>
        <v>17 شارع الدكتور عبدالله الكاتب - مستشفي الكاتب الدقي</v>
      </c>
      <c r="I2179" s="6" t="str">
        <f ca="1">IFERROR(__xludf.DUMMYFUNCTION("""COMPUTED_VALUE"""),"0131758356")</f>
        <v>0131758356</v>
      </c>
      <c r="J2179" s="6" t="str">
        <f ca="1">IFERROR(__xludf.DUMMYFUNCTION("""COMPUTED_VALUE"""),"19668")</f>
        <v>19668</v>
      </c>
      <c r="K2179" s="6" t="str">
        <f ca="1">IFERROR(__xludf.DUMMYFUNCTION("""COMPUTED_VALUE"""),"خصم 7% علي المحلي و 2% علي المستورد")</f>
        <v>خصم 7% علي المحلي و 2% علي المستورد</v>
      </c>
    </row>
    <row r="2180" spans="1:11" x14ac:dyDescent="0.25">
      <c r="A2180" s="4" t="str">
        <f ca="1">IFERROR(__xludf.DUMMYFUNCTION("""COMPUTED_VALUE"""),"106664")</f>
        <v>106664</v>
      </c>
      <c r="B2180" s="5" t="str">
        <f ca="1">IFERROR(__xludf.DUMMYFUNCTION("""COMPUTED_VALUE"""),"القاهرة")</f>
        <v>القاهرة</v>
      </c>
      <c r="C2180" s="5" t="str">
        <f ca="1">IFERROR(__xludf.DUMMYFUNCTION("""COMPUTED_VALUE"""),"القاهرة الجديدة")</f>
        <v>القاهرة الجديدة</v>
      </c>
      <c r="D2180" s="5" t="str">
        <f ca="1">IFERROR(__xludf.DUMMYFUNCTION("""COMPUTED_VALUE"""),"صيدلية")</f>
        <v>صيدلية</v>
      </c>
      <c r="E2180" s="5" t="str">
        <f ca="1">IFERROR(__xludf.DUMMYFUNCTION("""COMPUTED_VALUE"""),"صيدلية")</f>
        <v>صيدلية</v>
      </c>
      <c r="F2180" s="5" t="str">
        <f ca="1">IFERROR(__xludf.DUMMYFUNCTION("""COMPUTED_VALUE"""),"صيدلية (أدوية ومستلزمات طبية)")</f>
        <v>صيدلية (أدوية ومستلزمات طبية)</v>
      </c>
      <c r="G2180" s="5" t="str">
        <f ca="1">IFERROR(__xludf.DUMMYFUNCTION("""COMPUTED_VALUE"""),"شركة ايجيبت ويلكير (صيدلية مستشفي شفا التخصصي)")</f>
        <v>شركة ايجيبت ويلكير (صيدلية مستشفي شفا التخصصي)</v>
      </c>
      <c r="H2180" s="5" t="str">
        <f ca="1">IFERROR(__xludf.DUMMYFUNCTION("""COMPUTED_VALUE"""),"القطاع الأول مركز المدينة شارع التسعين الشمالي - التجمع الخامس - القاهرة الجديدة")</f>
        <v>القطاع الأول مركز المدينة شارع التسعين الشمالي - التجمع الخامس - القاهرة الجديدة</v>
      </c>
      <c r="I2180" s="6"/>
      <c r="J2180" s="6" t="str">
        <f ca="1">IFERROR(__xludf.DUMMYFUNCTION("""COMPUTED_VALUE"""),"15051")</f>
        <v>15051</v>
      </c>
      <c r="K2180" s="6" t="str">
        <f ca="1">IFERROR(__xludf.DUMMYFUNCTION("""COMPUTED_VALUE"""),"خصم 13% علي المحلي و 6% علي المستورد")</f>
        <v>خصم 13% علي المحلي و 6% علي المستورد</v>
      </c>
    </row>
    <row r="2181" spans="1:11" x14ac:dyDescent="0.25">
      <c r="A2181" s="4" t="str">
        <f ca="1">IFERROR(__xludf.DUMMYFUNCTION("""COMPUTED_VALUE"""),"106665")</f>
        <v>106665</v>
      </c>
      <c r="B2181" s="5" t="str">
        <f ca="1">IFERROR(__xludf.DUMMYFUNCTION("""COMPUTED_VALUE"""),"الدقهلية")</f>
        <v>الدقهلية</v>
      </c>
      <c r="C2181" s="5" t="str">
        <f ca="1">IFERROR(__xludf.DUMMYFUNCTION("""COMPUTED_VALUE"""),"أجا")</f>
        <v>أجا</v>
      </c>
      <c r="D2181" s="5" t="str">
        <f ca="1">IFERROR(__xludf.DUMMYFUNCTION("""COMPUTED_VALUE"""),"مستشفى")</f>
        <v>مستشفى</v>
      </c>
      <c r="E2181" s="5" t="str">
        <f ca="1">IFERROR(__xludf.DUMMYFUNCTION("""COMPUTED_VALUE"""),"مستشفي طبي متكامل")</f>
        <v>مستشفي طبي متكامل</v>
      </c>
      <c r="F2181" s="5" t="str">
        <f ca="1">IFERROR(__xludf.DUMMYFUNCTION("""COMPUTED_VALUE"""),"جميع التخصصات الطبية")</f>
        <v>جميع التخصصات الطبية</v>
      </c>
      <c r="G2181" s="5" t="str">
        <f ca="1">IFERROR(__xludf.DUMMYFUNCTION("""COMPUTED_VALUE"""),"الماسه للمستشفيات و المنشات الطبيه (مستشفي الماسه التخصصي)")</f>
        <v>الماسه للمستشفيات و المنشات الطبيه (مستشفي الماسه التخصصي)</v>
      </c>
      <c r="H2181" s="5" t="str">
        <f ca="1">IFERROR(__xludf.DUMMYFUNCTION("""COMPUTED_VALUE"""),"شارع الوحده العربيه - اجا - الدقهلية")</f>
        <v>شارع الوحده العربيه - اجا - الدقهلية</v>
      </c>
      <c r="I2181" s="6" t="str">
        <f ca="1">IFERROR(__xludf.DUMMYFUNCTION("""COMPUTED_VALUE"""),"0504444606")</f>
        <v>0504444606</v>
      </c>
      <c r="J2181" s="6"/>
      <c r="K2181" s="6" t="str">
        <f ca="1">IFERROR(__xludf.DUMMYFUNCTION("""COMPUTED_VALUE"""),"25% علي الأسعار النقدي المعلنة")</f>
        <v>25% علي الأسعار النقدي المعلنة</v>
      </c>
    </row>
    <row r="2182" spans="1:11" x14ac:dyDescent="0.25">
      <c r="A2182" s="4" t="str">
        <f ca="1">IFERROR(__xludf.DUMMYFUNCTION("""COMPUTED_VALUE"""),"106564-B")</f>
        <v>106564-B</v>
      </c>
      <c r="B2182" s="5" t="str">
        <f ca="1">IFERROR(__xludf.DUMMYFUNCTION("""COMPUTED_VALUE"""),"القاهرة")</f>
        <v>القاهرة</v>
      </c>
      <c r="C2182" s="5" t="str">
        <f ca="1">IFERROR(__xludf.DUMMYFUNCTION("""COMPUTED_VALUE"""),"مدينة نصر")</f>
        <v>مدينة نصر</v>
      </c>
      <c r="D2182" s="5" t="str">
        <f ca="1">IFERROR(__xludf.DUMMYFUNCTION("""COMPUTED_VALUE"""),"مستشفى")</f>
        <v>مستشفى</v>
      </c>
      <c r="E2182" s="5" t="str">
        <f ca="1">IFERROR(__xludf.DUMMYFUNCTION("""COMPUTED_VALUE"""),"مستشفي طبي متخصص")</f>
        <v>مستشفي طبي متخصص</v>
      </c>
      <c r="F2182" s="5" t="str">
        <f ca="1">IFERROR(__xludf.DUMMYFUNCTION("""COMPUTED_VALUE"""),"رمد (جراحة عيون)")</f>
        <v>رمد (جراحة عيون)</v>
      </c>
      <c r="G2182" s="5" t="str">
        <f ca="1">IFERROR(__xludf.DUMMYFUNCTION("""COMPUTED_VALUE"""),"مركز الزمبيلى للعيون")</f>
        <v>مركز الزمبيلى للعيون</v>
      </c>
      <c r="H2182" s="5" t="str">
        <f ca="1">IFERROR(__xludf.DUMMYFUNCTION("""COMPUTED_VALUE"""),"38 ش مكرم عبيد بجوار عماره الضرائب")</f>
        <v>38 ش مكرم عبيد بجوار عماره الضرائب</v>
      </c>
      <c r="I2182" s="6" t="str">
        <f ca="1">IFERROR(__xludf.DUMMYFUNCTION("""COMPUTED_VALUE"""),"01122699899")</f>
        <v>01122699899</v>
      </c>
      <c r="J2182" s="6"/>
      <c r="K2182" s="6" t="str">
        <f ca="1">IFERROR(__xludf.DUMMYFUNCTION("""COMPUTED_VALUE"""),"خصم 30% علي الكشف و 25% علي باقي الخدمات 
")</f>
        <v xml:space="preserve">خصم 30% علي الكشف و 25% علي باقي الخدمات 
</v>
      </c>
    </row>
    <row r="2183" spans="1:11" x14ac:dyDescent="0.25">
      <c r="A2183" s="4" t="str">
        <f ca="1">IFERROR(__xludf.DUMMYFUNCTION("""COMPUTED_VALUE"""),"104177-B")</f>
        <v>104177-B</v>
      </c>
      <c r="B2183" s="5" t="str">
        <f ca="1">IFERROR(__xludf.DUMMYFUNCTION("""COMPUTED_VALUE"""),"البحر الاحمر")</f>
        <v>البحر الاحمر</v>
      </c>
      <c r="C2183" s="5" t="str">
        <f ca="1">IFERROR(__xludf.DUMMYFUNCTION("""COMPUTED_VALUE"""),"الغردقة")</f>
        <v>الغردقة</v>
      </c>
      <c r="D2183" s="5" t="str">
        <f ca="1">IFERROR(__xludf.DUMMYFUNCTION("""COMPUTED_VALUE"""),"مستشفى")</f>
        <v>مستشفى</v>
      </c>
      <c r="E2183" s="5" t="str">
        <f ca="1">IFERROR(__xludf.DUMMYFUNCTION("""COMPUTED_VALUE"""),"مستشفي طبي متخصص")</f>
        <v>مستشفي طبي متخصص</v>
      </c>
      <c r="F2183" s="5" t="str">
        <f ca="1">IFERROR(__xludf.DUMMYFUNCTION("""COMPUTED_VALUE"""),"رمد (جراحة عيون)")</f>
        <v>رمد (جراحة عيون)</v>
      </c>
      <c r="G2183" s="5" t="str">
        <f ca="1">IFERROR(__xludf.DUMMYFUNCTION("""COMPUTED_VALUE"""),"مستشفى الوطني للعيون")</f>
        <v>مستشفى الوطني للعيون</v>
      </c>
      <c r="H2183" s="5" t="str">
        <f ca="1">IFERROR(__xludf.DUMMYFUNCTION("""COMPUTED_VALUE"""),"شارع النصر طريق المطار")</f>
        <v>شارع النصر طريق المطار</v>
      </c>
      <c r="I2183" s="6" t="str">
        <f ca="1">IFERROR(__xludf.DUMMYFUNCTION("""COMPUTED_VALUE"""),"20226206117")</f>
        <v>20226206117</v>
      </c>
      <c r="J2183" s="6"/>
      <c r="K2183" s="6" t="str">
        <f ca="1">IFERROR(__xludf.DUMMYFUNCTION("""COMPUTED_VALUE"""),"18% علي الأسعار النقدي المعلنه")</f>
        <v>18% علي الأسعار النقدي المعلنه</v>
      </c>
    </row>
    <row r="2184" spans="1:11" x14ac:dyDescent="0.25">
      <c r="A2184" s="4" t="str">
        <f ca="1">IFERROR(__xludf.DUMMYFUNCTION("""COMPUTED_VALUE"""),"106672")</f>
        <v>106672</v>
      </c>
      <c r="B2184" s="5" t="str">
        <f ca="1">IFERROR(__xludf.DUMMYFUNCTION("""COMPUTED_VALUE"""),"الاسكندرية")</f>
        <v>الاسكندرية</v>
      </c>
      <c r="C2184" s="5" t="str">
        <f ca="1">IFERROR(__xludf.DUMMYFUNCTION("""COMPUTED_VALUE"""),"سموحة")</f>
        <v>سموحة</v>
      </c>
      <c r="D2184" s="5" t="str">
        <f ca="1">IFERROR(__xludf.DUMMYFUNCTION("""COMPUTED_VALUE"""),"مستشفى")</f>
        <v>مستشفى</v>
      </c>
      <c r="E2184" s="5" t="str">
        <f ca="1">IFERROR(__xludf.DUMMYFUNCTION("""COMPUTED_VALUE"""),"مستشفي طبي متخصص")</f>
        <v>مستشفي طبي متخصص</v>
      </c>
      <c r="F2184" s="5" t="str">
        <f ca="1">IFERROR(__xludf.DUMMYFUNCTION("""COMPUTED_VALUE"""),"مركز أورام")</f>
        <v>مركز أورام</v>
      </c>
      <c r="G2184" s="5" t="str">
        <f ca="1">IFERROR(__xludf.DUMMYFUNCTION("""COMPUTED_VALUE"""),"شركه المجموعه العلميه الاحترافيه للاورام سبوت ش.ذ.م.م")</f>
        <v>شركه المجموعه العلميه الاحترافيه للاورام سبوت ش.ذ.م.م</v>
      </c>
      <c r="H2184" s="5" t="str">
        <f ca="1">IFERROR(__xludf.DUMMYFUNCTION("""COMPUTED_VALUE"""),"الوحدة رقم 102 بالدور الأول عمارة رقم 4 عمارات دلتا - سموحه - الاسكندريه")</f>
        <v>الوحدة رقم 102 بالدور الأول عمارة رقم 4 عمارات دلتا - سموحه - الاسكندريه</v>
      </c>
      <c r="I2184" s="6" t="str">
        <f ca="1">IFERROR(__xludf.DUMMYFUNCTION("""COMPUTED_VALUE"""),"034238100")</f>
        <v>034238100</v>
      </c>
      <c r="J2184" s="6"/>
      <c r="K2184" s="6" t="str">
        <f ca="1">IFERROR(__xludf.DUMMYFUNCTION("""COMPUTED_VALUE"""),"خصم 20% علي الاسعار النقدي")</f>
        <v>خصم 20% علي الاسعار النقدي</v>
      </c>
    </row>
    <row r="2185" spans="1:11" x14ac:dyDescent="0.25">
      <c r="A2185" s="4" t="str">
        <f ca="1">IFERROR(__xludf.DUMMYFUNCTION("""COMPUTED_VALUE"""),"106624")</f>
        <v>106624</v>
      </c>
      <c r="B2185" s="5" t="str">
        <f ca="1">IFERROR(__xludf.DUMMYFUNCTION("""COMPUTED_VALUE"""),"الجيزة")</f>
        <v>الجيزة</v>
      </c>
      <c r="C2185" s="5" t="str">
        <f ca="1">IFERROR(__xludf.DUMMYFUNCTION("""COMPUTED_VALUE"""),"السادس من اكتوبر")</f>
        <v>السادس من اكتوبر</v>
      </c>
      <c r="D2185" s="5" t="str">
        <f ca="1">IFERROR(__xludf.DUMMYFUNCTION("""COMPUTED_VALUE"""),"مستشفى")</f>
        <v>مستشفى</v>
      </c>
      <c r="E2185" s="5" t="str">
        <f ca="1">IFERROR(__xludf.DUMMYFUNCTION("""COMPUTED_VALUE"""),"مستشفي طبي متكامل")</f>
        <v>مستشفي طبي متكامل</v>
      </c>
      <c r="F2185" s="5" t="str">
        <f ca="1">IFERROR(__xludf.DUMMYFUNCTION("""COMPUTED_VALUE"""),"جميع التخصصات الطبية")</f>
        <v>جميع التخصصات الطبية</v>
      </c>
      <c r="G2185" s="5" t="str">
        <f ca="1">IFERROR(__xludf.DUMMYFUNCTION("""COMPUTED_VALUE"""),"مستشفي كليوباترا هيفن")</f>
        <v>مستشفي كليوباترا هيفن</v>
      </c>
      <c r="H2185" s="5" t="str">
        <f ca="1">IFERROR(__xludf.DUMMYFUNCTION("""COMPUTED_VALUE"""),"قطعة 50 المحور المركزي - مدينة 6 أكتوبر - الجيزة")</f>
        <v>قطعة 50 المحور المركزي - مدينة 6 أكتوبر - الجيزة</v>
      </c>
      <c r="I2185" s="6"/>
      <c r="J2185" s="6" t="str">
        <f ca="1">IFERROR(__xludf.DUMMYFUNCTION("""COMPUTED_VALUE"""),"19668")</f>
        <v>19668</v>
      </c>
      <c r="K2185" s="6" t="str">
        <f ca="1">IFERROR(__xludf.DUMMYFUNCTION("""COMPUTED_VALUE"""),"35% علي خدمات العيادات الخارجية و خدمات الطوارئ و 35% علي خدمات المعمل و الأشعة بالقسم الخارجي والعلاج الطبيعي، نسبة خصم 25% علي اتعاب الأطباء و الاقامات و نسبة خصم قدرها 25% علي خدمات القسم الداخلي تطبق علي الأسعار النقدي المعلنة. لا يتم تطبيق نسبة الخصم"&amp;" علي الادوية و المستلزمات ، الاجهزة الطبيه و الغازات ، وحده الكلي الصناعي، وحده العلاج الاشعاعي - الاتفقيات الشاملة ، المناظير، الدمغه و القسطرة المخية و القلبية ، خدمات بنك الدم ، معمل الانسجه، الاسعاف، و الخدمات التي تؤدي خارج المستشفي ، 15% خدمه)")</f>
        <v>35% علي خدمات العيادات الخارجية و خدمات الطوارئ و 35% علي خدمات المعمل و الأشعة بالقسم الخارجي والعلاج الطبيعي، نسبة خصم 25% علي اتعاب الأطباء و الاقامات و نسبة خصم قدرها 25% علي خدمات القسم الداخلي تطبق علي الأسعار النقدي المعلنة. لا يتم تطبيق نسبة الخصم علي الادوية و المستلزمات ، الاجهزة الطبيه و الغازات ، وحده الكلي الصناعي، وحده العلاج الاشعاعي - الاتفقيات الشاملة ، المناظير، الدمغه و القسطرة المخية و القلبية ، خدمات بنك الدم ، معمل الانسجه، الاسعاف، و الخدمات التي تؤدي خارج المستشفي ، 15% خدمه)</v>
      </c>
    </row>
    <row r="2186" spans="1:11" x14ac:dyDescent="0.25">
      <c r="A2186" s="4" t="str">
        <f ca="1">IFERROR(__xludf.DUMMYFUNCTION("""COMPUTED_VALUE"""),"105618-B")</f>
        <v>105618-B</v>
      </c>
      <c r="B2186" s="5" t="str">
        <f ca="1">IFERROR(__xludf.DUMMYFUNCTION("""COMPUTED_VALUE"""),"القاهرة")</f>
        <v>القاهرة</v>
      </c>
      <c r="C2186" s="5" t="str">
        <f ca="1">IFERROR(__xludf.DUMMYFUNCTION("""COMPUTED_VALUE"""),"مدينة نصر")</f>
        <v>مدينة نصر</v>
      </c>
      <c r="D2186" s="5" t="str">
        <f ca="1">IFERROR(__xludf.DUMMYFUNCTION("""COMPUTED_VALUE"""),"هيئة الأطباء")</f>
        <v>هيئة الأطباء</v>
      </c>
      <c r="E2186" s="5" t="str">
        <f ca="1">IFERROR(__xludf.DUMMYFUNCTION("""COMPUTED_VALUE"""),"اسنان")</f>
        <v>اسنان</v>
      </c>
      <c r="F2186" s="5" t="str">
        <f ca="1">IFERROR(__xludf.DUMMYFUNCTION("""COMPUTED_VALUE"""),"جراحة الفم والأسنان")</f>
        <v>جراحة الفم والأسنان</v>
      </c>
      <c r="G2186" s="5" t="str">
        <f ca="1">IFERROR(__xludf.DUMMYFUNCTION("""COMPUTED_VALUE"""),"د/ محمد عبدالمعطى محمد عبدالمعطى طيبه (امريكان دنتال كير)")</f>
        <v>د/ محمد عبدالمعطى محمد عبدالمعطى طيبه (امريكان دنتال كير)</v>
      </c>
      <c r="H2186" s="5" t="str">
        <f ca="1">IFERROR(__xludf.DUMMYFUNCTION("""COMPUTED_VALUE"""),"19مكرم عبيد- مدينه نصر -الدور الرابع")</f>
        <v>19مكرم عبيد- مدينه نصر -الدور الرابع</v>
      </c>
      <c r="I2186" s="6" t="str">
        <f ca="1">IFERROR(__xludf.DUMMYFUNCTION("""COMPUTED_VALUE"""),"01020036333")</f>
        <v>01020036333</v>
      </c>
      <c r="J2186" s="6"/>
      <c r="K2186" s="6" t="str">
        <f ca="1">IFERROR(__xludf.DUMMYFUNCTION("""COMPUTED_VALUE"""),"50%على الكشوفات ,20% على الإجراءات ,15% على التركيبات ,10%على الزراعات")</f>
        <v>50%على الكشوفات ,20% على الإجراءات ,15% على التركيبات ,10%على الزراعات</v>
      </c>
    </row>
    <row r="2187" spans="1:11" x14ac:dyDescent="0.25">
      <c r="A2187" s="4" t="str">
        <f ca="1">IFERROR(__xludf.DUMMYFUNCTION("""COMPUTED_VALUE"""),"106676")</f>
        <v>106676</v>
      </c>
      <c r="B2187" s="5" t="str">
        <f ca="1">IFERROR(__xludf.DUMMYFUNCTION("""COMPUTED_VALUE"""),"الدقهلية")</f>
        <v>الدقهلية</v>
      </c>
      <c r="C2187" s="5" t="str">
        <f ca="1">IFERROR(__xludf.DUMMYFUNCTION("""COMPUTED_VALUE"""),"المنصورة")</f>
        <v>المنصورة</v>
      </c>
      <c r="D2187" s="5" t="str">
        <f ca="1">IFERROR(__xludf.DUMMYFUNCTION("""COMPUTED_VALUE"""),"مستشفى")</f>
        <v>مستشفى</v>
      </c>
      <c r="E2187" s="5" t="str">
        <f ca="1">IFERROR(__xludf.DUMMYFUNCTION("""COMPUTED_VALUE"""),"مستشفي طبي متخصص")</f>
        <v>مستشفي طبي متخصص</v>
      </c>
      <c r="F2187" s="5" t="str">
        <f ca="1">IFERROR(__xludf.DUMMYFUNCTION("""COMPUTED_VALUE"""),"قلب واوعية دموية")</f>
        <v>قلب واوعية دموية</v>
      </c>
      <c r="G2187" s="5" t="str">
        <f ca="1">IFERROR(__xludf.DUMMYFUNCTION("""COMPUTED_VALUE"""),"رءوف محمد احمد مهران و شركاه (مركز جلوري لقسطرة القلب)")</f>
        <v>رءوف محمد احمد مهران و شركاه (مركز جلوري لقسطرة القلب)</v>
      </c>
      <c r="H2187" s="5" t="str">
        <f ca="1">IFERROR(__xludf.DUMMYFUNCTION("""COMPUTED_VALUE"""),"مبني جمعية رعاية مرضي الكبد بقولونجيل - المنصورة - الدقهلية")</f>
        <v>مبني جمعية رعاية مرضي الكبد بقولونجيل - المنصورة - الدقهلية</v>
      </c>
      <c r="I2187" s="6" t="str">
        <f ca="1">IFERROR(__xludf.DUMMYFUNCTION("""COMPUTED_VALUE"""),"0509801599")</f>
        <v>0509801599</v>
      </c>
      <c r="J2187" s="6"/>
      <c r="K2187" s="6" t="str">
        <f ca="1">IFERROR(__xludf.DUMMYFUNCTION("""COMPUTED_VALUE"""),"خصم 30% علي الاسعار النقدي")</f>
        <v>خصم 30% علي الاسعار النقدي</v>
      </c>
    </row>
    <row r="2188" spans="1:11" x14ac:dyDescent="0.25">
      <c r="A2188" s="4" t="str">
        <f ca="1">IFERROR(__xludf.DUMMYFUNCTION("""COMPUTED_VALUE"""),"106675")</f>
        <v>106675</v>
      </c>
      <c r="B2188" s="5" t="str">
        <f ca="1">IFERROR(__xludf.DUMMYFUNCTION("""COMPUTED_VALUE"""),"القاهرة")</f>
        <v>القاهرة</v>
      </c>
      <c r="C2188" s="5" t="str">
        <f ca="1">IFERROR(__xludf.DUMMYFUNCTION("""COMPUTED_VALUE"""),"حلوان")</f>
        <v>حلوان</v>
      </c>
      <c r="D2188" s="5" t="str">
        <f ca="1">IFERROR(__xludf.DUMMYFUNCTION("""COMPUTED_VALUE"""),"مستشفى")</f>
        <v>مستشفى</v>
      </c>
      <c r="E2188" s="5" t="str">
        <f ca="1">IFERROR(__xludf.DUMMYFUNCTION("""COMPUTED_VALUE"""),"مستشفي طبي متخصص")</f>
        <v>مستشفي طبي متخصص</v>
      </c>
      <c r="F2188" s="5" t="str">
        <f ca="1">IFERROR(__xludf.DUMMYFUNCTION("""COMPUTED_VALUE"""),"رمد (جراحة عيون)")</f>
        <v>رمد (جراحة عيون)</v>
      </c>
      <c r="G2188" s="5" t="str">
        <f ca="1">IFERROR(__xludf.DUMMYFUNCTION("""COMPUTED_VALUE"""),"الشركة العربية العلميه للعيون (رواد حلوان للعيون)")</f>
        <v>الشركة العربية العلميه للعيون (رواد حلوان للعيون)</v>
      </c>
      <c r="H2188" s="5" t="str">
        <f ca="1">IFERROR(__xludf.DUMMYFUNCTION("""COMPUTED_VALUE"""),"شقه 1 و 2 و 3 و 4 العقار 33 حالي 31 سابق ش محمد سيد احمد - حلوان - القاهرة")</f>
        <v>شقه 1 و 2 و 3 و 4 العقار 33 حالي 31 سابق ش محمد سيد احمد - حلوان - القاهرة</v>
      </c>
      <c r="I2188" s="6" t="str">
        <f ca="1">IFERROR(__xludf.DUMMYFUNCTION("""COMPUTED_VALUE"""),"27084428")</f>
        <v>27084428</v>
      </c>
      <c r="J2188" s="6"/>
      <c r="K2188" s="6" t="str">
        <f ca="1">IFERROR(__xludf.DUMMYFUNCTION("""COMPUTED_VALUE"""),"خصم 25% علي الكشوفات و الفحوصات , 10% علي العمليات ")</f>
        <v xml:space="preserve">خصم 25% علي الكشوفات و الفحوصات , 10% علي العمليات </v>
      </c>
    </row>
    <row r="2189" spans="1:11" x14ac:dyDescent="0.25">
      <c r="A2189" s="4" t="str">
        <f ca="1">IFERROR(__xludf.DUMMYFUNCTION("""COMPUTED_VALUE"""),"106677")</f>
        <v>106677</v>
      </c>
      <c r="B2189" s="5" t="str">
        <f ca="1">IFERROR(__xludf.DUMMYFUNCTION("""COMPUTED_VALUE"""),"الشرقية")</f>
        <v>الشرقية</v>
      </c>
      <c r="C2189" s="5" t="str">
        <f ca="1">IFERROR(__xludf.DUMMYFUNCTION("""COMPUTED_VALUE"""),"العاشر من رمضان")</f>
        <v>العاشر من رمضان</v>
      </c>
      <c r="D2189" s="5" t="str">
        <f ca="1">IFERROR(__xludf.DUMMYFUNCTION("""COMPUTED_VALUE"""),"شركة")</f>
        <v>شركة</v>
      </c>
      <c r="E2189" s="5" t="str">
        <f ca="1">IFERROR(__xludf.DUMMYFUNCTION("""COMPUTED_VALUE"""),"شركة اجهزة طبية")</f>
        <v>شركة اجهزة طبية</v>
      </c>
      <c r="F2189" s="5" t="str">
        <f ca="1">IFERROR(__xludf.DUMMYFUNCTION("""COMPUTED_VALUE"""),"مركز بصريات")</f>
        <v>مركز بصريات</v>
      </c>
      <c r="G2189" s="5" t="str">
        <f ca="1">IFERROR(__xludf.DUMMYFUNCTION("""COMPUTED_VALUE"""),"شركة ياور للبصريات")</f>
        <v>شركة ياور للبصريات</v>
      </c>
      <c r="H2189" s="5" t="str">
        <f ca="1">IFERROR(__xludf.DUMMYFUNCTION("""COMPUTED_VALUE"""),"وحده 135 بمشروع سينكو 2000 ق ام سي 2 - العاشر من رمضان - الشرقيه")</f>
        <v>وحده 135 بمشروع سينكو 2000 ق ام سي 2 - العاشر من رمضان - الشرقيه</v>
      </c>
      <c r="I2189" s="6" t="str">
        <f ca="1">IFERROR(__xludf.DUMMYFUNCTION("""COMPUTED_VALUE"""),"01060249825")</f>
        <v>01060249825</v>
      </c>
      <c r="J2189" s="6"/>
      <c r="K2189" s="6" t="str">
        <f ca="1">IFERROR(__xludf.DUMMYFUNCTION("""COMPUTED_VALUE"""),"خصم 30% علي الأسعار النقدي المعلنة")</f>
        <v>خصم 30% علي الأسعار النقدي المعلنة</v>
      </c>
    </row>
    <row r="2190" spans="1:11" x14ac:dyDescent="0.25">
      <c r="A2190" s="4" t="str">
        <f ca="1">IFERROR(__xludf.DUMMYFUNCTION("""COMPUTED_VALUE"""),"106680")</f>
        <v>106680</v>
      </c>
      <c r="B2190" s="5" t="str">
        <f ca="1">IFERROR(__xludf.DUMMYFUNCTION("""COMPUTED_VALUE"""),"الجيزة")</f>
        <v>الجيزة</v>
      </c>
      <c r="C2190" s="5" t="str">
        <f ca="1">IFERROR(__xludf.DUMMYFUNCTION("""COMPUTED_VALUE"""),"الدقي")</f>
        <v>الدقي</v>
      </c>
      <c r="D2190" s="5" t="str">
        <f ca="1">IFERROR(__xludf.DUMMYFUNCTION("""COMPUTED_VALUE"""),"شركة")</f>
        <v>شركة</v>
      </c>
      <c r="E2190" s="5" t="str">
        <f ca="1">IFERROR(__xludf.DUMMYFUNCTION("""COMPUTED_VALUE"""),"شركة اجهزة طبية")</f>
        <v>شركة اجهزة طبية</v>
      </c>
      <c r="F2190" s="5" t="str">
        <f ca="1">IFERROR(__xludf.DUMMYFUNCTION("""COMPUTED_VALUE"""),"مستلزمات واجهزة طبية")</f>
        <v>مستلزمات واجهزة طبية</v>
      </c>
      <c r="G2190" s="5" t="str">
        <f ca="1">IFERROR(__xludf.DUMMYFUNCTION("""COMPUTED_VALUE"""),"حنين للأطراف الصناعية و مساعدات الحركة (AMC/ABE)")</f>
        <v>حنين للأطراف الصناعية و مساعدات الحركة (AMC/ABE)</v>
      </c>
      <c r="H2190" s="5" t="str">
        <f ca="1">IFERROR(__xludf.DUMMYFUNCTION("""COMPUTED_VALUE"""),"118ش التحرير الدقى")</f>
        <v>118ش التحرير الدقى</v>
      </c>
      <c r="I2190" s="6" t="str">
        <f ca="1">IFERROR(__xludf.DUMMYFUNCTION("""COMPUTED_VALUE"""),"237615659")</f>
        <v>237615659</v>
      </c>
      <c r="J2190" s="6"/>
      <c r="K2190" s="6" t="str">
        <f ca="1">IFERROR(__xludf.DUMMYFUNCTION("""COMPUTED_VALUE"""),"خصم 15% علي الأسعار النقدي المعلنه")</f>
        <v>خصم 15% علي الأسعار النقدي المعلنه</v>
      </c>
    </row>
    <row r="2191" spans="1:11" x14ac:dyDescent="0.25">
      <c r="A2191" s="4" t="str">
        <f ca="1">IFERROR(__xludf.DUMMYFUNCTION("""COMPUTED_VALUE"""),"105372-B")</f>
        <v>105372-B</v>
      </c>
      <c r="B2191" s="5" t="str">
        <f ca="1">IFERROR(__xludf.DUMMYFUNCTION("""COMPUTED_VALUE"""),"الجيزة")</f>
        <v>الجيزة</v>
      </c>
      <c r="C2191" s="5" t="str">
        <f ca="1">IFERROR(__xludf.DUMMYFUNCTION("""COMPUTED_VALUE"""),"امبابة")</f>
        <v>امبابة</v>
      </c>
      <c r="D2191" s="5" t="str">
        <f ca="1">IFERROR(__xludf.DUMMYFUNCTION("""COMPUTED_VALUE"""),"مجمع عيادات")</f>
        <v>مجمع عيادات</v>
      </c>
      <c r="E2191" s="5" t="str">
        <f ca="1">IFERROR(__xludf.DUMMYFUNCTION("""COMPUTED_VALUE"""),"جميع التخصصات")</f>
        <v>جميع التخصصات</v>
      </c>
      <c r="F2191" s="5" t="str">
        <f ca="1">IFERROR(__xludf.DUMMYFUNCTION("""COMPUTED_VALUE"""),"جميع التخصصات الطبية")</f>
        <v>جميع التخصصات الطبية</v>
      </c>
      <c r="G2191" s="5" t="str">
        <f ca="1">IFERROR(__xludf.DUMMYFUNCTION("""COMPUTED_VALUE"""),"شركة كير كلينيك للخدمات الطبية (عيادات كير كلينك التخصصية)")</f>
        <v>شركة كير كلينيك للخدمات الطبية (عيادات كير كلينك التخصصية)</v>
      </c>
      <c r="H2191" s="5" t="str">
        <f ca="1">IFERROR(__xludf.DUMMYFUNCTION("""COMPUTED_VALUE"""),"رقم 123 شارع الوحده تقاطع شارع البوهى - أعلى بى تك - إمبابه - الجيزة")</f>
        <v>رقم 123 شارع الوحده تقاطع شارع البوهى - أعلى بى تك - إمبابه - الجيزة</v>
      </c>
      <c r="I2191" s="6" t="str">
        <f ca="1">IFERROR(__xludf.DUMMYFUNCTION("""COMPUTED_VALUE"""),"01099958363
")</f>
        <v xml:space="preserve">01099958363
</v>
      </c>
      <c r="J2191" s="6"/>
      <c r="K2191" s="6" t="str">
        <f ca="1">IFERROR(__xludf.DUMMYFUNCTION("""COMPUTED_VALUE"""),"30%على الكشف ,40% على باقى الخدمات")</f>
        <v>30%على الكشف ,40% على باقى الخدمات</v>
      </c>
    </row>
    <row r="2192" spans="1:11" x14ac:dyDescent="0.25">
      <c r="A2192" s="4" t="str">
        <f ca="1">IFERROR(__xludf.DUMMYFUNCTION("""COMPUTED_VALUE"""),"105852-B")</f>
        <v>105852-B</v>
      </c>
      <c r="B2192" s="5" t="str">
        <f ca="1">IFERROR(__xludf.DUMMYFUNCTION("""COMPUTED_VALUE"""),"الجيزة")</f>
        <v>الجيزة</v>
      </c>
      <c r="C2192" s="5" t="str">
        <f ca="1">IFERROR(__xludf.DUMMYFUNCTION("""COMPUTED_VALUE"""),"العجوزة")</f>
        <v>العجوزة</v>
      </c>
      <c r="D2192" s="5" t="str">
        <f ca="1">IFERROR(__xludf.DUMMYFUNCTION("""COMPUTED_VALUE"""),"هيئة الأطباء")</f>
        <v>هيئة الأطباء</v>
      </c>
      <c r="E2192" s="5" t="str">
        <f ca="1">IFERROR(__xludf.DUMMYFUNCTION("""COMPUTED_VALUE"""),"اسنان")</f>
        <v>اسنان</v>
      </c>
      <c r="F2192" s="5" t="str">
        <f ca="1">IFERROR(__xludf.DUMMYFUNCTION("""COMPUTED_VALUE"""),"جراحة الفم والأسنان")</f>
        <v>جراحة الفم والأسنان</v>
      </c>
      <c r="G2192" s="5" t="str">
        <f ca="1">IFERROR(__xludf.DUMMYFUNCTION("""COMPUTED_VALUE"""),"د/ احمد ناجي ابراهيم محمد")</f>
        <v>د/ احمد ناجي ابراهيم محمد</v>
      </c>
      <c r="H2192" s="5" t="str">
        <f ca="1">IFERROR(__xludf.DUMMYFUNCTION("""COMPUTED_VALUE"""),"132 ش النيل شقه 7 - العجوزة")</f>
        <v>132 ش النيل شقه 7 - العجوزة</v>
      </c>
      <c r="I2192" s="6" t="str">
        <f ca="1">IFERROR(__xludf.DUMMYFUNCTION("""COMPUTED_VALUE"""),"01020103121")</f>
        <v>01020103121</v>
      </c>
      <c r="J2192" s="6"/>
      <c r="K2192" s="6" t="str">
        <f ca="1">IFERROR(__xludf.DUMMYFUNCTION("""COMPUTED_VALUE"""),"الكشف : 40 , نقابه .2017")</f>
        <v>الكشف : 40 , نقابه .2017</v>
      </c>
    </row>
    <row r="2193" spans="1:11" x14ac:dyDescent="0.25">
      <c r="A2193" s="4" t="str">
        <f ca="1">IFERROR(__xludf.DUMMYFUNCTION("""COMPUTED_VALUE"""),"106682")</f>
        <v>106682</v>
      </c>
      <c r="B2193" s="5" t="str">
        <f ca="1">IFERROR(__xludf.DUMMYFUNCTION("""COMPUTED_VALUE"""),"أسوان")</f>
        <v>أسوان</v>
      </c>
      <c r="C2193" s="5" t="str">
        <f ca="1">IFERROR(__xludf.DUMMYFUNCTION("""COMPUTED_VALUE"""),"أسوان")</f>
        <v>أسوان</v>
      </c>
      <c r="D2193" s="5" t="str">
        <f ca="1">IFERROR(__xludf.DUMMYFUNCTION("""COMPUTED_VALUE"""),"هيئة الأطباء")</f>
        <v>هيئة الأطباء</v>
      </c>
      <c r="E2193" s="5" t="str">
        <f ca="1">IFERROR(__xludf.DUMMYFUNCTION("""COMPUTED_VALUE"""),"اسنان")</f>
        <v>اسنان</v>
      </c>
      <c r="F2193" s="5" t="str">
        <f ca="1">IFERROR(__xludf.DUMMYFUNCTION("""COMPUTED_VALUE"""),"جراحة الفم والأسنان")</f>
        <v>جراحة الفم والأسنان</v>
      </c>
      <c r="G2193" s="5" t="str">
        <f ca="1">IFERROR(__xludf.DUMMYFUNCTION("""COMPUTED_VALUE"""),"د/ ماجد ماهر سعد فرح")</f>
        <v>د/ ماجد ماهر سعد فرح</v>
      </c>
      <c r="H2193" s="5" t="str">
        <f ca="1">IFERROR(__xludf.DUMMYFUNCTION("""COMPUTED_VALUE"""),"عمارة حسين أيا زيد شارع كسر الحجر بجوار رافع المياه - أسوان")</f>
        <v>عمارة حسين أيا زيد شارع كسر الحجر بجوار رافع المياه - أسوان</v>
      </c>
      <c r="I2193" s="6" t="str">
        <f ca="1">IFERROR(__xludf.DUMMYFUNCTION("""COMPUTED_VALUE"""),"01127702002")</f>
        <v>01127702002</v>
      </c>
      <c r="J2193" s="6"/>
      <c r="K2193" s="6" t="str">
        <f ca="1">IFERROR(__xludf.DUMMYFUNCTION("""COMPUTED_VALUE"""),"30% علي الأسعار النقدي المعلنة")</f>
        <v>30% علي الأسعار النقدي المعلنة</v>
      </c>
    </row>
    <row r="2194" spans="1:11" x14ac:dyDescent="0.25">
      <c r="A2194" s="4" t="str">
        <f ca="1">IFERROR(__xludf.DUMMYFUNCTION("""COMPUTED_VALUE"""),"106683")</f>
        <v>106683</v>
      </c>
      <c r="B2194" s="5" t="str">
        <f ca="1">IFERROR(__xludf.DUMMYFUNCTION("""COMPUTED_VALUE"""),"الوادى الجديد")</f>
        <v>الوادى الجديد</v>
      </c>
      <c r="C2194" s="5" t="str">
        <f ca="1">IFERROR(__xludf.DUMMYFUNCTION("""COMPUTED_VALUE"""),"الخارجة")</f>
        <v>الخارجة</v>
      </c>
      <c r="D2194" s="5" t="str">
        <f ca="1">IFERROR(__xludf.DUMMYFUNCTION("""COMPUTED_VALUE"""),"مجمع عيادات")</f>
        <v>مجمع عيادات</v>
      </c>
      <c r="E2194" s="5" t="str">
        <f ca="1">IFERROR(__xludf.DUMMYFUNCTION("""COMPUTED_VALUE"""),"جميع التخصصات")</f>
        <v>جميع التخصصات</v>
      </c>
      <c r="F2194" s="5" t="str">
        <f ca="1">IFERROR(__xludf.DUMMYFUNCTION("""COMPUTED_VALUE"""),"جميع التخصصات الطبية")</f>
        <v>جميع التخصصات الطبية</v>
      </c>
      <c r="G2194" s="5" t="str">
        <f ca="1">IFERROR(__xludf.DUMMYFUNCTION("""COMPUTED_VALUE"""),"محمد عبد التواب محمود احمد ( عيادة الريم التخصصيه)")</f>
        <v>محمد عبد التواب محمود احمد ( عيادة الريم التخصصيه)</v>
      </c>
      <c r="H2194" s="5" t="str">
        <f ca="1">IFERROR(__xludf.DUMMYFUNCTION("""COMPUTED_VALUE"""),"سور الساحة الشعبية - الخارجة - الوادي الجديد")</f>
        <v>سور الساحة الشعبية - الخارجة - الوادي الجديد</v>
      </c>
      <c r="I2194" s="6" t="str">
        <f ca="1">IFERROR(__xludf.DUMMYFUNCTION("""COMPUTED_VALUE"""),"0922927672")</f>
        <v>0922927672</v>
      </c>
      <c r="J2194" s="6"/>
      <c r="K2194" s="6" t="str">
        <f ca="1">IFERROR(__xludf.DUMMYFUNCTION("""COMPUTED_VALUE"""),"20% علي الأسعار النقدي المعلنة")</f>
        <v>20% علي الأسعار النقدي المعلنة</v>
      </c>
    </row>
    <row r="2195" spans="1:11" x14ac:dyDescent="0.25">
      <c r="A2195" s="4" t="str">
        <f ca="1">IFERROR(__xludf.DUMMYFUNCTION("""COMPUTED_VALUE"""),"106684")</f>
        <v>106684</v>
      </c>
      <c r="B2195" s="5" t="str">
        <f ca="1">IFERROR(__xludf.DUMMYFUNCTION("""COMPUTED_VALUE"""),"دمياط")</f>
        <v>دمياط</v>
      </c>
      <c r="C2195" s="5" t="str">
        <f ca="1">IFERROR(__xludf.DUMMYFUNCTION("""COMPUTED_VALUE"""),"دمياط الجديدة")</f>
        <v>دمياط الجديدة</v>
      </c>
      <c r="D2195" s="5" t="str">
        <f ca="1">IFERROR(__xludf.DUMMYFUNCTION("""COMPUTED_VALUE"""),"مستشفى")</f>
        <v>مستشفى</v>
      </c>
      <c r="E2195" s="5" t="str">
        <f ca="1">IFERROR(__xludf.DUMMYFUNCTION("""COMPUTED_VALUE"""),"مستشفي طبي متكامل")</f>
        <v>مستشفي طبي متكامل</v>
      </c>
      <c r="F2195" s="5" t="str">
        <f ca="1">IFERROR(__xludf.DUMMYFUNCTION("""COMPUTED_VALUE"""),"جميع التخصصات الطبية")</f>
        <v>جميع التخصصات الطبية</v>
      </c>
      <c r="G2195" s="5" t="str">
        <f ca="1">IFERROR(__xludf.DUMMYFUNCTION("""COMPUTED_VALUE"""),"شركة العاصمة كير (مستشفي العاصمة كير)")</f>
        <v>شركة العاصمة كير (مستشفي العاصمة كير)</v>
      </c>
      <c r="H2195" s="5" t="str">
        <f ca="1">IFERROR(__xludf.DUMMYFUNCTION("""COMPUTED_VALUE"""),"قطعة 6 منطقة المستثمر الصغير - دمياط الجديدة - دمياط")</f>
        <v>قطعة 6 منطقة المستثمر الصغير - دمياط الجديدة - دمياط</v>
      </c>
      <c r="I2195" s="6" t="str">
        <f ca="1">IFERROR(__xludf.DUMMYFUNCTION("""COMPUTED_VALUE"""),"01555626562")</f>
        <v>01555626562</v>
      </c>
      <c r="J2195" s="6"/>
      <c r="K2195" s="6" t="str">
        <f ca="1">IFERROR(__xludf.DUMMYFUNCTION("""COMPUTED_VALUE"""),"25% علي الأسعار النقدي المعلنة")</f>
        <v>25% علي الأسعار النقدي المعلنة</v>
      </c>
    </row>
    <row r="2196" spans="1:11" x14ac:dyDescent="0.25">
      <c r="A2196" s="4" t="str">
        <f ca="1">IFERROR(__xludf.DUMMYFUNCTION("""COMPUTED_VALUE"""),"106686")</f>
        <v>106686</v>
      </c>
      <c r="B2196" s="5" t="str">
        <f ca="1">IFERROR(__xludf.DUMMYFUNCTION("""COMPUTED_VALUE"""),"الجيزة")</f>
        <v>الجيزة</v>
      </c>
      <c r="C2196" s="5" t="str">
        <f ca="1">IFERROR(__xludf.DUMMYFUNCTION("""COMPUTED_VALUE"""),"البدرشين")</f>
        <v>البدرشين</v>
      </c>
      <c r="D2196" s="5" t="str">
        <f ca="1">IFERROR(__xludf.DUMMYFUNCTION("""COMPUTED_VALUE"""),"مستشفى")</f>
        <v>مستشفى</v>
      </c>
      <c r="E2196" s="5" t="str">
        <f ca="1">IFERROR(__xludf.DUMMYFUNCTION("""COMPUTED_VALUE"""),"مستشفي طبي متخصص")</f>
        <v>مستشفي طبي متخصص</v>
      </c>
      <c r="F2196" s="5" t="str">
        <f ca="1">IFERROR(__xludf.DUMMYFUNCTION("""COMPUTED_VALUE"""),"رمد (جراحة عيون)")</f>
        <v>رمد (جراحة عيون)</v>
      </c>
      <c r="G2196" s="5" t="str">
        <f ca="1">IFERROR(__xludf.DUMMYFUNCTION("""COMPUTED_VALUE"""),"مركز أشراق للعيون")</f>
        <v>مركز أشراق للعيون</v>
      </c>
      <c r="H2196" s="5" t="str">
        <f ca="1">IFERROR(__xludf.DUMMYFUNCTION("""COMPUTED_VALUE"""),"شارع النيل السعيد برج الزهراء - البدرشين - الجيزة")</f>
        <v>شارع النيل السعيد برج الزهراء - البدرشين - الجيزة</v>
      </c>
      <c r="I2196" s="6" t="str">
        <f ca="1">IFERROR(__xludf.DUMMYFUNCTION("""COMPUTED_VALUE"""),"01141922291")</f>
        <v>01141922291</v>
      </c>
      <c r="J2196" s="6"/>
      <c r="K2196" s="6" t="str">
        <f ca="1">IFERROR(__xludf.DUMMYFUNCTION("""COMPUTED_VALUE"""),"30% على الكشف و على باقى الخدمات المعلنة")</f>
        <v>30% على الكشف و على باقى الخدمات المعلنة</v>
      </c>
    </row>
    <row r="2197" spans="1:11" x14ac:dyDescent="0.25">
      <c r="A2197" s="4" t="str">
        <f ca="1">IFERROR(__xludf.DUMMYFUNCTION("""COMPUTED_VALUE"""),"106687")</f>
        <v>106687</v>
      </c>
      <c r="B2197" s="5" t="str">
        <f ca="1">IFERROR(__xludf.DUMMYFUNCTION("""COMPUTED_VALUE"""),"القاهرة")</f>
        <v>القاهرة</v>
      </c>
      <c r="C2197" s="5" t="str">
        <f ca="1">IFERROR(__xludf.DUMMYFUNCTION("""COMPUTED_VALUE"""),"الزمالك")</f>
        <v>الزمالك</v>
      </c>
      <c r="D2197" s="5" t="str">
        <f ca="1">IFERROR(__xludf.DUMMYFUNCTION("""COMPUTED_VALUE"""),"هيئة الأطباء")</f>
        <v>هيئة الأطباء</v>
      </c>
      <c r="E2197" s="5" t="str">
        <f ca="1">IFERROR(__xludf.DUMMYFUNCTION("""COMPUTED_VALUE"""),"باطنة")</f>
        <v>باطنة</v>
      </c>
      <c r="F2197" s="5" t="str">
        <f ca="1">IFERROR(__xludf.DUMMYFUNCTION("""COMPUTED_VALUE"""),"أورام وعلاج كميائى")</f>
        <v>أورام وعلاج كميائى</v>
      </c>
      <c r="G2197" s="5" t="str">
        <f ca="1">IFERROR(__xludf.DUMMYFUNCTION("""COMPUTED_VALUE"""),"د/ طارق عبد المنعم عبد الوهاب هاشم")</f>
        <v>د/ طارق عبد المنعم عبد الوهاب هاشم</v>
      </c>
      <c r="H2197" s="5" t="str">
        <f ca="1">IFERROR(__xludf.DUMMYFUNCTION("""COMPUTED_VALUE"""),"157 ش 26 يوليو- الزمالك - القاهرة")</f>
        <v>157 ش 26 يوليو- الزمالك - القاهرة</v>
      </c>
      <c r="I2197" s="6" t="str">
        <f ca="1">IFERROR(__xludf.DUMMYFUNCTION("""COMPUTED_VALUE"""),"0227366215")</f>
        <v>0227366215</v>
      </c>
      <c r="J2197" s="6"/>
      <c r="K2197" s="6" t="str">
        <f ca="1">IFERROR(__xludf.DUMMYFUNCTION("""COMPUTED_VALUE"""),"30% علي الأسعار النقدي المعلنة")</f>
        <v>30% علي الأسعار النقدي المعلنة</v>
      </c>
    </row>
    <row r="2198" spans="1:11" x14ac:dyDescent="0.25">
      <c r="A2198" s="4" t="str">
        <f ca="1">IFERROR(__xludf.DUMMYFUNCTION("""COMPUTED_VALUE"""),"106688")</f>
        <v>106688</v>
      </c>
      <c r="B2198" s="5" t="str">
        <f ca="1">IFERROR(__xludf.DUMMYFUNCTION("""COMPUTED_VALUE"""),"الجيزة")</f>
        <v>الجيزة</v>
      </c>
      <c r="C2198" s="5" t="str">
        <f ca="1">IFERROR(__xludf.DUMMYFUNCTION("""COMPUTED_VALUE"""),"الشيخ زايد")</f>
        <v>الشيخ زايد</v>
      </c>
      <c r="D2198" s="5" t="str">
        <f ca="1">IFERROR(__xludf.DUMMYFUNCTION("""COMPUTED_VALUE"""),"مستشفى")</f>
        <v>مستشفى</v>
      </c>
      <c r="E2198" s="5" t="str">
        <f ca="1">IFERROR(__xludf.DUMMYFUNCTION("""COMPUTED_VALUE"""),"مستشفي طبي متخصص")</f>
        <v>مستشفي طبي متخصص</v>
      </c>
      <c r="F2198" s="5" t="str">
        <f ca="1">IFERROR(__xludf.DUMMYFUNCTION("""COMPUTED_VALUE"""),"كبد وجهاز هضمي")</f>
        <v>كبد وجهاز هضمي</v>
      </c>
      <c r="G2198" s="5" t="str">
        <f ca="1">IFERROR(__xludf.DUMMYFUNCTION("""COMPUTED_VALUE"""),"دار العلم للخدمات الطبية (مركز رؤية للجهاز الهضمي و الكبد و المناظير)")</f>
        <v>دار العلم للخدمات الطبية (مركز رؤية للجهاز الهضمي و الكبد و المناظير)</v>
      </c>
      <c r="H2198" s="5" t="str">
        <f ca="1">IFERROR(__xludf.DUMMYFUNCTION("""COMPUTED_VALUE"""),"27 محور كريزي ووتر الشيخ زايد 6 أكتوبر داخل مجمع روفيده - الجيزة")</f>
        <v>27 محور كريزي ووتر الشيخ زايد 6 أكتوبر داخل مجمع روفيده - الجيزة</v>
      </c>
      <c r="I2198" s="6" t="str">
        <f ca="1">IFERROR(__xludf.DUMMYFUNCTION("""COMPUTED_VALUE"""),"01064100000")</f>
        <v>01064100000</v>
      </c>
      <c r="J2198" s="6"/>
      <c r="K2198" s="6" t="str">
        <f ca="1">IFERROR(__xludf.DUMMYFUNCTION("""COMPUTED_VALUE"""),"30% علي الأسعار النقدي المعلنة ما عدا د/ مصطفي ابراهيم مصطفي و د/  ابراهيم مصطفي")</f>
        <v>30% علي الأسعار النقدي المعلنة ما عدا د/ مصطفي ابراهيم مصطفي و د/  ابراهيم مصطفي</v>
      </c>
    </row>
    <row r="2199" spans="1:11" x14ac:dyDescent="0.25">
      <c r="A2199" s="4" t="str">
        <f ca="1">IFERROR(__xludf.DUMMYFUNCTION("""COMPUTED_VALUE"""),"106688-B")</f>
        <v>106688-B</v>
      </c>
      <c r="B2199" s="5" t="str">
        <f ca="1">IFERROR(__xludf.DUMMYFUNCTION("""COMPUTED_VALUE"""),"القاهرة")</f>
        <v>القاهرة</v>
      </c>
      <c r="C2199" s="5" t="str">
        <f ca="1">IFERROR(__xludf.DUMMYFUNCTION("""COMPUTED_VALUE"""),"المعادى")</f>
        <v>المعادى</v>
      </c>
      <c r="D2199" s="5" t="str">
        <f ca="1">IFERROR(__xludf.DUMMYFUNCTION("""COMPUTED_VALUE"""),"مستشفى")</f>
        <v>مستشفى</v>
      </c>
      <c r="E2199" s="5" t="str">
        <f ca="1">IFERROR(__xludf.DUMMYFUNCTION("""COMPUTED_VALUE"""),"مستشفي طبي متخصص")</f>
        <v>مستشفي طبي متخصص</v>
      </c>
      <c r="F2199" s="5" t="str">
        <f ca="1">IFERROR(__xludf.DUMMYFUNCTION("""COMPUTED_VALUE"""),"كبد وجهاز هضمي")</f>
        <v>كبد وجهاز هضمي</v>
      </c>
      <c r="G2199" s="5" t="str">
        <f ca="1">IFERROR(__xludf.DUMMYFUNCTION("""COMPUTED_VALUE"""),"دار العلم للخدمات الطبية (مركز رؤية للجهاز الهضمي و الكبد و المناظير)")</f>
        <v>دار العلم للخدمات الطبية (مركز رؤية للجهاز الهضمي و الكبد و المناظير)</v>
      </c>
      <c r="H2199" s="5" t="str">
        <f ca="1">IFERROR(__xludf.DUMMYFUNCTION("""COMPUTED_VALUE"""),"73 طريق مصر حلوان الزراعي - المعادي داخل مستشفي علاء عزت - القاهرة")</f>
        <v>73 طريق مصر حلوان الزراعي - المعادي داخل مستشفي علاء عزت - القاهرة</v>
      </c>
      <c r="I2199" s="6" t="str">
        <f ca="1">IFERROR(__xludf.DUMMYFUNCTION("""COMPUTED_VALUE"""),"01064100000")</f>
        <v>01064100000</v>
      </c>
      <c r="J2199" s="6"/>
      <c r="K2199" s="6" t="str">
        <f ca="1">IFERROR(__xludf.DUMMYFUNCTION("""COMPUTED_VALUE"""),"30% علي الأسعار النقدي المعلنة")</f>
        <v>30% علي الأسعار النقدي المعلنة</v>
      </c>
    </row>
    <row r="2200" spans="1:11" x14ac:dyDescent="0.25">
      <c r="A2200" s="4" t="str">
        <f ca="1">IFERROR(__xludf.DUMMYFUNCTION("""COMPUTED_VALUE"""),"106691")</f>
        <v>106691</v>
      </c>
      <c r="B2200" s="5" t="str">
        <f ca="1">IFERROR(__xludf.DUMMYFUNCTION("""COMPUTED_VALUE"""),"الجيزة")</f>
        <v>الجيزة</v>
      </c>
      <c r="C2200" s="5" t="str">
        <f ca="1">IFERROR(__xludf.DUMMYFUNCTION("""COMPUTED_VALUE"""),"فيصل")</f>
        <v>فيصل</v>
      </c>
      <c r="D2200" s="5" t="str">
        <f ca="1">IFERROR(__xludf.DUMMYFUNCTION("""COMPUTED_VALUE"""),"هيئة الأطباء")</f>
        <v>هيئة الأطباء</v>
      </c>
      <c r="E2200" s="5" t="str">
        <f ca="1">IFERROR(__xludf.DUMMYFUNCTION("""COMPUTED_VALUE"""),"أطفال")</f>
        <v>أطفال</v>
      </c>
      <c r="F2200" s="5" t="str">
        <f ca="1">IFERROR(__xludf.DUMMYFUNCTION("""COMPUTED_VALUE"""),"طب أطفال")</f>
        <v>طب أطفال</v>
      </c>
      <c r="G2200" s="5" t="str">
        <f ca="1">IFERROR(__xludf.DUMMYFUNCTION("""COMPUTED_VALUE"""),"د/ علي سيد محمد أبو المكارم")</f>
        <v>د/ علي سيد محمد أبو المكارم</v>
      </c>
      <c r="H2200" s="5" t="str">
        <f ca="1">IFERROR(__xludf.DUMMYFUNCTION("""COMPUTED_VALUE"""),"446 ش الملك الفيصل - الهرم - الجيزة")</f>
        <v>446 ش الملك الفيصل - الهرم - الجيزة</v>
      </c>
      <c r="I2200" s="6" t="str">
        <f ca="1">IFERROR(__xludf.DUMMYFUNCTION("""COMPUTED_VALUE"""),"0237804010")</f>
        <v>0237804010</v>
      </c>
      <c r="J2200" s="6"/>
      <c r="K2200" s="6" t="str">
        <f ca="1">IFERROR(__xludf.DUMMYFUNCTION("""COMPUTED_VALUE"""),"30% علي الأسعار النقدي المعلنة")</f>
        <v>30% علي الأسعار النقدي المعلنة</v>
      </c>
    </row>
    <row r="2201" spans="1:11" x14ac:dyDescent="0.25">
      <c r="A2201" s="4" t="str">
        <f ca="1">IFERROR(__xludf.DUMMYFUNCTION("""COMPUTED_VALUE"""),"3848-B")</f>
        <v>3848-B</v>
      </c>
      <c r="B2201" s="5" t="str">
        <f ca="1">IFERROR(__xludf.DUMMYFUNCTION("""COMPUTED_VALUE"""),"القاهرة")</f>
        <v>القاهرة</v>
      </c>
      <c r="C2201" s="5" t="str">
        <f ca="1">IFERROR(__xludf.DUMMYFUNCTION("""COMPUTED_VALUE"""),"المعادى")</f>
        <v>المعادى</v>
      </c>
      <c r="D2201" s="5" t="str">
        <f ca="1">IFERROR(__xludf.DUMMYFUNCTION("""COMPUTED_VALUE"""),"صيدلية")</f>
        <v>صيدلية</v>
      </c>
      <c r="E2201" s="5" t="str">
        <f ca="1">IFERROR(__xludf.DUMMYFUNCTION("""COMPUTED_VALUE"""),"صيدلية")</f>
        <v>صيدلية</v>
      </c>
      <c r="F2201" s="5" t="str">
        <f ca="1">IFERROR(__xludf.DUMMYFUNCTION("""COMPUTED_VALUE"""),"صيدلية (أدوية ومستلزمات طبية)")</f>
        <v>صيدلية (أدوية ومستلزمات طبية)</v>
      </c>
      <c r="G2201" s="5" t="str">
        <f ca="1">IFERROR(__xludf.DUMMYFUNCTION("""COMPUTED_VALUE"""),"صيدلية د/ رضا (الخلود)")</f>
        <v>صيدلية د/ رضا (الخلود)</v>
      </c>
      <c r="H2201" s="5" t="str">
        <f ca="1">IFERROR(__xludf.DUMMYFUNCTION("""COMPUTED_VALUE"""),"شارع 233 دجله رقم 25 بجوار لابوار دجله المعادي")</f>
        <v>شارع 233 دجله رقم 25 بجوار لابوار دجله المعادي</v>
      </c>
      <c r="I2201" s="6" t="str">
        <f ca="1">IFERROR(__xludf.DUMMYFUNCTION("""COMPUTED_VALUE"""),"025169798")</f>
        <v>025169798</v>
      </c>
      <c r="J2201" s="6"/>
      <c r="K2201" s="6" t="str">
        <f ca="1">IFERROR(__xludf.DUMMYFUNCTION("""COMPUTED_VALUE"""),"خصم 10% علي المحلي و 5% علي المستورد")</f>
        <v>خصم 10% علي المحلي و 5% علي المستورد</v>
      </c>
    </row>
    <row r="2202" spans="1:11" x14ac:dyDescent="0.25">
      <c r="A2202" s="4" t="str">
        <f ca="1">IFERROR(__xludf.DUMMYFUNCTION("""COMPUTED_VALUE"""),"106213-B")</f>
        <v>106213-B</v>
      </c>
      <c r="B2202" s="5" t="str">
        <f ca="1">IFERROR(__xludf.DUMMYFUNCTION("""COMPUTED_VALUE"""),"بني سويف")</f>
        <v>بني سويف</v>
      </c>
      <c r="C2202" s="5" t="str">
        <f ca="1">IFERROR(__xludf.DUMMYFUNCTION("""COMPUTED_VALUE"""),"بني سويف")</f>
        <v>بني سويف</v>
      </c>
      <c r="D2202" s="5" t="str">
        <f ca="1">IFERROR(__xludf.DUMMYFUNCTION("""COMPUTED_VALUE"""),"مجمع عيادات")</f>
        <v>مجمع عيادات</v>
      </c>
      <c r="E2202" s="5" t="str">
        <f ca="1">IFERROR(__xludf.DUMMYFUNCTION("""COMPUTED_VALUE"""),"جميع التخصصات")</f>
        <v>جميع التخصصات</v>
      </c>
      <c r="F2202" s="5" t="str">
        <f ca="1">IFERROR(__xludf.DUMMYFUNCTION("""COMPUTED_VALUE"""),"جميع التخصصات الطبية")</f>
        <v>جميع التخصصات الطبية</v>
      </c>
      <c r="G2202" s="5" t="str">
        <f ca="1">IFERROR(__xludf.DUMMYFUNCTION("""COMPUTED_VALUE"""),"شركة داوي لتجهيز المنشات الطبية")</f>
        <v>شركة داوي لتجهيز المنشات الطبية</v>
      </c>
      <c r="H2202" s="5" t="str">
        <f ca="1">IFERROR(__xludf.DUMMYFUNCTION("""COMPUTED_VALUE"""),"الوحده الاداريه بالدور الاول 24 شارع الفاتح بني سويف")</f>
        <v>الوحده الاداريه بالدور الاول 24 شارع الفاتح بني سويف</v>
      </c>
      <c r="I2202" s="6"/>
      <c r="J2202" s="6" t="str">
        <f ca="1">IFERROR(__xludf.DUMMYFUNCTION("""COMPUTED_VALUE"""),"16850")</f>
        <v>16850</v>
      </c>
      <c r="K2202" s="6" t="str">
        <f ca="1">IFERROR(__xludf.DUMMYFUNCTION("""COMPUTED_VALUE"""),"خصم 25% علي جميع الخدمات و20% علي خدمات الاسنان")</f>
        <v>خصم 25% علي جميع الخدمات و20% علي خدمات الاسنان</v>
      </c>
    </row>
    <row r="2203" spans="1:11" x14ac:dyDescent="0.25">
      <c r="A2203" s="4" t="str">
        <f ca="1">IFERROR(__xludf.DUMMYFUNCTION("""COMPUTED_VALUE"""),"105019-B")</f>
        <v>105019-B</v>
      </c>
      <c r="B2203" s="5" t="str">
        <f ca="1">IFERROR(__xludf.DUMMYFUNCTION("""COMPUTED_VALUE"""),"الجيزة")</f>
        <v>الجيزة</v>
      </c>
      <c r="C2203" s="5" t="str">
        <f ca="1">IFERROR(__xludf.DUMMYFUNCTION("""COMPUTED_VALUE"""),"المهندسين")</f>
        <v>المهندسين</v>
      </c>
      <c r="D2203" s="5" t="str">
        <f ca="1">IFERROR(__xludf.DUMMYFUNCTION("""COMPUTED_VALUE"""),"هيئة الأطباء")</f>
        <v>هيئة الأطباء</v>
      </c>
      <c r="E2203" s="5" t="str">
        <f ca="1">IFERROR(__xludf.DUMMYFUNCTION("""COMPUTED_VALUE"""),"جراحة")</f>
        <v>جراحة</v>
      </c>
      <c r="F2203" s="5" t="str">
        <f ca="1">IFERROR(__xludf.DUMMYFUNCTION("""COMPUTED_VALUE"""),"جراحة عظام")</f>
        <v>جراحة عظام</v>
      </c>
      <c r="G2203" s="5" t="str">
        <f ca="1">IFERROR(__xludf.DUMMYFUNCTION("""COMPUTED_VALUE"""),"د/ فادى كمال عبد الدايم عبد الدايم")</f>
        <v>د/ فادى كمال عبد الدايم عبد الدايم</v>
      </c>
      <c r="H2203" s="5" t="str">
        <f ca="1">IFERROR(__xludf.DUMMYFUNCTION("""COMPUTED_VALUE"""),"17 شارع شهاب امام التوحيد والنور")</f>
        <v>17 شارع شهاب امام التوحيد والنور</v>
      </c>
      <c r="I2203" s="6" t="str">
        <f ca="1">IFERROR(__xludf.DUMMYFUNCTION("""COMPUTED_VALUE"""),"01014557109")</f>
        <v>01014557109</v>
      </c>
      <c r="J2203" s="6"/>
      <c r="K2203" s="6" t="str">
        <f ca="1">IFERROR(__xludf.DUMMYFUNCTION("""COMPUTED_VALUE"""),"الكشف 60 جنيةالمؤسسه العلاجيه 2015")</f>
        <v>الكشف 60 جنيةالمؤسسه العلاجيه 2015</v>
      </c>
    </row>
    <row r="2204" spans="1:11" x14ac:dyDescent="0.25">
      <c r="A2204" s="4" t="str">
        <f ca="1">IFERROR(__xludf.DUMMYFUNCTION("""COMPUTED_VALUE"""),"105019-B")</f>
        <v>105019-B</v>
      </c>
      <c r="B2204" s="5" t="str">
        <f ca="1">IFERROR(__xludf.DUMMYFUNCTION("""COMPUTED_VALUE"""),"الجيزة")</f>
        <v>الجيزة</v>
      </c>
      <c r="C2204" s="5" t="str">
        <f ca="1">IFERROR(__xludf.DUMMYFUNCTION("""COMPUTED_VALUE"""),"بشتيل")</f>
        <v>بشتيل</v>
      </c>
      <c r="D2204" s="5" t="str">
        <f ca="1">IFERROR(__xludf.DUMMYFUNCTION("""COMPUTED_VALUE"""),"هيئة الأطباء")</f>
        <v>هيئة الأطباء</v>
      </c>
      <c r="E2204" s="5" t="str">
        <f ca="1">IFERROR(__xludf.DUMMYFUNCTION("""COMPUTED_VALUE"""),"جراحة")</f>
        <v>جراحة</v>
      </c>
      <c r="F2204" s="5" t="str">
        <f ca="1">IFERROR(__xludf.DUMMYFUNCTION("""COMPUTED_VALUE"""),"جراحة عظام")</f>
        <v>جراحة عظام</v>
      </c>
      <c r="G2204" s="5" t="str">
        <f ca="1">IFERROR(__xludf.DUMMYFUNCTION("""COMPUTED_VALUE"""),"د/ فادى كمال عبد الدايم عبد الدايم")</f>
        <v>د/ فادى كمال عبد الدايم عبد الدايم</v>
      </c>
      <c r="H2204" s="5" t="str">
        <f ca="1">IFERROR(__xludf.DUMMYFUNCTION("""COMPUTED_VALUE"""),"بشتيل موقف العماره اعلى كشري ابو هشام")</f>
        <v>بشتيل موقف العماره اعلى كشري ابو هشام</v>
      </c>
      <c r="I2204" s="6" t="str">
        <f ca="1">IFERROR(__xludf.DUMMYFUNCTION("""COMPUTED_VALUE"""),"01066908605")</f>
        <v>01066908605</v>
      </c>
      <c r="J2204" s="6"/>
      <c r="K2204" s="6" t="str">
        <f ca="1">IFERROR(__xludf.DUMMYFUNCTION("""COMPUTED_VALUE"""),"الكشف 60 جنيةالمؤسسه العلاجيه 2015")</f>
        <v>الكشف 60 جنيةالمؤسسه العلاجيه 2015</v>
      </c>
    </row>
    <row r="2205" spans="1:11" x14ac:dyDescent="0.25">
      <c r="A2205" s="4" t="str">
        <f ca="1">IFERROR(__xludf.DUMMYFUNCTION("""COMPUTED_VALUE"""),"103994")</f>
        <v>103994</v>
      </c>
      <c r="B2205" s="5" t="str">
        <f ca="1">IFERROR(__xludf.DUMMYFUNCTION("""COMPUTED_VALUE"""),"أسيوط")</f>
        <v>أسيوط</v>
      </c>
      <c r="C2205" s="5" t="str">
        <f ca="1">IFERROR(__xludf.DUMMYFUNCTION("""COMPUTED_VALUE"""),"أسيوط")</f>
        <v>أسيوط</v>
      </c>
      <c r="D2205" s="5" t="str">
        <f ca="1">IFERROR(__xludf.DUMMYFUNCTION("""COMPUTED_VALUE"""),"شركة")</f>
        <v>شركة</v>
      </c>
      <c r="E2205" s="5" t="str">
        <f ca="1">IFERROR(__xludf.DUMMYFUNCTION("""COMPUTED_VALUE"""),"شركة اجهزة طبية")</f>
        <v>شركة اجهزة طبية</v>
      </c>
      <c r="F2205" s="5" t="str">
        <f ca="1">IFERROR(__xludf.DUMMYFUNCTION("""COMPUTED_VALUE"""),"مركز بصريات")</f>
        <v>مركز بصريات</v>
      </c>
      <c r="G2205" s="5" t="str">
        <f ca="1">IFERROR(__xludf.DUMMYFUNCTION("""COMPUTED_VALUE"""),"مركز دكتور أوبتكس")</f>
        <v>مركز دكتور أوبتكس</v>
      </c>
      <c r="H2205" s="5" t="str">
        <f ca="1">IFERROR(__xludf.DUMMYFUNCTION("""COMPUTED_VALUE"""),"شارع جوده الاسدي رقم 22")</f>
        <v>شارع جوده الاسدي رقم 22</v>
      </c>
      <c r="I2205" s="6" t="str">
        <f ca="1">IFERROR(__xludf.DUMMYFUNCTION("""COMPUTED_VALUE"""),"01005877790 ")</f>
        <v xml:space="preserve">01005877790 </v>
      </c>
      <c r="J2205" s="6"/>
      <c r="K2205" s="6" t="str">
        <f ca="1">IFERROR(__xludf.DUMMYFUNCTION("""COMPUTED_VALUE"""),"خصم يصل الي 30%")</f>
        <v>خصم يصل الي 30%</v>
      </c>
    </row>
    <row r="2206" spans="1:11" x14ac:dyDescent="0.25">
      <c r="A2206" s="4" t="str">
        <f ca="1">IFERROR(__xludf.DUMMYFUNCTION("""COMPUTED_VALUE"""),"105956")</f>
        <v>105956</v>
      </c>
      <c r="B2206" s="5" t="str">
        <f ca="1">IFERROR(__xludf.DUMMYFUNCTION("""COMPUTED_VALUE"""),"القليوبية")</f>
        <v>القليوبية</v>
      </c>
      <c r="C2206" s="5" t="str">
        <f ca="1">IFERROR(__xludf.DUMMYFUNCTION("""COMPUTED_VALUE"""),"بنها")</f>
        <v>بنها</v>
      </c>
      <c r="D2206" s="5" t="str">
        <f ca="1">IFERROR(__xludf.DUMMYFUNCTION("""COMPUTED_VALUE"""),"هيئة الأطباء")</f>
        <v>هيئة الأطباء</v>
      </c>
      <c r="E2206" s="5" t="str">
        <f ca="1">IFERROR(__xludf.DUMMYFUNCTION("""COMPUTED_VALUE"""),"اسنان")</f>
        <v>اسنان</v>
      </c>
      <c r="F2206" s="5" t="str">
        <f ca="1">IFERROR(__xludf.DUMMYFUNCTION("""COMPUTED_VALUE"""),"جراحة الفم والأسنان")</f>
        <v>جراحة الفم والأسنان</v>
      </c>
      <c r="G2206" s="5" t="str">
        <f ca="1">IFERROR(__xludf.DUMMYFUNCTION("""COMPUTED_VALUE"""),"د/ فهمي سامي لطفي غبريال ابراهيم")</f>
        <v>د/ فهمي سامي لطفي غبريال ابراهيم</v>
      </c>
      <c r="H2206" s="5" t="str">
        <f ca="1">IFERROR(__xludf.DUMMYFUNCTION("""COMPUTED_VALUE"""),"شا رع سعد زغلول برج المحروسه بجوار فيلا لعناني بنها")</f>
        <v>شا رع سعد زغلول برج المحروسه بجوار فيلا لعناني بنها</v>
      </c>
      <c r="I2206" s="6" t="str">
        <f ca="1">IFERROR(__xludf.DUMMYFUNCTION("""COMPUTED_VALUE"""),"01200170140")</f>
        <v>01200170140</v>
      </c>
      <c r="J2206" s="6"/>
      <c r="K2206" s="6" t="str">
        <f ca="1">IFERROR(__xludf.DUMMYFUNCTION("""COMPUTED_VALUE"""),"الكشف: 40 و نقابه 2017")</f>
        <v>الكشف: 40 و نقابه 2017</v>
      </c>
    </row>
    <row r="2207" spans="1:11" x14ac:dyDescent="0.25">
      <c r="A2207" s="4" t="str">
        <f ca="1">IFERROR(__xludf.DUMMYFUNCTION("""COMPUTED_VALUE"""),"106706")</f>
        <v>106706</v>
      </c>
      <c r="B2207" s="5" t="str">
        <f ca="1">IFERROR(__xludf.DUMMYFUNCTION("""COMPUTED_VALUE"""),"الجيزة")</f>
        <v>الجيزة</v>
      </c>
      <c r="C2207" s="5" t="str">
        <f ca="1">IFERROR(__xludf.DUMMYFUNCTION("""COMPUTED_VALUE"""),"الشيخ زايد")</f>
        <v>الشيخ زايد</v>
      </c>
      <c r="D2207" s="5" t="str">
        <f ca="1">IFERROR(__xludf.DUMMYFUNCTION("""COMPUTED_VALUE"""),"مستشفى")</f>
        <v>مستشفى</v>
      </c>
      <c r="E2207" s="5" t="str">
        <f ca="1">IFERROR(__xludf.DUMMYFUNCTION("""COMPUTED_VALUE"""),"مستشفي طبي متكامل")</f>
        <v>مستشفي طبي متكامل</v>
      </c>
      <c r="F2207" s="5" t="str">
        <f ca="1">IFERROR(__xludf.DUMMYFUNCTION("""COMPUTED_VALUE"""),"جميع التخصصات الطبية")</f>
        <v>جميع التخصصات الطبية</v>
      </c>
      <c r="G2207" s="5" t="str">
        <f ca="1">IFERROR(__xludf.DUMMYFUNCTION("""COMPUTED_VALUE"""),"كايرو وست للخدمات الطبية (مستشفي الندي - الشيخ زايد)")</f>
        <v>كايرو وست للخدمات الطبية (مستشفي الندي - الشيخ زايد)</v>
      </c>
      <c r="H2207" s="5" t="str">
        <f ca="1">IFERROR(__xludf.DUMMYFUNCTION("""COMPUTED_VALUE"""),"مشروع وست تاون - بفرلي هيلز - الشيخ زايد - الجيزة")</f>
        <v>مشروع وست تاون - بفرلي هيلز - الشيخ زايد - الجيزة</v>
      </c>
      <c r="I2207" s="6" t="str">
        <f ca="1">IFERROR(__xludf.DUMMYFUNCTION("""COMPUTED_VALUE"""),"01033376450")</f>
        <v>01033376450</v>
      </c>
      <c r="J2207" s="6"/>
      <c r="K2207" s="6" t="str">
        <f ca="1">IFERROR(__xludf.DUMMYFUNCTION("""COMPUTED_VALUE"""),"15% علي جميع خدمات المستشفي, 5% علي اتعاب الأطباء علي الاسعار النقدي المعلنة")</f>
        <v>15% علي جميع خدمات المستشفي, 5% علي اتعاب الأطباء علي الاسعار النقدي المعلنة</v>
      </c>
    </row>
    <row r="2208" spans="1:11" x14ac:dyDescent="0.25">
      <c r="A2208" s="4" t="str">
        <f ca="1">IFERROR(__xludf.DUMMYFUNCTION("""COMPUTED_VALUE"""),"105136-B")</f>
        <v>105136-B</v>
      </c>
      <c r="B2208" s="5" t="str">
        <f ca="1">IFERROR(__xludf.DUMMYFUNCTION("""COMPUTED_VALUE"""),"القاهرة")</f>
        <v>القاهرة</v>
      </c>
      <c r="C2208" s="5" t="str">
        <f ca="1">IFERROR(__xludf.DUMMYFUNCTION("""COMPUTED_VALUE"""),"حلوان")</f>
        <v>حلوان</v>
      </c>
      <c r="D2208" s="5" t="str">
        <f ca="1">IFERROR(__xludf.DUMMYFUNCTION("""COMPUTED_VALUE"""),"مجمع عيادات")</f>
        <v>مجمع عيادات</v>
      </c>
      <c r="E2208" s="5" t="str">
        <f ca="1">IFERROR(__xludf.DUMMYFUNCTION("""COMPUTED_VALUE"""),"جميع التخصصات")</f>
        <v>جميع التخصصات</v>
      </c>
      <c r="F2208" s="5" t="str">
        <f ca="1">IFERROR(__xludf.DUMMYFUNCTION("""COMPUTED_VALUE"""),"جميع التخصصات الطبية")</f>
        <v>جميع التخصصات الطبية</v>
      </c>
      <c r="G2208" s="5" t="str">
        <f ca="1">IFERROR(__xludf.DUMMYFUNCTION("""COMPUTED_VALUE"""),"سيتي كلينك للخدمات الطبية")</f>
        <v>سيتي كلينك للخدمات الطبية</v>
      </c>
      <c r="H2208" s="5" t="str">
        <f ca="1">IFERROR(__xludf.DUMMYFUNCTION("""COMPUTED_VALUE"""),"فيلا 94 شارع محمد سيد احمد حلوان")</f>
        <v>فيلا 94 شارع محمد سيد احمد حلوان</v>
      </c>
      <c r="I2208" s="6" t="str">
        <f ca="1">IFERROR(__xludf.DUMMYFUNCTION("""COMPUTED_VALUE"""),"01023533180")</f>
        <v>01023533180</v>
      </c>
      <c r="J2208" s="6"/>
      <c r="K2208" s="6" t="str">
        <f ca="1">IFERROR(__xludf.DUMMYFUNCTION("""COMPUTED_VALUE"""),"20% نسبة خصم")</f>
        <v>20% نسبة خصم</v>
      </c>
    </row>
    <row r="2209" spans="1:11" x14ac:dyDescent="0.25">
      <c r="A2209" s="4" t="str">
        <f ca="1">IFERROR(__xludf.DUMMYFUNCTION("""COMPUTED_VALUE"""),"106711")</f>
        <v>106711</v>
      </c>
      <c r="B2209" s="5" t="str">
        <f ca="1">IFERROR(__xludf.DUMMYFUNCTION("""COMPUTED_VALUE"""),"الغربية")</f>
        <v>الغربية</v>
      </c>
      <c r="C2209" s="5" t="str">
        <f ca="1">IFERROR(__xludf.DUMMYFUNCTION("""COMPUTED_VALUE"""),"طنطا")</f>
        <v>طنطا</v>
      </c>
      <c r="D2209" s="5" t="str">
        <f ca="1">IFERROR(__xludf.DUMMYFUNCTION("""COMPUTED_VALUE"""),"مستشفى")</f>
        <v>مستشفى</v>
      </c>
      <c r="E2209" s="5" t="str">
        <f ca="1">IFERROR(__xludf.DUMMYFUNCTION("""COMPUTED_VALUE"""),"مستشفي طبي متكامل")</f>
        <v>مستشفي طبي متكامل</v>
      </c>
      <c r="F2209" s="5" t="str">
        <f ca="1">IFERROR(__xludf.DUMMYFUNCTION("""COMPUTED_VALUE"""),"جميع التخصصات الطبية")</f>
        <v>جميع التخصصات الطبية</v>
      </c>
      <c r="G2209" s="5" t="str">
        <f ca="1">IFERROR(__xludf.DUMMYFUNCTION("""COMPUTED_VALUE"""),"مستشفي الأمريكي بطنطا")</f>
        <v>مستشفي الأمريكي بطنطا</v>
      </c>
      <c r="H2209" s="5" t="str">
        <f ca="1">IFERROR(__xludf.DUMMYFUNCTION("""COMPUTED_VALUE"""),"32 شارع سعيد ثان طنطا - الغربية")</f>
        <v>32 شارع سعيد ثان طنطا - الغربية</v>
      </c>
      <c r="I2209" s="6" t="str">
        <f ca="1">IFERROR(__xludf.DUMMYFUNCTION("""COMPUTED_VALUE"""),"0403312692")</f>
        <v>0403312692</v>
      </c>
      <c r="J2209" s="6"/>
      <c r="K2209" s="6" t="str">
        <f ca="1">IFERROR(__xludf.DUMMYFUNCTION("""COMPUTED_VALUE"""),"نسبة خصم  20% علي الأسعار النقدي المعلنة")</f>
        <v>نسبة خصم  20% علي الأسعار النقدي المعلنة</v>
      </c>
    </row>
    <row r="2210" spans="1:11" x14ac:dyDescent="0.25">
      <c r="A2210" s="4" t="str">
        <f ca="1">IFERROR(__xludf.DUMMYFUNCTION("""COMPUTED_VALUE"""),"106714")</f>
        <v>106714</v>
      </c>
      <c r="B2210" s="5" t="str">
        <f ca="1">IFERROR(__xludf.DUMMYFUNCTION("""COMPUTED_VALUE"""),"الغربية")</f>
        <v>الغربية</v>
      </c>
      <c r="C2210" s="5" t="str">
        <f ca="1">IFERROR(__xludf.DUMMYFUNCTION("""COMPUTED_VALUE"""),"قاطور")</f>
        <v>قاطور</v>
      </c>
      <c r="D2210" s="5" t="str">
        <f ca="1">IFERROR(__xludf.DUMMYFUNCTION("""COMPUTED_VALUE"""),"مستشفى")</f>
        <v>مستشفى</v>
      </c>
      <c r="E2210" s="5" t="str">
        <f ca="1">IFERROR(__xludf.DUMMYFUNCTION("""COMPUTED_VALUE"""),"مستشفي طبي متكامل")</f>
        <v>مستشفي طبي متكامل</v>
      </c>
      <c r="F2210" s="5" t="str">
        <f ca="1">IFERROR(__xludf.DUMMYFUNCTION("""COMPUTED_VALUE"""),"جميع التخصصات الطبية")</f>
        <v>جميع التخصصات الطبية</v>
      </c>
      <c r="G2210" s="5" t="str">
        <f ca="1">IFERROR(__xludf.DUMMYFUNCTION("""COMPUTED_VALUE"""),"مستشفي اليسر (مستشفي اليسر التخصصي)")</f>
        <v>مستشفي اليسر (مستشفي اليسر التخصصي)</v>
      </c>
      <c r="H2210" s="5" t="str">
        <f ca="1">IFERROR(__xludf.DUMMYFUNCTION("""COMPUTED_VALUE"""),"دماط مركز قطور - الغربيه")</f>
        <v>دماط مركز قطور - الغربيه</v>
      </c>
      <c r="I2210" s="6" t="str">
        <f ca="1">IFERROR(__xludf.DUMMYFUNCTION("""COMPUTED_VALUE"""),"01022209097")</f>
        <v>01022209097</v>
      </c>
      <c r="J2210" s="6"/>
      <c r="K2210" s="6" t="str">
        <f ca="1">IFERROR(__xludf.DUMMYFUNCTION("""COMPUTED_VALUE"""),"خصم  35% علي الأسعار النقدي المعلنة")</f>
        <v>خصم  35% علي الأسعار النقدي المعلنة</v>
      </c>
    </row>
    <row r="2211" spans="1:11" x14ac:dyDescent="0.25">
      <c r="A2211" s="4" t="str">
        <f ca="1">IFERROR(__xludf.DUMMYFUNCTION("""COMPUTED_VALUE"""),"106716")</f>
        <v>106716</v>
      </c>
      <c r="B2211" s="5" t="str">
        <f ca="1">IFERROR(__xludf.DUMMYFUNCTION("""COMPUTED_VALUE"""),"السويس")</f>
        <v>السويس</v>
      </c>
      <c r="C2211" s="5" t="str">
        <f ca="1">IFERROR(__xludf.DUMMYFUNCTION("""COMPUTED_VALUE"""),"السويس")</f>
        <v>السويس</v>
      </c>
      <c r="D2211" s="5" t="str">
        <f ca="1">IFERROR(__xludf.DUMMYFUNCTION("""COMPUTED_VALUE"""),"هيئة الأطباء")</f>
        <v>هيئة الأطباء</v>
      </c>
      <c r="E2211" s="5" t="str">
        <f ca="1">IFERROR(__xludf.DUMMYFUNCTION("""COMPUTED_VALUE"""),"اسنان")</f>
        <v>اسنان</v>
      </c>
      <c r="F2211" s="5" t="str">
        <f ca="1">IFERROR(__xludf.DUMMYFUNCTION("""COMPUTED_VALUE"""),"جراحة الفم والأسنان")</f>
        <v>جراحة الفم والأسنان</v>
      </c>
      <c r="G2211" s="5" t="str">
        <f ca="1">IFERROR(__xludf.DUMMYFUNCTION("""COMPUTED_VALUE"""),"د. مايكل ملاك نصر عوض ( عيادة جلوري للأسنان)")</f>
        <v>د. مايكل ملاك نصر عوض ( عيادة جلوري للأسنان)</v>
      </c>
      <c r="H2211" s="5" t="str">
        <f ca="1">IFERROR(__xludf.DUMMYFUNCTION("""COMPUTED_VALUE"""),"50 شارع ماهر كفر شارل الأربعين - السويس")</f>
        <v>50 شارع ماهر كفر شارل الأربعين - السويس</v>
      </c>
      <c r="I2211" s="6" t="str">
        <f ca="1">IFERROR(__xludf.DUMMYFUNCTION("""COMPUTED_VALUE"""),"01554170500")</f>
        <v>01554170500</v>
      </c>
      <c r="J2211" s="6"/>
      <c r="K2211" s="6" t="str">
        <f ca="1">IFERROR(__xludf.DUMMYFUNCTION("""COMPUTED_VALUE"""),"نسبة خصم  30% علي الأسعار النقدي المعلنة")</f>
        <v>نسبة خصم  30% علي الأسعار النقدي المعلنة</v>
      </c>
    </row>
    <row r="2212" spans="1:11" x14ac:dyDescent="0.25">
      <c r="A2212" s="4" t="str">
        <f ca="1">IFERROR(__xludf.DUMMYFUNCTION("""COMPUTED_VALUE"""),"106716-B")</f>
        <v>106716-B</v>
      </c>
      <c r="B2212" s="5" t="str">
        <f ca="1">IFERROR(__xludf.DUMMYFUNCTION("""COMPUTED_VALUE"""),"السويس")</f>
        <v>السويس</v>
      </c>
      <c r="C2212" s="5" t="str">
        <f ca="1">IFERROR(__xludf.DUMMYFUNCTION("""COMPUTED_VALUE"""),"السويس")</f>
        <v>السويس</v>
      </c>
      <c r="D2212" s="5" t="str">
        <f ca="1">IFERROR(__xludf.DUMMYFUNCTION("""COMPUTED_VALUE"""),"هيئة الأطباء")</f>
        <v>هيئة الأطباء</v>
      </c>
      <c r="E2212" s="5" t="str">
        <f ca="1">IFERROR(__xludf.DUMMYFUNCTION("""COMPUTED_VALUE"""),"اسنان")</f>
        <v>اسنان</v>
      </c>
      <c r="F2212" s="5" t="str">
        <f ca="1">IFERROR(__xludf.DUMMYFUNCTION("""COMPUTED_VALUE"""),"جراحة الفم والأسنان")</f>
        <v>جراحة الفم والأسنان</v>
      </c>
      <c r="G2212" s="5" t="str">
        <f ca="1">IFERROR(__xludf.DUMMYFUNCTION("""COMPUTED_VALUE"""),"د. مايكل ملاك نصر عوض ( عيادة جلوري للأسنان)")</f>
        <v>د. مايكل ملاك نصر عوض ( عيادة جلوري للأسنان)</v>
      </c>
      <c r="H2212" s="5" t="str">
        <f ca="1">IFERROR(__xludf.DUMMYFUNCTION("""COMPUTED_VALUE"""),"برج كوين - الدور الخامس شارع الجيش - السويس")</f>
        <v>برج كوين - الدور الخامس شارع الجيش - السويس</v>
      </c>
      <c r="I2212" s="6" t="str">
        <f ca="1">IFERROR(__xludf.DUMMYFUNCTION("""COMPUTED_VALUE"""),"01554170500")</f>
        <v>01554170500</v>
      </c>
      <c r="J2212" s="6"/>
      <c r="K2212" s="6" t="str">
        <f ca="1">IFERROR(__xludf.DUMMYFUNCTION("""COMPUTED_VALUE"""),"نسبة خصم  30% علي الأسعار النقدي المعلنة")</f>
        <v>نسبة خصم  30% علي الأسعار النقدي المعلنة</v>
      </c>
    </row>
    <row r="2213" spans="1:11" x14ac:dyDescent="0.25">
      <c r="A2213" s="4" t="str">
        <f ca="1">IFERROR(__xludf.DUMMYFUNCTION("""COMPUTED_VALUE"""),"106717")</f>
        <v>106717</v>
      </c>
      <c r="B2213" s="5" t="str">
        <f ca="1">IFERROR(__xludf.DUMMYFUNCTION("""COMPUTED_VALUE"""),"دمياط")</f>
        <v>دمياط</v>
      </c>
      <c r="C2213" s="5" t="str">
        <f ca="1">IFERROR(__xludf.DUMMYFUNCTION("""COMPUTED_VALUE"""),"دمياط الجديدة")</f>
        <v>دمياط الجديدة</v>
      </c>
      <c r="D2213" s="5" t="str">
        <f ca="1">IFERROR(__xludf.DUMMYFUNCTION("""COMPUTED_VALUE"""),"هيئة الأطباء")</f>
        <v>هيئة الأطباء</v>
      </c>
      <c r="E2213" s="5" t="str">
        <f ca="1">IFERROR(__xludf.DUMMYFUNCTION("""COMPUTED_VALUE"""),"أطفال")</f>
        <v>أطفال</v>
      </c>
      <c r="F2213" s="5" t="str">
        <f ca="1">IFERROR(__xludf.DUMMYFUNCTION("""COMPUTED_VALUE"""),"طب أطفال")</f>
        <v>طب أطفال</v>
      </c>
      <c r="G2213" s="5" t="str">
        <f ca="1">IFERROR(__xludf.DUMMYFUNCTION("""COMPUTED_VALUE"""),"د. باسم السيد عبد العليم شمس")</f>
        <v>د. باسم السيد عبد العليم شمس</v>
      </c>
      <c r="H2213" s="5" t="str">
        <f ca="1">IFERROR(__xludf.DUMMYFUNCTION("""COMPUTED_VALUE"""),"ش حسب الله الكفراوي اعلي صيدليه الجو - دمياط الجديده - دمياط")</f>
        <v>ش حسب الله الكفراوي اعلي صيدليه الجو - دمياط الجديده - دمياط</v>
      </c>
      <c r="I2213" s="6" t="str">
        <f ca="1">IFERROR(__xludf.DUMMYFUNCTION("""COMPUTED_VALUE"""),"01009047216")</f>
        <v>01009047216</v>
      </c>
      <c r="J2213" s="6"/>
      <c r="K2213" s="6" t="str">
        <f ca="1">IFERROR(__xludf.DUMMYFUNCTION("""COMPUTED_VALUE"""),"نسبة خصم  30% علي الأسعار النقدي المعلنة")</f>
        <v>نسبة خصم  30% علي الأسعار النقدي المعلنة</v>
      </c>
    </row>
    <row r="2214" spans="1:11" x14ac:dyDescent="0.25">
      <c r="A2214" s="4" t="str">
        <f ca="1">IFERROR(__xludf.DUMMYFUNCTION("""COMPUTED_VALUE"""),"104577")</f>
        <v>104577</v>
      </c>
      <c r="B2214" s="5" t="str">
        <f ca="1">IFERROR(__xludf.DUMMYFUNCTION("""COMPUTED_VALUE"""),"سوهاج")</f>
        <v>سوهاج</v>
      </c>
      <c r="C2214" s="5" t="str">
        <f ca="1">IFERROR(__xludf.DUMMYFUNCTION("""COMPUTED_VALUE"""),"طما")</f>
        <v>طما</v>
      </c>
      <c r="D2214" s="5" t="str">
        <f ca="1">IFERROR(__xludf.DUMMYFUNCTION("""COMPUTED_VALUE"""),"صيدلية")</f>
        <v>صيدلية</v>
      </c>
      <c r="E2214" s="5" t="str">
        <f ca="1">IFERROR(__xludf.DUMMYFUNCTION("""COMPUTED_VALUE"""),"صيدلية")</f>
        <v>صيدلية</v>
      </c>
      <c r="F2214" s="5" t="str">
        <f ca="1">IFERROR(__xludf.DUMMYFUNCTION("""COMPUTED_VALUE"""),"صيدلية (أدوية ومستلزمات طبية)")</f>
        <v>صيدلية (أدوية ومستلزمات طبية)</v>
      </c>
      <c r="G2214" s="5" t="str">
        <f ca="1">IFERROR(__xludf.DUMMYFUNCTION("""COMPUTED_VALUE"""),"صيدلية د/ بيشوي كرم (د.بيشوي كرم إقلاديوس جرجس)")</f>
        <v>صيدلية د/ بيشوي كرم (د.بيشوي كرم إقلاديوس جرجس)</v>
      </c>
      <c r="H2214" s="5" t="str">
        <f ca="1">IFERROR(__xludf.DUMMYFUNCTION("""COMPUTED_VALUE"""),"شارع ابوالدهب ساحل طما القبلي ")</f>
        <v xml:space="preserve">شارع ابوالدهب ساحل طما القبلي </v>
      </c>
      <c r="I2214" s="6" t="str">
        <f ca="1">IFERROR(__xludf.DUMMYFUNCTION("""COMPUTED_VALUE"""),"01559982646")</f>
        <v>01559982646</v>
      </c>
      <c r="J2214" s="6"/>
      <c r="K2214" s="6" t="str">
        <f ca="1">IFERROR(__xludf.DUMMYFUNCTION("""COMPUTED_VALUE"""),"خصم 13% علي المحلي و 6% علي المستورد")</f>
        <v>خصم 13% علي المحلي و 6% علي المستورد</v>
      </c>
    </row>
    <row r="2215" spans="1:11" x14ac:dyDescent="0.25">
      <c r="A2215" s="4" t="str">
        <f ca="1">IFERROR(__xludf.DUMMYFUNCTION("""COMPUTED_VALUE"""),"106726")</f>
        <v>106726</v>
      </c>
      <c r="B2215" s="5" t="str">
        <f ca="1">IFERROR(__xludf.DUMMYFUNCTION("""COMPUTED_VALUE"""),"الاسكندرية")</f>
        <v>الاسكندرية</v>
      </c>
      <c r="C2215" s="5" t="str">
        <f ca="1">IFERROR(__xludf.DUMMYFUNCTION("""COMPUTED_VALUE"""),"العامرية")</f>
        <v>العامرية</v>
      </c>
      <c r="D2215" s="5" t="str">
        <f ca="1">IFERROR(__xludf.DUMMYFUNCTION("""COMPUTED_VALUE"""),"مستشفى")</f>
        <v>مستشفى</v>
      </c>
      <c r="E2215" s="5" t="str">
        <f ca="1">IFERROR(__xludf.DUMMYFUNCTION("""COMPUTED_VALUE"""),"مستشفي طبي متكامل")</f>
        <v>مستشفي طبي متكامل</v>
      </c>
      <c r="F2215" s="5" t="str">
        <f ca="1">IFERROR(__xludf.DUMMYFUNCTION("""COMPUTED_VALUE"""),"جميع التخصصات الطبية")</f>
        <v>جميع التخصصات الطبية</v>
      </c>
      <c r="G2215" s="5" t="str">
        <f ca="1">IFERROR(__xludf.DUMMYFUNCTION("""COMPUTED_VALUE"""),"لواء الحمد للخدمات الطبية مستشفي الصفوة (مستشفي الصفوة)")</f>
        <v>لواء الحمد للخدمات الطبية مستشفي الصفوة (مستشفي الصفوة)</v>
      </c>
      <c r="H2215" s="5" t="str">
        <f ca="1">IFERROR(__xludf.DUMMYFUNCTION("""COMPUTED_VALUE"""),"تقسيم البردويل قطعة 12 مجموعة 13 الدور 3 - العامريه-الأسكندرية")</f>
        <v>تقسيم البردويل قطعة 12 مجموعة 13 الدور 3 - العامريه-الأسكندرية</v>
      </c>
      <c r="I2215" s="6" t="str">
        <f ca="1">IFERROR(__xludf.DUMMYFUNCTION("""COMPUTED_VALUE"""),"034485872")</f>
        <v>034485872</v>
      </c>
      <c r="J2215" s="6"/>
      <c r="K2215" s="6" t="str">
        <f ca="1">IFERROR(__xludf.DUMMYFUNCTION("""COMPUTED_VALUE"""),"15% علي الأسعار النقدي المعلنة")</f>
        <v>15% علي الأسعار النقدي المعلنة</v>
      </c>
    </row>
    <row r="2216" spans="1:11" x14ac:dyDescent="0.25">
      <c r="A2216" s="4" t="str">
        <f ca="1">IFERROR(__xludf.DUMMYFUNCTION("""COMPUTED_VALUE"""),"106728")</f>
        <v>106728</v>
      </c>
      <c r="B2216" s="5" t="str">
        <f ca="1">IFERROR(__xludf.DUMMYFUNCTION("""COMPUTED_VALUE"""),"الجيزة")</f>
        <v>الجيزة</v>
      </c>
      <c r="C2216" s="5" t="str">
        <f ca="1">IFERROR(__xludf.DUMMYFUNCTION("""COMPUTED_VALUE"""),"الشيخ زايد")</f>
        <v>الشيخ زايد</v>
      </c>
      <c r="D2216" s="5" t="str">
        <f ca="1">IFERROR(__xludf.DUMMYFUNCTION("""COMPUTED_VALUE"""),"مستشفى")</f>
        <v>مستشفى</v>
      </c>
      <c r="E2216" s="5" t="str">
        <f ca="1">IFERROR(__xludf.DUMMYFUNCTION("""COMPUTED_VALUE"""),"مستشفي طبي متخصص")</f>
        <v>مستشفي طبي متخصص</v>
      </c>
      <c r="F2216" s="5" t="str">
        <f ca="1">IFERROR(__xludf.DUMMYFUNCTION("""COMPUTED_VALUE"""),"جراحة عظام")</f>
        <v>جراحة عظام</v>
      </c>
      <c r="G2216" s="5" t="str">
        <f ca="1">IFERROR(__xludf.DUMMYFUNCTION("""COMPUTED_VALUE"""),"اراب ميديكال سرفيس لادارة المستشفيات (مركز دار العظام لجراحات العظام)")</f>
        <v>اراب ميديكال سرفيس لادارة المستشفيات (مركز دار العظام لجراحات العظام)</v>
      </c>
      <c r="H2216" s="5" t="str">
        <f ca="1">IFERROR(__xludf.DUMMYFUNCTION("""COMPUTED_VALUE"""),"الدور الأول - مجمع روفيدة الطبي - الشيخ زايد - الجيزة")</f>
        <v>الدور الأول - مجمع روفيدة الطبي - الشيخ زايد - الجيزة</v>
      </c>
      <c r="I2216" s="6" t="str">
        <f ca="1">IFERROR(__xludf.DUMMYFUNCTION("""COMPUTED_VALUE"""),"01019860860")</f>
        <v>01019860860</v>
      </c>
      <c r="J2216" s="6"/>
      <c r="K2216" s="6" t="str">
        <f ca="1">IFERROR(__xludf.DUMMYFUNCTION("""COMPUTED_VALUE"""),"25% علي الأسعار النقدي المعلنة")</f>
        <v>25% علي الأسعار النقدي المعلنة</v>
      </c>
    </row>
    <row r="2217" spans="1:11" x14ac:dyDescent="0.25">
      <c r="A2217" s="4" t="str">
        <f ca="1">IFERROR(__xludf.DUMMYFUNCTION("""COMPUTED_VALUE"""),"106680-B")</f>
        <v>106680-B</v>
      </c>
      <c r="B2217" s="5" t="str">
        <f ca="1">IFERROR(__xludf.DUMMYFUNCTION("""COMPUTED_VALUE"""),"الاسكندرية")</f>
        <v>الاسكندرية</v>
      </c>
      <c r="C2217" s="5" t="str">
        <f ca="1">IFERROR(__xludf.DUMMYFUNCTION("""COMPUTED_VALUE"""),"فيكتوريا")</f>
        <v>فيكتوريا</v>
      </c>
      <c r="D2217" s="5" t="str">
        <f ca="1">IFERROR(__xludf.DUMMYFUNCTION("""COMPUTED_VALUE"""),"شركة")</f>
        <v>شركة</v>
      </c>
      <c r="E2217" s="5" t="str">
        <f ca="1">IFERROR(__xludf.DUMMYFUNCTION("""COMPUTED_VALUE"""),"شركة اجهزة طبية")</f>
        <v>شركة اجهزة طبية</v>
      </c>
      <c r="F2217" s="5" t="str">
        <f ca="1">IFERROR(__xludf.DUMMYFUNCTION("""COMPUTED_VALUE"""),"مستلزمات واجهزة طبية")</f>
        <v>مستلزمات واجهزة طبية</v>
      </c>
      <c r="G2217" s="5" t="str">
        <f ca="1">IFERROR(__xludf.DUMMYFUNCTION("""COMPUTED_VALUE"""),"حنين للأطراف الصناعية و مساعدات الحركة (AMC/ABE)")</f>
        <v>حنين للأطراف الصناعية و مساعدات الحركة (AMC/ABE)</v>
      </c>
      <c r="H2217" s="5" t="str">
        <f ca="1">IFERROR(__xludf.DUMMYFUNCTION("""COMPUTED_VALUE"""),"مصنع 30/32 شارع الجلاء")</f>
        <v>مصنع 30/32 شارع الجلاء</v>
      </c>
      <c r="I2217" s="6" t="str">
        <f ca="1">IFERROR(__xludf.DUMMYFUNCTION("""COMPUTED_VALUE"""),"035732811")</f>
        <v>035732811</v>
      </c>
      <c r="J2217" s="6"/>
      <c r="K2217" s="6" t="str">
        <f ca="1">IFERROR(__xludf.DUMMYFUNCTION("""COMPUTED_VALUE"""),"خصم 15% علي الأسعار النقدي المعلنه")</f>
        <v>خصم 15% علي الأسعار النقدي المعلنه</v>
      </c>
    </row>
    <row r="2218" spans="1:11" x14ac:dyDescent="0.25">
      <c r="A2218" s="4" t="str">
        <f ca="1">IFERROR(__xludf.DUMMYFUNCTION("""COMPUTED_VALUE"""),"106680-B")</f>
        <v>106680-B</v>
      </c>
      <c r="B2218" s="5" t="str">
        <f ca="1">IFERROR(__xludf.DUMMYFUNCTION("""COMPUTED_VALUE"""),"الغربية")</f>
        <v>الغربية</v>
      </c>
      <c r="C2218" s="5" t="str">
        <f ca="1">IFERROR(__xludf.DUMMYFUNCTION("""COMPUTED_VALUE"""),"طنطا")</f>
        <v>طنطا</v>
      </c>
      <c r="D2218" s="5" t="str">
        <f ca="1">IFERROR(__xludf.DUMMYFUNCTION("""COMPUTED_VALUE"""),"شركة")</f>
        <v>شركة</v>
      </c>
      <c r="E2218" s="5" t="str">
        <f ca="1">IFERROR(__xludf.DUMMYFUNCTION("""COMPUTED_VALUE"""),"شركة اجهزة طبية")</f>
        <v>شركة اجهزة طبية</v>
      </c>
      <c r="F2218" s="5" t="str">
        <f ca="1">IFERROR(__xludf.DUMMYFUNCTION("""COMPUTED_VALUE"""),"مستلزمات واجهزة طبية")</f>
        <v>مستلزمات واجهزة طبية</v>
      </c>
      <c r="G2218" s="5" t="str">
        <f ca="1">IFERROR(__xludf.DUMMYFUNCTION("""COMPUTED_VALUE"""),"حنين للأطراف الصناعية و مساعدات الحركة (AMC/ABE)")</f>
        <v>حنين للأطراف الصناعية و مساعدات الحركة (AMC/ABE)</v>
      </c>
      <c r="H2218" s="5" t="str">
        <f ca="1">IFERROR(__xludf.DUMMYFUNCTION("""COMPUTED_VALUE"""),"اول ش عمر زعفان ش المديرية برج المصرية")</f>
        <v>اول ش عمر زعفان ش المديرية برج المصرية</v>
      </c>
      <c r="I2218" s="6" t="str">
        <f ca="1">IFERROR(__xludf.DUMMYFUNCTION("""COMPUTED_VALUE"""),"0403332342")</f>
        <v>0403332342</v>
      </c>
      <c r="J2218" s="6"/>
      <c r="K2218" s="6" t="str">
        <f ca="1">IFERROR(__xludf.DUMMYFUNCTION("""COMPUTED_VALUE"""),"خصم 15% علي الأسعار النقدي المعلنه")</f>
        <v>خصم 15% علي الأسعار النقدي المعلنه</v>
      </c>
    </row>
    <row r="2219" spans="1:11" x14ac:dyDescent="0.25">
      <c r="A2219" s="4" t="str">
        <f ca="1">IFERROR(__xludf.DUMMYFUNCTION("""COMPUTED_VALUE"""),"106734")</f>
        <v>106734</v>
      </c>
      <c r="B2219" s="5" t="str">
        <f ca="1">IFERROR(__xludf.DUMMYFUNCTION("""COMPUTED_VALUE"""),"المنوفية")</f>
        <v>المنوفية</v>
      </c>
      <c r="C2219" s="5" t="str">
        <f ca="1">IFERROR(__xludf.DUMMYFUNCTION("""COMPUTED_VALUE"""),"شبين الكوم")</f>
        <v>شبين الكوم</v>
      </c>
      <c r="D2219" s="5" t="str">
        <f ca="1">IFERROR(__xludf.DUMMYFUNCTION("""COMPUTED_VALUE"""),"مستشفى")</f>
        <v>مستشفى</v>
      </c>
      <c r="E2219" s="5" t="str">
        <f ca="1">IFERROR(__xludf.DUMMYFUNCTION("""COMPUTED_VALUE"""),"مستشفي طبي متكامل")</f>
        <v>مستشفي طبي متكامل</v>
      </c>
      <c r="F2219" s="5" t="str">
        <f ca="1">IFERROR(__xludf.DUMMYFUNCTION("""COMPUTED_VALUE"""),"جميع التخصصات الطبية")</f>
        <v>جميع التخصصات الطبية</v>
      </c>
      <c r="G2219" s="5" t="str">
        <f ca="1">IFERROR(__xludf.DUMMYFUNCTION("""COMPUTED_VALUE"""),"ايجي هيلث للمستشفيات الدره التخصصي (AMC/ABE)")</f>
        <v>ايجي هيلث للمستشفيات الدره التخصصي (AMC/ABE)</v>
      </c>
      <c r="H2219" s="5" t="str">
        <f ca="1">IFERROR(__xludf.DUMMYFUNCTION("""COMPUTED_VALUE"""),"برج طيبه - أمام مدرسه الزراعة - شبين الكوم - المنوفية")</f>
        <v>برج طيبه - أمام مدرسه الزراعة - شبين الكوم - المنوفية</v>
      </c>
      <c r="I2219" s="6" t="str">
        <f ca="1">IFERROR(__xludf.DUMMYFUNCTION("""COMPUTED_VALUE"""),"1028110027")</f>
        <v>1028110027</v>
      </c>
      <c r="J2219" s="6"/>
      <c r="K2219" s="6" t="str">
        <f ca="1">IFERROR(__xludf.DUMMYFUNCTION("""COMPUTED_VALUE"""),"خصم 30% علي الأسعار النقدي المعلنة")</f>
        <v>خصم 30% علي الأسعار النقدي المعلنة</v>
      </c>
    </row>
    <row r="2220" spans="1:11" x14ac:dyDescent="0.25">
      <c r="A2220" s="4" t="str">
        <f ca="1">IFERROR(__xludf.DUMMYFUNCTION("""COMPUTED_VALUE"""),"104575-B")</f>
        <v>104575-B</v>
      </c>
      <c r="B2220" s="5" t="str">
        <f ca="1">IFERROR(__xludf.DUMMYFUNCTION("""COMPUTED_VALUE"""),"الجيزة")</f>
        <v>الجيزة</v>
      </c>
      <c r="C2220" s="5" t="str">
        <f ca="1">IFERROR(__xludf.DUMMYFUNCTION("""COMPUTED_VALUE"""),"حدائق الاهرام")</f>
        <v>حدائق الاهرام</v>
      </c>
      <c r="D2220" s="5" t="str">
        <f ca="1">IFERROR(__xludf.DUMMYFUNCTION("""COMPUTED_VALUE"""),"هيئة الأطباء")</f>
        <v>هيئة الأطباء</v>
      </c>
      <c r="E2220" s="5" t="str">
        <f ca="1">IFERROR(__xludf.DUMMYFUNCTION("""COMPUTED_VALUE"""),"جراحة")</f>
        <v>جراحة</v>
      </c>
      <c r="F2220" s="5" t="str">
        <f ca="1">IFERROR(__xludf.DUMMYFUNCTION("""COMPUTED_VALUE"""),"جراحة عظام")</f>
        <v>جراحة عظام</v>
      </c>
      <c r="G2220" s="5" t="str">
        <f ca="1">IFERROR(__xludf.DUMMYFUNCTION("""COMPUTED_VALUE"""),"د/ خالد أحمد محمد دسوقي الحوت")</f>
        <v>د/ خالد أحمد محمد دسوقي الحوت</v>
      </c>
      <c r="H2220" s="5" t="str">
        <f ca="1">IFERROR(__xludf.DUMMYFUNCTION("""COMPUTED_VALUE"""),"59 أ بجوار اكسبشن شارع الثروة المعدنية شارع 5 أ")</f>
        <v>59 أ بجوار اكسبشن شارع الثروة المعدنية شارع 5 أ</v>
      </c>
      <c r="I2220" s="6" t="str">
        <f ca="1">IFERROR(__xludf.DUMMYFUNCTION("""COMPUTED_VALUE"""),"01156339399")</f>
        <v>01156339399</v>
      </c>
      <c r="J2220" s="6"/>
      <c r="K2220" s="6" t="str">
        <f ca="1">IFERROR(__xludf.DUMMYFUNCTION("""COMPUTED_VALUE"""),"50% للكشف و 30%على باقي الخدمات الأخرى ")</f>
        <v xml:space="preserve">50% للكشف و 30%على باقي الخدمات الأخرى </v>
      </c>
    </row>
    <row r="2221" spans="1:11" x14ac:dyDescent="0.25">
      <c r="A2221" s="4" t="str">
        <f ca="1">IFERROR(__xludf.DUMMYFUNCTION("""COMPUTED_VALUE"""),"106741")</f>
        <v>106741</v>
      </c>
      <c r="B2221" s="5" t="str">
        <f ca="1">IFERROR(__xludf.DUMMYFUNCTION("""COMPUTED_VALUE"""),"القليوبية")</f>
        <v>القليوبية</v>
      </c>
      <c r="C2221" s="5" t="str">
        <f ca="1">IFERROR(__xludf.DUMMYFUNCTION("""COMPUTED_VALUE"""),"مدينة العبور")</f>
        <v>مدينة العبور</v>
      </c>
      <c r="D2221" s="5" t="str">
        <f ca="1">IFERROR(__xludf.DUMMYFUNCTION("""COMPUTED_VALUE"""),"مركز أشعة")</f>
        <v>مركز أشعة</v>
      </c>
      <c r="E2221" s="5" t="str">
        <f ca="1">IFERROR(__xludf.DUMMYFUNCTION("""COMPUTED_VALUE"""),"مركز أشعة")</f>
        <v>مركز أشعة</v>
      </c>
      <c r="F2221" s="5" t="str">
        <f ca="1">IFERROR(__xludf.DUMMYFUNCTION("""COMPUTED_VALUE"""),"أشعة تشخيصية")</f>
        <v>أشعة تشخيصية</v>
      </c>
      <c r="G2221" s="5" t="str">
        <f ca="1">IFERROR(__xludf.DUMMYFUNCTION("""COMPUTED_VALUE"""),"مركز العبور للأشعة التشخيصية العبور سكان")</f>
        <v>مركز العبور للأشعة التشخيصية العبور سكان</v>
      </c>
      <c r="H2221" s="5" t="str">
        <f ca="1">IFERROR(__xludf.DUMMYFUNCTION("""COMPUTED_VALUE"""),"2 جوهره الشرق ق 22 الحي الأول م العبور")</f>
        <v>2 جوهره الشرق ق 22 الحي الأول م العبور</v>
      </c>
      <c r="I2221" s="6" t="str">
        <f ca="1">IFERROR(__xludf.DUMMYFUNCTION("""COMPUTED_VALUE"""),"01017444484")</f>
        <v>01017444484</v>
      </c>
      <c r="J2221" s="6"/>
      <c r="K2221" s="6" t="str">
        <f ca="1">IFERROR(__xludf.DUMMYFUNCTION("""COMPUTED_VALUE"""),"خصم 30% علي الأسعار النقدي المعلنة")</f>
        <v>خصم 30% علي الأسعار النقدي المعلنة</v>
      </c>
    </row>
    <row r="2222" spans="1:11" x14ac:dyDescent="0.25">
      <c r="A2222" s="4" t="str">
        <f ca="1">IFERROR(__xludf.DUMMYFUNCTION("""COMPUTED_VALUE"""),"106741-B")</f>
        <v>106741-B</v>
      </c>
      <c r="B2222" s="5" t="str">
        <f ca="1">IFERROR(__xludf.DUMMYFUNCTION("""COMPUTED_VALUE"""),"القليوبية")</f>
        <v>القليوبية</v>
      </c>
      <c r="C2222" s="5" t="str">
        <f ca="1">IFERROR(__xludf.DUMMYFUNCTION("""COMPUTED_VALUE"""),"مدينة العبور")</f>
        <v>مدينة العبور</v>
      </c>
      <c r="D2222" s="5" t="str">
        <f ca="1">IFERROR(__xludf.DUMMYFUNCTION("""COMPUTED_VALUE"""),"مركز أشعة")</f>
        <v>مركز أشعة</v>
      </c>
      <c r="E2222" s="5" t="str">
        <f ca="1">IFERROR(__xludf.DUMMYFUNCTION("""COMPUTED_VALUE"""),"مركز أشعة")</f>
        <v>مركز أشعة</v>
      </c>
      <c r="F2222" s="5" t="str">
        <f ca="1">IFERROR(__xludf.DUMMYFUNCTION("""COMPUTED_VALUE"""),"أشعة تشخيصية")</f>
        <v>أشعة تشخيصية</v>
      </c>
      <c r="G2222" s="5" t="str">
        <f ca="1">IFERROR(__xludf.DUMMYFUNCTION("""COMPUTED_VALUE"""),"مركز العبور للأشعة التشخيصية العبور سكان")</f>
        <v>مركز العبور للأشعة التشخيصية العبور سكان</v>
      </c>
      <c r="H2222" s="5" t="str">
        <f ca="1">IFERROR(__xludf.DUMMYFUNCTION("""COMPUTED_VALUE"""),"مول مديكال دستنياشن الحي التاسع")</f>
        <v>مول مديكال دستنياشن الحي التاسع</v>
      </c>
      <c r="I2222" s="6" t="str">
        <f ca="1">IFERROR(__xludf.DUMMYFUNCTION("""COMPUTED_VALUE"""),"01017444484")</f>
        <v>01017444484</v>
      </c>
      <c r="J2222" s="6"/>
      <c r="K2222" s="6" t="str">
        <f ca="1">IFERROR(__xludf.DUMMYFUNCTION("""COMPUTED_VALUE"""),"خصم 30% علي الأسعار النقدي المعلنة")</f>
        <v>خصم 30% علي الأسعار النقدي المعلنة</v>
      </c>
    </row>
    <row r="2223" spans="1:11" x14ac:dyDescent="0.25">
      <c r="A2223" s="4" t="str">
        <f ca="1">IFERROR(__xludf.DUMMYFUNCTION("""COMPUTED_VALUE"""),"106742")</f>
        <v>106742</v>
      </c>
      <c r="B2223" s="5" t="str">
        <f ca="1">IFERROR(__xludf.DUMMYFUNCTION("""COMPUTED_VALUE"""),"المنيا")</f>
        <v>المنيا</v>
      </c>
      <c r="C2223" s="5" t="str">
        <f ca="1">IFERROR(__xludf.DUMMYFUNCTION("""COMPUTED_VALUE"""),"أبو قرقاص")</f>
        <v>أبو قرقاص</v>
      </c>
      <c r="D2223" s="5" t="str">
        <f ca="1">IFERROR(__xludf.DUMMYFUNCTION("""COMPUTED_VALUE"""),"هيئة الأطباء")</f>
        <v>هيئة الأطباء</v>
      </c>
      <c r="E2223" s="5" t="str">
        <f ca="1">IFERROR(__xludf.DUMMYFUNCTION("""COMPUTED_VALUE"""),"اسنان")</f>
        <v>اسنان</v>
      </c>
      <c r="F2223" s="5" t="str">
        <f ca="1">IFERROR(__xludf.DUMMYFUNCTION("""COMPUTED_VALUE"""),"جراحة الفم والأسنان")</f>
        <v>جراحة الفم والأسنان</v>
      </c>
      <c r="G2223" s="5" t="str">
        <f ca="1">IFERROR(__xludf.DUMMYFUNCTION("""COMPUTED_VALUE"""),"د/ ابانوب يونان فوزي صالح")</f>
        <v>د/ ابانوب يونان فوزي صالح</v>
      </c>
      <c r="H2223" s="5" t="str">
        <f ca="1">IFERROR(__xludf.DUMMYFUNCTION("""COMPUTED_VALUE"""),"شارع فكري باشا مركز أبو قرقاص - المنيا")</f>
        <v>شارع فكري باشا مركز أبو قرقاص - المنيا</v>
      </c>
      <c r="I2223" s="6" t="str">
        <f ca="1">IFERROR(__xludf.DUMMYFUNCTION("""COMPUTED_VALUE"""),"01555693625")</f>
        <v>01555693625</v>
      </c>
      <c r="J2223" s="6"/>
      <c r="K2223" s="6" t="str">
        <f ca="1">IFERROR(__xludf.DUMMYFUNCTION("""COMPUTED_VALUE"""),"خصم 30% علي الأسعار النقدي المعلنة")</f>
        <v>خصم 30% علي الأسعار النقدي المعلنة</v>
      </c>
    </row>
    <row r="2224" spans="1:11" x14ac:dyDescent="0.25">
      <c r="A2224" s="4" t="str">
        <f ca="1">IFERROR(__xludf.DUMMYFUNCTION("""COMPUTED_VALUE"""),"106743")</f>
        <v>106743</v>
      </c>
      <c r="B2224" s="5" t="str">
        <f ca="1">IFERROR(__xludf.DUMMYFUNCTION("""COMPUTED_VALUE"""),"الغربية")</f>
        <v>الغربية</v>
      </c>
      <c r="C2224" s="5" t="str">
        <f ca="1">IFERROR(__xludf.DUMMYFUNCTION("""COMPUTED_VALUE"""),"المحلة الكبرى")</f>
        <v>المحلة الكبرى</v>
      </c>
      <c r="D2224" s="5" t="str">
        <f ca="1">IFERROR(__xludf.DUMMYFUNCTION("""COMPUTED_VALUE"""),"مركز علاج طبيعي")</f>
        <v>مركز علاج طبيعي</v>
      </c>
      <c r="E2224" s="5" t="str">
        <f ca="1">IFERROR(__xludf.DUMMYFUNCTION("""COMPUTED_VALUE"""),"علاج طبيعي")</f>
        <v>علاج طبيعي</v>
      </c>
      <c r="F2224" s="5" t="str">
        <f ca="1">IFERROR(__xludf.DUMMYFUNCTION("""COMPUTED_VALUE"""),"جلسات العلاج الطبيعي")</f>
        <v>جلسات العلاج الطبيعي</v>
      </c>
      <c r="G2224" s="5" t="str">
        <f ca="1">IFERROR(__xludf.DUMMYFUNCTION("""COMPUTED_VALUE"""),"مركز د/ عمرو الجبالي عبد الرازق عوض (مركز الجبالي)")</f>
        <v>مركز د/ عمرو الجبالي عبد الرازق عوض (مركز الجبالي)</v>
      </c>
      <c r="H2224" s="5" t="str">
        <f ca="1">IFERROR(__xludf.DUMMYFUNCTION("""COMPUTED_VALUE"""),"13 ش 23 يوليو برج زمزم - المحله الكبري - الغربية")</f>
        <v>13 ش 23 يوليو برج زمزم - المحله الكبري - الغربية</v>
      </c>
      <c r="I2224" s="6" t="str">
        <f ca="1">IFERROR(__xludf.DUMMYFUNCTION("""COMPUTED_VALUE"""),"01008610083")</f>
        <v>01008610083</v>
      </c>
      <c r="J2224" s="6"/>
      <c r="K2224" s="6" t="str">
        <f ca="1">IFERROR(__xludf.DUMMYFUNCTION("""COMPUTED_VALUE"""),"خصم 35% علي الأسعار النقدي المعلنة")</f>
        <v>خصم 35% علي الأسعار النقدي المعلنة</v>
      </c>
    </row>
    <row r="2225" spans="1:11" x14ac:dyDescent="0.25">
      <c r="A2225" s="4" t="str">
        <f ca="1">IFERROR(__xludf.DUMMYFUNCTION("""COMPUTED_VALUE"""),"106744")</f>
        <v>106744</v>
      </c>
      <c r="B2225" s="5" t="str">
        <f ca="1">IFERROR(__xludf.DUMMYFUNCTION("""COMPUTED_VALUE"""),"الشرقية")</f>
        <v>الشرقية</v>
      </c>
      <c r="C2225" s="5" t="str">
        <f ca="1">IFERROR(__xludf.DUMMYFUNCTION("""COMPUTED_VALUE"""),"مشتول السوق")</f>
        <v>مشتول السوق</v>
      </c>
      <c r="D2225" s="5" t="str">
        <f ca="1">IFERROR(__xludf.DUMMYFUNCTION("""COMPUTED_VALUE"""),"مركز أشعة")</f>
        <v>مركز أشعة</v>
      </c>
      <c r="E2225" s="5" t="str">
        <f ca="1">IFERROR(__xludf.DUMMYFUNCTION("""COMPUTED_VALUE"""),"مركز أشعة")</f>
        <v>مركز أشعة</v>
      </c>
      <c r="F2225" s="5" t="str">
        <f ca="1">IFERROR(__xludf.DUMMYFUNCTION("""COMPUTED_VALUE"""),"أشعة تشخيصية")</f>
        <v>أشعة تشخيصية</v>
      </c>
      <c r="G2225" s="5" t="str">
        <f ca="1">IFERROR(__xludf.DUMMYFUNCTION("""COMPUTED_VALUE"""),"محمود مصطفي محمود يوسف (مركز المصطفي للاشعه)")</f>
        <v>محمود مصطفي محمود يوسف (مركز المصطفي للاشعه)</v>
      </c>
      <c r="H2225" s="5" t="str">
        <f ca="1">IFERROR(__xludf.DUMMYFUNCTION("""COMPUTED_VALUE"""),"شارع عمر بن الخطاب مركز مشتول السوق - الشرقية")</f>
        <v>شارع عمر بن الخطاب مركز مشتول السوق - الشرقية</v>
      </c>
      <c r="I2225" s="6" t="str">
        <f ca="1">IFERROR(__xludf.DUMMYFUNCTION("""COMPUTED_VALUE"""),"0552581111")</f>
        <v>0552581111</v>
      </c>
      <c r="J2225" s="6"/>
      <c r="K2225" s="6" t="str">
        <f ca="1">IFERROR(__xludf.DUMMYFUNCTION("""COMPUTED_VALUE"""),"خصم 30% علي الأسعار النقدي المعلنة")</f>
        <v>خصم 30% علي الأسعار النقدي المعلنة</v>
      </c>
    </row>
    <row r="2226" spans="1:11" x14ac:dyDescent="0.25">
      <c r="A2226" s="4" t="str">
        <f ca="1">IFERROR(__xludf.DUMMYFUNCTION("""COMPUTED_VALUE"""),"106213-B")</f>
        <v>106213-B</v>
      </c>
      <c r="B2226" s="5" t="str">
        <f ca="1">IFERROR(__xludf.DUMMYFUNCTION("""COMPUTED_VALUE"""),"الجيزة")</f>
        <v>الجيزة</v>
      </c>
      <c r="C2226" s="5" t="str">
        <f ca="1">IFERROR(__xludf.DUMMYFUNCTION("""COMPUTED_VALUE"""),"امبابة")</f>
        <v>امبابة</v>
      </c>
      <c r="D2226" s="5" t="str">
        <f ca="1">IFERROR(__xludf.DUMMYFUNCTION("""COMPUTED_VALUE"""),"مجمع عيادات")</f>
        <v>مجمع عيادات</v>
      </c>
      <c r="E2226" s="5" t="str">
        <f ca="1">IFERROR(__xludf.DUMMYFUNCTION("""COMPUTED_VALUE"""),"جميع التخصصات")</f>
        <v>جميع التخصصات</v>
      </c>
      <c r="F2226" s="5" t="str">
        <f ca="1">IFERROR(__xludf.DUMMYFUNCTION("""COMPUTED_VALUE"""),"جميع التخصصات الطبية")</f>
        <v>جميع التخصصات الطبية</v>
      </c>
      <c r="G2226" s="5" t="str">
        <f ca="1">IFERROR(__xludf.DUMMYFUNCTION("""COMPUTED_VALUE"""),"شركة داوي لتجهيز المنشات الطبية")</f>
        <v>شركة داوي لتجهيز المنشات الطبية</v>
      </c>
      <c r="H2226" s="5" t="str">
        <f ca="1">IFERROR(__xludf.DUMMYFUNCTION("""COMPUTED_VALUE"""),"الوحده التجاريه بالدور الاول بعقار رقم 59 شارع الوحده - امبابه")</f>
        <v>الوحده التجاريه بالدور الاول بعقار رقم 59 شارع الوحده - امبابه</v>
      </c>
      <c r="I2226" s="6"/>
      <c r="J2226" s="6" t="str">
        <f ca="1">IFERROR(__xludf.DUMMYFUNCTION("""COMPUTED_VALUE"""),"16850")</f>
        <v>16850</v>
      </c>
      <c r="K2226" s="6" t="str">
        <f ca="1">IFERROR(__xludf.DUMMYFUNCTION("""COMPUTED_VALUE"""),"خصم 25% علي جميع الخدمات و20% علي خدمات الاسنان")</f>
        <v>خصم 25% علي جميع الخدمات و20% علي خدمات الاسنان</v>
      </c>
    </row>
    <row r="2227" spans="1:11" x14ac:dyDescent="0.25">
      <c r="A2227" s="4" t="str">
        <f ca="1">IFERROR(__xludf.DUMMYFUNCTION("""COMPUTED_VALUE"""),"106756")</f>
        <v>106756</v>
      </c>
      <c r="B2227" s="5" t="str">
        <f ca="1">IFERROR(__xludf.DUMMYFUNCTION("""COMPUTED_VALUE"""),"القاهرة")</f>
        <v>القاهرة</v>
      </c>
      <c r="C2227" s="5" t="str">
        <f ca="1">IFERROR(__xludf.DUMMYFUNCTION("""COMPUTED_VALUE"""),"العباسية")</f>
        <v>العباسية</v>
      </c>
      <c r="D2227" s="5" t="str">
        <f ca="1">IFERROR(__xludf.DUMMYFUNCTION("""COMPUTED_VALUE"""),"مركز أشعة")</f>
        <v>مركز أشعة</v>
      </c>
      <c r="E2227" s="5" t="str">
        <f ca="1">IFERROR(__xludf.DUMMYFUNCTION("""COMPUTED_VALUE"""),"مركز أشعة")</f>
        <v>مركز أشعة</v>
      </c>
      <c r="F2227" s="5" t="str">
        <f ca="1">IFERROR(__xludf.DUMMYFUNCTION("""COMPUTED_VALUE"""),"أشعة تشخيصية")</f>
        <v>أشعة تشخيصية</v>
      </c>
      <c r="G2227" s="5" t="str">
        <f ca="1">IFERROR(__xludf.DUMMYFUNCTION("""COMPUTED_VALUE"""),"مركز المستقبل للأشعة")</f>
        <v>مركز المستقبل للأشعة</v>
      </c>
      <c r="H2227" s="5" t="str">
        <f ca="1">IFERROR(__xludf.DUMMYFUNCTION("""COMPUTED_VALUE"""),"10 ميدان الجيش الدور الأول شقة 4 - العباسية - القاهرة")</f>
        <v>10 ميدان الجيش الدور الأول شقة 4 - العباسية - القاهرة</v>
      </c>
      <c r="I2227" s="6" t="str">
        <f ca="1">IFERROR(__xludf.DUMMYFUNCTION("""COMPUTED_VALUE"""),"01001928131")</f>
        <v>01001928131</v>
      </c>
      <c r="J2227" s="6"/>
      <c r="K2227" s="6" t="str">
        <f ca="1">IFERROR(__xludf.DUMMYFUNCTION("""COMPUTED_VALUE"""),"خصم 30% علي الأسعار النقدي المعلنة")</f>
        <v>خصم 30% علي الأسعار النقدي المعلنة</v>
      </c>
    </row>
    <row r="2228" spans="1:11" x14ac:dyDescent="0.25">
      <c r="A2228" s="4" t="str">
        <f ca="1">IFERROR(__xludf.DUMMYFUNCTION("""COMPUTED_VALUE"""),"106757")</f>
        <v>106757</v>
      </c>
      <c r="B2228" s="5" t="str">
        <f ca="1">IFERROR(__xludf.DUMMYFUNCTION("""COMPUTED_VALUE"""),"الجيزة")</f>
        <v>الجيزة</v>
      </c>
      <c r="C2228" s="5" t="str">
        <f ca="1">IFERROR(__xludf.DUMMYFUNCTION("""COMPUTED_VALUE"""),"الدقي")</f>
        <v>الدقي</v>
      </c>
      <c r="D2228" s="5" t="str">
        <f ca="1">IFERROR(__xludf.DUMMYFUNCTION("""COMPUTED_VALUE"""),"شركة")</f>
        <v>شركة</v>
      </c>
      <c r="E2228" s="5" t="str">
        <f ca="1">IFERROR(__xludf.DUMMYFUNCTION("""COMPUTED_VALUE"""),"شركة اجهزة طبية")</f>
        <v>شركة اجهزة طبية</v>
      </c>
      <c r="F2228" s="5" t="str">
        <f ca="1">IFERROR(__xludf.DUMMYFUNCTION("""COMPUTED_VALUE"""),"مستلزمات واجهزة طبية")</f>
        <v>مستلزمات واجهزة طبية</v>
      </c>
      <c r="G2228" s="5" t="str">
        <f ca="1">IFERROR(__xludf.DUMMYFUNCTION("""COMPUTED_VALUE"""),"ايهاب احمد فهمي عبد الرحمن بيومي الليثي (العلا للسمعيات)")</f>
        <v>ايهاب احمد فهمي عبد الرحمن بيومي الليثي (العلا للسمعيات)</v>
      </c>
      <c r="H2228" s="5" t="str">
        <f ca="1">IFERROR(__xludf.DUMMYFUNCTION("""COMPUTED_VALUE"""),"1 شارع منصور مهران من ش الكشافة شقه رقم 1 - الدقي - الجيزة")</f>
        <v>1 شارع منصور مهران من ش الكشافة شقه رقم 1 - الدقي - الجيزة</v>
      </c>
      <c r="I2228" s="6" t="str">
        <f ca="1">IFERROR(__xludf.DUMMYFUNCTION("""COMPUTED_VALUE"""),"0237617110")</f>
        <v>0237617110</v>
      </c>
      <c r="J2228" s="6"/>
      <c r="K2228" s="6" t="str">
        <f ca="1">IFERROR(__xludf.DUMMYFUNCTION("""COMPUTED_VALUE"""),"خصم 25% علي الأسعار النقدي المعلنة")</f>
        <v>خصم 25% علي الأسعار النقدي المعلنة</v>
      </c>
    </row>
    <row r="2229" spans="1:11" x14ac:dyDescent="0.25">
      <c r="A2229" s="4" t="str">
        <f ca="1">IFERROR(__xludf.DUMMYFUNCTION("""COMPUTED_VALUE"""),"106751")</f>
        <v>106751</v>
      </c>
      <c r="B2229" s="5" t="str">
        <f ca="1">IFERROR(__xludf.DUMMYFUNCTION("""COMPUTED_VALUE"""),"القاهرة")</f>
        <v>القاهرة</v>
      </c>
      <c r="C2229" s="5" t="str">
        <f ca="1">IFERROR(__xludf.DUMMYFUNCTION("""COMPUTED_VALUE"""),"العباسية")</f>
        <v>العباسية</v>
      </c>
      <c r="D2229" s="5" t="str">
        <f ca="1">IFERROR(__xludf.DUMMYFUNCTION("""COMPUTED_VALUE"""),"مركز علاج طبيعي")</f>
        <v>مركز علاج طبيعي</v>
      </c>
      <c r="E2229" s="5" t="str">
        <f ca="1">IFERROR(__xludf.DUMMYFUNCTION("""COMPUTED_VALUE"""),"علاج طبيعي")</f>
        <v>علاج طبيعي</v>
      </c>
      <c r="F2229" s="5" t="str">
        <f ca="1">IFERROR(__xludf.DUMMYFUNCTION("""COMPUTED_VALUE"""),"جلسات العلاج الطبيعي")</f>
        <v>جلسات العلاج الطبيعي</v>
      </c>
      <c r="G2229" s="5" t="str">
        <f ca="1">IFERROR(__xludf.DUMMYFUNCTION("""COMPUTED_VALUE"""),"مركز العلاج الطبيعي و التأهيل باتحاد الشرطه الرياضي بالدراسه (لافي)")</f>
        <v>مركز العلاج الطبيعي و التأهيل باتحاد الشرطه الرياضي بالدراسه (لافي)</v>
      </c>
      <c r="H2229" s="5" t="str">
        <f ca="1">IFERROR(__xludf.DUMMYFUNCTION("""COMPUTED_VALUE"""),"شارع سك العمله بوابه 7 - الدراسه - القاهرة")</f>
        <v>شارع سك العمله بوابه 7 - الدراسه - القاهرة</v>
      </c>
      <c r="I2229" s="6" t="str">
        <f ca="1">IFERROR(__xludf.DUMMYFUNCTION("""COMPUTED_VALUE"""),"01114796783")</f>
        <v>01114796783</v>
      </c>
      <c r="J2229" s="6"/>
      <c r="K2229" s="6" t="str">
        <f ca="1">IFERROR(__xludf.DUMMYFUNCTION("""COMPUTED_VALUE"""),"خصم 40% علي الأسعار النقدي المعلنة")</f>
        <v>خصم 40% علي الأسعار النقدي المعلنة</v>
      </c>
    </row>
    <row r="2230" spans="1:11" x14ac:dyDescent="0.25">
      <c r="A2230" s="4" t="str">
        <f ca="1">IFERROR(__xludf.DUMMYFUNCTION("""COMPUTED_VALUE"""),"106763")</f>
        <v>106763</v>
      </c>
      <c r="B2230" s="5" t="str">
        <f ca="1">IFERROR(__xludf.DUMMYFUNCTION("""COMPUTED_VALUE"""),"كفر الشيخ")</f>
        <v>كفر الشيخ</v>
      </c>
      <c r="C2230" s="5" t="str">
        <f ca="1">IFERROR(__xludf.DUMMYFUNCTION("""COMPUTED_VALUE"""),"كفر الشيخ")</f>
        <v>كفر الشيخ</v>
      </c>
      <c r="D2230" s="5" t="str">
        <f ca="1">IFERROR(__xludf.DUMMYFUNCTION("""COMPUTED_VALUE"""),"هيئة الأطباء")</f>
        <v>هيئة الأطباء</v>
      </c>
      <c r="E2230" s="5" t="str">
        <f ca="1">IFERROR(__xludf.DUMMYFUNCTION("""COMPUTED_VALUE"""),"باطنة")</f>
        <v>باطنة</v>
      </c>
      <c r="F2230" s="5" t="str">
        <f ca="1">IFERROR(__xludf.DUMMYFUNCTION("""COMPUTED_VALUE"""),"امراض الكلى و المسالك البولية")</f>
        <v>امراض الكلى و المسالك البولية</v>
      </c>
      <c r="G2230" s="5" t="str">
        <f ca="1">IFERROR(__xludf.DUMMYFUNCTION("""COMPUTED_VALUE"""),"د / احمدرأفت يوسف محمد فراج")</f>
        <v>د / احمدرأفت يوسف محمد فراج</v>
      </c>
      <c r="H2230" s="5" t="str">
        <f ca="1">IFERROR(__xludf.DUMMYFUNCTION("""COMPUTED_VALUE"""),"برج الحمد شارع صلاح سالم - كفر الشيخ")</f>
        <v>برج الحمد شارع صلاح سالم - كفر الشيخ</v>
      </c>
      <c r="I2230" s="6" t="str">
        <f ca="1">IFERROR(__xludf.DUMMYFUNCTION("""COMPUTED_VALUE"""),"01032533191")</f>
        <v>01032533191</v>
      </c>
      <c r="J2230" s="6"/>
      <c r="K2230" s="6" t="str">
        <f ca="1">IFERROR(__xludf.DUMMYFUNCTION("""COMPUTED_VALUE"""),"خصم 30% علي الأسعار النقدي المعلنة")</f>
        <v>خصم 30% علي الأسعار النقدي المعلنة</v>
      </c>
    </row>
    <row r="2231" spans="1:11" x14ac:dyDescent="0.25">
      <c r="A2231" s="4" t="str">
        <f ca="1">IFERROR(__xludf.DUMMYFUNCTION("""COMPUTED_VALUE"""),"106764")</f>
        <v>106764</v>
      </c>
      <c r="B2231" s="5" t="str">
        <f ca="1">IFERROR(__xludf.DUMMYFUNCTION("""COMPUTED_VALUE"""),"القاهرة")</f>
        <v>القاهرة</v>
      </c>
      <c r="C2231" s="5" t="str">
        <f ca="1">IFERROR(__xludf.DUMMYFUNCTION("""COMPUTED_VALUE"""),"عين شمس")</f>
        <v>عين شمس</v>
      </c>
      <c r="D2231" s="5" t="str">
        <f ca="1">IFERROR(__xludf.DUMMYFUNCTION("""COMPUTED_VALUE"""),"شركة")</f>
        <v>شركة</v>
      </c>
      <c r="E2231" s="5" t="str">
        <f ca="1">IFERROR(__xludf.DUMMYFUNCTION("""COMPUTED_VALUE"""),"شركة اجهزة طبية")</f>
        <v>شركة اجهزة طبية</v>
      </c>
      <c r="F2231" s="5" t="str">
        <f ca="1">IFERROR(__xludf.DUMMYFUNCTION("""COMPUTED_VALUE"""),"مركز بصريات")</f>
        <v>مركز بصريات</v>
      </c>
      <c r="G2231" s="5" t="str">
        <f ca="1">IFERROR(__xludf.DUMMYFUNCTION("""COMPUTED_VALUE"""),"مجدي محمد ابراهيم حسن (العديسي للنظارات)")</f>
        <v>مجدي محمد ابراهيم حسن (العديسي للنظارات)</v>
      </c>
      <c r="H2231" s="5" t="str">
        <f ca="1">IFERROR(__xludf.DUMMYFUNCTION("""COMPUTED_VALUE"""),"13 شارع متحف المطريه ميدان النعام عين شمس - القاهره")</f>
        <v>13 شارع متحف المطريه ميدان النعام عين شمس - القاهره</v>
      </c>
      <c r="I2231" s="6" t="str">
        <f ca="1">IFERROR(__xludf.DUMMYFUNCTION("""COMPUTED_VALUE"""),"01007427000")</f>
        <v>01007427000</v>
      </c>
      <c r="J2231" s="6"/>
      <c r="K2231" s="6" t="str">
        <f ca="1">IFERROR(__xludf.DUMMYFUNCTION("""COMPUTED_VALUE"""),"خصم 35% علي الأسعار النقدي المعلنة")</f>
        <v>خصم 35% علي الأسعار النقدي المعلنة</v>
      </c>
    </row>
    <row r="2232" spans="1:11" x14ac:dyDescent="0.25">
      <c r="A2232" s="4" t="str">
        <f ca="1">IFERROR(__xludf.DUMMYFUNCTION("""COMPUTED_VALUE"""),"105136-B")</f>
        <v>105136-B</v>
      </c>
      <c r="B2232" s="5" t="str">
        <f ca="1">IFERROR(__xludf.DUMMYFUNCTION("""COMPUTED_VALUE"""),"الجيزة")</f>
        <v>الجيزة</v>
      </c>
      <c r="C2232" s="5" t="str">
        <f ca="1">IFERROR(__xludf.DUMMYFUNCTION("""COMPUTED_VALUE"""),"الهرم")</f>
        <v>الهرم</v>
      </c>
      <c r="D2232" s="5" t="str">
        <f ca="1">IFERROR(__xludf.DUMMYFUNCTION("""COMPUTED_VALUE"""),"مجمع عيادات")</f>
        <v>مجمع عيادات</v>
      </c>
      <c r="E2232" s="5" t="str">
        <f ca="1">IFERROR(__xludf.DUMMYFUNCTION("""COMPUTED_VALUE"""),"جميع التخصصات")</f>
        <v>جميع التخصصات</v>
      </c>
      <c r="F2232" s="5" t="str">
        <f ca="1">IFERROR(__xludf.DUMMYFUNCTION("""COMPUTED_VALUE"""),"جميع التخصصات الطبية")</f>
        <v>جميع التخصصات الطبية</v>
      </c>
      <c r="G2232" s="5" t="str">
        <f ca="1">IFERROR(__xludf.DUMMYFUNCTION("""COMPUTED_VALUE"""),"سيتي كلينك للخدمات الطبية (اسنان فقط)")</f>
        <v>سيتي كلينك للخدمات الطبية (اسنان فقط)</v>
      </c>
      <c r="H2232" s="5" t="str">
        <f ca="1">IFERROR(__xludf.DUMMYFUNCTION("""COMPUTED_VALUE"""),"242 ش الهرم امام كايرومول (داخل مركز كوينز) ")</f>
        <v xml:space="preserve">242 ش الهرم امام كايرومول (داخل مركز كوينز) </v>
      </c>
      <c r="I2232" s="6" t="str">
        <f ca="1">IFERROR(__xludf.DUMMYFUNCTION("""COMPUTED_VALUE"""),"01030119739")</f>
        <v>01030119739</v>
      </c>
      <c r="J2232" s="6"/>
      <c r="K2232" s="6" t="str">
        <f ca="1">IFERROR(__xludf.DUMMYFUNCTION("""COMPUTED_VALUE"""),"20% نسبة خصم")</f>
        <v>20% نسبة خصم</v>
      </c>
    </row>
    <row r="2233" spans="1:11" x14ac:dyDescent="0.25">
      <c r="A2233" s="4" t="str">
        <f ca="1">IFERROR(__xludf.DUMMYFUNCTION("""COMPUTED_VALUE"""),"105136-B")</f>
        <v>105136-B</v>
      </c>
      <c r="B2233" s="5" t="str">
        <f ca="1">IFERROR(__xludf.DUMMYFUNCTION("""COMPUTED_VALUE"""),"القاهرة")</f>
        <v>القاهرة</v>
      </c>
      <c r="C2233" s="5" t="str">
        <f ca="1">IFERROR(__xludf.DUMMYFUNCTION("""COMPUTED_VALUE"""),"مدينة نصر")</f>
        <v>مدينة نصر</v>
      </c>
      <c r="D2233" s="5" t="str">
        <f ca="1">IFERROR(__xludf.DUMMYFUNCTION("""COMPUTED_VALUE"""),"مجمع عيادات")</f>
        <v>مجمع عيادات</v>
      </c>
      <c r="E2233" s="5" t="str">
        <f ca="1">IFERROR(__xludf.DUMMYFUNCTION("""COMPUTED_VALUE"""),"جميع التخصصات")</f>
        <v>جميع التخصصات</v>
      </c>
      <c r="F2233" s="5" t="str">
        <f ca="1">IFERROR(__xludf.DUMMYFUNCTION("""COMPUTED_VALUE"""),"جميع التخصصات الطبية")</f>
        <v>جميع التخصصات الطبية</v>
      </c>
      <c r="G2233" s="5" t="str">
        <f ca="1">IFERROR(__xludf.DUMMYFUNCTION("""COMPUTED_VALUE"""),"سيتي كلينك للخدمات الطبية")</f>
        <v>سيتي كلينك للخدمات الطبية</v>
      </c>
      <c r="H2233" s="5" t="str">
        <f ca="1">IFERROR(__xludf.DUMMYFUNCTION("""COMPUTED_VALUE"""),"17 بلوك 28 ش ذاكر حسين الحي السابع")</f>
        <v>17 بلوك 28 ش ذاكر حسين الحي السابع</v>
      </c>
      <c r="I2233" s="6" t="str">
        <f ca="1">IFERROR(__xludf.DUMMYFUNCTION("""COMPUTED_VALUE"""),"01070164150")</f>
        <v>01070164150</v>
      </c>
      <c r="J2233" s="6"/>
      <c r="K2233" s="6" t="str">
        <f ca="1">IFERROR(__xludf.DUMMYFUNCTION("""COMPUTED_VALUE"""),"20% نسبة خصم")</f>
        <v>20% نسبة خصم</v>
      </c>
    </row>
    <row r="2234" spans="1:11" x14ac:dyDescent="0.25">
      <c r="A2234" s="4" t="str">
        <f ca="1">IFERROR(__xludf.DUMMYFUNCTION("""COMPUTED_VALUE"""),"106770")</f>
        <v>106770</v>
      </c>
      <c r="B2234" s="5" t="str">
        <f ca="1">IFERROR(__xludf.DUMMYFUNCTION("""COMPUTED_VALUE"""),"الجيزة")</f>
        <v>الجيزة</v>
      </c>
      <c r="C2234" s="5" t="str">
        <f ca="1">IFERROR(__xludf.DUMMYFUNCTION("""COMPUTED_VALUE"""),"الدقي")</f>
        <v>الدقي</v>
      </c>
      <c r="D2234" s="5" t="str">
        <f ca="1">IFERROR(__xludf.DUMMYFUNCTION("""COMPUTED_VALUE"""),"معمل")</f>
        <v>معمل</v>
      </c>
      <c r="E2234" s="5" t="str">
        <f ca="1">IFERROR(__xludf.DUMMYFUNCTION("""COMPUTED_VALUE"""),"معمل")</f>
        <v>معمل</v>
      </c>
      <c r="F2234" s="5" t="str">
        <f ca="1">IFERROR(__xludf.DUMMYFUNCTION("""COMPUTED_VALUE"""),"معمل التحاليل الطبية")</f>
        <v>معمل التحاليل الطبية</v>
      </c>
      <c r="G2234" s="5" t="str">
        <f ca="1">IFERROR(__xludf.DUMMYFUNCTION("""COMPUTED_VALUE"""),"ان اس ايه دايجنوستكس للتحاليل الطبيه ")</f>
        <v xml:space="preserve">ان اس ايه دايجنوستكس للتحاليل الطبيه </v>
      </c>
      <c r="H2234" s="5" t="str">
        <f ca="1">IFERROR(__xludf.DUMMYFUNCTION("""COMPUTED_VALUE"""),"57 شارع مصدق - الدقي")</f>
        <v>57 شارع مصدق - الدقي</v>
      </c>
      <c r="I2234" s="6" t="str">
        <f ca="1">IFERROR(__xludf.DUMMYFUNCTION("""COMPUTED_VALUE"""),"1115801396")</f>
        <v>1115801396</v>
      </c>
      <c r="J2234" s="6" t="str">
        <f ca="1">IFERROR(__xludf.DUMMYFUNCTION("""COMPUTED_VALUE"""),"15176")</f>
        <v>15176</v>
      </c>
      <c r="K2234" s="6" t="str">
        <f ca="1">IFERROR(__xludf.DUMMYFUNCTION("""COMPUTED_VALUE"""),"خصم 40% علي الأسعار النقدي المعلنة")</f>
        <v>خصم 40% علي الأسعار النقدي المعلنة</v>
      </c>
    </row>
    <row r="2235" spans="1:11" x14ac:dyDescent="0.25">
      <c r="A2235" s="4" t="str">
        <f ca="1">IFERROR(__xludf.DUMMYFUNCTION("""COMPUTED_VALUE"""),"103478-B")</f>
        <v>103478-B</v>
      </c>
      <c r="B2235" s="5" t="str">
        <f ca="1">IFERROR(__xludf.DUMMYFUNCTION("""COMPUTED_VALUE"""),"مرسى مطروح")</f>
        <v>مرسى مطروح</v>
      </c>
      <c r="C2235" s="5" t="str">
        <f ca="1">IFERROR(__xludf.DUMMYFUNCTION("""COMPUTED_VALUE"""),"الساحل الشمالي")</f>
        <v>الساحل الشمالي</v>
      </c>
      <c r="D2235" s="5" t="str">
        <f ca="1">IFERROR(__xludf.DUMMYFUNCTION("""COMPUTED_VALUE"""),"مستشفى")</f>
        <v>مستشفى</v>
      </c>
      <c r="E2235" s="5" t="str">
        <f ca="1">IFERROR(__xludf.DUMMYFUNCTION("""COMPUTED_VALUE"""),"مستشفي طبي متكامل")</f>
        <v>مستشفي طبي متكامل</v>
      </c>
      <c r="F2235" s="5" t="str">
        <f ca="1">IFERROR(__xludf.DUMMYFUNCTION("""COMPUTED_VALUE"""),"جميع التخصصات الطبية")</f>
        <v>جميع التخصصات الطبية</v>
      </c>
      <c r="G2235" s="5" t="str">
        <f ca="1">IFERROR(__xludf.DUMMYFUNCTION("""COMPUTED_VALUE"""),"مستشفى الصفا")</f>
        <v>مستشفى الصفا</v>
      </c>
      <c r="H2235" s="5" t="str">
        <f ca="1">IFERROR(__xludf.DUMMYFUNCTION("""COMPUTED_VALUE"""),"قرية غزاله الكيلو 144")</f>
        <v>قرية غزاله الكيلو 144</v>
      </c>
      <c r="I2235" s="6" t="str">
        <f ca="1">IFERROR(__xludf.DUMMYFUNCTION("""COMPUTED_VALUE"""),"20233361051")</f>
        <v>20233361051</v>
      </c>
      <c r="J2235" s="6" t="str">
        <f ca="1">IFERROR(__xludf.DUMMYFUNCTION("""COMPUTED_VALUE"""),"16181")</f>
        <v>16181</v>
      </c>
      <c r="K2235" s="6" t="str">
        <f ca="1">IFERROR(__xludf.DUMMYFUNCTION("""COMPUTED_VALUE"""),"50% الكشف ,20% على خدمات الداخلى والطوارئ,عدا بنك الدم والقسطرة والأدوية واتعاب الأطباء")</f>
        <v>50% الكشف ,20% على خدمات الداخلى والطوارئ,عدا بنك الدم والقسطرة والأدوية واتعاب الأطباء</v>
      </c>
    </row>
    <row r="2236" spans="1:11" x14ac:dyDescent="0.25">
      <c r="A2236" s="4" t="str">
        <f ca="1">IFERROR(__xludf.DUMMYFUNCTION("""COMPUTED_VALUE"""),"106770-B")</f>
        <v>106770-B</v>
      </c>
      <c r="B2236" s="5" t="str">
        <f ca="1">IFERROR(__xludf.DUMMYFUNCTION("""COMPUTED_VALUE"""),"القاهرة")</f>
        <v>القاهرة</v>
      </c>
      <c r="C2236" s="5" t="str">
        <f ca="1">IFERROR(__xludf.DUMMYFUNCTION("""COMPUTED_VALUE"""),"وسط البلد")</f>
        <v>وسط البلد</v>
      </c>
      <c r="D2236" s="5" t="str">
        <f ca="1">IFERROR(__xludf.DUMMYFUNCTION("""COMPUTED_VALUE"""),"معمل")</f>
        <v>معمل</v>
      </c>
      <c r="E2236" s="5" t="str">
        <f ca="1">IFERROR(__xludf.DUMMYFUNCTION("""COMPUTED_VALUE"""),"معمل")</f>
        <v>معمل</v>
      </c>
      <c r="F2236" s="5" t="str">
        <f ca="1">IFERROR(__xludf.DUMMYFUNCTION("""COMPUTED_VALUE"""),"معمل التحاليل الطبية")</f>
        <v>معمل التحاليل الطبية</v>
      </c>
      <c r="G2236" s="5" t="str">
        <f ca="1">IFERROR(__xludf.DUMMYFUNCTION("""COMPUTED_VALUE"""),"ان اس ايه دايجنوستكس للتحاليل الطبيه ")</f>
        <v xml:space="preserve">ان اس ايه دايجنوستكس للتحاليل الطبيه </v>
      </c>
      <c r="H2236" s="5" t="str">
        <f ca="1">IFERROR(__xludf.DUMMYFUNCTION("""COMPUTED_VALUE"""),"5 ش طلعت حرب - ميدان التحرير - القاهرة")</f>
        <v>5 ش طلعت حرب - ميدان التحرير - القاهرة</v>
      </c>
      <c r="I2236" s="6" t="str">
        <f ca="1">IFERROR(__xludf.DUMMYFUNCTION("""COMPUTED_VALUE"""),"1222424071")</f>
        <v>1222424071</v>
      </c>
      <c r="J2236" s="6" t="str">
        <f ca="1">IFERROR(__xludf.DUMMYFUNCTION("""COMPUTED_VALUE"""),"15176")</f>
        <v>15176</v>
      </c>
      <c r="K2236" s="6" t="str">
        <f ca="1">IFERROR(__xludf.DUMMYFUNCTION("""COMPUTED_VALUE"""),"خصم 40% علي الأسعار النقدي المعلنة")</f>
        <v>خصم 40% علي الأسعار النقدي المعلنة</v>
      </c>
    </row>
    <row r="2237" spans="1:11" x14ac:dyDescent="0.25">
      <c r="A2237" s="4" t="str">
        <f ca="1">IFERROR(__xludf.DUMMYFUNCTION("""COMPUTED_VALUE"""),"106770-B")</f>
        <v>106770-B</v>
      </c>
      <c r="B2237" s="5" t="str">
        <f ca="1">IFERROR(__xludf.DUMMYFUNCTION("""COMPUTED_VALUE"""),"الجيزة")</f>
        <v>الجيزة</v>
      </c>
      <c r="C2237" s="5" t="str">
        <f ca="1">IFERROR(__xludf.DUMMYFUNCTION("""COMPUTED_VALUE"""),"المهندسين")</f>
        <v>المهندسين</v>
      </c>
      <c r="D2237" s="5" t="str">
        <f ca="1">IFERROR(__xludf.DUMMYFUNCTION("""COMPUTED_VALUE"""),"معمل")</f>
        <v>معمل</v>
      </c>
      <c r="E2237" s="5" t="str">
        <f ca="1">IFERROR(__xludf.DUMMYFUNCTION("""COMPUTED_VALUE"""),"معمل")</f>
        <v>معمل</v>
      </c>
      <c r="F2237" s="5" t="str">
        <f ca="1">IFERROR(__xludf.DUMMYFUNCTION("""COMPUTED_VALUE"""),"معمل التحاليل الطبية")</f>
        <v>معمل التحاليل الطبية</v>
      </c>
      <c r="G2237" s="5" t="str">
        <f ca="1">IFERROR(__xludf.DUMMYFUNCTION("""COMPUTED_VALUE"""),"ان اس ايه دايجنوستكس للتحاليل الطبيه ")</f>
        <v xml:space="preserve">ان اس ايه دايجنوستكس للتحاليل الطبيه </v>
      </c>
      <c r="H2237" s="5" t="str">
        <f ca="1">IFERROR(__xludf.DUMMYFUNCTION("""COMPUTED_VALUE"""),"55 شارع عبد المنعم رياض - برج الأطباء - المهندسين")</f>
        <v>55 شارع عبد المنعم رياض - برج الأطباء - المهندسين</v>
      </c>
      <c r="I2237" s="6" t="str">
        <f ca="1">IFERROR(__xludf.DUMMYFUNCTION("""COMPUTED_VALUE"""),"1227455997")</f>
        <v>1227455997</v>
      </c>
      <c r="J2237" s="6" t="str">
        <f ca="1">IFERROR(__xludf.DUMMYFUNCTION("""COMPUTED_VALUE"""),"15176")</f>
        <v>15176</v>
      </c>
      <c r="K2237" s="6" t="str">
        <f ca="1">IFERROR(__xludf.DUMMYFUNCTION("""COMPUTED_VALUE"""),"خصم 40% علي الأسعار النقدي المعلنة")</f>
        <v>خصم 40% علي الأسعار النقدي المعلنة</v>
      </c>
    </row>
    <row r="2238" spans="1:11" x14ac:dyDescent="0.25">
      <c r="A2238" s="4" t="str">
        <f ca="1">IFERROR(__xludf.DUMMYFUNCTION("""COMPUTED_VALUE"""),"106770-B")</f>
        <v>106770-B</v>
      </c>
      <c r="B2238" s="5" t="str">
        <f ca="1">IFERROR(__xludf.DUMMYFUNCTION("""COMPUTED_VALUE"""),"الجيزة")</f>
        <v>الجيزة</v>
      </c>
      <c r="C2238" s="5" t="str">
        <f ca="1">IFERROR(__xludf.DUMMYFUNCTION("""COMPUTED_VALUE"""),"فيصل")</f>
        <v>فيصل</v>
      </c>
      <c r="D2238" s="5" t="str">
        <f ca="1">IFERROR(__xludf.DUMMYFUNCTION("""COMPUTED_VALUE"""),"معمل")</f>
        <v>معمل</v>
      </c>
      <c r="E2238" s="5" t="str">
        <f ca="1">IFERROR(__xludf.DUMMYFUNCTION("""COMPUTED_VALUE"""),"معمل")</f>
        <v>معمل</v>
      </c>
      <c r="F2238" s="5" t="str">
        <f ca="1">IFERROR(__xludf.DUMMYFUNCTION("""COMPUTED_VALUE"""),"معمل التحاليل الطبية")</f>
        <v>معمل التحاليل الطبية</v>
      </c>
      <c r="G2238" s="5" t="str">
        <f ca="1">IFERROR(__xludf.DUMMYFUNCTION("""COMPUTED_VALUE"""),"ان اس ايه دايجنوستكس للتحاليل الطبيه ")</f>
        <v xml:space="preserve">ان اس ايه دايجنوستكس للتحاليل الطبيه </v>
      </c>
      <c r="H2238" s="5" t="str">
        <f ca="1">IFERROR(__xludf.DUMMYFUNCTION("""COMPUTED_VALUE"""),"321 ش الملك فيصل - الجيزة")</f>
        <v>321 ش الملك فيصل - الجيزة</v>
      </c>
      <c r="I2238" s="6" t="str">
        <f ca="1">IFERROR(__xludf.DUMMYFUNCTION("""COMPUTED_VALUE"""),"1002145323")</f>
        <v>1002145323</v>
      </c>
      <c r="J2238" s="6" t="str">
        <f ca="1">IFERROR(__xludf.DUMMYFUNCTION("""COMPUTED_VALUE"""),"15176")</f>
        <v>15176</v>
      </c>
      <c r="K2238" s="6" t="str">
        <f ca="1">IFERROR(__xludf.DUMMYFUNCTION("""COMPUTED_VALUE"""),"خصم 40% علي الأسعار النقدي المعلنة")</f>
        <v>خصم 40% علي الأسعار النقدي المعلنة</v>
      </c>
    </row>
    <row r="2239" spans="1:11" x14ac:dyDescent="0.25">
      <c r="A2239" s="4" t="str">
        <f ca="1">IFERROR(__xludf.DUMMYFUNCTION("""COMPUTED_VALUE"""),"106770-B")</f>
        <v>106770-B</v>
      </c>
      <c r="B2239" s="5" t="str">
        <f ca="1">IFERROR(__xludf.DUMMYFUNCTION("""COMPUTED_VALUE"""),"الجيزة")</f>
        <v>الجيزة</v>
      </c>
      <c r="C2239" s="5" t="str">
        <f ca="1">IFERROR(__xludf.DUMMYFUNCTION("""COMPUTED_VALUE"""),"الدقي")</f>
        <v>الدقي</v>
      </c>
      <c r="D2239" s="5" t="str">
        <f ca="1">IFERROR(__xludf.DUMMYFUNCTION("""COMPUTED_VALUE"""),"معمل")</f>
        <v>معمل</v>
      </c>
      <c r="E2239" s="5" t="str">
        <f ca="1">IFERROR(__xludf.DUMMYFUNCTION("""COMPUTED_VALUE"""),"معمل")</f>
        <v>معمل</v>
      </c>
      <c r="F2239" s="5" t="str">
        <f ca="1">IFERROR(__xludf.DUMMYFUNCTION("""COMPUTED_VALUE"""),"معمل التحاليل الطبية")</f>
        <v>معمل التحاليل الطبية</v>
      </c>
      <c r="G2239" s="5" t="str">
        <f ca="1">IFERROR(__xludf.DUMMYFUNCTION("""COMPUTED_VALUE"""),"ان اس ايه دايجنوستكس للتحاليل الطبيه ")</f>
        <v xml:space="preserve">ان اس ايه دايجنوستكس للتحاليل الطبيه </v>
      </c>
      <c r="H2239" s="5" t="str">
        <f ca="1">IFERROR(__xludf.DUMMYFUNCTION("""COMPUTED_VALUE"""),"96 أ شارع التحرير - الدقى - الجيزة")</f>
        <v>96 أ شارع التحرير - الدقى - الجيزة</v>
      </c>
      <c r="I2239" s="6" t="str">
        <f ca="1">IFERROR(__xludf.DUMMYFUNCTION("""COMPUTED_VALUE"""),"1028506222")</f>
        <v>1028506222</v>
      </c>
      <c r="J2239" s="6" t="str">
        <f ca="1">IFERROR(__xludf.DUMMYFUNCTION("""COMPUTED_VALUE"""),"15176")</f>
        <v>15176</v>
      </c>
      <c r="K2239" s="6" t="str">
        <f ca="1">IFERROR(__xludf.DUMMYFUNCTION("""COMPUTED_VALUE"""),"خصم 40% علي الأسعار النقدي المعلنة")</f>
        <v>خصم 40% علي الأسعار النقدي المعلنة</v>
      </c>
    </row>
    <row r="2240" spans="1:11" x14ac:dyDescent="0.25">
      <c r="A2240" s="4" t="str">
        <f ca="1">IFERROR(__xludf.DUMMYFUNCTION("""COMPUTED_VALUE"""),"106770-B")</f>
        <v>106770-B</v>
      </c>
      <c r="B2240" s="5" t="str">
        <f ca="1">IFERROR(__xludf.DUMMYFUNCTION("""COMPUTED_VALUE"""),"القاهرة")</f>
        <v>القاهرة</v>
      </c>
      <c r="C2240" s="5" t="str">
        <f ca="1">IFERROR(__xludf.DUMMYFUNCTION("""COMPUTED_VALUE"""),"شبرا")</f>
        <v>شبرا</v>
      </c>
      <c r="D2240" s="5" t="str">
        <f ca="1">IFERROR(__xludf.DUMMYFUNCTION("""COMPUTED_VALUE"""),"معمل")</f>
        <v>معمل</v>
      </c>
      <c r="E2240" s="5" t="str">
        <f ca="1">IFERROR(__xludf.DUMMYFUNCTION("""COMPUTED_VALUE"""),"معمل")</f>
        <v>معمل</v>
      </c>
      <c r="F2240" s="5" t="str">
        <f ca="1">IFERROR(__xludf.DUMMYFUNCTION("""COMPUTED_VALUE"""),"معمل التحاليل الطبية")</f>
        <v>معمل التحاليل الطبية</v>
      </c>
      <c r="G2240" s="5" t="str">
        <f ca="1">IFERROR(__xludf.DUMMYFUNCTION("""COMPUTED_VALUE"""),"ان اس ايه دايجنوستكس للتحاليل الطبيه ")</f>
        <v xml:space="preserve">ان اس ايه دايجنوستكس للتحاليل الطبيه </v>
      </c>
      <c r="H2240" s="5" t="str">
        <f ca="1">IFERROR(__xludf.DUMMYFUNCTION("""COMPUTED_VALUE"""),"280 ش شبرا - بجوار البنك الاهلى - الخلفاوى")</f>
        <v>280 ش شبرا - بجوار البنك الاهلى - الخلفاوى</v>
      </c>
      <c r="I2240" s="6" t="str">
        <f ca="1">IFERROR(__xludf.DUMMYFUNCTION("""COMPUTED_VALUE"""),"1002147188")</f>
        <v>1002147188</v>
      </c>
      <c r="J2240" s="6" t="str">
        <f ca="1">IFERROR(__xludf.DUMMYFUNCTION("""COMPUTED_VALUE"""),"15176")</f>
        <v>15176</v>
      </c>
      <c r="K2240" s="6" t="str">
        <f ca="1">IFERROR(__xludf.DUMMYFUNCTION("""COMPUTED_VALUE"""),"خصم 40% علي الأسعار النقدي المعلنة")</f>
        <v>خصم 40% علي الأسعار النقدي المعلنة</v>
      </c>
    </row>
    <row r="2241" spans="1:11" x14ac:dyDescent="0.25">
      <c r="A2241" s="4" t="str">
        <f ca="1">IFERROR(__xludf.DUMMYFUNCTION("""COMPUTED_VALUE"""),"106770-B")</f>
        <v>106770-B</v>
      </c>
      <c r="B2241" s="5" t="str">
        <f ca="1">IFERROR(__xludf.DUMMYFUNCTION("""COMPUTED_VALUE"""),"القاهرة")</f>
        <v>القاهرة</v>
      </c>
      <c r="C2241" s="5" t="str">
        <f ca="1">IFERROR(__xludf.DUMMYFUNCTION("""COMPUTED_VALUE"""),"شبرا")</f>
        <v>شبرا</v>
      </c>
      <c r="D2241" s="5" t="str">
        <f ca="1">IFERROR(__xludf.DUMMYFUNCTION("""COMPUTED_VALUE"""),"معمل")</f>
        <v>معمل</v>
      </c>
      <c r="E2241" s="5" t="str">
        <f ca="1">IFERROR(__xludf.DUMMYFUNCTION("""COMPUTED_VALUE"""),"معمل")</f>
        <v>معمل</v>
      </c>
      <c r="F2241" s="5" t="str">
        <f ca="1">IFERROR(__xludf.DUMMYFUNCTION("""COMPUTED_VALUE"""),"معمل التحاليل الطبية")</f>
        <v>معمل التحاليل الطبية</v>
      </c>
      <c r="G2241" s="5" t="str">
        <f ca="1">IFERROR(__xludf.DUMMYFUNCTION("""COMPUTED_VALUE"""),"ان اس ايه دايجنوستكس للتحاليل الطبيه ")</f>
        <v xml:space="preserve">ان اس ايه دايجنوستكس للتحاليل الطبيه </v>
      </c>
      <c r="H2241" s="5" t="str">
        <f ca="1">IFERROR(__xludf.DUMMYFUNCTION("""COMPUTED_VALUE"""),"69 أ شارع شبرا - امام مدرسة الليسية فرانسية")</f>
        <v>69 أ شارع شبرا - امام مدرسة الليسية فرانسية</v>
      </c>
      <c r="I2241" s="6" t="str">
        <f ca="1">IFERROR(__xludf.DUMMYFUNCTION("""COMPUTED_VALUE"""),"1002147188")</f>
        <v>1002147188</v>
      </c>
      <c r="J2241" s="6" t="str">
        <f ca="1">IFERROR(__xludf.DUMMYFUNCTION("""COMPUTED_VALUE"""),"15176")</f>
        <v>15176</v>
      </c>
      <c r="K2241" s="6" t="str">
        <f ca="1">IFERROR(__xludf.DUMMYFUNCTION("""COMPUTED_VALUE"""),"خصم 40% علي الأسعار النقدي المعلنة")</f>
        <v>خصم 40% علي الأسعار النقدي المعلنة</v>
      </c>
    </row>
    <row r="2242" spans="1:11" x14ac:dyDescent="0.25">
      <c r="A2242" s="4" t="str">
        <f ca="1">IFERROR(__xludf.DUMMYFUNCTION("""COMPUTED_VALUE"""),"106770-B")</f>
        <v>106770-B</v>
      </c>
      <c r="B2242" s="5" t="str">
        <f ca="1">IFERROR(__xludf.DUMMYFUNCTION("""COMPUTED_VALUE"""),"القاهرة")</f>
        <v>القاهرة</v>
      </c>
      <c r="C2242" s="5" t="str">
        <f ca="1">IFERROR(__xludf.DUMMYFUNCTION("""COMPUTED_VALUE"""),"المعادى")</f>
        <v>المعادى</v>
      </c>
      <c r="D2242" s="5" t="str">
        <f ca="1">IFERROR(__xludf.DUMMYFUNCTION("""COMPUTED_VALUE"""),"معمل")</f>
        <v>معمل</v>
      </c>
      <c r="E2242" s="5" t="str">
        <f ca="1">IFERROR(__xludf.DUMMYFUNCTION("""COMPUTED_VALUE"""),"معمل")</f>
        <v>معمل</v>
      </c>
      <c r="F2242" s="5" t="str">
        <f ca="1">IFERROR(__xludf.DUMMYFUNCTION("""COMPUTED_VALUE"""),"معمل التحاليل الطبية")</f>
        <v>معمل التحاليل الطبية</v>
      </c>
      <c r="G2242" s="5" t="str">
        <f ca="1">IFERROR(__xludf.DUMMYFUNCTION("""COMPUTED_VALUE"""),"ان اس ايه دايجنوستكس للتحاليل الطبيه ")</f>
        <v xml:space="preserve">ان اس ايه دايجنوستكس للتحاليل الطبيه </v>
      </c>
      <c r="H2242" s="5" t="str">
        <f ca="1">IFERROR(__xludf.DUMMYFUNCTION("""COMPUTED_VALUE"""),"1/1 تقاطع ش اللاسلكى مع ش النصر - المعادى - القاهرة")</f>
        <v>1/1 تقاطع ش اللاسلكى مع ش النصر - المعادى - القاهرة</v>
      </c>
      <c r="I2242" s="6" t="str">
        <f ca="1">IFERROR(__xludf.DUMMYFUNCTION("""COMPUTED_VALUE"""),"1050804416")</f>
        <v>1050804416</v>
      </c>
      <c r="J2242" s="6" t="str">
        <f ca="1">IFERROR(__xludf.DUMMYFUNCTION("""COMPUTED_VALUE"""),"15176")</f>
        <v>15176</v>
      </c>
      <c r="K2242" s="6" t="str">
        <f ca="1">IFERROR(__xludf.DUMMYFUNCTION("""COMPUTED_VALUE"""),"خصم 40% علي الأسعار النقدي المعلنة")</f>
        <v>خصم 40% علي الأسعار النقدي المعلنة</v>
      </c>
    </row>
    <row r="2243" spans="1:11" x14ac:dyDescent="0.25">
      <c r="A2243" s="4" t="str">
        <f ca="1">IFERROR(__xludf.DUMMYFUNCTION("""COMPUTED_VALUE"""),"106770-B")</f>
        <v>106770-B</v>
      </c>
      <c r="B2243" s="5" t="str">
        <f ca="1">IFERROR(__xludf.DUMMYFUNCTION("""COMPUTED_VALUE"""),"الجيزة")</f>
        <v>الجيزة</v>
      </c>
      <c r="C2243" s="5" t="str">
        <f ca="1">IFERROR(__xludf.DUMMYFUNCTION("""COMPUTED_VALUE"""),"السادس من اكتوبر")</f>
        <v>السادس من اكتوبر</v>
      </c>
      <c r="D2243" s="5" t="str">
        <f ca="1">IFERROR(__xludf.DUMMYFUNCTION("""COMPUTED_VALUE"""),"معمل")</f>
        <v>معمل</v>
      </c>
      <c r="E2243" s="5" t="str">
        <f ca="1">IFERROR(__xludf.DUMMYFUNCTION("""COMPUTED_VALUE"""),"معمل")</f>
        <v>معمل</v>
      </c>
      <c r="F2243" s="5" t="str">
        <f ca="1">IFERROR(__xludf.DUMMYFUNCTION("""COMPUTED_VALUE"""),"معمل التحاليل الطبية")</f>
        <v>معمل التحاليل الطبية</v>
      </c>
      <c r="G2243" s="5" t="str">
        <f ca="1">IFERROR(__xludf.DUMMYFUNCTION("""COMPUTED_VALUE"""),"ان اس ايه دايجنوستكس للتحاليل الطبيه ")</f>
        <v xml:space="preserve">ان اس ايه دايجنوستكس للتحاليل الطبيه </v>
      </c>
      <c r="H2243" s="5" t="str">
        <f ca="1">IFERROR(__xludf.DUMMYFUNCTION("""COMPUTED_VALUE"""),"425 ش المحور المركزى - الحى الأول - امام جامعة 6 أكتوبر")</f>
        <v>425 ش المحور المركزى - الحى الأول - امام جامعة 6 أكتوبر</v>
      </c>
      <c r="I2243" s="6" t="str">
        <f ca="1">IFERROR(__xludf.DUMMYFUNCTION("""COMPUTED_VALUE"""),"1000191874")</f>
        <v>1000191874</v>
      </c>
      <c r="J2243" s="6" t="str">
        <f ca="1">IFERROR(__xludf.DUMMYFUNCTION("""COMPUTED_VALUE"""),"15176")</f>
        <v>15176</v>
      </c>
      <c r="K2243" s="6" t="str">
        <f ca="1">IFERROR(__xludf.DUMMYFUNCTION("""COMPUTED_VALUE"""),"خصم 40% علي الأسعار النقدي المعلنة")</f>
        <v>خصم 40% علي الأسعار النقدي المعلنة</v>
      </c>
    </row>
    <row r="2244" spans="1:11" x14ac:dyDescent="0.25">
      <c r="A2244" s="4" t="str">
        <f ca="1">IFERROR(__xludf.DUMMYFUNCTION("""COMPUTED_VALUE"""),"106770-B")</f>
        <v>106770-B</v>
      </c>
      <c r="B2244" s="5" t="str">
        <f ca="1">IFERROR(__xludf.DUMMYFUNCTION("""COMPUTED_VALUE"""),"الجيزة")</f>
        <v>الجيزة</v>
      </c>
      <c r="C2244" s="5" t="str">
        <f ca="1">IFERROR(__xludf.DUMMYFUNCTION("""COMPUTED_VALUE"""),"الشيخ زايد")</f>
        <v>الشيخ زايد</v>
      </c>
      <c r="D2244" s="5" t="str">
        <f ca="1">IFERROR(__xludf.DUMMYFUNCTION("""COMPUTED_VALUE"""),"معمل")</f>
        <v>معمل</v>
      </c>
      <c r="E2244" s="5" t="str">
        <f ca="1">IFERROR(__xludf.DUMMYFUNCTION("""COMPUTED_VALUE"""),"معمل")</f>
        <v>معمل</v>
      </c>
      <c r="F2244" s="5" t="str">
        <f ca="1">IFERROR(__xludf.DUMMYFUNCTION("""COMPUTED_VALUE"""),"معمل التحاليل الطبية")</f>
        <v>معمل التحاليل الطبية</v>
      </c>
      <c r="G2244" s="5" t="str">
        <f ca="1">IFERROR(__xludf.DUMMYFUNCTION("""COMPUTED_VALUE"""),"ان اس ايه دايجنوستكس للتحاليل الطبيه ")</f>
        <v xml:space="preserve">ان اس ايه دايجنوستكس للتحاليل الطبيه </v>
      </c>
      <c r="H2244" s="5" t="str">
        <f ca="1">IFERROR(__xludf.DUMMYFUNCTION("""COMPUTED_VALUE"""),"ميدى بوينت - المحور الجنوبى - الشيخ زايد")</f>
        <v>ميدى بوينت - المحور الجنوبى - الشيخ زايد</v>
      </c>
      <c r="I2244" s="6" t="str">
        <f ca="1">IFERROR(__xludf.DUMMYFUNCTION("""COMPUTED_VALUE"""),"1000031133")</f>
        <v>1000031133</v>
      </c>
      <c r="J2244" s="6" t="str">
        <f ca="1">IFERROR(__xludf.DUMMYFUNCTION("""COMPUTED_VALUE"""),"15176")</f>
        <v>15176</v>
      </c>
      <c r="K2244" s="6" t="str">
        <f ca="1">IFERROR(__xludf.DUMMYFUNCTION("""COMPUTED_VALUE"""),"خصم 40% علي الأسعار النقدي المعلنة")</f>
        <v>خصم 40% علي الأسعار النقدي المعلنة</v>
      </c>
    </row>
    <row r="2245" spans="1:11" x14ac:dyDescent="0.25">
      <c r="A2245" s="4" t="str">
        <f ca="1">IFERROR(__xludf.DUMMYFUNCTION("""COMPUTED_VALUE"""),"106770-B")</f>
        <v>106770-B</v>
      </c>
      <c r="B2245" s="5" t="str">
        <f ca="1">IFERROR(__xludf.DUMMYFUNCTION("""COMPUTED_VALUE"""),"الجيزة")</f>
        <v>الجيزة</v>
      </c>
      <c r="C2245" s="5" t="str">
        <f ca="1">IFERROR(__xludf.DUMMYFUNCTION("""COMPUTED_VALUE"""),"الشيخ زايد")</f>
        <v>الشيخ زايد</v>
      </c>
      <c r="D2245" s="5" t="str">
        <f ca="1">IFERROR(__xludf.DUMMYFUNCTION("""COMPUTED_VALUE"""),"معمل")</f>
        <v>معمل</v>
      </c>
      <c r="E2245" s="5" t="str">
        <f ca="1">IFERROR(__xludf.DUMMYFUNCTION("""COMPUTED_VALUE"""),"معمل")</f>
        <v>معمل</v>
      </c>
      <c r="F2245" s="5" t="str">
        <f ca="1">IFERROR(__xludf.DUMMYFUNCTION("""COMPUTED_VALUE"""),"معمل التحاليل الطبية")</f>
        <v>معمل التحاليل الطبية</v>
      </c>
      <c r="G2245" s="5" t="str">
        <f ca="1">IFERROR(__xludf.DUMMYFUNCTION("""COMPUTED_VALUE"""),"ان اس ايه دايجنوستكس للتحاليل الطبيه ")</f>
        <v xml:space="preserve">ان اس ايه دايجنوستكس للتحاليل الطبيه </v>
      </c>
      <c r="H2245" s="5" t="str">
        <f ca="1">IFERROR(__xludf.DUMMYFUNCTION("""COMPUTED_VALUE"""),"الدور الأول رقم 23 الامتداد الجديد لهايبر وان")</f>
        <v>الدور الأول رقم 23 الامتداد الجديد لهايبر وان</v>
      </c>
      <c r="I2245" s="6" t="str">
        <f ca="1">IFERROR(__xludf.DUMMYFUNCTION("""COMPUTED_VALUE"""),"1050061799")</f>
        <v>1050061799</v>
      </c>
      <c r="J2245" s="6" t="str">
        <f ca="1">IFERROR(__xludf.DUMMYFUNCTION("""COMPUTED_VALUE"""),"15176")</f>
        <v>15176</v>
      </c>
      <c r="K2245" s="6" t="str">
        <f ca="1">IFERROR(__xludf.DUMMYFUNCTION("""COMPUTED_VALUE"""),"خصم 40% علي الأسعار النقدي المعلنة")</f>
        <v>خصم 40% علي الأسعار النقدي المعلنة</v>
      </c>
    </row>
    <row r="2246" spans="1:11" x14ac:dyDescent="0.25">
      <c r="A2246" s="4" t="str">
        <f ca="1">IFERROR(__xludf.DUMMYFUNCTION("""COMPUTED_VALUE"""),"106770-B")</f>
        <v>106770-B</v>
      </c>
      <c r="B2246" s="5" t="str">
        <f ca="1">IFERROR(__xludf.DUMMYFUNCTION("""COMPUTED_VALUE"""),"القاهرة")</f>
        <v>القاهرة</v>
      </c>
      <c r="C2246" s="5" t="str">
        <f ca="1">IFERROR(__xludf.DUMMYFUNCTION("""COMPUTED_VALUE"""),"مدينة نصر")</f>
        <v>مدينة نصر</v>
      </c>
      <c r="D2246" s="5" t="str">
        <f ca="1">IFERROR(__xludf.DUMMYFUNCTION("""COMPUTED_VALUE"""),"معمل")</f>
        <v>معمل</v>
      </c>
      <c r="E2246" s="5" t="str">
        <f ca="1">IFERROR(__xludf.DUMMYFUNCTION("""COMPUTED_VALUE"""),"معمل")</f>
        <v>معمل</v>
      </c>
      <c r="F2246" s="5" t="str">
        <f ca="1">IFERROR(__xludf.DUMMYFUNCTION("""COMPUTED_VALUE"""),"معمل التحاليل الطبية")</f>
        <v>معمل التحاليل الطبية</v>
      </c>
      <c r="G2246" s="5" t="str">
        <f ca="1">IFERROR(__xludf.DUMMYFUNCTION("""COMPUTED_VALUE"""),"ان اس ايه دايجنوستكس للتحاليل الطبيه ")</f>
        <v xml:space="preserve">ان اس ايه دايجنوستكس للتحاليل الطبيه </v>
      </c>
      <c r="H2246" s="5" t="str">
        <f ca="1">IFERROR(__xludf.DUMMYFUNCTION("""COMPUTED_VALUE"""),"38 ش عباس العقاد - مدينة نصر")</f>
        <v>38 ش عباس العقاد - مدينة نصر</v>
      </c>
      <c r="I2246" s="6" t="str">
        <f ca="1">IFERROR(__xludf.DUMMYFUNCTION("""COMPUTED_VALUE"""),"1050804421")</f>
        <v>1050804421</v>
      </c>
      <c r="J2246" s="6" t="str">
        <f ca="1">IFERROR(__xludf.DUMMYFUNCTION("""COMPUTED_VALUE"""),"15176")</f>
        <v>15176</v>
      </c>
      <c r="K2246" s="6" t="str">
        <f ca="1">IFERROR(__xludf.DUMMYFUNCTION("""COMPUTED_VALUE"""),"خصم 40% علي الأسعار النقدي المعلنة")</f>
        <v>خصم 40% علي الأسعار النقدي المعلنة</v>
      </c>
    </row>
    <row r="2247" spans="1:11" x14ac:dyDescent="0.25">
      <c r="A2247" s="4" t="str">
        <f ca="1">IFERROR(__xludf.DUMMYFUNCTION("""COMPUTED_VALUE"""),"106770-B")</f>
        <v>106770-B</v>
      </c>
      <c r="B2247" s="5" t="str">
        <f ca="1">IFERROR(__xludf.DUMMYFUNCTION("""COMPUTED_VALUE"""),"القاهرة")</f>
        <v>القاهرة</v>
      </c>
      <c r="C2247" s="5" t="str">
        <f ca="1">IFERROR(__xludf.DUMMYFUNCTION("""COMPUTED_VALUE"""),"مصر الجديدة")</f>
        <v>مصر الجديدة</v>
      </c>
      <c r="D2247" s="5" t="str">
        <f ca="1">IFERROR(__xludf.DUMMYFUNCTION("""COMPUTED_VALUE"""),"معمل")</f>
        <v>معمل</v>
      </c>
      <c r="E2247" s="5" t="str">
        <f ca="1">IFERROR(__xludf.DUMMYFUNCTION("""COMPUTED_VALUE"""),"معمل")</f>
        <v>معمل</v>
      </c>
      <c r="F2247" s="5" t="str">
        <f ca="1">IFERROR(__xludf.DUMMYFUNCTION("""COMPUTED_VALUE"""),"معمل التحاليل الطبية")</f>
        <v>معمل التحاليل الطبية</v>
      </c>
      <c r="G2247" s="5" t="str">
        <f ca="1">IFERROR(__xludf.DUMMYFUNCTION("""COMPUTED_VALUE"""),"ان اس ايه دايجنوستكس للتحاليل الطبيه ")</f>
        <v xml:space="preserve">ان اس ايه دايجنوستكس للتحاليل الطبيه </v>
      </c>
      <c r="H2247" s="5" t="str">
        <f ca="1">IFERROR(__xludf.DUMMYFUNCTION("""COMPUTED_VALUE"""),"27 ش القبة(19 سابقا) روكسى - مصر الجديدة")</f>
        <v>27 ش القبة(19 سابقا) روكسى - مصر الجديدة</v>
      </c>
      <c r="I2247" s="6" t="str">
        <f ca="1">IFERROR(__xludf.DUMMYFUNCTION("""COMPUTED_VALUE"""),"1050804417")</f>
        <v>1050804417</v>
      </c>
      <c r="J2247" s="6" t="str">
        <f ca="1">IFERROR(__xludf.DUMMYFUNCTION("""COMPUTED_VALUE"""),"15176")</f>
        <v>15176</v>
      </c>
      <c r="K2247" s="6" t="str">
        <f ca="1">IFERROR(__xludf.DUMMYFUNCTION("""COMPUTED_VALUE"""),"خصم 40% علي الأسعار النقدي المعلنة")</f>
        <v>خصم 40% علي الأسعار النقدي المعلنة</v>
      </c>
    </row>
    <row r="2248" spans="1:11" x14ac:dyDescent="0.25">
      <c r="A2248" s="4" t="str">
        <f ca="1">IFERROR(__xludf.DUMMYFUNCTION("""COMPUTED_VALUE"""),"106770-B")</f>
        <v>106770-B</v>
      </c>
      <c r="B2248" s="5" t="str">
        <f ca="1">IFERROR(__xludf.DUMMYFUNCTION("""COMPUTED_VALUE"""),"القاهرة")</f>
        <v>القاهرة</v>
      </c>
      <c r="C2248" s="5" t="str">
        <f ca="1">IFERROR(__xludf.DUMMYFUNCTION("""COMPUTED_VALUE"""),"القاهرة الجديدة")</f>
        <v>القاهرة الجديدة</v>
      </c>
      <c r="D2248" s="5" t="str">
        <f ca="1">IFERROR(__xludf.DUMMYFUNCTION("""COMPUTED_VALUE"""),"معمل")</f>
        <v>معمل</v>
      </c>
      <c r="E2248" s="5" t="str">
        <f ca="1">IFERROR(__xludf.DUMMYFUNCTION("""COMPUTED_VALUE"""),"معمل")</f>
        <v>معمل</v>
      </c>
      <c r="F2248" s="5" t="str">
        <f ca="1">IFERROR(__xludf.DUMMYFUNCTION("""COMPUTED_VALUE"""),"معمل التحاليل الطبية")</f>
        <v>معمل التحاليل الطبية</v>
      </c>
      <c r="G2248" s="5" t="str">
        <f ca="1">IFERROR(__xludf.DUMMYFUNCTION("""COMPUTED_VALUE"""),"ان اس ايه دايجنوستكس للتحاليل الطبيه ")</f>
        <v xml:space="preserve">ان اس ايه دايجنوستكس للتحاليل الطبيه </v>
      </c>
      <c r="H2248" s="5" t="str">
        <f ca="1">IFERROR(__xludf.DUMMYFUNCTION("""COMPUTED_VALUE"""),"سيلفر ستار 2 - الدور الأول - محمور محمد نجيب")</f>
        <v>سيلفر ستار 2 - الدور الأول - محمور محمد نجيب</v>
      </c>
      <c r="I2248" s="6" t="str">
        <f ca="1">IFERROR(__xludf.DUMMYFUNCTION("""COMPUTED_VALUE"""),"1000031129")</f>
        <v>1000031129</v>
      </c>
      <c r="J2248" s="6" t="str">
        <f ca="1">IFERROR(__xludf.DUMMYFUNCTION("""COMPUTED_VALUE"""),"15176")</f>
        <v>15176</v>
      </c>
      <c r="K2248" s="6" t="str">
        <f ca="1">IFERROR(__xludf.DUMMYFUNCTION("""COMPUTED_VALUE"""),"خصم 40% علي الأسعار النقدي المعلنة")</f>
        <v>خصم 40% علي الأسعار النقدي المعلنة</v>
      </c>
    </row>
    <row r="2249" spans="1:11" x14ac:dyDescent="0.25">
      <c r="A2249" s="4" t="str">
        <f ca="1">IFERROR(__xludf.DUMMYFUNCTION("""COMPUTED_VALUE"""),"106770-B")</f>
        <v>106770-B</v>
      </c>
      <c r="B2249" s="5" t="str">
        <f ca="1">IFERROR(__xludf.DUMMYFUNCTION("""COMPUTED_VALUE"""),"القاهرة")</f>
        <v>القاهرة</v>
      </c>
      <c r="C2249" s="5" t="str">
        <f ca="1">IFERROR(__xludf.DUMMYFUNCTION("""COMPUTED_VALUE"""),"الرحاب")</f>
        <v>الرحاب</v>
      </c>
      <c r="D2249" s="5" t="str">
        <f ca="1">IFERROR(__xludf.DUMMYFUNCTION("""COMPUTED_VALUE"""),"معمل")</f>
        <v>معمل</v>
      </c>
      <c r="E2249" s="5" t="str">
        <f ca="1">IFERROR(__xludf.DUMMYFUNCTION("""COMPUTED_VALUE"""),"معمل")</f>
        <v>معمل</v>
      </c>
      <c r="F2249" s="5" t="str">
        <f ca="1">IFERROR(__xludf.DUMMYFUNCTION("""COMPUTED_VALUE"""),"معمل التحاليل الطبية")</f>
        <v>معمل التحاليل الطبية</v>
      </c>
      <c r="G2249" s="5" t="str">
        <f ca="1">IFERROR(__xludf.DUMMYFUNCTION("""COMPUTED_VALUE"""),"ان اس ايه دايجنوستكس للتحاليل الطبيه ")</f>
        <v xml:space="preserve">ان اس ايه دايجنوستكس للتحاليل الطبيه </v>
      </c>
      <c r="H2249" s="5" t="str">
        <f ca="1">IFERROR(__xludf.DUMMYFUNCTION("""COMPUTED_VALUE"""),"المركز الطبى 1 عيادة رقم 212 الدور الثانى")</f>
        <v>المركز الطبى 1 عيادة رقم 212 الدور الثانى</v>
      </c>
      <c r="I2249" s="6" t="str">
        <f ca="1">IFERROR(__xludf.DUMMYFUNCTION("""COMPUTED_VALUE"""),"1050083229")</f>
        <v>1050083229</v>
      </c>
      <c r="J2249" s="6" t="str">
        <f ca="1">IFERROR(__xludf.DUMMYFUNCTION("""COMPUTED_VALUE"""),"15176")</f>
        <v>15176</v>
      </c>
      <c r="K2249" s="6" t="str">
        <f ca="1">IFERROR(__xludf.DUMMYFUNCTION("""COMPUTED_VALUE"""),"خصم 40% علي الأسعار النقدي المعلنة")</f>
        <v>خصم 40% علي الأسعار النقدي المعلنة</v>
      </c>
    </row>
    <row r="2250" spans="1:11" x14ac:dyDescent="0.25">
      <c r="A2250" s="4" t="str">
        <f ca="1">IFERROR(__xludf.DUMMYFUNCTION("""COMPUTED_VALUE"""),"106770-B")</f>
        <v>106770-B</v>
      </c>
      <c r="B2250" s="5" t="str">
        <f ca="1">IFERROR(__xludf.DUMMYFUNCTION("""COMPUTED_VALUE"""),"القاهرة")</f>
        <v>القاهرة</v>
      </c>
      <c r="C2250" s="5" t="str">
        <f ca="1">IFERROR(__xludf.DUMMYFUNCTION("""COMPUTED_VALUE"""),"مدينة الشروق")</f>
        <v>مدينة الشروق</v>
      </c>
      <c r="D2250" s="5" t="str">
        <f ca="1">IFERROR(__xludf.DUMMYFUNCTION("""COMPUTED_VALUE"""),"معمل")</f>
        <v>معمل</v>
      </c>
      <c r="E2250" s="5" t="str">
        <f ca="1">IFERROR(__xludf.DUMMYFUNCTION("""COMPUTED_VALUE"""),"معمل")</f>
        <v>معمل</v>
      </c>
      <c r="F2250" s="5" t="str">
        <f ca="1">IFERROR(__xludf.DUMMYFUNCTION("""COMPUTED_VALUE"""),"معمل التحاليل الطبية")</f>
        <v>معمل التحاليل الطبية</v>
      </c>
      <c r="G2250" s="5" t="str">
        <f ca="1">IFERROR(__xludf.DUMMYFUNCTION("""COMPUTED_VALUE"""),"ان اس ايه دايجنوستكس للتحاليل الطبيه ")</f>
        <v xml:space="preserve">ان اس ايه دايجنوستكس للتحاليل الطبيه </v>
      </c>
      <c r="H2250" s="5" t="str">
        <f ca="1">IFERROR(__xludf.DUMMYFUNCTION("""COMPUTED_VALUE"""),"مول بانوراما الشروق - دور 2 - وحدة رقم 19")</f>
        <v>مول بانوراما الشروق - دور 2 - وحدة رقم 19</v>
      </c>
      <c r="I2250" s="6" t="str">
        <f ca="1">IFERROR(__xludf.DUMMYFUNCTION("""COMPUTED_VALUE"""),"1009555125")</f>
        <v>1009555125</v>
      </c>
      <c r="J2250" s="6" t="str">
        <f ca="1">IFERROR(__xludf.DUMMYFUNCTION("""COMPUTED_VALUE"""),"15176")</f>
        <v>15176</v>
      </c>
      <c r="K2250" s="6" t="str">
        <f ca="1">IFERROR(__xludf.DUMMYFUNCTION("""COMPUTED_VALUE"""),"خصم 40% علي الأسعار النقدي المعلنة")</f>
        <v>خصم 40% علي الأسعار النقدي المعلنة</v>
      </c>
    </row>
    <row r="2251" spans="1:11" x14ac:dyDescent="0.25">
      <c r="A2251" s="4" t="str">
        <f ca="1">IFERROR(__xludf.DUMMYFUNCTION("""COMPUTED_VALUE"""),"106770-B")</f>
        <v>106770-B</v>
      </c>
      <c r="B2251" s="5" t="str">
        <f ca="1">IFERROR(__xludf.DUMMYFUNCTION("""COMPUTED_VALUE"""),"البحر الاحمر")</f>
        <v>البحر الاحمر</v>
      </c>
      <c r="C2251" s="5" t="str">
        <f ca="1">IFERROR(__xludf.DUMMYFUNCTION("""COMPUTED_VALUE"""),"الغردقة")</f>
        <v>الغردقة</v>
      </c>
      <c r="D2251" s="5" t="str">
        <f ca="1">IFERROR(__xludf.DUMMYFUNCTION("""COMPUTED_VALUE"""),"معمل")</f>
        <v>معمل</v>
      </c>
      <c r="E2251" s="5" t="str">
        <f ca="1">IFERROR(__xludf.DUMMYFUNCTION("""COMPUTED_VALUE"""),"معمل")</f>
        <v>معمل</v>
      </c>
      <c r="F2251" s="5" t="str">
        <f ca="1">IFERROR(__xludf.DUMMYFUNCTION("""COMPUTED_VALUE"""),"معمل التحاليل الطبية")</f>
        <v>معمل التحاليل الطبية</v>
      </c>
      <c r="G2251" s="5" t="str">
        <f ca="1">IFERROR(__xludf.DUMMYFUNCTION("""COMPUTED_VALUE"""),"ان اس ايه دايجنوستكس للتحاليل الطبيه ")</f>
        <v xml:space="preserve">ان اس ايه دايجنوستكس للتحاليل الطبيه </v>
      </c>
      <c r="H2251" s="5" t="str">
        <f ca="1">IFERROR(__xludf.DUMMYFUNCTION("""COMPUTED_VALUE"""),"1077 طريق النصر - ميدان الدهار - الغردقة")</f>
        <v>1077 طريق النصر - ميدان الدهار - الغردقة</v>
      </c>
      <c r="I2251" s="6" t="str">
        <f ca="1">IFERROR(__xludf.DUMMYFUNCTION("""COMPUTED_VALUE"""),"1000214682")</f>
        <v>1000214682</v>
      </c>
      <c r="J2251" s="6" t="str">
        <f ca="1">IFERROR(__xludf.DUMMYFUNCTION("""COMPUTED_VALUE"""),"15176")</f>
        <v>15176</v>
      </c>
      <c r="K2251" s="6" t="str">
        <f ca="1">IFERROR(__xludf.DUMMYFUNCTION("""COMPUTED_VALUE"""),"خصم 40% علي الأسعار النقدي المعلنة")</f>
        <v>خصم 40% علي الأسعار النقدي المعلنة</v>
      </c>
    </row>
    <row r="2252" spans="1:11" x14ac:dyDescent="0.25">
      <c r="A2252" s="4" t="str">
        <f ca="1">IFERROR(__xludf.DUMMYFUNCTION("""COMPUTED_VALUE"""),"106770-B")</f>
        <v>106770-B</v>
      </c>
      <c r="B2252" s="5" t="str">
        <f ca="1">IFERROR(__xludf.DUMMYFUNCTION("""COMPUTED_VALUE"""),"القاهرة")</f>
        <v>القاهرة</v>
      </c>
      <c r="C2252" s="5" t="str">
        <f ca="1">IFERROR(__xludf.DUMMYFUNCTION("""COMPUTED_VALUE"""),"مدينة نصر")</f>
        <v>مدينة نصر</v>
      </c>
      <c r="D2252" s="5" t="str">
        <f ca="1">IFERROR(__xludf.DUMMYFUNCTION("""COMPUTED_VALUE"""),"معمل")</f>
        <v>معمل</v>
      </c>
      <c r="E2252" s="5" t="str">
        <f ca="1">IFERROR(__xludf.DUMMYFUNCTION("""COMPUTED_VALUE"""),"معمل")</f>
        <v>معمل</v>
      </c>
      <c r="F2252" s="5" t="str">
        <f ca="1">IFERROR(__xludf.DUMMYFUNCTION("""COMPUTED_VALUE"""),"معمل التحاليل الطبية")</f>
        <v>معمل التحاليل الطبية</v>
      </c>
      <c r="G2252" s="5" t="str">
        <f ca="1">IFERROR(__xludf.DUMMYFUNCTION("""COMPUTED_VALUE"""),"ان اس ايه دايجنوستكس للتحاليل الطبيه ")</f>
        <v xml:space="preserve">ان اس ايه دايجنوستكس للتحاليل الطبيه </v>
      </c>
      <c r="H2252" s="5" t="str">
        <f ca="1">IFERROR(__xludf.DUMMYFUNCTION("""COMPUTED_VALUE"""),"4 شارع يوسف عباس مدينة نصر نادي الزهور")</f>
        <v>4 شارع يوسف عباس مدينة نصر نادي الزهور</v>
      </c>
      <c r="I2252" s="6" t="str">
        <f ca="1">IFERROR(__xludf.DUMMYFUNCTION("""COMPUTED_VALUE"""),"1002127979")</f>
        <v>1002127979</v>
      </c>
      <c r="J2252" s="6" t="str">
        <f ca="1">IFERROR(__xludf.DUMMYFUNCTION("""COMPUTED_VALUE"""),"15176")</f>
        <v>15176</v>
      </c>
      <c r="K2252" s="6" t="str">
        <f ca="1">IFERROR(__xludf.DUMMYFUNCTION("""COMPUTED_VALUE"""),"خصم 40% علي الأسعار النقدي المعلنة")</f>
        <v>خصم 40% علي الأسعار النقدي المعلنة</v>
      </c>
    </row>
    <row r="2253" spans="1:11" x14ac:dyDescent="0.25">
      <c r="A2253" s="4" t="str">
        <f ca="1">IFERROR(__xludf.DUMMYFUNCTION("""COMPUTED_VALUE"""),"106770-B")</f>
        <v>106770-B</v>
      </c>
      <c r="B2253" s="5" t="str">
        <f ca="1">IFERROR(__xludf.DUMMYFUNCTION("""COMPUTED_VALUE"""),"القاهرة")</f>
        <v>القاهرة</v>
      </c>
      <c r="C2253" s="5" t="str">
        <f ca="1">IFERROR(__xludf.DUMMYFUNCTION("""COMPUTED_VALUE"""),"القاهرة الجديدة")</f>
        <v>القاهرة الجديدة</v>
      </c>
      <c r="D2253" s="5" t="str">
        <f ca="1">IFERROR(__xludf.DUMMYFUNCTION("""COMPUTED_VALUE"""),"معمل")</f>
        <v>معمل</v>
      </c>
      <c r="E2253" s="5" t="str">
        <f ca="1">IFERROR(__xludf.DUMMYFUNCTION("""COMPUTED_VALUE"""),"معمل")</f>
        <v>معمل</v>
      </c>
      <c r="F2253" s="5" t="str">
        <f ca="1">IFERROR(__xludf.DUMMYFUNCTION("""COMPUTED_VALUE"""),"معمل التحاليل الطبية")</f>
        <v>معمل التحاليل الطبية</v>
      </c>
      <c r="G2253" s="5" t="str">
        <f ca="1">IFERROR(__xludf.DUMMYFUNCTION("""COMPUTED_VALUE"""),"ان اس ايه دايجنوستكس للتحاليل الطبيه ")</f>
        <v xml:space="preserve">ان اس ايه دايجنوستكس للتحاليل الطبيه </v>
      </c>
      <c r="H2253" s="5" t="str">
        <f ca="1">IFERROR(__xludf.DUMMYFUNCTION("""COMPUTED_VALUE"""),"نادي الزهور بوابة رقم (1)")</f>
        <v>نادي الزهور بوابة رقم (1)</v>
      </c>
      <c r="I2253" s="6" t="str">
        <f ca="1">IFERROR(__xludf.DUMMYFUNCTION("""COMPUTED_VALUE"""),"1028506677")</f>
        <v>1028506677</v>
      </c>
      <c r="J2253" s="6" t="str">
        <f ca="1">IFERROR(__xludf.DUMMYFUNCTION("""COMPUTED_VALUE"""),"15176")</f>
        <v>15176</v>
      </c>
      <c r="K2253" s="6" t="str">
        <f ca="1">IFERROR(__xludf.DUMMYFUNCTION("""COMPUTED_VALUE"""),"خصم 40% علي الأسعار النقدي المعلنة")</f>
        <v>خصم 40% علي الأسعار النقدي المعلنة</v>
      </c>
    </row>
    <row r="2254" spans="1:11" x14ac:dyDescent="0.25">
      <c r="A2254" s="4" t="str">
        <f ca="1">IFERROR(__xludf.DUMMYFUNCTION("""COMPUTED_VALUE"""),"104151-B")</f>
        <v>104151-B</v>
      </c>
      <c r="B2254" s="5" t="str">
        <f ca="1">IFERROR(__xludf.DUMMYFUNCTION("""COMPUTED_VALUE"""),"القاهرة")</f>
        <v>القاهرة</v>
      </c>
      <c r="C2254" s="5" t="str">
        <f ca="1">IFERROR(__xludf.DUMMYFUNCTION("""COMPUTED_VALUE"""),"مدينة نصر")</f>
        <v>مدينة نصر</v>
      </c>
      <c r="D2254" s="5" t="str">
        <f ca="1">IFERROR(__xludf.DUMMYFUNCTION("""COMPUTED_VALUE"""),"مركز علاج طبيعي")</f>
        <v>مركز علاج طبيعي</v>
      </c>
      <c r="E2254" s="5" t="str">
        <f ca="1">IFERROR(__xludf.DUMMYFUNCTION("""COMPUTED_VALUE"""),"علاج طبيعي")</f>
        <v>علاج طبيعي</v>
      </c>
      <c r="F2254" s="5" t="str">
        <f ca="1">IFERROR(__xludf.DUMMYFUNCTION("""COMPUTED_VALUE"""),"جلسات العلاج الطبيعي")</f>
        <v>جلسات العلاج الطبيعي</v>
      </c>
      <c r="G2254" s="5" t="str">
        <f ca="1">IFERROR(__xludf.DUMMYFUNCTION("""COMPUTED_VALUE"""),"مركز البرج للعلاج الطبيعي")</f>
        <v>مركز البرج للعلاج الطبيعي</v>
      </c>
      <c r="H2254" s="5" t="str">
        <f ca="1">IFERROR(__xludf.DUMMYFUNCTION("""COMPUTED_VALUE"""),"ش النصر عمارات النصر رابعه العدويه")</f>
        <v>ش النصر عمارات النصر رابعه العدويه</v>
      </c>
      <c r="I2254" s="6" t="str">
        <f ca="1">IFERROR(__xludf.DUMMYFUNCTION("""COMPUTED_VALUE"""),"01033356840")</f>
        <v>01033356840</v>
      </c>
      <c r="J2254" s="6"/>
      <c r="K2254" s="6" t="str">
        <f ca="1">IFERROR(__xludf.DUMMYFUNCTION("""COMPUTED_VALUE"""),"نسبة الخصم 30%")</f>
        <v>نسبة الخصم 30%</v>
      </c>
    </row>
    <row r="2255" spans="1:11" x14ac:dyDescent="0.25">
      <c r="A2255" s="4" t="str">
        <f ca="1">IFERROR(__xludf.DUMMYFUNCTION("""COMPUTED_VALUE"""),"104151-B")</f>
        <v>104151-B</v>
      </c>
      <c r="B2255" s="5" t="str">
        <f ca="1">IFERROR(__xludf.DUMMYFUNCTION("""COMPUTED_VALUE"""),"الجيزة")</f>
        <v>الجيزة</v>
      </c>
      <c r="C2255" s="5" t="str">
        <f ca="1">IFERROR(__xludf.DUMMYFUNCTION("""COMPUTED_VALUE"""),"الدقي")</f>
        <v>الدقي</v>
      </c>
      <c r="D2255" s="5" t="str">
        <f ca="1">IFERROR(__xludf.DUMMYFUNCTION("""COMPUTED_VALUE"""),"مركز علاج طبيعي")</f>
        <v>مركز علاج طبيعي</v>
      </c>
      <c r="E2255" s="5" t="str">
        <f ca="1">IFERROR(__xludf.DUMMYFUNCTION("""COMPUTED_VALUE"""),"علاج طبيعي")</f>
        <v>علاج طبيعي</v>
      </c>
      <c r="F2255" s="5" t="str">
        <f ca="1">IFERROR(__xludf.DUMMYFUNCTION("""COMPUTED_VALUE"""),"جلسات العلاج الطبيعي")</f>
        <v>جلسات العلاج الطبيعي</v>
      </c>
      <c r="G2255" s="5" t="str">
        <f ca="1">IFERROR(__xludf.DUMMYFUNCTION("""COMPUTED_VALUE"""),"مركز البرج للعلاج الطبيعي")</f>
        <v>مركز البرج للعلاج الطبيعي</v>
      </c>
      <c r="H2255" s="5" t="str">
        <f ca="1">IFERROR(__xludf.DUMMYFUNCTION("""COMPUTED_VALUE"""),"14 ش الانصار فوق محطه البحوث")</f>
        <v>14 ش الانصار فوق محطه البحوث</v>
      </c>
      <c r="I2255" s="6" t="str">
        <f ca="1">IFERROR(__xludf.DUMMYFUNCTION("""COMPUTED_VALUE"""),"01023799940")</f>
        <v>01023799940</v>
      </c>
      <c r="J2255" s="6"/>
      <c r="K2255" s="6" t="str">
        <f ca="1">IFERROR(__xludf.DUMMYFUNCTION("""COMPUTED_VALUE"""),"نسبة الخصم 30%")</f>
        <v>نسبة الخصم 30%</v>
      </c>
    </row>
    <row r="2256" spans="1:11" x14ac:dyDescent="0.25">
      <c r="A2256" s="4" t="str">
        <f ca="1">IFERROR(__xludf.DUMMYFUNCTION("""COMPUTED_VALUE"""),"106778")</f>
        <v>106778</v>
      </c>
      <c r="B2256" s="5" t="str">
        <f ca="1">IFERROR(__xludf.DUMMYFUNCTION("""COMPUTED_VALUE"""),"الجيزة")</f>
        <v>الجيزة</v>
      </c>
      <c r="C2256" s="5" t="str">
        <f ca="1">IFERROR(__xludf.DUMMYFUNCTION("""COMPUTED_VALUE"""),"المهندسين")</f>
        <v>المهندسين</v>
      </c>
      <c r="D2256" s="5" t="str">
        <f ca="1">IFERROR(__xludf.DUMMYFUNCTION("""COMPUTED_VALUE"""),"هيئة الأطباء")</f>
        <v>هيئة الأطباء</v>
      </c>
      <c r="E2256" s="5" t="str">
        <f ca="1">IFERROR(__xludf.DUMMYFUNCTION("""COMPUTED_VALUE"""),"مركز متخصص")</f>
        <v>مركز متخصص</v>
      </c>
      <c r="F2256" s="5" t="str">
        <f ca="1">IFERROR(__xludf.DUMMYFUNCTION("""COMPUTED_VALUE"""),"أورام وعلاج كميائى")</f>
        <v>أورام وعلاج كميائى</v>
      </c>
      <c r="G2256" s="5" t="str">
        <f ca="1">IFERROR(__xludf.DUMMYFUNCTION("""COMPUTED_VALUE"""),"مركز بيتا كير لعلاج الأورام")</f>
        <v>مركز بيتا كير لعلاج الأورام</v>
      </c>
      <c r="H2256" s="5" t="str">
        <f ca="1">IFERROR(__xludf.DUMMYFUNCTION("""COMPUTED_VALUE"""),"53 ش جامعه الدول العربيه بالدور السادس شقه 14 - الجيزة")</f>
        <v>53 ش جامعه الدول العربيه بالدور السادس شقه 14 - الجيزة</v>
      </c>
      <c r="I2256" s="6" t="str">
        <f ca="1">IFERROR(__xludf.DUMMYFUNCTION("""COMPUTED_VALUE"""),"0233377732")</f>
        <v>0233377732</v>
      </c>
      <c r="J2256" s="6"/>
      <c r="K2256" s="6" t="str">
        <f ca="1">IFERROR(__xludf.DUMMYFUNCTION("""COMPUTED_VALUE"""),"خصم 30% علي الأسعار النقدي المعلنة")</f>
        <v>خصم 30% علي الأسعار النقدي المعلنة</v>
      </c>
    </row>
    <row r="2257" spans="1:11" x14ac:dyDescent="0.25">
      <c r="A2257" s="4" t="str">
        <f ca="1">IFERROR(__xludf.DUMMYFUNCTION("""COMPUTED_VALUE"""),"106779")</f>
        <v>106779</v>
      </c>
      <c r="B2257" s="5" t="str">
        <f ca="1">IFERROR(__xludf.DUMMYFUNCTION("""COMPUTED_VALUE"""),"الدقهلية")</f>
        <v>الدقهلية</v>
      </c>
      <c r="C2257" s="5" t="str">
        <f ca="1">IFERROR(__xludf.DUMMYFUNCTION("""COMPUTED_VALUE"""),"أجا")</f>
        <v>أجا</v>
      </c>
      <c r="D2257" s="5" t="str">
        <f ca="1">IFERROR(__xludf.DUMMYFUNCTION("""COMPUTED_VALUE"""),"صيدلية")</f>
        <v>صيدلية</v>
      </c>
      <c r="E2257" s="5" t="str">
        <f ca="1">IFERROR(__xludf.DUMMYFUNCTION("""COMPUTED_VALUE"""),"صيدلية")</f>
        <v>صيدلية</v>
      </c>
      <c r="F2257" s="5" t="str">
        <f ca="1">IFERROR(__xludf.DUMMYFUNCTION("""COMPUTED_VALUE"""),"صيدلية (أدوية ومستلزمات طبية)")</f>
        <v>صيدلية (أدوية ومستلزمات طبية)</v>
      </c>
      <c r="G2257" s="5" t="str">
        <f ca="1">IFERROR(__xludf.DUMMYFUNCTION("""COMPUTED_VALUE"""),"صيدليه د/ اسامه عبدالرازق عبدالحميد الشبراوي (صيدليه الهلال)")</f>
        <v>صيدليه د/ اسامه عبدالرازق عبدالحميد الشبراوي (صيدليه الهلال)</v>
      </c>
      <c r="H2257" s="5" t="str">
        <f ca="1">IFERROR(__xludf.DUMMYFUNCTION("""COMPUTED_VALUE"""),"ش الجيش - اجا - الدقهليه")</f>
        <v>ش الجيش - اجا - الدقهليه</v>
      </c>
      <c r="I2257" s="6" t="str">
        <f ca="1">IFERROR(__xludf.DUMMYFUNCTION("""COMPUTED_VALUE"""),"0504444444")</f>
        <v>0504444444</v>
      </c>
      <c r="J2257" s="6"/>
      <c r="K2257" s="6" t="str">
        <f ca="1">IFERROR(__xludf.DUMMYFUNCTION("""COMPUTED_VALUE"""),"خصم 14% علي الأدوية المحلية و 7% علي الأدوية المستوردة")</f>
        <v>خصم 14% علي الأدوية المحلية و 7% علي الأدوية المستوردة</v>
      </c>
    </row>
    <row r="2258" spans="1:11" x14ac:dyDescent="0.25">
      <c r="A2258" s="4" t="str">
        <f ca="1">IFERROR(__xludf.DUMMYFUNCTION("""COMPUTED_VALUE"""),"2822-B")</f>
        <v>2822-B</v>
      </c>
      <c r="B2258" s="5" t="str">
        <f ca="1">IFERROR(__xludf.DUMMYFUNCTION("""COMPUTED_VALUE"""),"المنوفية")</f>
        <v>المنوفية</v>
      </c>
      <c r="C2258" s="5" t="str">
        <f ca="1">IFERROR(__xludf.DUMMYFUNCTION("""COMPUTED_VALUE"""),"شبين الكوم")</f>
        <v>شبين الكوم</v>
      </c>
      <c r="D2258" s="5" t="str">
        <f ca="1">IFERROR(__xludf.DUMMYFUNCTION("""COMPUTED_VALUE"""),"صيدلية")</f>
        <v>صيدلية</v>
      </c>
      <c r="E2258" s="5" t="str">
        <f ca="1">IFERROR(__xludf.DUMMYFUNCTION("""COMPUTED_VALUE"""),"صيدلية")</f>
        <v>صيدلية</v>
      </c>
      <c r="F2258" s="5" t="str">
        <f ca="1">IFERROR(__xludf.DUMMYFUNCTION("""COMPUTED_VALUE"""),"صيدلية (أدوية ومستلزمات طبية)")</f>
        <v>صيدلية (أدوية ومستلزمات طبية)</v>
      </c>
      <c r="G2258" s="5" t="str">
        <f ca="1">IFERROR(__xludf.DUMMYFUNCTION("""COMPUTED_VALUE"""),"صيدليات سيف")</f>
        <v>صيدليات سيف</v>
      </c>
      <c r="H2258" s="5" t="str">
        <f ca="1">IFERROR(__xludf.DUMMYFUNCTION("""COMPUTED_VALUE"""),"ش محمد فريد بندر شبين الكوم")</f>
        <v>ش محمد فريد بندر شبين الكوم</v>
      </c>
      <c r="I2258" s="6" t="str">
        <f ca="1">IFERROR(__xludf.DUMMYFUNCTION("""COMPUTED_VALUE"""),"01222226052")</f>
        <v>01222226052</v>
      </c>
      <c r="J2258" s="6" t="str">
        <f ca="1">IFERROR(__xludf.DUMMYFUNCTION("""COMPUTED_VALUE"""),"19199")</f>
        <v>19199</v>
      </c>
      <c r="K2258"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2259" spans="1:11" x14ac:dyDescent="0.25">
      <c r="A2259" s="4" t="str">
        <f ca="1">IFERROR(__xludf.DUMMYFUNCTION("""COMPUTED_VALUE"""),"2822-B")</f>
        <v>2822-B</v>
      </c>
      <c r="B2259" s="5" t="str">
        <f ca="1">IFERROR(__xludf.DUMMYFUNCTION("""COMPUTED_VALUE"""),"القاهرة")</f>
        <v>القاهرة</v>
      </c>
      <c r="C2259" s="5" t="str">
        <f ca="1">IFERROR(__xludf.DUMMYFUNCTION("""COMPUTED_VALUE"""),"شبرا")</f>
        <v>شبرا</v>
      </c>
      <c r="D2259" s="5" t="str">
        <f ca="1">IFERROR(__xludf.DUMMYFUNCTION("""COMPUTED_VALUE"""),"صيدلية")</f>
        <v>صيدلية</v>
      </c>
      <c r="E2259" s="5" t="str">
        <f ca="1">IFERROR(__xludf.DUMMYFUNCTION("""COMPUTED_VALUE"""),"صيدلية")</f>
        <v>صيدلية</v>
      </c>
      <c r="F2259" s="5" t="str">
        <f ca="1">IFERROR(__xludf.DUMMYFUNCTION("""COMPUTED_VALUE"""),"صيدلية (أدوية ومستلزمات طبية)")</f>
        <v>صيدلية (أدوية ومستلزمات طبية)</v>
      </c>
      <c r="G2259" s="5" t="str">
        <f ca="1">IFERROR(__xludf.DUMMYFUNCTION("""COMPUTED_VALUE"""),"صيدليات سيف")</f>
        <v>صيدليات سيف</v>
      </c>
      <c r="H2259" s="5" t="str">
        <f ca="1">IFERROR(__xludf.DUMMYFUNCTION("""COMPUTED_VALUE"""),"258 ش شبرا الخلفاوي")</f>
        <v>258 ش شبرا الخلفاوي</v>
      </c>
      <c r="I2259" s="6" t="str">
        <f ca="1">IFERROR(__xludf.DUMMYFUNCTION("""COMPUTED_VALUE"""),"01200666625")</f>
        <v>01200666625</v>
      </c>
      <c r="J2259" s="6" t="str">
        <f ca="1">IFERROR(__xludf.DUMMYFUNCTION("""COMPUTED_VALUE"""),"19199")</f>
        <v>19199</v>
      </c>
      <c r="K2259"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2260" spans="1:11" x14ac:dyDescent="0.25">
      <c r="A2260" s="4" t="str">
        <f ca="1">IFERROR(__xludf.DUMMYFUNCTION("""COMPUTED_VALUE"""),"106780")</f>
        <v>106780</v>
      </c>
      <c r="B2260" s="5" t="str">
        <f ca="1">IFERROR(__xludf.DUMMYFUNCTION("""COMPUTED_VALUE"""),"البحيرة")</f>
        <v>البحيرة</v>
      </c>
      <c r="C2260" s="5" t="str">
        <f ca="1">IFERROR(__xludf.DUMMYFUNCTION("""COMPUTED_VALUE"""),"كوم حمادة")</f>
        <v>كوم حمادة</v>
      </c>
      <c r="D2260" s="5" t="str">
        <f ca="1">IFERROR(__xludf.DUMMYFUNCTION("""COMPUTED_VALUE"""),"مستشفى")</f>
        <v>مستشفى</v>
      </c>
      <c r="E2260" s="5" t="str">
        <f ca="1">IFERROR(__xludf.DUMMYFUNCTION("""COMPUTED_VALUE"""),"مستشفي طبي متخصص")</f>
        <v>مستشفي طبي متخصص</v>
      </c>
      <c r="F2260" s="5" t="str">
        <f ca="1">IFERROR(__xludf.DUMMYFUNCTION("""COMPUTED_VALUE"""),"مناظير الجهاز الهضمي")</f>
        <v>مناظير الجهاز الهضمي</v>
      </c>
      <c r="G2260" s="5" t="str">
        <f ca="1">IFERROR(__xludf.DUMMYFUNCTION("""COMPUTED_VALUE"""),"شركة رؤيا سكوب")</f>
        <v>شركة رؤيا سكوب</v>
      </c>
      <c r="H2260" s="5" t="str">
        <f ca="1">IFERROR(__xludf.DUMMYFUNCTION("""COMPUTED_VALUE"""),"ش مستشفي المبره - عماره محمود سعد - الدور الخامس علوي - كوم حمادة")</f>
        <v>ش مستشفي المبره - عماره محمود سعد - الدور الخامس علوي - كوم حمادة</v>
      </c>
      <c r="I2260" s="6" t="str">
        <f ca="1">IFERROR(__xludf.DUMMYFUNCTION("""COMPUTED_VALUE"""),"0453694440")</f>
        <v>0453694440</v>
      </c>
      <c r="J2260" s="6"/>
      <c r="K2260" s="6" t="str">
        <f ca="1">IFERROR(__xludf.DUMMYFUNCTION("""COMPUTED_VALUE"""),"خصم 25% علي الأسعار النقدي المعلنة")</f>
        <v>خصم 25% علي الأسعار النقدي المعلنة</v>
      </c>
    </row>
    <row r="2261" spans="1:11" x14ac:dyDescent="0.25">
      <c r="A2261" s="4" t="str">
        <f ca="1">IFERROR(__xludf.DUMMYFUNCTION("""COMPUTED_VALUE"""),"106781")</f>
        <v>106781</v>
      </c>
      <c r="B2261" s="5" t="str">
        <f ca="1">IFERROR(__xludf.DUMMYFUNCTION("""COMPUTED_VALUE"""),"الجيزة")</f>
        <v>الجيزة</v>
      </c>
      <c r="C2261" s="5" t="str">
        <f ca="1">IFERROR(__xludf.DUMMYFUNCTION("""COMPUTED_VALUE"""),"العياط")</f>
        <v>العياط</v>
      </c>
      <c r="D2261" s="5" t="str">
        <f ca="1">IFERROR(__xludf.DUMMYFUNCTION("""COMPUTED_VALUE"""),"هيئة الأطباء")</f>
        <v>هيئة الأطباء</v>
      </c>
      <c r="E2261" s="5" t="str">
        <f ca="1">IFERROR(__xludf.DUMMYFUNCTION("""COMPUTED_VALUE"""),"اسنان")</f>
        <v>اسنان</v>
      </c>
      <c r="F2261" s="5" t="str">
        <f ca="1">IFERROR(__xludf.DUMMYFUNCTION("""COMPUTED_VALUE"""),"جراحة الفم والأسنان")</f>
        <v>جراحة الفم والأسنان</v>
      </c>
      <c r="G2261" s="5" t="str">
        <f ca="1">IFERROR(__xludf.DUMMYFUNCTION("""COMPUTED_VALUE"""),"د/ محمد صاوي محمد عبد المنعم")</f>
        <v>د/ محمد صاوي محمد عبد المنعم</v>
      </c>
      <c r="H2261" s="5" t="str">
        <f ca="1">IFERROR(__xludf.DUMMYFUNCTION("""COMPUTED_VALUE"""),"عماره الحاج ابراهيم ابو هشيمه - العياط - الجيزة")</f>
        <v>عماره الحاج ابراهيم ابو هشيمه - العياط - الجيزة</v>
      </c>
      <c r="I2261" s="6" t="str">
        <f ca="1">IFERROR(__xludf.DUMMYFUNCTION("""COMPUTED_VALUE"""),"01550575655")</f>
        <v>01550575655</v>
      </c>
      <c r="J2261" s="6"/>
      <c r="K2261" s="6" t="str">
        <f ca="1">IFERROR(__xludf.DUMMYFUNCTION("""COMPUTED_VALUE"""),"خصم 25% علي الأسعار النقدي المعلنة")</f>
        <v>خصم 25% علي الأسعار النقدي المعلنة</v>
      </c>
    </row>
    <row r="2262" spans="1:11" x14ac:dyDescent="0.25">
      <c r="A2262" s="4" t="str">
        <f ca="1">IFERROR(__xludf.DUMMYFUNCTION("""COMPUTED_VALUE"""),"106782")</f>
        <v>106782</v>
      </c>
      <c r="B2262" s="5" t="str">
        <f ca="1">IFERROR(__xludf.DUMMYFUNCTION("""COMPUTED_VALUE"""),"سوهاج")</f>
        <v>سوهاج</v>
      </c>
      <c r="C2262" s="5" t="str">
        <f ca="1">IFERROR(__xludf.DUMMYFUNCTION("""COMPUTED_VALUE"""),"جرجا")</f>
        <v>جرجا</v>
      </c>
      <c r="D2262" s="5" t="str">
        <f ca="1">IFERROR(__xludf.DUMMYFUNCTION("""COMPUTED_VALUE"""),"مجمع عيادات")</f>
        <v>مجمع عيادات</v>
      </c>
      <c r="E2262" s="5" t="str">
        <f ca="1">IFERROR(__xludf.DUMMYFUNCTION("""COMPUTED_VALUE"""),"جميع التخصصات")</f>
        <v>جميع التخصصات</v>
      </c>
      <c r="F2262" s="5" t="str">
        <f ca="1">IFERROR(__xludf.DUMMYFUNCTION("""COMPUTED_VALUE"""),"جميع التخصصات الطبية")</f>
        <v>جميع التخصصات الطبية</v>
      </c>
      <c r="G2262" s="5" t="str">
        <f ca="1">IFERROR(__xludf.DUMMYFUNCTION("""COMPUTED_VALUE"""),"د/ محمود احمد محمود عبد الرحيم")</f>
        <v>د/ محمود احمد محمود عبد الرحيم</v>
      </c>
      <c r="H2262" s="5" t="str">
        <f ca="1">IFERROR(__xludf.DUMMYFUNCTION("""COMPUTED_VALUE"""),"جرجا ش سلمان الفارسي المشوادي الشرقي - سوهاج")</f>
        <v>جرجا ش سلمان الفارسي المشوادي الشرقي - سوهاج</v>
      </c>
      <c r="I2262" s="6" t="str">
        <f ca="1">IFERROR(__xludf.DUMMYFUNCTION("""COMPUTED_VALUE"""),"01064666420")</f>
        <v>01064666420</v>
      </c>
      <c r="J2262" s="6"/>
      <c r="K2262" s="6" t="str">
        <f ca="1">IFERROR(__xludf.DUMMYFUNCTION("""COMPUTED_VALUE"""),"خصم 30% علي الأسعار النقدي المعلنة")</f>
        <v>خصم 30% علي الأسعار النقدي المعلنة</v>
      </c>
    </row>
    <row r="2263" spans="1:11" x14ac:dyDescent="0.25">
      <c r="A2263" s="4" t="str">
        <f ca="1">IFERROR(__xludf.DUMMYFUNCTION("""COMPUTED_VALUE"""),"104676-B")</f>
        <v>104676-B</v>
      </c>
      <c r="B2263" s="5" t="str">
        <f ca="1">IFERROR(__xludf.DUMMYFUNCTION("""COMPUTED_VALUE"""),"البحيرة")</f>
        <v>البحيرة</v>
      </c>
      <c r="C2263" s="5" t="str">
        <f ca="1">IFERROR(__xludf.DUMMYFUNCTION("""COMPUTED_VALUE"""),"دمنهور")</f>
        <v>دمنهور</v>
      </c>
      <c r="D2263" s="5" t="str">
        <f ca="1">IFERROR(__xludf.DUMMYFUNCTION("""COMPUTED_VALUE"""),"صيدلية")</f>
        <v>صيدلية</v>
      </c>
      <c r="E2263" s="5" t="str">
        <f ca="1">IFERROR(__xludf.DUMMYFUNCTION("""COMPUTED_VALUE"""),"صيدلية")</f>
        <v>صيدلية</v>
      </c>
      <c r="F2263" s="5" t="str">
        <f ca="1">IFERROR(__xludf.DUMMYFUNCTION("""COMPUTED_VALUE"""),"صيدلية (أدوية ومستلزمات طبية)")</f>
        <v>صيدلية (أدوية ومستلزمات طبية)</v>
      </c>
      <c r="G2263" s="5" t="str">
        <f ca="1">IFERROR(__xludf.DUMMYFUNCTION("""COMPUTED_VALUE"""),"صيدليات الدواء")</f>
        <v>صيدليات الدواء</v>
      </c>
      <c r="H2263" s="5" t="str">
        <f ca="1">IFERROR(__xludf.DUMMYFUNCTION("""COMPUTED_VALUE"""),"دمنهور ش عبد السلام الشاذلي بجوار الجملاسي للسيارات")</f>
        <v>دمنهور ش عبد السلام الشاذلي بجوار الجملاسي للسيارات</v>
      </c>
      <c r="I2263" s="6" t="str">
        <f ca="1">IFERROR(__xludf.DUMMYFUNCTION("""COMPUTED_VALUE"""),"01282459351")</f>
        <v>01282459351</v>
      </c>
      <c r="J2263" s="6" t="str">
        <f ca="1">IFERROR(__xludf.DUMMYFUNCTION("""COMPUTED_VALUE"""),"15252")</f>
        <v>15252</v>
      </c>
      <c r="K2263" s="6" t="str">
        <f ca="1">IFERROR(__xludf.DUMMYFUNCTION("""COMPUTED_VALUE"""),"خصم 10% علي كل الادويه")</f>
        <v>خصم 10% علي كل الادويه</v>
      </c>
    </row>
    <row r="2264" spans="1:11" x14ac:dyDescent="0.25">
      <c r="A2264" s="4" t="str">
        <f ca="1">IFERROR(__xludf.DUMMYFUNCTION("""COMPUTED_VALUE"""),"104676-B")</f>
        <v>104676-B</v>
      </c>
      <c r="B2264" s="5" t="str">
        <f ca="1">IFERROR(__xludf.DUMMYFUNCTION("""COMPUTED_VALUE"""),"الاسكندرية")</f>
        <v>الاسكندرية</v>
      </c>
      <c r="C2264" s="5" t="str">
        <f ca="1">IFERROR(__xludf.DUMMYFUNCTION("""COMPUTED_VALUE"""),"سيدي بشر")</f>
        <v>سيدي بشر</v>
      </c>
      <c r="D2264" s="5" t="str">
        <f ca="1">IFERROR(__xludf.DUMMYFUNCTION("""COMPUTED_VALUE"""),"صيدلية")</f>
        <v>صيدلية</v>
      </c>
      <c r="E2264" s="5" t="str">
        <f ca="1">IFERROR(__xludf.DUMMYFUNCTION("""COMPUTED_VALUE"""),"صيدلية")</f>
        <v>صيدلية</v>
      </c>
      <c r="F2264" s="5" t="str">
        <f ca="1">IFERROR(__xludf.DUMMYFUNCTION("""COMPUTED_VALUE"""),"صيدلية (أدوية ومستلزمات طبية)")</f>
        <v>صيدلية (أدوية ومستلزمات طبية)</v>
      </c>
      <c r="G2264" s="5" t="str">
        <f ca="1">IFERROR(__xludf.DUMMYFUNCTION("""COMPUTED_VALUE"""),"صيدليات الدواء")</f>
        <v>صيدليات الدواء</v>
      </c>
      <c r="H2264" s="5" t="str">
        <f ca="1">IFERROR(__xludf.DUMMYFUNCTION("""COMPUTED_VALUE"""),"ش خليل حماده بحري السكه الحديد امام مستشفي الخليل ")</f>
        <v xml:space="preserve">ش خليل حماده بحري السكه الحديد امام مستشفي الخليل </v>
      </c>
      <c r="I2264" s="6" t="str">
        <f ca="1">IFERROR(__xludf.DUMMYFUNCTION("""COMPUTED_VALUE"""),"035577337")</f>
        <v>035577337</v>
      </c>
      <c r="J2264" s="6" t="str">
        <f ca="1">IFERROR(__xludf.DUMMYFUNCTION("""COMPUTED_VALUE"""),"15252")</f>
        <v>15252</v>
      </c>
      <c r="K2264" s="6" t="str">
        <f ca="1">IFERROR(__xludf.DUMMYFUNCTION("""COMPUTED_VALUE"""),"خصم 10% علي كل الادويه")</f>
        <v>خصم 10% علي كل الادويه</v>
      </c>
    </row>
    <row r="2265" spans="1:11" x14ac:dyDescent="0.25">
      <c r="A2265" s="4" t="str">
        <f ca="1">IFERROR(__xludf.DUMMYFUNCTION("""COMPUTED_VALUE"""),"104676-B")</f>
        <v>104676-B</v>
      </c>
      <c r="B2265" s="5" t="str">
        <f ca="1">IFERROR(__xludf.DUMMYFUNCTION("""COMPUTED_VALUE"""),"الاسكندرية")</f>
        <v>الاسكندرية</v>
      </c>
      <c r="C2265" s="5" t="str">
        <f ca="1">IFERROR(__xludf.DUMMYFUNCTION("""COMPUTED_VALUE"""),"الورديان")</f>
        <v>الورديان</v>
      </c>
      <c r="D2265" s="5" t="str">
        <f ca="1">IFERROR(__xludf.DUMMYFUNCTION("""COMPUTED_VALUE"""),"صيدلية")</f>
        <v>صيدلية</v>
      </c>
      <c r="E2265" s="5" t="str">
        <f ca="1">IFERROR(__xludf.DUMMYFUNCTION("""COMPUTED_VALUE"""),"صيدلية")</f>
        <v>صيدلية</v>
      </c>
      <c r="F2265" s="5" t="str">
        <f ca="1">IFERROR(__xludf.DUMMYFUNCTION("""COMPUTED_VALUE"""),"صيدلية (أدوية ومستلزمات طبية)")</f>
        <v>صيدلية (أدوية ومستلزمات طبية)</v>
      </c>
      <c r="G2265" s="5" t="str">
        <f ca="1">IFERROR(__xludf.DUMMYFUNCTION("""COMPUTED_VALUE"""),"صيدليات الدواء")</f>
        <v>صيدليات الدواء</v>
      </c>
      <c r="H2265" s="5" t="str">
        <f ca="1">IFERROR(__xludf.DUMMYFUNCTION("""COMPUTED_VALUE"""),"شارع القفال")</f>
        <v>شارع القفال</v>
      </c>
      <c r="I2265" s="6" t="str">
        <f ca="1">IFERROR(__xludf.DUMMYFUNCTION("""COMPUTED_VALUE"""),"01103142446")</f>
        <v>01103142446</v>
      </c>
      <c r="J2265" s="6" t="str">
        <f ca="1">IFERROR(__xludf.DUMMYFUNCTION("""COMPUTED_VALUE"""),"15252")</f>
        <v>15252</v>
      </c>
      <c r="K2265" s="6" t="str">
        <f ca="1">IFERROR(__xludf.DUMMYFUNCTION("""COMPUTED_VALUE"""),"خصم 10% علي كل الادويه")</f>
        <v>خصم 10% علي كل الادويه</v>
      </c>
    </row>
    <row r="2266" spans="1:11" x14ac:dyDescent="0.25">
      <c r="A2266" s="4" t="str">
        <f ca="1">IFERROR(__xludf.DUMMYFUNCTION("""COMPUTED_VALUE"""),"104676-B")</f>
        <v>104676-B</v>
      </c>
      <c r="B2266" s="5" t="str">
        <f ca="1">IFERROR(__xludf.DUMMYFUNCTION("""COMPUTED_VALUE"""),"الاسكندرية")</f>
        <v>الاسكندرية</v>
      </c>
      <c r="C2266" s="5" t="str">
        <f ca="1">IFERROR(__xludf.DUMMYFUNCTION("""COMPUTED_VALUE"""),"العجمي")</f>
        <v>العجمي</v>
      </c>
      <c r="D2266" s="5" t="str">
        <f ca="1">IFERROR(__xludf.DUMMYFUNCTION("""COMPUTED_VALUE"""),"صيدلية")</f>
        <v>صيدلية</v>
      </c>
      <c r="E2266" s="5" t="str">
        <f ca="1">IFERROR(__xludf.DUMMYFUNCTION("""COMPUTED_VALUE"""),"صيدلية")</f>
        <v>صيدلية</v>
      </c>
      <c r="F2266" s="5" t="str">
        <f ca="1">IFERROR(__xludf.DUMMYFUNCTION("""COMPUTED_VALUE"""),"صيدلية (أدوية ومستلزمات طبية)")</f>
        <v>صيدلية (أدوية ومستلزمات طبية)</v>
      </c>
      <c r="G2266" s="5" t="str">
        <f ca="1">IFERROR(__xludf.DUMMYFUNCTION("""COMPUTED_VALUE"""),"صيدليات الدواء")</f>
        <v>صيدليات الدواء</v>
      </c>
      <c r="H2266" s="5" t="str">
        <f ca="1">IFERROR(__xludf.DUMMYFUNCTION("""COMPUTED_VALUE"""),"ك21 بجوار مستشفى مبرة العصافرة غرب")</f>
        <v>ك21 بجوار مستشفى مبرة العصافرة غرب</v>
      </c>
      <c r="I2266" s="6" t="str">
        <f ca="1">IFERROR(__xludf.DUMMYFUNCTION("""COMPUTED_VALUE"""),"01027147961")</f>
        <v>01027147961</v>
      </c>
      <c r="J2266" s="6" t="str">
        <f ca="1">IFERROR(__xludf.DUMMYFUNCTION("""COMPUTED_VALUE"""),"15252")</f>
        <v>15252</v>
      </c>
      <c r="K2266" s="6" t="str">
        <f ca="1">IFERROR(__xludf.DUMMYFUNCTION("""COMPUTED_VALUE"""),"خصم 10% علي كل الادويه")</f>
        <v>خصم 10% علي كل الادويه</v>
      </c>
    </row>
    <row r="2267" spans="1:11" x14ac:dyDescent="0.25">
      <c r="A2267" s="4" t="str">
        <f ca="1">IFERROR(__xludf.DUMMYFUNCTION("""COMPUTED_VALUE"""),"104676-B")</f>
        <v>104676-B</v>
      </c>
      <c r="B2267" s="5" t="str">
        <f ca="1">IFERROR(__xludf.DUMMYFUNCTION("""COMPUTED_VALUE"""),"الاسكندرية")</f>
        <v>الاسكندرية</v>
      </c>
      <c r="C2267" s="5" t="str">
        <f ca="1">IFERROR(__xludf.DUMMYFUNCTION("""COMPUTED_VALUE"""),"العامرية")</f>
        <v>العامرية</v>
      </c>
      <c r="D2267" s="5" t="str">
        <f ca="1">IFERROR(__xludf.DUMMYFUNCTION("""COMPUTED_VALUE"""),"صيدلية")</f>
        <v>صيدلية</v>
      </c>
      <c r="E2267" s="5" t="str">
        <f ca="1">IFERROR(__xludf.DUMMYFUNCTION("""COMPUTED_VALUE"""),"صيدلية")</f>
        <v>صيدلية</v>
      </c>
      <c r="F2267" s="5" t="str">
        <f ca="1">IFERROR(__xludf.DUMMYFUNCTION("""COMPUTED_VALUE"""),"صيدلية (أدوية ومستلزمات طبية)")</f>
        <v>صيدلية (أدوية ومستلزمات طبية)</v>
      </c>
      <c r="G2267" s="5" t="str">
        <f ca="1">IFERROR(__xludf.DUMMYFUNCTION("""COMPUTED_VALUE"""),"صيدليات الدواء")</f>
        <v>صيدليات الدواء</v>
      </c>
      <c r="H2267" s="5" t="str">
        <f ca="1">IFERROR(__xludf.DUMMYFUNCTION("""COMPUTED_VALUE"""),"بجوار كوبري العامرية – اسفل مول عمر المختار")</f>
        <v>بجوار كوبري العامرية – اسفل مول عمر المختار</v>
      </c>
      <c r="I2267" s="6" t="str">
        <f ca="1">IFERROR(__xludf.DUMMYFUNCTION("""COMPUTED_VALUE"""),"034491300")</f>
        <v>034491300</v>
      </c>
      <c r="J2267" s="6" t="str">
        <f ca="1">IFERROR(__xludf.DUMMYFUNCTION("""COMPUTED_VALUE"""),"15252")</f>
        <v>15252</v>
      </c>
      <c r="K2267" s="6" t="str">
        <f ca="1">IFERROR(__xludf.DUMMYFUNCTION("""COMPUTED_VALUE"""),"خصم 10% علي كل الادويه")</f>
        <v>خصم 10% علي كل الادويه</v>
      </c>
    </row>
    <row r="2268" spans="1:11" x14ac:dyDescent="0.25">
      <c r="A2268" s="4" t="str">
        <f ca="1">IFERROR(__xludf.DUMMYFUNCTION("""COMPUTED_VALUE"""),"106786")</f>
        <v>106786</v>
      </c>
      <c r="B2268" s="5" t="str">
        <f ca="1">IFERROR(__xludf.DUMMYFUNCTION("""COMPUTED_VALUE"""),"القاهرة")</f>
        <v>القاهرة</v>
      </c>
      <c r="C2268" s="5" t="str">
        <f ca="1">IFERROR(__xludf.DUMMYFUNCTION("""COMPUTED_VALUE"""),"عابدين")</f>
        <v>عابدين</v>
      </c>
      <c r="D2268" s="5" t="str">
        <f ca="1">IFERROR(__xludf.DUMMYFUNCTION("""COMPUTED_VALUE"""),"شركة")</f>
        <v>شركة</v>
      </c>
      <c r="E2268" s="5" t="str">
        <f ca="1">IFERROR(__xludf.DUMMYFUNCTION("""COMPUTED_VALUE"""),"شركة اجهزة طبية")</f>
        <v>شركة اجهزة طبية</v>
      </c>
      <c r="F2268" s="5" t="str">
        <f ca="1">IFERROR(__xludf.DUMMYFUNCTION("""COMPUTED_VALUE"""),"مركز بصريات")</f>
        <v>مركز بصريات</v>
      </c>
      <c r="G2268" s="5" t="str">
        <f ca="1">IFERROR(__xludf.DUMMYFUNCTION("""COMPUTED_VALUE"""),"ورثه احمد البدري محمد (البدري للبصريات)")</f>
        <v>ورثه احمد البدري محمد (البدري للبصريات)</v>
      </c>
      <c r="H2268" s="5" t="str">
        <f ca="1">IFERROR(__xludf.DUMMYFUNCTION("""COMPUTED_VALUE"""),"41 ش البستان باب اللوق - عابدين - القاهرة")</f>
        <v>41 ش البستان باب اللوق - عابدين - القاهرة</v>
      </c>
      <c r="I2268" s="6" t="str">
        <f ca="1">IFERROR(__xludf.DUMMYFUNCTION("""COMPUTED_VALUE"""),"01124442544")</f>
        <v>01124442544</v>
      </c>
      <c r="J2268" s="6"/>
      <c r="K2268" s="6" t="str">
        <f ca="1">IFERROR(__xludf.DUMMYFUNCTION("""COMPUTED_VALUE"""),"خصم 30% علي النظارات الشمسيه، 25% علي النظارات الطبيه")</f>
        <v>خصم 30% علي النظارات الشمسيه، 25% علي النظارات الطبيه</v>
      </c>
    </row>
    <row r="2269" spans="1:11" x14ac:dyDescent="0.25">
      <c r="A2269" s="4" t="str">
        <f ca="1">IFERROR(__xludf.DUMMYFUNCTION("""COMPUTED_VALUE"""),"106787")</f>
        <v>106787</v>
      </c>
      <c r="B2269" s="5" t="str">
        <f ca="1">IFERROR(__xludf.DUMMYFUNCTION("""COMPUTED_VALUE"""),"الشرقية")</f>
        <v>الشرقية</v>
      </c>
      <c r="C2269" s="5" t="str">
        <f ca="1">IFERROR(__xludf.DUMMYFUNCTION("""COMPUTED_VALUE"""),"الزقازيق")</f>
        <v>الزقازيق</v>
      </c>
      <c r="D2269" s="5" t="str">
        <f ca="1">IFERROR(__xludf.DUMMYFUNCTION("""COMPUTED_VALUE"""),"مستشفى")</f>
        <v>مستشفى</v>
      </c>
      <c r="E2269" s="5" t="str">
        <f ca="1">IFERROR(__xludf.DUMMYFUNCTION("""COMPUTED_VALUE"""),"مستشفي طبي متكامل")</f>
        <v>مستشفي طبي متكامل</v>
      </c>
      <c r="F2269" s="5" t="str">
        <f ca="1">IFERROR(__xludf.DUMMYFUNCTION("""COMPUTED_VALUE"""),"جميع التخصصات الطبية")</f>
        <v>جميع التخصصات الطبية</v>
      </c>
      <c r="G2269" s="5" t="str">
        <f ca="1">IFERROR(__xludf.DUMMYFUNCTION("""COMPUTED_VALUE"""),"ميديكال سيتي بارك للخدمات الطبيه (مستشفي الاندلس)")</f>
        <v>ميديكال سيتي بارك للخدمات الطبيه (مستشفي الاندلس)</v>
      </c>
      <c r="H2269" s="5" t="str">
        <f ca="1">IFERROR(__xludf.DUMMYFUNCTION("""COMPUTED_VALUE"""),"قريه شبيه مركز الزقازيق - الشرقيه")</f>
        <v>قريه شبيه مركز الزقازيق - الشرقيه</v>
      </c>
      <c r="I2269" s="6" t="str">
        <f ca="1">IFERROR(__xludf.DUMMYFUNCTION("""COMPUTED_VALUE"""),"0552193222")</f>
        <v>0552193222</v>
      </c>
      <c r="J2269" s="6"/>
      <c r="K2269" s="6" t="str">
        <f ca="1">IFERROR(__xludf.DUMMYFUNCTION("""COMPUTED_VALUE"""),"خصم 25% علي الأسعار النقدي المعلنة")</f>
        <v>خصم 25% علي الأسعار النقدي المعلنة</v>
      </c>
    </row>
    <row r="2270" spans="1:11" x14ac:dyDescent="0.25">
      <c r="A2270" s="4" t="str">
        <f ca="1">IFERROR(__xludf.DUMMYFUNCTION("""COMPUTED_VALUE"""),"105769-B")</f>
        <v>105769-B</v>
      </c>
      <c r="B2270" s="5" t="str">
        <f ca="1">IFERROR(__xludf.DUMMYFUNCTION("""COMPUTED_VALUE"""),"القاهرة")</f>
        <v>القاهرة</v>
      </c>
      <c r="C2270" s="5" t="str">
        <f ca="1">IFERROR(__xludf.DUMMYFUNCTION("""COMPUTED_VALUE"""),"القاهرة الجديدة")</f>
        <v>القاهرة الجديدة</v>
      </c>
      <c r="D2270" s="5" t="str">
        <f ca="1">IFERROR(__xludf.DUMMYFUNCTION("""COMPUTED_VALUE"""),"هيئة الأطباء")</f>
        <v>هيئة الأطباء</v>
      </c>
      <c r="E2270" s="5" t="str">
        <f ca="1">IFERROR(__xludf.DUMMYFUNCTION("""COMPUTED_VALUE"""),"اسنان")</f>
        <v>اسنان</v>
      </c>
      <c r="F2270" s="5" t="str">
        <f ca="1">IFERROR(__xludf.DUMMYFUNCTION("""COMPUTED_VALUE"""),"جراحة الفم والأسنان")</f>
        <v>جراحة الفم والأسنان</v>
      </c>
      <c r="G2270" s="5" t="str">
        <f ca="1">IFERROR(__xludf.DUMMYFUNCTION("""COMPUTED_VALUE"""),"تريو لطب الاسنان")</f>
        <v>تريو لطب الاسنان</v>
      </c>
      <c r="H2270" s="5" t="str">
        <f ca="1">IFERROR(__xludf.DUMMYFUNCTION("""COMPUTED_VALUE"""),"عياده 13 أ الدور الثالث - مول القطاميه - قطعه 77 مركز خدمات التجمع الخامس")</f>
        <v>عياده 13 أ الدور الثالث - مول القطاميه - قطعه 77 مركز خدمات التجمع الخامس</v>
      </c>
      <c r="I2270" s="6" t="str">
        <f ca="1">IFERROR(__xludf.DUMMYFUNCTION("""COMPUTED_VALUE"""),"01060806088")</f>
        <v>01060806088</v>
      </c>
      <c r="J2270" s="6"/>
      <c r="K2270" s="6" t="str">
        <f ca="1">IFERROR(__xludf.DUMMYFUNCTION("""COMPUTED_VALUE"""),"35% على جميع الخدمات")</f>
        <v>35% على جميع الخدمات</v>
      </c>
    </row>
    <row r="2271" spans="1:11" x14ac:dyDescent="0.25">
      <c r="A2271" s="4" t="str">
        <f ca="1">IFERROR(__xludf.DUMMYFUNCTION("""COMPUTED_VALUE"""),"106784")</f>
        <v>106784</v>
      </c>
      <c r="B2271" s="5" t="str">
        <f ca="1">IFERROR(__xludf.DUMMYFUNCTION("""COMPUTED_VALUE"""),"سوهاج")</f>
        <v>سوهاج</v>
      </c>
      <c r="C2271" s="5" t="str">
        <f ca="1">IFERROR(__xludf.DUMMYFUNCTION("""COMPUTED_VALUE"""),"سوهاج")</f>
        <v>سوهاج</v>
      </c>
      <c r="D2271" s="5" t="str">
        <f ca="1">IFERROR(__xludf.DUMMYFUNCTION("""COMPUTED_VALUE"""),"هيئة الأطباء")</f>
        <v>هيئة الأطباء</v>
      </c>
      <c r="E2271" s="5" t="str">
        <f ca="1">IFERROR(__xludf.DUMMYFUNCTION("""COMPUTED_VALUE"""),"اسنان")</f>
        <v>اسنان</v>
      </c>
      <c r="F2271" s="5" t="str">
        <f ca="1">IFERROR(__xludf.DUMMYFUNCTION("""COMPUTED_VALUE"""),"جراحة الفم والأسنان")</f>
        <v>جراحة الفم والأسنان</v>
      </c>
      <c r="G2271" s="5" t="str">
        <f ca="1">IFERROR(__xludf.DUMMYFUNCTION("""COMPUTED_VALUE"""),"د/ سمير شفيق سدراك موزه")</f>
        <v>د/ سمير شفيق سدراك موزه</v>
      </c>
      <c r="H2271" s="5" t="str">
        <f ca="1">IFERROR(__xludf.DUMMYFUNCTION("""COMPUTED_VALUE"""),"أولاد حمزة مركز العسيرات - سوهاج")</f>
        <v>أولاد حمزة مركز العسيرات - سوهاج</v>
      </c>
      <c r="I2271" s="6" t="str">
        <f ca="1">IFERROR(__xludf.DUMMYFUNCTION("""COMPUTED_VALUE"""),"01220246733")</f>
        <v>01220246733</v>
      </c>
      <c r="J2271" s="6"/>
      <c r="K2271" s="6" t="str">
        <f ca="1">IFERROR(__xludf.DUMMYFUNCTION("""COMPUTED_VALUE"""),"خصم 30% علي الأسعار النقدي المعلنة")</f>
        <v>خصم 30% علي الأسعار النقدي المعلنة</v>
      </c>
    </row>
    <row r="2272" spans="1:11" x14ac:dyDescent="0.25">
      <c r="A2272" s="4" t="str">
        <f ca="1">IFERROR(__xludf.DUMMYFUNCTION("""COMPUTED_VALUE"""),"106796")</f>
        <v>106796</v>
      </c>
      <c r="B2272" s="5" t="str">
        <f ca="1">IFERROR(__xludf.DUMMYFUNCTION("""COMPUTED_VALUE"""),"القاهرة")</f>
        <v>القاهرة</v>
      </c>
      <c r="C2272" s="5" t="str">
        <f ca="1">IFERROR(__xludf.DUMMYFUNCTION("""COMPUTED_VALUE"""),"مصر الجديدة")</f>
        <v>مصر الجديدة</v>
      </c>
      <c r="D2272" s="5" t="str">
        <f ca="1">IFERROR(__xludf.DUMMYFUNCTION("""COMPUTED_VALUE"""),"مجمع عيادات")</f>
        <v>مجمع عيادات</v>
      </c>
      <c r="E2272" s="5" t="str">
        <f ca="1">IFERROR(__xludf.DUMMYFUNCTION("""COMPUTED_VALUE"""),"جميع التخصصات")</f>
        <v>جميع التخصصات</v>
      </c>
      <c r="F2272" s="5" t="str">
        <f ca="1">IFERROR(__xludf.DUMMYFUNCTION("""COMPUTED_VALUE"""),"جميع التخصصات الطبية")</f>
        <v>جميع التخصصات الطبية</v>
      </c>
      <c r="G2272" s="5" t="str">
        <f ca="1">IFERROR(__xludf.DUMMYFUNCTION("""COMPUTED_VALUE"""),"ميدي جو (عيادة صفوة الحجاز التخصصيه)")</f>
        <v>ميدي جو (عيادة صفوة الحجاز التخصصيه)</v>
      </c>
      <c r="H2272" s="5" t="str">
        <f ca="1">IFERROR(__xludf.DUMMYFUNCTION("""COMPUTED_VALUE"""),"34 أ شارع الحجاز - النزهه - القاهرة")</f>
        <v>34 أ شارع الحجاز - النزهه - القاهرة</v>
      </c>
      <c r="I2272" s="6" t="str">
        <f ca="1">IFERROR(__xludf.DUMMYFUNCTION("""COMPUTED_VALUE"""),"01117810203")</f>
        <v>01117810203</v>
      </c>
      <c r="J2272" s="6"/>
      <c r="K2272" s="6" t="str">
        <f ca="1">IFERROR(__xludf.DUMMYFUNCTION("""COMPUTED_VALUE"""),"خصم 30 % علي الأسعار النقدي المعلنة")</f>
        <v>خصم 30 % علي الأسعار النقدي المعلنة</v>
      </c>
    </row>
    <row r="2273" spans="1:11" x14ac:dyDescent="0.25">
      <c r="A2273" s="4" t="str">
        <f ca="1">IFERROR(__xludf.DUMMYFUNCTION("""COMPUTED_VALUE"""),"106797")</f>
        <v>106797</v>
      </c>
      <c r="B2273" s="5" t="str">
        <f ca="1">IFERROR(__xludf.DUMMYFUNCTION("""COMPUTED_VALUE"""),"الدقهلية")</f>
        <v>الدقهلية</v>
      </c>
      <c r="C2273" s="5" t="str">
        <f ca="1">IFERROR(__xludf.DUMMYFUNCTION("""COMPUTED_VALUE"""),"المنصورة")</f>
        <v>المنصورة</v>
      </c>
      <c r="D2273" s="5" t="str">
        <f ca="1">IFERROR(__xludf.DUMMYFUNCTION("""COMPUTED_VALUE"""),"مركز علاج طبيعي")</f>
        <v>مركز علاج طبيعي</v>
      </c>
      <c r="E2273" s="5" t="str">
        <f ca="1">IFERROR(__xludf.DUMMYFUNCTION("""COMPUTED_VALUE"""),"علاج طبيعي")</f>
        <v>علاج طبيعي</v>
      </c>
      <c r="F2273" s="5" t="str">
        <f ca="1">IFERROR(__xludf.DUMMYFUNCTION("""COMPUTED_VALUE"""),"جلسات العلاج الطبيعي")</f>
        <v>جلسات العلاج الطبيعي</v>
      </c>
      <c r="G2273" s="5" t="str">
        <f ca="1">IFERROR(__xludf.DUMMYFUNCTION("""COMPUTED_VALUE"""),"فيزيك للعلاج الطبيعي")</f>
        <v>فيزيك للعلاج الطبيعي</v>
      </c>
      <c r="H2273" s="5" t="str">
        <f ca="1">IFERROR(__xludf.DUMMYFUNCTION("""COMPUTED_VALUE"""),"1 برج الشواف ش الجامعه الازهر مدينه مبارك بجوار كارفور - المنصوره")</f>
        <v>1 برج الشواف ش الجامعه الازهر مدينه مبارك بجوار كارفور - المنصوره</v>
      </c>
      <c r="I2273" s="6" t="str">
        <f ca="1">IFERROR(__xludf.DUMMYFUNCTION("""COMPUTED_VALUE"""),"01098757776⁩")</f>
        <v>01098757776⁩</v>
      </c>
      <c r="J2273" s="6"/>
      <c r="K2273" s="6" t="str">
        <f ca="1">IFERROR(__xludf.DUMMYFUNCTION("""COMPUTED_VALUE"""),"خصم 20% علي الأسعار النقدي المعلنة")</f>
        <v>خصم 20% علي الأسعار النقدي المعلنة</v>
      </c>
    </row>
    <row r="2274" spans="1:11" x14ac:dyDescent="0.25">
      <c r="A2274" s="4" t="str">
        <f ca="1">IFERROR(__xludf.DUMMYFUNCTION("""COMPUTED_VALUE"""),"1816-B")</f>
        <v>1816-B</v>
      </c>
      <c r="B2274" s="5" t="str">
        <f ca="1">IFERROR(__xludf.DUMMYFUNCTION("""COMPUTED_VALUE"""),"كفر الشيخ")</f>
        <v>كفر الشيخ</v>
      </c>
      <c r="C2274" s="5" t="str">
        <f ca="1">IFERROR(__xludf.DUMMYFUNCTION("""COMPUTED_VALUE"""),"كفر الشيخ")</f>
        <v>كفر الشيخ</v>
      </c>
      <c r="D2274" s="5" t="str">
        <f ca="1">IFERROR(__xludf.DUMMYFUNCTION("""COMPUTED_VALUE"""),"معمل")</f>
        <v>معمل</v>
      </c>
      <c r="E2274" s="5" t="str">
        <f ca="1">IFERROR(__xludf.DUMMYFUNCTION("""COMPUTED_VALUE"""),"معمل")</f>
        <v>معمل</v>
      </c>
      <c r="F2274" s="5" t="str">
        <f ca="1">IFERROR(__xludf.DUMMYFUNCTION("""COMPUTED_VALUE"""),"معمل التحاليل الطبية")</f>
        <v>معمل التحاليل الطبية</v>
      </c>
      <c r="G2274" s="5" t="str">
        <f ca="1">IFERROR(__xludf.DUMMYFUNCTION("""COMPUTED_VALUE"""),"معامل ميترا")</f>
        <v>معامل ميترا</v>
      </c>
      <c r="H2274" s="5" t="str">
        <f ca="1">IFERROR(__xludf.DUMMYFUNCTION("""COMPUTED_VALUE"""),"شارع المحاربين الجديد - أعلي حلواني بندق - الدور الثاني علوي - كفرالشيخ")</f>
        <v>شارع المحاربين الجديد - أعلي حلواني بندق - الدور الثاني علوي - كفرالشيخ</v>
      </c>
      <c r="I2274" s="6" t="str">
        <f ca="1">IFERROR(__xludf.DUMMYFUNCTION("""COMPUTED_VALUE"""),"01095585223")</f>
        <v>01095585223</v>
      </c>
      <c r="J2274" s="6" t="str">
        <f ca="1">IFERROR(__xludf.DUMMYFUNCTION("""COMPUTED_VALUE"""),"15232")</f>
        <v>15232</v>
      </c>
      <c r="K2274" s="6" t="str">
        <f ca="1">IFERROR(__xludf.DUMMYFUNCTION("""COMPUTED_VALUE"""),"خصم 40% علي الاسعار النقدي")</f>
        <v>خصم 40% علي الاسعار النقدي</v>
      </c>
    </row>
    <row r="2275" spans="1:11" x14ac:dyDescent="0.25">
      <c r="A2275" s="4" t="str">
        <f ca="1">IFERROR(__xludf.DUMMYFUNCTION("""COMPUTED_VALUE"""),"1816-B")</f>
        <v>1816-B</v>
      </c>
      <c r="B2275" s="5" t="str">
        <f ca="1">IFERROR(__xludf.DUMMYFUNCTION("""COMPUTED_VALUE"""),"الإسماعيلية")</f>
        <v>الإسماعيلية</v>
      </c>
      <c r="C2275" s="5" t="str">
        <f ca="1">IFERROR(__xludf.DUMMYFUNCTION("""COMPUTED_VALUE"""),"الإسماعيلية")</f>
        <v>الإسماعيلية</v>
      </c>
      <c r="D2275" s="5" t="str">
        <f ca="1">IFERROR(__xludf.DUMMYFUNCTION("""COMPUTED_VALUE"""),"معمل")</f>
        <v>معمل</v>
      </c>
      <c r="E2275" s="5" t="str">
        <f ca="1">IFERROR(__xludf.DUMMYFUNCTION("""COMPUTED_VALUE"""),"معمل")</f>
        <v>معمل</v>
      </c>
      <c r="F2275" s="5" t="str">
        <f ca="1">IFERROR(__xludf.DUMMYFUNCTION("""COMPUTED_VALUE"""),"معمل التحاليل الطبية")</f>
        <v>معمل التحاليل الطبية</v>
      </c>
      <c r="G2275" s="5" t="str">
        <f ca="1">IFERROR(__xludf.DUMMYFUNCTION("""COMPUTED_VALUE"""),"معامل ميترا")</f>
        <v>معامل ميترا</v>
      </c>
      <c r="H2275" s="5" t="str">
        <f ca="1">IFERROR(__xludf.DUMMYFUNCTION("""COMPUTED_VALUE"""),"تقاطع شارع التلاتيني مع شارع أسكندرية أمام النفق ع 112 الدور التاني")</f>
        <v>تقاطع شارع التلاتيني مع شارع أسكندرية أمام النفق ع 112 الدور التاني</v>
      </c>
      <c r="I2275" s="6" t="str">
        <f ca="1">IFERROR(__xludf.DUMMYFUNCTION("""COMPUTED_VALUE"""),"1287663341")</f>
        <v>1287663341</v>
      </c>
      <c r="J2275" s="6" t="str">
        <f ca="1">IFERROR(__xludf.DUMMYFUNCTION("""COMPUTED_VALUE"""),"15232")</f>
        <v>15232</v>
      </c>
      <c r="K2275" s="6" t="str">
        <f ca="1">IFERROR(__xludf.DUMMYFUNCTION("""COMPUTED_VALUE"""),"خصم 40% علي الاسعار النقدي")</f>
        <v>خصم 40% علي الاسعار النقدي</v>
      </c>
    </row>
    <row r="2276" spans="1:11" x14ac:dyDescent="0.25">
      <c r="A2276" s="4" t="str">
        <f ca="1">IFERROR(__xludf.DUMMYFUNCTION("""COMPUTED_VALUE"""),"106799")</f>
        <v>106799</v>
      </c>
      <c r="B2276" s="5" t="str">
        <f ca="1">IFERROR(__xludf.DUMMYFUNCTION("""COMPUTED_VALUE"""),"بني سويف")</f>
        <v>بني سويف</v>
      </c>
      <c r="C2276" s="5" t="str">
        <f ca="1">IFERROR(__xludf.DUMMYFUNCTION("""COMPUTED_VALUE"""),"بني سويف")</f>
        <v>بني سويف</v>
      </c>
      <c r="D2276" s="5" t="str">
        <f ca="1">IFERROR(__xludf.DUMMYFUNCTION("""COMPUTED_VALUE"""),"مركز أشعة")</f>
        <v>مركز أشعة</v>
      </c>
      <c r="E2276" s="5" t="str">
        <f ca="1">IFERROR(__xludf.DUMMYFUNCTION("""COMPUTED_VALUE"""),"مركز أشعة")</f>
        <v>مركز أشعة</v>
      </c>
      <c r="F2276" s="5" t="str">
        <f ca="1">IFERROR(__xludf.DUMMYFUNCTION("""COMPUTED_VALUE"""),"مركز الأشعة التشخيصية")</f>
        <v>مركز الأشعة التشخيصية</v>
      </c>
      <c r="G2276" s="5" t="str">
        <f ca="1">IFERROR(__xludf.DUMMYFUNCTION("""COMPUTED_VALUE"""),"مركز الحرية للأشعة")</f>
        <v>مركز الحرية للأشعة</v>
      </c>
      <c r="H2276" s="5" t="str">
        <f ca="1">IFERROR(__xludf.DUMMYFUNCTION("""COMPUTED_VALUE"""),"شقق من 4 الي 9 ش صفية زغلول بجوار التموين الطبي - بني سويف")</f>
        <v>شقق من 4 الي 9 ش صفية زغلول بجوار التموين الطبي - بني سويف</v>
      </c>
      <c r="I2276" s="6" t="str">
        <f ca="1">IFERROR(__xludf.DUMMYFUNCTION("""COMPUTED_VALUE"""),"01013409310")</f>
        <v>01013409310</v>
      </c>
      <c r="J2276" s="6"/>
      <c r="K2276" s="6" t="str">
        <f ca="1">IFERROR(__xludf.DUMMYFUNCTION("""COMPUTED_VALUE"""),"خصم 30% علي الأسعار النقدي المعلنة")</f>
        <v>خصم 30% علي الأسعار النقدي المعلنة</v>
      </c>
    </row>
    <row r="2277" spans="1:11" x14ac:dyDescent="0.25">
      <c r="A2277" s="4" t="str">
        <f ca="1">IFERROR(__xludf.DUMMYFUNCTION("""COMPUTED_VALUE"""),"106800")</f>
        <v>106800</v>
      </c>
      <c r="B2277" s="5" t="str">
        <f ca="1">IFERROR(__xludf.DUMMYFUNCTION("""COMPUTED_VALUE"""),"الاسكندرية")</f>
        <v>الاسكندرية</v>
      </c>
      <c r="C2277" s="5" t="str">
        <f ca="1">IFERROR(__xludf.DUMMYFUNCTION("""COMPUTED_VALUE"""),"المنتزة")</f>
        <v>المنتزة</v>
      </c>
      <c r="D2277" s="5" t="str">
        <f ca="1">IFERROR(__xludf.DUMMYFUNCTION("""COMPUTED_VALUE"""),"هيئة الأطباء")</f>
        <v>هيئة الأطباء</v>
      </c>
      <c r="E2277" s="5" t="str">
        <f ca="1">IFERROR(__xludf.DUMMYFUNCTION("""COMPUTED_VALUE"""),"اسنان")</f>
        <v>اسنان</v>
      </c>
      <c r="F2277" s="5" t="str">
        <f ca="1">IFERROR(__xludf.DUMMYFUNCTION("""COMPUTED_VALUE"""),"جراحة الفم والأسنان")</f>
        <v>جراحة الفم والأسنان</v>
      </c>
      <c r="G2277" s="5" t="str">
        <f ca="1">IFERROR(__xludf.DUMMYFUNCTION("""COMPUTED_VALUE"""),"د. احمد محمود ابراهيم مشالي (مركز فيكتوريا)")</f>
        <v>د. احمد محمود ابراهيم مشالي (مركز فيكتوريا)</v>
      </c>
      <c r="H2277" s="5" t="str">
        <f ca="1">IFERROR(__xludf.DUMMYFUNCTION("""COMPUTED_VALUE"""),"10 شارع جمال عبدالناصر فيكتوريا - المنتزه - الاسكندريه")</f>
        <v>10 شارع جمال عبدالناصر فيكتوريا - المنتزه - الاسكندريه</v>
      </c>
      <c r="I2277" s="6" t="str">
        <f ca="1">IFERROR(__xludf.DUMMYFUNCTION("""COMPUTED_VALUE"""),"01200761999")</f>
        <v>01200761999</v>
      </c>
      <c r="J2277" s="6"/>
      <c r="K2277" s="6" t="str">
        <f ca="1">IFERROR(__xludf.DUMMYFUNCTION("""COMPUTED_VALUE"""),"خصم 30% علي الأسعار النقدي المعلنة")</f>
        <v>خصم 30% علي الأسعار النقدي المعلنة</v>
      </c>
    </row>
    <row r="2278" spans="1:11" x14ac:dyDescent="0.25">
      <c r="A2278" s="4" t="str">
        <f ca="1">IFERROR(__xludf.DUMMYFUNCTION("""COMPUTED_VALUE"""),"106801")</f>
        <v>106801</v>
      </c>
      <c r="B2278" s="5" t="str">
        <f ca="1">IFERROR(__xludf.DUMMYFUNCTION("""COMPUTED_VALUE"""),"القاهرة")</f>
        <v>القاهرة</v>
      </c>
      <c r="C2278" s="5" t="str">
        <f ca="1">IFERROR(__xludf.DUMMYFUNCTION("""COMPUTED_VALUE"""),"عين شمس")</f>
        <v>عين شمس</v>
      </c>
      <c r="D2278" s="5" t="str">
        <f ca="1">IFERROR(__xludf.DUMMYFUNCTION("""COMPUTED_VALUE"""),"مجمع عيادات")</f>
        <v>مجمع عيادات</v>
      </c>
      <c r="E2278" s="5" t="str">
        <f ca="1">IFERROR(__xludf.DUMMYFUNCTION("""COMPUTED_VALUE"""),"جميع التخصصات")</f>
        <v>جميع التخصصات</v>
      </c>
      <c r="F2278" s="5" t="str">
        <f ca="1">IFERROR(__xludf.DUMMYFUNCTION("""COMPUTED_VALUE"""),"جميع التخصصات الطبية")</f>
        <v>جميع التخصصات الطبية</v>
      </c>
      <c r="G2278" s="5" t="str">
        <f ca="1">IFERROR(__xludf.DUMMYFUNCTION("""COMPUTED_VALUE"""),"جمعيه عيادات مسجد الهدايه")</f>
        <v>جمعيه عيادات مسجد الهدايه</v>
      </c>
      <c r="H2278" s="5" t="str">
        <f ca="1">IFERROR(__xludf.DUMMYFUNCTION("""COMPUTED_VALUE"""),"15 ش أيوب حنا - عين شمس - القاهره")</f>
        <v>15 ش أيوب حنا - عين شمس - القاهره</v>
      </c>
      <c r="I2278" s="6" t="str">
        <f ca="1">IFERROR(__xludf.DUMMYFUNCTION("""COMPUTED_VALUE"""),"01026821002")</f>
        <v>01026821002</v>
      </c>
      <c r="J2278" s="6"/>
      <c r="K2278" s="6" t="str">
        <f ca="1">IFERROR(__xludf.DUMMYFUNCTION("""COMPUTED_VALUE"""),"خصم 20% علي الكشف، 10% علي الأسنان ، 30% علي خدمات الاشعه و الخدمات العلاجيه ما عدا التحاليل.")</f>
        <v>خصم 20% علي الكشف، 10% علي الأسنان ، 30% علي خدمات الاشعه و الخدمات العلاجيه ما عدا التحاليل.</v>
      </c>
    </row>
    <row r="2279" spans="1:11" x14ac:dyDescent="0.25">
      <c r="A2279" s="4" t="str">
        <f ca="1">IFERROR(__xludf.DUMMYFUNCTION("""COMPUTED_VALUE"""),"106802")</f>
        <v>106802</v>
      </c>
      <c r="B2279" s="5" t="str">
        <f ca="1">IFERROR(__xludf.DUMMYFUNCTION("""COMPUTED_VALUE"""),"المنوفية")</f>
        <v>المنوفية</v>
      </c>
      <c r="C2279" s="5" t="str">
        <f ca="1">IFERROR(__xludf.DUMMYFUNCTION("""COMPUTED_VALUE"""),"تلا")</f>
        <v>تلا</v>
      </c>
      <c r="D2279" s="5" t="str">
        <f ca="1">IFERROR(__xludf.DUMMYFUNCTION("""COMPUTED_VALUE"""),"مستشفى")</f>
        <v>مستشفى</v>
      </c>
      <c r="E2279" s="5" t="str">
        <f ca="1">IFERROR(__xludf.DUMMYFUNCTION("""COMPUTED_VALUE"""),"مستشفي طبي متكامل")</f>
        <v>مستشفي طبي متكامل</v>
      </c>
      <c r="F2279" s="5" t="str">
        <f ca="1">IFERROR(__xludf.DUMMYFUNCTION("""COMPUTED_VALUE"""),"جميع التخصصات الطبية")</f>
        <v>جميع التخصصات الطبية</v>
      </c>
      <c r="G2279" s="5" t="str">
        <f ca="1">IFERROR(__xludf.DUMMYFUNCTION("""COMPUTED_VALUE"""),"شركة الديوان للخدمات الطبية (مستشفي زمزم)")</f>
        <v>شركة الديوان للخدمات الطبية (مستشفي زمزم)</v>
      </c>
      <c r="H2279" s="5" t="str">
        <f ca="1">IFERROR(__xludf.DUMMYFUNCTION("""COMPUTED_VALUE"""),"شارع تلا طنوب - بجوار ميدان عصمت السادات - تلا - المنوفية")</f>
        <v>شارع تلا طنوب - بجوار ميدان عصمت السادات - تلا - المنوفية</v>
      </c>
      <c r="I2279" s="6" t="str">
        <f ca="1">IFERROR(__xludf.DUMMYFUNCTION("""COMPUTED_VALUE"""),"01050572020")</f>
        <v>01050572020</v>
      </c>
      <c r="J2279" s="6"/>
      <c r="K2279" s="6" t="str">
        <f ca="1">IFERROR(__xludf.DUMMYFUNCTION("""COMPUTED_VALUE"""),"خصم 30% علي الأسعار النقدي المعلنة")</f>
        <v>خصم 30% علي الأسعار النقدي المعلنة</v>
      </c>
    </row>
    <row r="2280" spans="1:11" x14ac:dyDescent="0.25">
      <c r="A2280" s="4" t="str">
        <f ca="1">IFERROR(__xludf.DUMMYFUNCTION("""COMPUTED_VALUE"""),"106803")</f>
        <v>106803</v>
      </c>
      <c r="B2280" s="5" t="str">
        <f ca="1">IFERROR(__xludf.DUMMYFUNCTION("""COMPUTED_VALUE"""),"قنا")</f>
        <v>قنا</v>
      </c>
      <c r="C2280" s="5" t="str">
        <f ca="1">IFERROR(__xludf.DUMMYFUNCTION("""COMPUTED_VALUE"""),"قنا")</f>
        <v>قنا</v>
      </c>
      <c r="D2280" s="5" t="str">
        <f ca="1">IFERROR(__xludf.DUMMYFUNCTION("""COMPUTED_VALUE"""),"مستشفى")</f>
        <v>مستشفى</v>
      </c>
      <c r="E2280" s="5" t="str">
        <f ca="1">IFERROR(__xludf.DUMMYFUNCTION("""COMPUTED_VALUE"""),"مستشفي طبي متكامل")</f>
        <v>مستشفي طبي متكامل</v>
      </c>
      <c r="F2280" s="5" t="str">
        <f ca="1">IFERROR(__xludf.DUMMYFUNCTION("""COMPUTED_VALUE"""),"جميع التخصصات الطبية")</f>
        <v>جميع التخصصات الطبية</v>
      </c>
      <c r="G2280" s="5" t="str">
        <f ca="1">IFERROR(__xludf.DUMMYFUNCTION("""COMPUTED_VALUE"""),"مستشفي الشفاء (احمد محمود احمد)")</f>
        <v>مستشفي الشفاء (احمد محمود احمد)</v>
      </c>
      <c r="H2280" s="5" t="str">
        <f ca="1">IFERROR(__xludf.DUMMYFUNCTION("""COMPUTED_VALUE"""),"شارع البحر امام كوبري دندره - قنا")</f>
        <v>شارع البحر امام كوبري دندره - قنا</v>
      </c>
      <c r="I2280" s="6" t="str">
        <f ca="1">IFERROR(__xludf.DUMMYFUNCTION("""COMPUTED_VALUE"""),"01021989199")</f>
        <v>01021989199</v>
      </c>
      <c r="J2280" s="6"/>
      <c r="K2280" s="6" t="str">
        <f ca="1">IFERROR(__xludf.DUMMYFUNCTION("""COMPUTED_VALUE"""),"خصم 25% علي الأسعار النقدي المعلنة")</f>
        <v>خصم 25% علي الأسعار النقدي المعلنة</v>
      </c>
    </row>
    <row r="2281" spans="1:11" x14ac:dyDescent="0.25">
      <c r="A2281" s="4" t="str">
        <f ca="1">IFERROR(__xludf.DUMMYFUNCTION("""COMPUTED_VALUE"""),"105372-B")</f>
        <v>105372-B</v>
      </c>
      <c r="B2281" s="5" t="str">
        <f ca="1">IFERROR(__xludf.DUMMYFUNCTION("""COMPUTED_VALUE"""),"القاهرة")</f>
        <v>القاهرة</v>
      </c>
      <c r="C2281" s="5" t="str">
        <f ca="1">IFERROR(__xludf.DUMMYFUNCTION("""COMPUTED_VALUE"""),"دار السلام")</f>
        <v>دار السلام</v>
      </c>
      <c r="D2281" s="5" t="str">
        <f ca="1">IFERROR(__xludf.DUMMYFUNCTION("""COMPUTED_VALUE"""),"مجمع عيادات")</f>
        <v>مجمع عيادات</v>
      </c>
      <c r="E2281" s="5" t="str">
        <f ca="1">IFERROR(__xludf.DUMMYFUNCTION("""COMPUTED_VALUE"""),"جميع التخصصات")</f>
        <v>جميع التخصصات</v>
      </c>
      <c r="F2281" s="5" t="str">
        <f ca="1">IFERROR(__xludf.DUMMYFUNCTION("""COMPUTED_VALUE"""),"جميع التخصصات الطبية")</f>
        <v>جميع التخصصات الطبية</v>
      </c>
      <c r="G2281" s="5" t="str">
        <f ca="1">IFERROR(__xludf.DUMMYFUNCTION("""COMPUTED_VALUE"""),"شركة كير كلينيك للخدمات الطبية (عيادات كير كلينك التخصصية)")</f>
        <v>شركة كير كلينيك للخدمات الطبية (عيادات كير كلينك التخصصية)</v>
      </c>
      <c r="H2281" s="5" t="str">
        <f ca="1">IFERROR(__xludf.DUMMYFUNCTION("""COMPUTED_VALUE"""),"رقم 2 شارع فؤاد طه العسقلانى امام بنك مصر ومعمل المختبر أعلى تساهيل - من شارع الفيوم - دار السلام - الدور الثانى")</f>
        <v>رقم 2 شارع فؤاد طه العسقلانى امام بنك مصر ومعمل المختبر أعلى تساهيل - من شارع الفيوم - دار السلام - الدور الثانى</v>
      </c>
      <c r="I2281" s="6"/>
      <c r="J2281" s="6"/>
      <c r="K2281" s="6" t="str">
        <f ca="1">IFERROR(__xludf.DUMMYFUNCTION("""COMPUTED_VALUE"""),"30%على الكشف ,40% على باقى الخدمات")</f>
        <v>30%على الكشف ,40% على باقى الخدمات</v>
      </c>
    </row>
    <row r="2282" spans="1:11" x14ac:dyDescent="0.25">
      <c r="A2282" s="4" t="str">
        <f ca="1">IFERROR(__xludf.DUMMYFUNCTION("""COMPUTED_VALUE"""),"2822-B")</f>
        <v>2822-B</v>
      </c>
      <c r="B2282" s="5" t="str">
        <f ca="1">IFERROR(__xludf.DUMMYFUNCTION("""COMPUTED_VALUE"""),"القاهرة")</f>
        <v>القاهرة</v>
      </c>
      <c r="C2282" s="5" t="str">
        <f ca="1">IFERROR(__xludf.DUMMYFUNCTION("""COMPUTED_VALUE"""),"مدينة نصر")</f>
        <v>مدينة نصر</v>
      </c>
      <c r="D2282" s="5" t="str">
        <f ca="1">IFERROR(__xludf.DUMMYFUNCTION("""COMPUTED_VALUE"""),"صيدلية")</f>
        <v>صيدلية</v>
      </c>
      <c r="E2282" s="5" t="str">
        <f ca="1">IFERROR(__xludf.DUMMYFUNCTION("""COMPUTED_VALUE"""),"صيدلية")</f>
        <v>صيدلية</v>
      </c>
      <c r="F2282" s="5" t="str">
        <f ca="1">IFERROR(__xludf.DUMMYFUNCTION("""COMPUTED_VALUE"""),"صيدلية (أدوية ومستلزمات طبية)")</f>
        <v>صيدلية (أدوية ومستلزمات طبية)</v>
      </c>
      <c r="G2282" s="5" t="str">
        <f ca="1">IFERROR(__xludf.DUMMYFUNCTION("""COMPUTED_VALUE"""),"صيدليات سيف")</f>
        <v>صيدليات سيف</v>
      </c>
      <c r="H2282" s="5" t="str">
        <f ca="1">IFERROR(__xludf.DUMMYFUNCTION("""COMPUTED_VALUE"""),"38 امتداد رمسيس 2 طريق النصر امتداد نادى السكة –بجوار مطعم الشبراوى")</f>
        <v>38 امتداد رمسيس 2 طريق النصر امتداد نادى السكة –بجوار مطعم الشبراوى</v>
      </c>
      <c r="I2282" s="6" t="str">
        <f ca="1">IFERROR(__xludf.DUMMYFUNCTION("""COMPUTED_VALUE"""),"0220810796")</f>
        <v>0220810796</v>
      </c>
      <c r="J2282" s="6" t="str">
        <f ca="1">IFERROR(__xludf.DUMMYFUNCTION("""COMPUTED_VALUE"""),"19199")</f>
        <v>19199</v>
      </c>
      <c r="K2282"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2283" spans="1:11" x14ac:dyDescent="0.25">
      <c r="A2283" s="4" t="str">
        <f ca="1">IFERROR(__xludf.DUMMYFUNCTION("""COMPUTED_VALUE"""),"106804")</f>
        <v>106804</v>
      </c>
      <c r="B2283" s="5" t="str">
        <f ca="1">IFERROR(__xludf.DUMMYFUNCTION("""COMPUTED_VALUE"""),"القاهرة")</f>
        <v>القاهرة</v>
      </c>
      <c r="C2283" s="5" t="str">
        <f ca="1">IFERROR(__xludf.DUMMYFUNCTION("""COMPUTED_VALUE"""),"مدينة نصر")</f>
        <v>مدينة نصر</v>
      </c>
      <c r="D2283" s="5" t="str">
        <f ca="1">IFERROR(__xludf.DUMMYFUNCTION("""COMPUTED_VALUE"""),"مجمع عيادات")</f>
        <v>مجمع عيادات</v>
      </c>
      <c r="E2283" s="5" t="str">
        <f ca="1">IFERROR(__xludf.DUMMYFUNCTION("""COMPUTED_VALUE"""),"جميع التخصصات")</f>
        <v>جميع التخصصات</v>
      </c>
      <c r="F2283" s="5" t="str">
        <f ca="1">IFERROR(__xludf.DUMMYFUNCTION("""COMPUTED_VALUE"""),"جميع التخصصات الطبية")</f>
        <v>جميع التخصصات الطبية</v>
      </c>
      <c r="G2283" s="5" t="str">
        <f ca="1">IFERROR(__xludf.DUMMYFUNCTION("""COMPUTED_VALUE"""),"عيادات ويلنس (وقايه هيلث كير)")</f>
        <v>عيادات ويلنس (وقايه هيلث كير)</v>
      </c>
      <c r="H2283" s="5" t="str">
        <f ca="1">IFERROR(__xludf.DUMMYFUNCTION("""COMPUTED_VALUE"""),"3 أبراج صن رايز - حي السفارات - مدينه نصر - القاهرة")</f>
        <v>3 أبراج صن رايز - حي السفارات - مدينه نصر - القاهرة</v>
      </c>
      <c r="I2283" s="6" t="str">
        <f ca="1">IFERROR(__xludf.DUMMYFUNCTION("""COMPUTED_VALUE"""),"01095983848")</f>
        <v>01095983848</v>
      </c>
      <c r="J2283" s="6"/>
      <c r="K2283" s="6" t="str">
        <f ca="1">IFERROR(__xludf.DUMMYFUNCTION("""COMPUTED_VALUE"""),"خصم 20% علي الأسعار النقدي المعلنة")</f>
        <v>خصم 20% علي الأسعار النقدي المعلنة</v>
      </c>
    </row>
    <row r="2284" spans="1:11" x14ac:dyDescent="0.25">
      <c r="A2284" s="4" t="str">
        <f ca="1">IFERROR(__xludf.DUMMYFUNCTION("""COMPUTED_VALUE"""),"106416-B")</f>
        <v>106416-B</v>
      </c>
      <c r="B2284" s="5" t="str">
        <f ca="1">IFERROR(__xludf.DUMMYFUNCTION("""COMPUTED_VALUE"""),"بورسعيد")</f>
        <v>بورسعيد</v>
      </c>
      <c r="C2284" s="5" t="str">
        <f ca="1">IFERROR(__xludf.DUMMYFUNCTION("""COMPUTED_VALUE"""),"بورسعيد")</f>
        <v>بورسعيد</v>
      </c>
      <c r="D2284" s="5" t="str">
        <f ca="1">IFERROR(__xludf.DUMMYFUNCTION("""COMPUTED_VALUE"""),"مركز علاج طبيعي")</f>
        <v>مركز علاج طبيعي</v>
      </c>
      <c r="E2284" s="5" t="str">
        <f ca="1">IFERROR(__xludf.DUMMYFUNCTION("""COMPUTED_VALUE"""),"علاج طبيعي")</f>
        <v>علاج طبيعي</v>
      </c>
      <c r="F2284" s="5" t="str">
        <f ca="1">IFERROR(__xludf.DUMMYFUNCTION("""COMPUTED_VALUE"""),"جلسات العلاج الطبيعي")</f>
        <v>جلسات العلاج الطبيعي</v>
      </c>
      <c r="G2284" s="5" t="str">
        <f ca="1">IFERROR(__xludf.DUMMYFUNCTION("""COMPUTED_VALUE"""),"د. سارة محمد حامد اسماعيل (مركز أدم للعلاج الطبيعي)")</f>
        <v>د. سارة محمد حامد اسماعيل (مركز أدم للعلاج الطبيعي)</v>
      </c>
      <c r="H2284" s="5" t="str">
        <f ca="1">IFERROR(__xludf.DUMMYFUNCTION("""COMPUTED_VALUE"""),"المكتب رقم 2 بالدور الاول العلوي داخل المطل على المنور ببرج قصر العرب ش عباس محفوظ بورسعيد")</f>
        <v>المكتب رقم 2 بالدور الاول العلوي داخل المطل على المنور ببرج قصر العرب ش عباس محفوظ بورسعيد</v>
      </c>
      <c r="I2284" s="6" t="str">
        <f ca="1">IFERROR(__xludf.DUMMYFUNCTION("""COMPUTED_VALUE"""),"01220806767")</f>
        <v>01220806767</v>
      </c>
      <c r="J2284" s="6"/>
      <c r="K2284" s="6" t="str">
        <f ca="1">IFERROR(__xludf.DUMMYFUNCTION("""COMPUTED_VALUE"""),"30% على جميع الخدمات")</f>
        <v>30% على جميع الخدمات</v>
      </c>
    </row>
    <row r="2285" spans="1:11" x14ac:dyDescent="0.25">
      <c r="A2285" s="4" t="str">
        <f ca="1">IFERROR(__xludf.DUMMYFUNCTION("""COMPUTED_VALUE"""),"105840-B")</f>
        <v>105840-B</v>
      </c>
      <c r="B2285" s="5" t="str">
        <f ca="1">IFERROR(__xludf.DUMMYFUNCTION("""COMPUTED_VALUE"""),"القاهرة")</f>
        <v>القاهرة</v>
      </c>
      <c r="C2285" s="5" t="str">
        <f ca="1">IFERROR(__xludf.DUMMYFUNCTION("""COMPUTED_VALUE"""),"جسر السويس")</f>
        <v>جسر السويس</v>
      </c>
      <c r="D2285" s="5" t="str">
        <f ca="1">IFERROR(__xludf.DUMMYFUNCTION("""COMPUTED_VALUE"""),"هيئة الأطباء")</f>
        <v>هيئة الأطباء</v>
      </c>
      <c r="E2285" s="5" t="str">
        <f ca="1">IFERROR(__xludf.DUMMYFUNCTION("""COMPUTED_VALUE"""),"اسنان")</f>
        <v>اسنان</v>
      </c>
      <c r="F2285" s="5" t="str">
        <f ca="1">IFERROR(__xludf.DUMMYFUNCTION("""COMPUTED_VALUE"""),"جراحة الفم والأسنان")</f>
        <v>جراحة الفم والأسنان</v>
      </c>
      <c r="G2285" s="5" t="str">
        <f ca="1">IFERROR(__xludf.DUMMYFUNCTION("""COMPUTED_VALUE"""),"د/ شريف عبدالفتاح شاهين منسي")</f>
        <v>د/ شريف عبدالفتاح شاهين منسي</v>
      </c>
      <c r="H2285" s="5" t="str">
        <f ca="1">IFERROR(__xludf.DUMMYFUNCTION("""COMPUTED_VALUE"""),"56 أ شارع جسر السويس , بجوار محطة مترو الالف مسكن , الدور الرابع , مصر الجديدة")</f>
        <v>56 أ شارع جسر السويس , بجوار محطة مترو الالف مسكن , الدور الرابع , مصر الجديدة</v>
      </c>
      <c r="I2285" s="6" t="str">
        <f ca="1">IFERROR(__xludf.DUMMYFUNCTION("""COMPUTED_VALUE"""),"01063614072")</f>
        <v>01063614072</v>
      </c>
      <c r="J2285" s="6"/>
      <c r="K2285" s="6" t="str">
        <f ca="1">IFERROR(__xludf.DUMMYFUNCTION("""COMPUTED_VALUE"""),"الكشف : 70 , نقابه .2017")</f>
        <v>الكشف : 70 , نقابه .2017</v>
      </c>
    </row>
    <row r="2286" spans="1:11" x14ac:dyDescent="0.25">
      <c r="A2286" s="4" t="str">
        <f ca="1">IFERROR(__xludf.DUMMYFUNCTION("""COMPUTED_VALUE"""),"104296-B")</f>
        <v>104296-B</v>
      </c>
      <c r="B2286" s="5" t="str">
        <f ca="1">IFERROR(__xludf.DUMMYFUNCTION("""COMPUTED_VALUE"""),"القليوبية")</f>
        <v>القليوبية</v>
      </c>
      <c r="C2286" s="5" t="str">
        <f ca="1">IFERROR(__xludf.DUMMYFUNCTION("""COMPUTED_VALUE"""),"مدينة العبور")</f>
        <v>مدينة العبور</v>
      </c>
      <c r="D2286" s="5" t="str">
        <f ca="1">IFERROR(__xludf.DUMMYFUNCTION("""COMPUTED_VALUE"""),"مركز علاج طبيعي")</f>
        <v>مركز علاج طبيعي</v>
      </c>
      <c r="E2286" s="5" t="str">
        <f ca="1">IFERROR(__xludf.DUMMYFUNCTION("""COMPUTED_VALUE"""),"علاج طبيعي")</f>
        <v>علاج طبيعي</v>
      </c>
      <c r="F2286" s="5" t="str">
        <f ca="1">IFERROR(__xludf.DUMMYFUNCTION("""COMPUTED_VALUE"""),"جلسات العلاج الطبيعي")</f>
        <v>جلسات العلاج الطبيعي</v>
      </c>
      <c r="G2286" s="5" t="str">
        <f ca="1">IFERROR(__xludf.DUMMYFUNCTION("""COMPUTED_VALUE"""),"مركز ألفا كير للعلاج الطبيعي (د.كريم عبدالقوى عبدالله)")</f>
        <v>مركز ألفا كير للعلاج الطبيعي (د.كريم عبدالقوى عبدالله)</v>
      </c>
      <c r="H2286" s="5" t="str">
        <f ca="1">IFERROR(__xludf.DUMMYFUNCTION("""COMPUTED_VALUE"""),"الحي الخامس - ١٢ ش سميرة بجوار الشركة الزراعية وسوبر ماركت المالكي الدور الأول شقة ٢ ")</f>
        <v xml:space="preserve">الحي الخامس - ١٢ ش سميرة بجوار الشركة الزراعية وسوبر ماركت المالكي الدور الأول شقة ٢ </v>
      </c>
      <c r="I2286" s="6" t="str">
        <f ca="1">IFERROR(__xludf.DUMMYFUNCTION("""COMPUTED_VALUE"""),"201064411554")</f>
        <v>201064411554</v>
      </c>
      <c r="J2286" s="6" t="str">
        <f ca="1">IFERROR(__xludf.DUMMYFUNCTION("""COMPUTED_VALUE"""),"15662")</f>
        <v>15662</v>
      </c>
      <c r="K2286" s="6" t="str">
        <f ca="1">IFERROR(__xludf.DUMMYFUNCTION("""COMPUTED_VALUE"""),"30% على جميع الخدمات")</f>
        <v>30% على جميع الخدمات</v>
      </c>
    </row>
    <row r="2287" spans="1:11" x14ac:dyDescent="0.25">
      <c r="A2287" s="4" t="str">
        <f ca="1">IFERROR(__xludf.DUMMYFUNCTION("""COMPUTED_VALUE"""),"106808")</f>
        <v>106808</v>
      </c>
      <c r="B2287" s="5" t="str">
        <f ca="1">IFERROR(__xludf.DUMMYFUNCTION("""COMPUTED_VALUE"""),"الجيزة")</f>
        <v>الجيزة</v>
      </c>
      <c r="C2287" s="5" t="str">
        <f ca="1">IFERROR(__xludf.DUMMYFUNCTION("""COMPUTED_VALUE"""),"السادس من اكتوبر")</f>
        <v>السادس من اكتوبر</v>
      </c>
      <c r="D2287" s="5" t="str">
        <f ca="1">IFERROR(__xludf.DUMMYFUNCTION("""COMPUTED_VALUE"""),"مستشفى")</f>
        <v>مستشفى</v>
      </c>
      <c r="E2287" s="5" t="str">
        <f ca="1">IFERROR(__xludf.DUMMYFUNCTION("""COMPUTED_VALUE"""),"مستشفي طبي متكامل")</f>
        <v>مستشفي طبي متكامل</v>
      </c>
      <c r="F2287" s="5" t="str">
        <f ca="1">IFERROR(__xludf.DUMMYFUNCTION("""COMPUTED_VALUE"""),"جميع التخصصات الطبية")</f>
        <v>جميع التخصصات الطبية</v>
      </c>
      <c r="G2287" s="5" t="str">
        <f ca="1">IFERROR(__xludf.DUMMYFUNCTION("""COMPUTED_VALUE"""),"التاج للرعايه الصحيه و الخدمات الطبيه (مستشفي فوقيه)")</f>
        <v>التاج للرعايه الصحيه و الخدمات الطبيه (مستشفي فوقيه)</v>
      </c>
      <c r="H2287" s="5" t="str">
        <f ca="1">IFERROR(__xludf.DUMMYFUNCTION("""COMPUTED_VALUE"""),"قطعه 1 أرض المستشفيات الحي المتميز - 6 أكتوبر - الجيزة")</f>
        <v>قطعه 1 أرض المستشفيات الحي المتميز - 6 أكتوبر - الجيزة</v>
      </c>
      <c r="I2287" s="6" t="str">
        <f ca="1">IFERROR(__xludf.DUMMYFUNCTION("""COMPUTED_VALUE"""),"0238837494")</f>
        <v>0238837494</v>
      </c>
      <c r="J2287" s="6"/>
      <c r="K2287" s="6" t="str">
        <f ca="1">IFERROR(__xludf.DUMMYFUNCTION("""COMPUTED_VALUE"""),"نسبة خصم 20% علي الخدمات ماعدا الادويه والمستلزمات الطبيه و اتعاب الاطباء وبنك الدم ، 30%علي العيادات الخارجيه ، 30% علي كشف التأهيل ، 20% على العلاج المائي ،20% علي التحاليل ، 15% علي الاشعه ، 20%علي الرعايه المنزليه ، 20%علي عيادات قرح الفراش ، 20% على "&amp;"كشف والجراحات التجميلية 
")</f>
        <v xml:space="preserve">نسبة خصم 20% علي الخدمات ماعدا الادويه والمستلزمات الطبيه و اتعاب الاطباء وبنك الدم ، 30%علي العيادات الخارجيه ، 30% علي كشف التأهيل ، 20% على العلاج المائي ،20% علي التحاليل ، 15% علي الاشعه ، 20%علي الرعايه المنزليه ، 20%علي عيادات قرح الفراش ، 20% على كشف والجراحات التجميلية 
</v>
      </c>
    </row>
    <row r="2288" spans="1:11" x14ac:dyDescent="0.25">
      <c r="A2288" s="4" t="str">
        <f ca="1">IFERROR(__xludf.DUMMYFUNCTION("""COMPUTED_VALUE"""),"105958-B")</f>
        <v>105958-B</v>
      </c>
      <c r="B2288" s="5" t="str">
        <f ca="1">IFERROR(__xludf.DUMMYFUNCTION("""COMPUTED_VALUE"""),"الجيزة")</f>
        <v>الجيزة</v>
      </c>
      <c r="C2288" s="5" t="str">
        <f ca="1">IFERROR(__xludf.DUMMYFUNCTION("""COMPUTED_VALUE"""),"المهندسين")</f>
        <v>المهندسين</v>
      </c>
      <c r="D2288" s="5" t="str">
        <f ca="1">IFERROR(__xludf.DUMMYFUNCTION("""COMPUTED_VALUE"""),"شركة")</f>
        <v>شركة</v>
      </c>
      <c r="E2288" s="5" t="str">
        <f ca="1">IFERROR(__xludf.DUMMYFUNCTION("""COMPUTED_VALUE"""),"شركة اجهزة طبية")</f>
        <v>شركة اجهزة طبية</v>
      </c>
      <c r="F2288" s="5" t="str">
        <f ca="1">IFERROR(__xludf.DUMMYFUNCTION("""COMPUTED_VALUE"""),"مستلزمات واجهزة طبية")</f>
        <v>مستلزمات واجهزة طبية</v>
      </c>
      <c r="G2288" s="5" t="str">
        <f ca="1">IFERROR(__xludf.DUMMYFUNCTION("""COMPUTED_VALUE"""),"شركه اوبرا انترناشيونال جروب")</f>
        <v>شركه اوبرا انترناشيونال جروب</v>
      </c>
      <c r="H2288" s="5" t="str">
        <f ca="1">IFERROR(__xludf.DUMMYFUNCTION("""COMPUTED_VALUE"""),"59شارع عبد المنعم رياض – بجوار برج الأطباء")</f>
        <v>59شارع عبد المنعم رياض – بجوار برج الأطباء</v>
      </c>
      <c r="I2288" s="6" t="str">
        <f ca="1">IFERROR(__xludf.DUMMYFUNCTION("""COMPUTED_VALUE"""),"0233043096")</f>
        <v>0233043096</v>
      </c>
      <c r="J2288" s="6"/>
      <c r="K2288" s="6" t="str">
        <f ca="1">IFERROR(__xludf.DUMMYFUNCTION("""COMPUTED_VALUE"""),"25% على السماعات.5% على المستلزمات ")</f>
        <v>25% على السماعات.5% على المستلزمات </v>
      </c>
    </row>
    <row r="2289" spans="1:11" x14ac:dyDescent="0.25">
      <c r="A2289" s="4" t="str">
        <f ca="1">IFERROR(__xludf.DUMMYFUNCTION("""COMPUTED_VALUE"""),"105958-B")</f>
        <v>105958-B</v>
      </c>
      <c r="B2289" s="5" t="str">
        <f ca="1">IFERROR(__xludf.DUMMYFUNCTION("""COMPUTED_VALUE"""),"الاسكندرية")</f>
        <v>الاسكندرية</v>
      </c>
      <c r="C2289" s="5" t="str">
        <f ca="1">IFERROR(__xludf.DUMMYFUNCTION("""COMPUTED_VALUE"""),"سيدي بشر")</f>
        <v>سيدي بشر</v>
      </c>
      <c r="D2289" s="5" t="str">
        <f ca="1">IFERROR(__xludf.DUMMYFUNCTION("""COMPUTED_VALUE"""),"شركة")</f>
        <v>شركة</v>
      </c>
      <c r="E2289" s="5" t="str">
        <f ca="1">IFERROR(__xludf.DUMMYFUNCTION("""COMPUTED_VALUE"""),"شركة اجهزة طبية")</f>
        <v>شركة اجهزة طبية</v>
      </c>
      <c r="F2289" s="5" t="str">
        <f ca="1">IFERROR(__xludf.DUMMYFUNCTION("""COMPUTED_VALUE"""),"مستلزمات واجهزة طبية")</f>
        <v>مستلزمات واجهزة طبية</v>
      </c>
      <c r="G2289" s="5" t="str">
        <f ca="1">IFERROR(__xludf.DUMMYFUNCTION("""COMPUTED_VALUE"""),"شركه اوبرا انترناشيونال جروب")</f>
        <v>شركه اوبرا انترناشيونال جروب</v>
      </c>
      <c r="H2289" s="5" t="str">
        <f ca="1">IFERROR(__xludf.DUMMYFUNCTION("""COMPUTED_VALUE"""),"برج ريتاج شارع العيسوى امام مستشفى مارمرقس")</f>
        <v>برج ريتاج شارع العيسوى امام مستشفى مارمرقس</v>
      </c>
      <c r="I2289" s="6" t="str">
        <f ca="1">IFERROR(__xludf.DUMMYFUNCTION("""COMPUTED_VALUE"""),"035574180")</f>
        <v>035574180</v>
      </c>
      <c r="J2289" s="6"/>
      <c r="K2289" s="6" t="str">
        <f ca="1">IFERROR(__xludf.DUMMYFUNCTION("""COMPUTED_VALUE"""),"25% على السماعات.5% على المستلزمات ")</f>
        <v>25% على السماعات.5% على المستلزمات </v>
      </c>
    </row>
    <row r="2290" spans="1:11" x14ac:dyDescent="0.25">
      <c r="A2290" s="4" t="str">
        <f ca="1">IFERROR(__xludf.DUMMYFUNCTION("""COMPUTED_VALUE"""),"105958-B")</f>
        <v>105958-B</v>
      </c>
      <c r="B2290" s="5" t="str">
        <f ca="1">IFERROR(__xludf.DUMMYFUNCTION("""COMPUTED_VALUE"""),"الاسكندرية")</f>
        <v>الاسكندرية</v>
      </c>
      <c r="C2290" s="5" t="str">
        <f ca="1">IFERROR(__xludf.DUMMYFUNCTION("""COMPUTED_VALUE"""),"سبورتنج")</f>
        <v>سبورتنج</v>
      </c>
      <c r="D2290" s="5" t="str">
        <f ca="1">IFERROR(__xludf.DUMMYFUNCTION("""COMPUTED_VALUE"""),"شركة")</f>
        <v>شركة</v>
      </c>
      <c r="E2290" s="5" t="str">
        <f ca="1">IFERROR(__xludf.DUMMYFUNCTION("""COMPUTED_VALUE"""),"شركة اجهزة طبية")</f>
        <v>شركة اجهزة طبية</v>
      </c>
      <c r="F2290" s="5" t="str">
        <f ca="1">IFERROR(__xludf.DUMMYFUNCTION("""COMPUTED_VALUE"""),"مستلزمات واجهزة طبية")</f>
        <v>مستلزمات واجهزة طبية</v>
      </c>
      <c r="G2290" s="5" t="str">
        <f ca="1">IFERROR(__xludf.DUMMYFUNCTION("""COMPUTED_VALUE"""),"شركه اوبرا انترناشيونال جروب")</f>
        <v>شركه اوبرا انترناشيونال جروب</v>
      </c>
      <c r="H2290" s="5" t="str">
        <f ca="1">IFERROR(__xludf.DUMMYFUNCTION("""COMPUTED_VALUE"""),"165 شارع بورسعيد سبورتنج الصغرى")</f>
        <v>165 شارع بورسعيد سبورتنج الصغرى</v>
      </c>
      <c r="I2290" s="6" t="str">
        <f ca="1">IFERROR(__xludf.DUMMYFUNCTION("""COMPUTED_VALUE"""),"035900208")</f>
        <v>035900208</v>
      </c>
      <c r="J2290" s="6"/>
      <c r="K2290" s="6" t="str">
        <f ca="1">IFERROR(__xludf.DUMMYFUNCTION("""COMPUTED_VALUE"""),"25% على السماعات.5% على المستلزمات ")</f>
        <v>25% على السماعات.5% على المستلزمات </v>
      </c>
    </row>
    <row r="2291" spans="1:11" x14ac:dyDescent="0.25">
      <c r="A2291" s="4" t="str">
        <f ca="1">IFERROR(__xludf.DUMMYFUNCTION("""COMPUTED_VALUE"""),"105958-B")</f>
        <v>105958-B</v>
      </c>
      <c r="B2291" s="5" t="str">
        <f ca="1">IFERROR(__xludf.DUMMYFUNCTION("""COMPUTED_VALUE"""),"الفيوم")</f>
        <v>الفيوم</v>
      </c>
      <c r="C2291" s="5" t="str">
        <f ca="1">IFERROR(__xludf.DUMMYFUNCTION("""COMPUTED_VALUE"""),"الفيوم")</f>
        <v>الفيوم</v>
      </c>
      <c r="D2291" s="5" t="str">
        <f ca="1">IFERROR(__xludf.DUMMYFUNCTION("""COMPUTED_VALUE"""),"شركة")</f>
        <v>شركة</v>
      </c>
      <c r="E2291" s="5" t="str">
        <f ca="1">IFERROR(__xludf.DUMMYFUNCTION("""COMPUTED_VALUE"""),"شركة اجهزة طبية")</f>
        <v>شركة اجهزة طبية</v>
      </c>
      <c r="F2291" s="5" t="str">
        <f ca="1">IFERROR(__xludf.DUMMYFUNCTION("""COMPUTED_VALUE"""),"مستلزمات واجهزة طبية")</f>
        <v>مستلزمات واجهزة طبية</v>
      </c>
      <c r="G2291" s="5" t="str">
        <f ca="1">IFERROR(__xludf.DUMMYFUNCTION("""COMPUTED_VALUE"""),"شركه اوبرا انترناشيونال جروب")</f>
        <v>شركه اوبرا انترناشيونال جروب</v>
      </c>
      <c r="H2291" s="5" t="str">
        <f ca="1">IFERROR(__xludf.DUMMYFUNCTION("""COMPUTED_VALUE"""),"برج ابراهيم نصار خلف قصر ثقافه الفيوم. ")</f>
        <v xml:space="preserve">برج ابراهيم نصار خلف قصر ثقافه الفيوم. </v>
      </c>
      <c r="I2291" s="6" t="str">
        <f ca="1">IFERROR(__xludf.DUMMYFUNCTION("""COMPUTED_VALUE"""),"0842064254")</f>
        <v>0842064254</v>
      </c>
      <c r="J2291" s="6"/>
      <c r="K2291" s="6" t="str">
        <f ca="1">IFERROR(__xludf.DUMMYFUNCTION("""COMPUTED_VALUE"""),"25% على السماعات.5% على المستلزمات ")</f>
        <v>25% على السماعات.5% على المستلزمات </v>
      </c>
    </row>
    <row r="2292" spans="1:11" x14ac:dyDescent="0.25">
      <c r="A2292" s="4" t="str">
        <f ca="1">IFERROR(__xludf.DUMMYFUNCTION("""COMPUTED_VALUE"""),"105958-B")</f>
        <v>105958-B</v>
      </c>
      <c r="B2292" s="5" t="str">
        <f ca="1">IFERROR(__xludf.DUMMYFUNCTION("""COMPUTED_VALUE"""),"المنيا")</f>
        <v>المنيا</v>
      </c>
      <c r="C2292" s="5" t="str">
        <f ca="1">IFERROR(__xludf.DUMMYFUNCTION("""COMPUTED_VALUE"""),"المنيا")</f>
        <v>المنيا</v>
      </c>
      <c r="D2292" s="5" t="str">
        <f ca="1">IFERROR(__xludf.DUMMYFUNCTION("""COMPUTED_VALUE"""),"شركة")</f>
        <v>شركة</v>
      </c>
      <c r="E2292" s="5" t="str">
        <f ca="1">IFERROR(__xludf.DUMMYFUNCTION("""COMPUTED_VALUE"""),"شركة اجهزة طبية")</f>
        <v>شركة اجهزة طبية</v>
      </c>
      <c r="F2292" s="5" t="str">
        <f ca="1">IFERROR(__xludf.DUMMYFUNCTION("""COMPUTED_VALUE"""),"مستلزمات واجهزة طبية")</f>
        <v>مستلزمات واجهزة طبية</v>
      </c>
      <c r="G2292" s="5" t="str">
        <f ca="1">IFERROR(__xludf.DUMMYFUNCTION("""COMPUTED_VALUE"""),"شركه اوبرا انترناشيونال جروب")</f>
        <v>شركه اوبرا انترناشيونال جروب</v>
      </c>
      <c r="H2292" s="5" t="str">
        <f ca="1">IFERROR(__xludf.DUMMYFUNCTION("""COMPUTED_VALUE"""),"33 شارع عدلى يكن بالقرب من محطه القطار")</f>
        <v>33 شارع عدلى يكن بالقرب من محطه القطار</v>
      </c>
      <c r="I2292" s="6" t="str">
        <f ca="1">IFERROR(__xludf.DUMMYFUNCTION("""COMPUTED_VALUE"""),"0862333040")</f>
        <v>0862333040</v>
      </c>
      <c r="J2292" s="6"/>
      <c r="K2292" s="6" t="str">
        <f ca="1">IFERROR(__xludf.DUMMYFUNCTION("""COMPUTED_VALUE"""),"25% على السماعات.5% على المستلزمات ")</f>
        <v>25% على السماعات.5% على المستلزمات </v>
      </c>
    </row>
    <row r="2293" spans="1:11" x14ac:dyDescent="0.25">
      <c r="A2293" s="4" t="str">
        <f ca="1">IFERROR(__xludf.DUMMYFUNCTION("""COMPUTED_VALUE"""),"105958-B")</f>
        <v>105958-B</v>
      </c>
      <c r="B2293" s="5" t="str">
        <f ca="1">IFERROR(__xludf.DUMMYFUNCTION("""COMPUTED_VALUE"""),"أسيوط")</f>
        <v>أسيوط</v>
      </c>
      <c r="C2293" s="5" t="str">
        <f ca="1">IFERROR(__xludf.DUMMYFUNCTION("""COMPUTED_VALUE"""),"أسيوط")</f>
        <v>أسيوط</v>
      </c>
      <c r="D2293" s="5" t="str">
        <f ca="1">IFERROR(__xludf.DUMMYFUNCTION("""COMPUTED_VALUE"""),"شركة")</f>
        <v>شركة</v>
      </c>
      <c r="E2293" s="5" t="str">
        <f ca="1">IFERROR(__xludf.DUMMYFUNCTION("""COMPUTED_VALUE"""),"شركة اجهزة طبية")</f>
        <v>شركة اجهزة طبية</v>
      </c>
      <c r="F2293" s="5" t="str">
        <f ca="1">IFERROR(__xludf.DUMMYFUNCTION("""COMPUTED_VALUE"""),"مستلزمات واجهزة طبية")</f>
        <v>مستلزمات واجهزة طبية</v>
      </c>
      <c r="G2293" s="5" t="str">
        <f ca="1">IFERROR(__xludf.DUMMYFUNCTION("""COMPUTED_VALUE"""),"شركه اوبرا انترناشيونال جروب")</f>
        <v>شركه اوبرا انترناشيونال جروب</v>
      </c>
      <c r="H2293" s="5" t="str">
        <f ca="1">IFERROR(__xludf.DUMMYFUNCTION("""COMPUTED_VALUE"""),"25 شارع يسرى راغب – برج الأسمنت. ")</f>
        <v xml:space="preserve">25 شارع يسرى راغب – برج الأسمنت. </v>
      </c>
      <c r="I2293" s="6" t="str">
        <f ca="1">IFERROR(__xludf.DUMMYFUNCTION("""COMPUTED_VALUE"""),"0882333266")</f>
        <v>0882333266</v>
      </c>
      <c r="J2293" s="6"/>
      <c r="K2293" s="6" t="str">
        <f ca="1">IFERROR(__xludf.DUMMYFUNCTION("""COMPUTED_VALUE"""),"25% على السماعات.5% على المستلزمات ")</f>
        <v>25% على السماعات.5% على المستلزمات </v>
      </c>
    </row>
    <row r="2294" spans="1:11" x14ac:dyDescent="0.25">
      <c r="A2294" s="4" t="str">
        <f ca="1">IFERROR(__xludf.DUMMYFUNCTION("""COMPUTED_VALUE"""),"105958-B")</f>
        <v>105958-B</v>
      </c>
      <c r="B2294" s="5" t="str">
        <f ca="1">IFERROR(__xludf.DUMMYFUNCTION("""COMPUTED_VALUE"""),"الغربية")</f>
        <v>الغربية</v>
      </c>
      <c r="C2294" s="5" t="str">
        <f ca="1">IFERROR(__xludf.DUMMYFUNCTION("""COMPUTED_VALUE"""),"طنطا")</f>
        <v>طنطا</v>
      </c>
      <c r="D2294" s="5" t="str">
        <f ca="1">IFERROR(__xludf.DUMMYFUNCTION("""COMPUTED_VALUE"""),"شركة")</f>
        <v>شركة</v>
      </c>
      <c r="E2294" s="5" t="str">
        <f ca="1">IFERROR(__xludf.DUMMYFUNCTION("""COMPUTED_VALUE"""),"شركة اجهزة طبية")</f>
        <v>شركة اجهزة طبية</v>
      </c>
      <c r="F2294" s="5" t="str">
        <f ca="1">IFERROR(__xludf.DUMMYFUNCTION("""COMPUTED_VALUE"""),"مستلزمات واجهزة طبية")</f>
        <v>مستلزمات واجهزة طبية</v>
      </c>
      <c r="G2294" s="5" t="str">
        <f ca="1">IFERROR(__xludf.DUMMYFUNCTION("""COMPUTED_VALUE"""),"شركه اوبرا انترناشيونال جروب")</f>
        <v>شركه اوبرا انترناشيونال جروب</v>
      </c>
      <c r="H2294" s="5" t="str">
        <f ca="1">IFERROR(__xludf.DUMMYFUNCTION("""COMPUTED_VALUE"""),"برج ابراهيم نصار،شارع النحاس طنطا")</f>
        <v>برج ابراهيم نصار،شارع النحاس طنطا</v>
      </c>
      <c r="I2294" s="6" t="str">
        <f ca="1">IFERROR(__xludf.DUMMYFUNCTION("""COMPUTED_VALUE"""),"0403763361")</f>
        <v>0403763361</v>
      </c>
      <c r="J2294" s="6"/>
      <c r="K2294" s="6" t="str">
        <f ca="1">IFERROR(__xludf.DUMMYFUNCTION("""COMPUTED_VALUE"""),"25% على السماعات.5% على المستلزمات ")</f>
        <v>25% على السماعات.5% على المستلزمات </v>
      </c>
    </row>
    <row r="2295" spans="1:11" x14ac:dyDescent="0.25">
      <c r="A2295" s="4" t="str">
        <f ca="1">IFERROR(__xludf.DUMMYFUNCTION("""COMPUTED_VALUE"""),"105958-B")</f>
        <v>105958-B</v>
      </c>
      <c r="B2295" s="5" t="str">
        <f ca="1">IFERROR(__xludf.DUMMYFUNCTION("""COMPUTED_VALUE"""),"الدقهلية")</f>
        <v>الدقهلية</v>
      </c>
      <c r="C2295" s="5" t="str">
        <f ca="1">IFERROR(__xludf.DUMMYFUNCTION("""COMPUTED_VALUE"""),"المنصورة")</f>
        <v>المنصورة</v>
      </c>
      <c r="D2295" s="5" t="str">
        <f ca="1">IFERROR(__xludf.DUMMYFUNCTION("""COMPUTED_VALUE"""),"شركة")</f>
        <v>شركة</v>
      </c>
      <c r="E2295" s="5" t="str">
        <f ca="1">IFERROR(__xludf.DUMMYFUNCTION("""COMPUTED_VALUE"""),"شركة اجهزة طبية")</f>
        <v>شركة اجهزة طبية</v>
      </c>
      <c r="F2295" s="5" t="str">
        <f ca="1">IFERROR(__xludf.DUMMYFUNCTION("""COMPUTED_VALUE"""),"مستلزمات واجهزة طبية")</f>
        <v>مستلزمات واجهزة طبية</v>
      </c>
      <c r="G2295" s="5" t="str">
        <f ca="1">IFERROR(__xludf.DUMMYFUNCTION("""COMPUTED_VALUE"""),"شركه اوبرا انترناشيونال جروب")</f>
        <v>شركه اوبرا انترناشيونال جروب</v>
      </c>
      <c r="H2295" s="5" t="str">
        <f ca="1">IFERROR(__xludf.DUMMYFUNCTION("""COMPUTED_VALUE"""),"13شارع بنك مصر المنصورة")</f>
        <v>13شارع بنك مصر المنصورة</v>
      </c>
      <c r="I2295" s="6" t="str">
        <f ca="1">IFERROR(__xludf.DUMMYFUNCTION("""COMPUTED_VALUE"""),"0502395090")</f>
        <v>0502395090</v>
      </c>
      <c r="J2295" s="6"/>
      <c r="K2295" s="6" t="str">
        <f ca="1">IFERROR(__xludf.DUMMYFUNCTION("""COMPUTED_VALUE"""),"25% على السماعات.5% على المستلزمات ")</f>
        <v>25% على السماعات.5% على المستلزمات </v>
      </c>
    </row>
    <row r="2296" spans="1:11" x14ac:dyDescent="0.25">
      <c r="A2296" s="4" t="str">
        <f ca="1">IFERROR(__xludf.DUMMYFUNCTION("""COMPUTED_VALUE"""),"105958-B")</f>
        <v>105958-B</v>
      </c>
      <c r="B2296" s="5" t="str">
        <f ca="1">IFERROR(__xludf.DUMMYFUNCTION("""COMPUTED_VALUE"""),"القاهرة")</f>
        <v>القاهرة</v>
      </c>
      <c r="C2296" s="5" t="str">
        <f ca="1">IFERROR(__xludf.DUMMYFUNCTION("""COMPUTED_VALUE"""),"مصر الجديدة")</f>
        <v>مصر الجديدة</v>
      </c>
      <c r="D2296" s="5" t="str">
        <f ca="1">IFERROR(__xludf.DUMMYFUNCTION("""COMPUTED_VALUE"""),"شركة")</f>
        <v>شركة</v>
      </c>
      <c r="E2296" s="5" t="str">
        <f ca="1">IFERROR(__xludf.DUMMYFUNCTION("""COMPUTED_VALUE"""),"شركة اجهزة طبية")</f>
        <v>شركة اجهزة طبية</v>
      </c>
      <c r="F2296" s="5" t="str">
        <f ca="1">IFERROR(__xludf.DUMMYFUNCTION("""COMPUTED_VALUE"""),"مستلزمات واجهزة طبية")</f>
        <v>مستلزمات واجهزة طبية</v>
      </c>
      <c r="G2296" s="5" t="str">
        <f ca="1">IFERROR(__xludf.DUMMYFUNCTION("""COMPUTED_VALUE"""),"شركه اوبرا انترناشيونال جروب")</f>
        <v>شركه اوبرا انترناشيونال جروب</v>
      </c>
      <c r="H2296" s="5" t="str">
        <f ca="1">IFERROR(__xludf.DUMMYFUNCTION("""COMPUTED_VALUE"""),"6 شارع قناه السويس، ميدان سفير")</f>
        <v>6 شارع قناه السويس، ميدان سفير</v>
      </c>
      <c r="I2296" s="6" t="str">
        <f ca="1">IFERROR(__xludf.DUMMYFUNCTION("""COMPUTED_VALUE"""),"0222406044")</f>
        <v>0222406044</v>
      </c>
      <c r="J2296" s="6"/>
      <c r="K2296" s="6" t="str">
        <f ca="1">IFERROR(__xludf.DUMMYFUNCTION("""COMPUTED_VALUE"""),"25% على السماعات.5% على المستلزمات ")</f>
        <v>25% على السماعات.5% على المستلزمات </v>
      </c>
    </row>
    <row r="2297" spans="1:11" x14ac:dyDescent="0.25">
      <c r="A2297" s="4" t="str">
        <f ca="1">IFERROR(__xludf.DUMMYFUNCTION("""COMPUTED_VALUE"""),"106810")</f>
        <v>106810</v>
      </c>
      <c r="B2297" s="5" t="str">
        <f ca="1">IFERROR(__xludf.DUMMYFUNCTION("""COMPUTED_VALUE"""),"القليوبية")</f>
        <v>القليوبية</v>
      </c>
      <c r="C2297" s="5" t="str">
        <f ca="1">IFERROR(__xludf.DUMMYFUNCTION("""COMPUTED_VALUE"""),"شبرا الخيمة")</f>
        <v>شبرا الخيمة</v>
      </c>
      <c r="D2297" s="5" t="str">
        <f ca="1">IFERROR(__xludf.DUMMYFUNCTION("""COMPUTED_VALUE"""),"صيدلية")</f>
        <v>صيدلية</v>
      </c>
      <c r="E2297" s="5" t="str">
        <f ca="1">IFERROR(__xludf.DUMMYFUNCTION("""COMPUTED_VALUE"""),"صيدلية")</f>
        <v>صيدلية</v>
      </c>
      <c r="F2297" s="5" t="str">
        <f ca="1">IFERROR(__xludf.DUMMYFUNCTION("""COMPUTED_VALUE"""),"صيدلية (أدوية ومستلزمات طبية)")</f>
        <v>صيدلية (أدوية ومستلزمات طبية)</v>
      </c>
      <c r="G2297" s="5" t="str">
        <f ca="1">IFERROR(__xludf.DUMMYFUNCTION("""COMPUTED_VALUE"""),"صيدلية د/ تامر الحسيني احمد عبد العزيز")</f>
        <v>صيدلية د/ تامر الحسيني احمد عبد العزيز</v>
      </c>
      <c r="H2297" s="5" t="str">
        <f ca="1">IFERROR(__xludf.DUMMYFUNCTION("""COMPUTED_VALUE"""),"ش الخلفاء الراشدين من ش 15 مايو أرض الزجاج و البلور - شبرا الخيمه")</f>
        <v>ش الخلفاء الراشدين من ش 15 مايو أرض الزجاج و البلور - شبرا الخيمه</v>
      </c>
      <c r="I2297" s="6" t="str">
        <f ca="1">IFERROR(__xludf.DUMMYFUNCTION("""COMPUTED_VALUE"""),"42220888")</f>
        <v>42220888</v>
      </c>
      <c r="J2297" s="6"/>
      <c r="K2297" s="6" t="str">
        <f ca="1">IFERROR(__xludf.DUMMYFUNCTION("""COMPUTED_VALUE"""),"خصم 16% علي الأدويه المحليه و 8% علي المستورد")</f>
        <v>خصم 16% علي الأدويه المحليه و 8% علي المستورد</v>
      </c>
    </row>
    <row r="2298" spans="1:11" x14ac:dyDescent="0.25">
      <c r="A2298" s="4" t="str">
        <f ca="1">IFERROR(__xludf.DUMMYFUNCTION("""COMPUTED_VALUE"""),"106811")</f>
        <v>106811</v>
      </c>
      <c r="B2298" s="5" t="str">
        <f ca="1">IFERROR(__xludf.DUMMYFUNCTION("""COMPUTED_VALUE"""),"البحيرة")</f>
        <v>البحيرة</v>
      </c>
      <c r="C2298" s="5" t="str">
        <f ca="1">IFERROR(__xludf.DUMMYFUNCTION("""COMPUTED_VALUE"""),"الدلنجات")</f>
        <v>الدلنجات</v>
      </c>
      <c r="D2298" s="5" t="str">
        <f ca="1">IFERROR(__xludf.DUMMYFUNCTION("""COMPUTED_VALUE"""),"صيدلية")</f>
        <v>صيدلية</v>
      </c>
      <c r="E2298" s="5" t="str">
        <f ca="1">IFERROR(__xludf.DUMMYFUNCTION("""COMPUTED_VALUE"""),"صيدلية")</f>
        <v>صيدلية</v>
      </c>
      <c r="F2298" s="5" t="str">
        <f ca="1">IFERROR(__xludf.DUMMYFUNCTION("""COMPUTED_VALUE"""),"صيدلية (أدوية ومستلزمات طبية)")</f>
        <v>صيدلية (أدوية ومستلزمات طبية)</v>
      </c>
      <c r="G2298" s="5" t="str">
        <f ca="1">IFERROR(__xludf.DUMMYFUNCTION("""COMPUTED_VALUE"""),"صيدليه د/ عبدالعزيز فتحي عبدالعزيز هندي")</f>
        <v>صيدليه د/ عبدالعزيز فتحي عبدالعزيز هندي</v>
      </c>
      <c r="H2298" s="5" t="str">
        <f ca="1">IFERROR(__xludf.DUMMYFUNCTION("""COMPUTED_VALUE"""),"شارع الاسعاف - الدلنجات - البحيره")</f>
        <v>شارع الاسعاف - الدلنجات - البحيره</v>
      </c>
      <c r="I2298" s="6" t="str">
        <f ca="1">IFERROR(__xludf.DUMMYFUNCTION("""COMPUTED_VALUE"""),"0453607477")</f>
        <v>0453607477</v>
      </c>
      <c r="J2298" s="6"/>
      <c r="K2298" s="6" t="str">
        <f ca="1">IFERROR(__xludf.DUMMYFUNCTION("""COMPUTED_VALUE"""),"خصم 14% علي الأدويه المحليه و 7% علي المستورد")</f>
        <v>خصم 14% علي الأدويه المحليه و 7% علي المستورد</v>
      </c>
    </row>
    <row r="2299" spans="1:11" x14ac:dyDescent="0.25">
      <c r="A2299" s="4" t="str">
        <f ca="1">IFERROR(__xludf.DUMMYFUNCTION("""COMPUTED_VALUE"""),"106070-B")</f>
        <v>106070-B</v>
      </c>
      <c r="B2299" s="5" t="str">
        <f ca="1">IFERROR(__xludf.DUMMYFUNCTION("""COMPUTED_VALUE"""),"الدقهلية")</f>
        <v>الدقهلية</v>
      </c>
      <c r="C2299" s="5" t="str">
        <f ca="1">IFERROR(__xludf.DUMMYFUNCTION("""COMPUTED_VALUE"""),"ميت غمر")</f>
        <v>ميت غمر</v>
      </c>
      <c r="D2299" s="5" t="str">
        <f ca="1">IFERROR(__xludf.DUMMYFUNCTION("""COMPUTED_VALUE"""),"هيئة الأطباء")</f>
        <v>هيئة الأطباء</v>
      </c>
      <c r="E2299" s="5" t="str">
        <f ca="1">IFERROR(__xludf.DUMMYFUNCTION("""COMPUTED_VALUE"""),"اسنان")</f>
        <v>اسنان</v>
      </c>
      <c r="F2299" s="5" t="str">
        <f ca="1">IFERROR(__xludf.DUMMYFUNCTION("""COMPUTED_VALUE"""),"جراحة الفم والأسنان")</f>
        <v>جراحة الفم والأسنان</v>
      </c>
      <c r="G2299" s="5" t="str">
        <f ca="1">IFERROR(__xludf.DUMMYFUNCTION("""COMPUTED_VALUE"""),"د/كريم احمد سيف الاسلام عبدالفتاح قشطي")</f>
        <v>د/كريم احمد سيف الاسلام عبدالفتاح قشطي</v>
      </c>
      <c r="H2299" s="5" t="str">
        <f ca="1">IFERROR(__xludf.DUMMYFUNCTION("""COMPUTED_VALUE"""),"ش احمد عرابي شقه 4 الدور الثالث")</f>
        <v>ش احمد عرابي شقه 4 الدور الثالث</v>
      </c>
      <c r="I2299" s="6" t="str">
        <f ca="1">IFERROR(__xludf.DUMMYFUNCTION("""COMPUTED_VALUE"""),"01099072142")</f>
        <v>01099072142</v>
      </c>
      <c r="J2299" s="6"/>
      <c r="K2299" s="6" t="str">
        <f ca="1">IFERROR(__xludf.DUMMYFUNCTION("""COMPUTED_VALUE"""),"خصم 35% علي الاسعار النقدي")</f>
        <v>خصم 35% علي الاسعار النقدي</v>
      </c>
    </row>
    <row r="2300" spans="1:11" x14ac:dyDescent="0.25">
      <c r="A2300" s="4" t="str">
        <f ca="1">IFERROR(__xludf.DUMMYFUNCTION("""COMPUTED_VALUE"""),"105148-B")</f>
        <v>105148-B</v>
      </c>
      <c r="B2300" s="5" t="str">
        <f ca="1">IFERROR(__xludf.DUMMYFUNCTION("""COMPUTED_VALUE"""),"القاهرة")</f>
        <v>القاهرة</v>
      </c>
      <c r="C2300" s="5" t="str">
        <f ca="1">IFERROR(__xludf.DUMMYFUNCTION("""COMPUTED_VALUE"""),"المعادى")</f>
        <v>المعادى</v>
      </c>
      <c r="D2300" s="5" t="str">
        <f ca="1">IFERROR(__xludf.DUMMYFUNCTION("""COMPUTED_VALUE"""),"مركز أشعة")</f>
        <v>مركز أشعة</v>
      </c>
      <c r="E2300" s="5" t="str">
        <f ca="1">IFERROR(__xludf.DUMMYFUNCTION("""COMPUTED_VALUE"""),"مركز أشعة")</f>
        <v>مركز أشعة</v>
      </c>
      <c r="F2300" s="5" t="str">
        <f ca="1">IFERROR(__xludf.DUMMYFUNCTION("""COMPUTED_VALUE"""),"مركز الأشعة التشخيصية")</f>
        <v>مركز الأشعة التشخيصية</v>
      </c>
      <c r="G2300" s="5" t="str">
        <f ca="1">IFERROR(__xludf.DUMMYFUNCTION("""COMPUTED_VALUE"""),"البرج سكان ( معامل البرج)")</f>
        <v>البرج سكان ( معامل البرج)</v>
      </c>
      <c r="H2300" s="5" t="str">
        <f ca="1">IFERROR(__xludf.DUMMYFUNCTION("""COMPUTED_VALUE"""),"30 شارع الجزائر المعادى 
")</f>
        <v xml:space="preserve">30 شارع الجزائر المعادى 
</v>
      </c>
      <c r="I2300" s="6"/>
      <c r="J2300" s="6" t="str">
        <f ca="1">IFERROR(__xludf.DUMMYFUNCTION("""COMPUTED_VALUE"""),"19911")</f>
        <v>19911</v>
      </c>
      <c r="K2300" s="6" t="str">
        <f ca="1">IFERROR(__xludf.DUMMYFUNCTION("""COMPUTED_VALUE"""),"30% علي الأسعار النقدي المعلنة")</f>
        <v>30% علي الأسعار النقدي المعلنة</v>
      </c>
    </row>
    <row r="2301" spans="1:11" x14ac:dyDescent="0.25">
      <c r="A2301" s="4" t="str">
        <f ca="1">IFERROR(__xludf.DUMMYFUNCTION("""COMPUTED_VALUE"""),"1683-B")</f>
        <v>1683-B</v>
      </c>
      <c r="B2301" s="5" t="str">
        <f ca="1">IFERROR(__xludf.DUMMYFUNCTION("""COMPUTED_VALUE"""),"القاهرة")</f>
        <v>القاهرة</v>
      </c>
      <c r="C2301" s="5" t="str">
        <f ca="1">IFERROR(__xludf.DUMMYFUNCTION("""COMPUTED_VALUE"""),"الزمالك")</f>
        <v>الزمالك</v>
      </c>
      <c r="D2301" s="5" t="str">
        <f ca="1">IFERROR(__xludf.DUMMYFUNCTION("""COMPUTED_VALUE"""),"صيدلية")</f>
        <v>صيدلية</v>
      </c>
      <c r="E2301" s="5" t="str">
        <f ca="1">IFERROR(__xludf.DUMMYFUNCTION("""COMPUTED_VALUE"""),"صيدلية")</f>
        <v>صيدلية</v>
      </c>
      <c r="F2301" s="5" t="str">
        <f ca="1">IFERROR(__xludf.DUMMYFUNCTION("""COMPUTED_VALUE"""),"صيدلية (أدوية ومستلزمات طبية)")</f>
        <v>صيدلية (أدوية ومستلزمات طبية)</v>
      </c>
      <c r="G230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01" s="5" t="str">
        <f ca="1">IFERROR(__xludf.DUMMYFUNCTION("""COMPUTED_VALUE"""),"""18 أ شارع المرعشلى - الزمالك   ")</f>
        <v xml:space="preserve">"18 أ شارع المرعشلى - الزمالك   </v>
      </c>
      <c r="I2301" s="6" t="str">
        <f ca="1">IFERROR(__xludf.DUMMYFUNCTION("""COMPUTED_VALUE"""),"01116895501")</f>
        <v>01116895501</v>
      </c>
      <c r="J2301" s="6" t="str">
        <f ca="1">IFERROR(__xludf.DUMMYFUNCTION("""COMPUTED_VALUE"""),"19600")</f>
        <v>19600</v>
      </c>
      <c r="K2301" s="6" t="str">
        <f ca="1">IFERROR(__xludf.DUMMYFUNCTION("""COMPUTED_VALUE"""),"7.5 % على المحلى ,5% على المستلزمات الطبية و التجميل")</f>
        <v>7.5 % على المحلى ,5% على المستلزمات الطبية و التجميل</v>
      </c>
    </row>
    <row r="2302" spans="1:11" x14ac:dyDescent="0.25">
      <c r="A2302" s="4" t="str">
        <f ca="1">IFERROR(__xludf.DUMMYFUNCTION("""COMPUTED_VALUE"""),"1683-B")</f>
        <v>1683-B</v>
      </c>
      <c r="B2302" s="5" t="str">
        <f ca="1">IFERROR(__xludf.DUMMYFUNCTION("""COMPUTED_VALUE"""),"القاهرة")</f>
        <v>القاهرة</v>
      </c>
      <c r="C2302" s="5" t="str">
        <f ca="1">IFERROR(__xludf.DUMMYFUNCTION("""COMPUTED_VALUE"""),"القاهرة الجديدة")</f>
        <v>القاهرة الجديدة</v>
      </c>
      <c r="D2302" s="5" t="str">
        <f ca="1">IFERROR(__xludf.DUMMYFUNCTION("""COMPUTED_VALUE"""),"صيدلية")</f>
        <v>صيدلية</v>
      </c>
      <c r="E2302" s="5" t="str">
        <f ca="1">IFERROR(__xludf.DUMMYFUNCTION("""COMPUTED_VALUE"""),"صيدلية")</f>
        <v>صيدلية</v>
      </c>
      <c r="F2302" s="5" t="str">
        <f ca="1">IFERROR(__xludf.DUMMYFUNCTION("""COMPUTED_VALUE"""),"صيدلية (أدوية ومستلزمات طبية)")</f>
        <v>صيدلية (أدوية ومستلزمات طبية)</v>
      </c>
      <c r="G230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02" s="5" t="str">
        <f ca="1">IFERROR(__xludf.DUMMYFUNCTION("""COMPUTED_VALUE"""),"الدور الارضى -المول التجارى بمشروع ليلة كمبوند قطعه رقم 33 المستثمرين الشمالية-التجمع الاول-القاهرة الجديدة")</f>
        <v>الدور الارضى -المول التجارى بمشروع ليلة كمبوند قطعه رقم 33 المستثمرين الشمالية-التجمع الاول-القاهرة الجديدة</v>
      </c>
      <c r="I2302" s="6" t="str">
        <f ca="1">IFERROR(__xludf.DUMMYFUNCTION("""COMPUTED_VALUE"""),"01100268008")</f>
        <v>01100268008</v>
      </c>
      <c r="J2302" s="6" t="str">
        <f ca="1">IFERROR(__xludf.DUMMYFUNCTION("""COMPUTED_VALUE"""),"19600")</f>
        <v>19600</v>
      </c>
      <c r="K2302" s="6" t="str">
        <f ca="1">IFERROR(__xludf.DUMMYFUNCTION("""COMPUTED_VALUE"""),"7.5 % على المحلى ,5% على المستلزمات الطبية و التجميل")</f>
        <v>7.5 % على المحلى ,5% على المستلزمات الطبية و التجميل</v>
      </c>
    </row>
    <row r="2303" spans="1:11" x14ac:dyDescent="0.25">
      <c r="A2303" s="4" t="str">
        <f ca="1">IFERROR(__xludf.DUMMYFUNCTION("""COMPUTED_VALUE"""),"1683-B")</f>
        <v>1683-B</v>
      </c>
      <c r="B2303" s="5" t="str">
        <f ca="1">IFERROR(__xludf.DUMMYFUNCTION("""COMPUTED_VALUE"""),"القاهرة")</f>
        <v>القاهرة</v>
      </c>
      <c r="C2303" s="5" t="str">
        <f ca="1">IFERROR(__xludf.DUMMYFUNCTION("""COMPUTED_VALUE"""),"القاهرة الجديدة")</f>
        <v>القاهرة الجديدة</v>
      </c>
      <c r="D2303" s="5" t="str">
        <f ca="1">IFERROR(__xludf.DUMMYFUNCTION("""COMPUTED_VALUE"""),"صيدلية")</f>
        <v>صيدلية</v>
      </c>
      <c r="E2303" s="5" t="str">
        <f ca="1">IFERROR(__xludf.DUMMYFUNCTION("""COMPUTED_VALUE"""),"صيدلية")</f>
        <v>صيدلية</v>
      </c>
      <c r="F2303" s="5" t="str">
        <f ca="1">IFERROR(__xludf.DUMMYFUNCTION("""COMPUTED_VALUE"""),"صيدلية (أدوية ومستلزمات طبية)")</f>
        <v>صيدلية (أدوية ومستلزمات طبية)</v>
      </c>
      <c r="G230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03" s="5" t="str">
        <f ca="1">IFERROR(__xludf.DUMMYFUNCTION("""COMPUTED_VALUE"""),"وحدة رقم 15 قطعه رقم 10 مول سايد وول التجارى - منطقة اللوتس- محور بن زايد - القاهرة الجديدة - التجمع الخامس
")</f>
        <v xml:space="preserve">وحدة رقم 15 قطعه رقم 10 مول سايد وول التجارى - منطقة اللوتس- محور بن زايد - القاهرة الجديدة - التجمع الخامس
</v>
      </c>
      <c r="I2303" s="6" t="str">
        <f ca="1">IFERROR(__xludf.DUMMYFUNCTION("""COMPUTED_VALUE"""),"1103052276")</f>
        <v>1103052276</v>
      </c>
      <c r="J2303" s="6" t="str">
        <f ca="1">IFERROR(__xludf.DUMMYFUNCTION("""COMPUTED_VALUE"""),"19600")</f>
        <v>19600</v>
      </c>
      <c r="K2303" s="6" t="str">
        <f ca="1">IFERROR(__xludf.DUMMYFUNCTION("""COMPUTED_VALUE"""),"7.5 % على المحلى ,5% على المستلزمات الطبية و التجميل")</f>
        <v>7.5 % على المحلى ,5% على المستلزمات الطبية و التجميل</v>
      </c>
    </row>
    <row r="2304" spans="1:11" x14ac:dyDescent="0.25">
      <c r="A2304" s="4" t="str">
        <f ca="1">IFERROR(__xludf.DUMMYFUNCTION("""COMPUTED_VALUE"""),"1683-B")</f>
        <v>1683-B</v>
      </c>
      <c r="B2304" s="5" t="str">
        <f ca="1">IFERROR(__xludf.DUMMYFUNCTION("""COMPUTED_VALUE"""),"القاهرة")</f>
        <v>القاهرة</v>
      </c>
      <c r="C2304" s="5" t="str">
        <f ca="1">IFERROR(__xludf.DUMMYFUNCTION("""COMPUTED_VALUE"""),"المعادى")</f>
        <v>المعادى</v>
      </c>
      <c r="D2304" s="5" t="str">
        <f ca="1">IFERROR(__xludf.DUMMYFUNCTION("""COMPUTED_VALUE"""),"صيدلية")</f>
        <v>صيدلية</v>
      </c>
      <c r="E2304" s="5" t="str">
        <f ca="1">IFERROR(__xludf.DUMMYFUNCTION("""COMPUTED_VALUE"""),"صيدلية")</f>
        <v>صيدلية</v>
      </c>
      <c r="F2304" s="5" t="str">
        <f ca="1">IFERROR(__xludf.DUMMYFUNCTION("""COMPUTED_VALUE"""),"صيدلية (أدوية ومستلزمات طبية)")</f>
        <v>صيدلية (أدوية ومستلزمات طبية)</v>
      </c>
      <c r="G230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04" s="5" t="str">
        <f ca="1">IFERROR(__xludf.DUMMYFUNCTION("""COMPUTED_VALUE"""),"15 شارع لاسلكى -البساتين-المعادى 
")</f>
        <v xml:space="preserve">15 شارع لاسلكى -البساتين-المعادى 
</v>
      </c>
      <c r="I2304" s="6" t="str">
        <f ca="1">IFERROR(__xludf.DUMMYFUNCTION("""COMPUTED_VALUE"""),"1122230559")</f>
        <v>1122230559</v>
      </c>
      <c r="J2304" s="6" t="str">
        <f ca="1">IFERROR(__xludf.DUMMYFUNCTION("""COMPUTED_VALUE"""),"19600")</f>
        <v>19600</v>
      </c>
      <c r="K2304" s="6" t="str">
        <f ca="1">IFERROR(__xludf.DUMMYFUNCTION("""COMPUTED_VALUE"""),"7.5 % على المحلى ,5% على المستلزمات الطبية و التجميل")</f>
        <v>7.5 % على المحلى ,5% على المستلزمات الطبية و التجميل</v>
      </c>
    </row>
    <row r="2305" spans="1:11" x14ac:dyDescent="0.25">
      <c r="A2305" s="4" t="str">
        <f ca="1">IFERROR(__xludf.DUMMYFUNCTION("""COMPUTED_VALUE"""),"1683-B")</f>
        <v>1683-B</v>
      </c>
      <c r="B2305" s="5" t="str">
        <f ca="1">IFERROR(__xludf.DUMMYFUNCTION("""COMPUTED_VALUE"""),"القاهرة")</f>
        <v>القاهرة</v>
      </c>
      <c r="C2305" s="5" t="str">
        <f ca="1">IFERROR(__xludf.DUMMYFUNCTION("""COMPUTED_VALUE"""),"دار السلام")</f>
        <v>دار السلام</v>
      </c>
      <c r="D2305" s="5" t="str">
        <f ca="1">IFERROR(__xludf.DUMMYFUNCTION("""COMPUTED_VALUE"""),"صيدلية")</f>
        <v>صيدلية</v>
      </c>
      <c r="E2305" s="5" t="str">
        <f ca="1">IFERROR(__xludf.DUMMYFUNCTION("""COMPUTED_VALUE"""),"صيدلية")</f>
        <v>صيدلية</v>
      </c>
      <c r="F2305" s="5" t="str">
        <f ca="1">IFERROR(__xludf.DUMMYFUNCTION("""COMPUTED_VALUE"""),"صيدلية (أدوية ومستلزمات طبية)")</f>
        <v>صيدلية (أدوية ومستلزمات طبية)</v>
      </c>
      <c r="G230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05" s="5" t="str">
        <f ca="1">IFERROR(__xludf.DUMMYFUNCTION("""COMPUTED_VALUE"""),"183 ش احمد زكى- دار السلام- المعادى
")</f>
        <v xml:space="preserve">183 ش احمد زكى- دار السلام- المعادى
</v>
      </c>
      <c r="I2305" s="6" t="str">
        <f ca="1">IFERROR(__xludf.DUMMYFUNCTION("""COMPUTED_VALUE"""),"1124899085")</f>
        <v>1124899085</v>
      </c>
      <c r="J2305" s="6" t="str">
        <f ca="1">IFERROR(__xludf.DUMMYFUNCTION("""COMPUTED_VALUE"""),"19600")</f>
        <v>19600</v>
      </c>
      <c r="K2305" s="6" t="str">
        <f ca="1">IFERROR(__xludf.DUMMYFUNCTION("""COMPUTED_VALUE"""),"7.5 % على المحلى ,5% على المستلزمات الطبية و التجميل")</f>
        <v>7.5 % على المحلى ,5% على المستلزمات الطبية و التجميل</v>
      </c>
    </row>
    <row r="2306" spans="1:11" x14ac:dyDescent="0.25">
      <c r="A2306" s="4" t="str">
        <f ca="1">IFERROR(__xludf.DUMMYFUNCTION("""COMPUTED_VALUE"""),"1683-B")</f>
        <v>1683-B</v>
      </c>
      <c r="B2306" s="5" t="str">
        <f ca="1">IFERROR(__xludf.DUMMYFUNCTION("""COMPUTED_VALUE"""),"القاهرة")</f>
        <v>القاهرة</v>
      </c>
      <c r="C2306" s="5" t="str">
        <f ca="1">IFERROR(__xludf.DUMMYFUNCTION("""COMPUTED_VALUE"""),"المعادى")</f>
        <v>المعادى</v>
      </c>
      <c r="D2306" s="5" t="str">
        <f ca="1">IFERROR(__xludf.DUMMYFUNCTION("""COMPUTED_VALUE"""),"صيدلية")</f>
        <v>صيدلية</v>
      </c>
      <c r="E2306" s="5" t="str">
        <f ca="1">IFERROR(__xludf.DUMMYFUNCTION("""COMPUTED_VALUE"""),"صيدلية")</f>
        <v>صيدلية</v>
      </c>
      <c r="F2306" s="5" t="str">
        <f ca="1">IFERROR(__xludf.DUMMYFUNCTION("""COMPUTED_VALUE"""),"صيدلية (أدوية ومستلزمات طبية)")</f>
        <v>صيدلية (أدوية ومستلزمات طبية)</v>
      </c>
      <c r="G230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06" s="5" t="str">
        <f ca="1">IFERROR(__xludf.DUMMYFUNCTION("""COMPUTED_VALUE"""),"2 ابراج الجزيرة -المعادى -امام اكاديمية السادات
")</f>
        <v xml:space="preserve">2 ابراج الجزيرة -المعادى -امام اكاديمية السادات
</v>
      </c>
      <c r="I2306" s="6" t="str">
        <f ca="1">IFERROR(__xludf.DUMMYFUNCTION("""COMPUTED_VALUE"""),"1127771426")</f>
        <v>1127771426</v>
      </c>
      <c r="J2306" s="6" t="str">
        <f ca="1">IFERROR(__xludf.DUMMYFUNCTION("""COMPUTED_VALUE"""),"19600")</f>
        <v>19600</v>
      </c>
      <c r="K2306" s="6" t="str">
        <f ca="1">IFERROR(__xludf.DUMMYFUNCTION("""COMPUTED_VALUE"""),"7.5 % على المحلى ,5% على المستلزمات الطبية و التجميل")</f>
        <v>7.5 % على المحلى ,5% على المستلزمات الطبية و التجميل</v>
      </c>
    </row>
    <row r="2307" spans="1:11" x14ac:dyDescent="0.25">
      <c r="A2307" s="4" t="str">
        <f ca="1">IFERROR(__xludf.DUMMYFUNCTION("""COMPUTED_VALUE"""),"1683-B")</f>
        <v>1683-B</v>
      </c>
      <c r="B2307" s="5" t="str">
        <f ca="1">IFERROR(__xludf.DUMMYFUNCTION("""COMPUTED_VALUE"""),"القاهرة")</f>
        <v>القاهرة</v>
      </c>
      <c r="C2307" s="5" t="str">
        <f ca="1">IFERROR(__xludf.DUMMYFUNCTION("""COMPUTED_VALUE"""),"المعادى")</f>
        <v>المعادى</v>
      </c>
      <c r="D2307" s="5" t="str">
        <f ca="1">IFERROR(__xludf.DUMMYFUNCTION("""COMPUTED_VALUE"""),"صيدلية")</f>
        <v>صيدلية</v>
      </c>
      <c r="E2307" s="5" t="str">
        <f ca="1">IFERROR(__xludf.DUMMYFUNCTION("""COMPUTED_VALUE"""),"صيدلية")</f>
        <v>صيدلية</v>
      </c>
      <c r="F2307" s="5" t="str">
        <f ca="1">IFERROR(__xludf.DUMMYFUNCTION("""COMPUTED_VALUE"""),"صيدلية (أدوية ومستلزمات طبية)")</f>
        <v>صيدلية (أدوية ومستلزمات طبية)</v>
      </c>
      <c r="G230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07" s="5" t="str">
        <f ca="1">IFERROR(__xludf.DUMMYFUNCTION("""COMPUTED_VALUE"""),"88شارع 9-المعادى -القاهرة
")</f>
        <v xml:space="preserve">88شارع 9-المعادى -القاهرة
</v>
      </c>
      <c r="I2307" s="6" t="str">
        <f ca="1">IFERROR(__xludf.DUMMYFUNCTION("""COMPUTED_VALUE"""),"1100984185")</f>
        <v>1100984185</v>
      </c>
      <c r="J2307" s="6" t="str">
        <f ca="1">IFERROR(__xludf.DUMMYFUNCTION("""COMPUTED_VALUE"""),"19600")</f>
        <v>19600</v>
      </c>
      <c r="K2307" s="6" t="str">
        <f ca="1">IFERROR(__xludf.DUMMYFUNCTION("""COMPUTED_VALUE"""),"7.5 % على المحلى ,5% على المستلزمات الطبية و التجميل")</f>
        <v>7.5 % على المحلى ,5% على المستلزمات الطبية و التجميل</v>
      </c>
    </row>
    <row r="2308" spans="1:11" x14ac:dyDescent="0.25">
      <c r="A2308" s="4" t="str">
        <f ca="1">IFERROR(__xludf.DUMMYFUNCTION("""COMPUTED_VALUE"""),"1683-B")</f>
        <v>1683-B</v>
      </c>
      <c r="B2308" s="5" t="str">
        <f ca="1">IFERROR(__xludf.DUMMYFUNCTION("""COMPUTED_VALUE"""),"القاهرة")</f>
        <v>القاهرة</v>
      </c>
      <c r="C2308" s="5" t="str">
        <f ca="1">IFERROR(__xludf.DUMMYFUNCTION("""COMPUTED_VALUE"""),"المعادى")</f>
        <v>المعادى</v>
      </c>
      <c r="D2308" s="5" t="str">
        <f ca="1">IFERROR(__xludf.DUMMYFUNCTION("""COMPUTED_VALUE"""),"صيدلية")</f>
        <v>صيدلية</v>
      </c>
      <c r="E2308" s="5" t="str">
        <f ca="1">IFERROR(__xludf.DUMMYFUNCTION("""COMPUTED_VALUE"""),"صيدلية")</f>
        <v>صيدلية</v>
      </c>
      <c r="F2308" s="5" t="str">
        <f ca="1">IFERROR(__xludf.DUMMYFUNCTION("""COMPUTED_VALUE"""),"صيدلية (أدوية ومستلزمات طبية)")</f>
        <v>صيدلية (أدوية ومستلزمات طبية)</v>
      </c>
      <c r="G230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08" s="5" t="str">
        <f ca="1">IFERROR(__xludf.DUMMYFUNCTION("""COMPUTED_VALUE"""),"ا ش 255-256-257-محل 5 -المعادى الجديدة-امام جراند مول
")</f>
        <v xml:space="preserve">ا ش 255-256-257-محل 5 -المعادى الجديدة-امام جراند مول
</v>
      </c>
      <c r="I2308" s="6" t="str">
        <f ca="1">IFERROR(__xludf.DUMMYFUNCTION("""COMPUTED_VALUE"""),"1117096611")</f>
        <v>1117096611</v>
      </c>
      <c r="J2308" s="6" t="str">
        <f ca="1">IFERROR(__xludf.DUMMYFUNCTION("""COMPUTED_VALUE"""),"19600")</f>
        <v>19600</v>
      </c>
      <c r="K2308" s="6" t="str">
        <f ca="1">IFERROR(__xludf.DUMMYFUNCTION("""COMPUTED_VALUE"""),"7.5 % على المحلى ,5% على المستلزمات الطبية و التجميل")</f>
        <v>7.5 % على المحلى ,5% على المستلزمات الطبية و التجميل</v>
      </c>
    </row>
    <row r="2309" spans="1:11" x14ac:dyDescent="0.25">
      <c r="A2309" s="4" t="str">
        <f ca="1">IFERROR(__xludf.DUMMYFUNCTION("""COMPUTED_VALUE"""),"1683-B")</f>
        <v>1683-B</v>
      </c>
      <c r="B2309" s="5" t="str">
        <f ca="1">IFERROR(__xludf.DUMMYFUNCTION("""COMPUTED_VALUE"""),"القاهرة")</f>
        <v>القاهرة</v>
      </c>
      <c r="C2309" s="5" t="str">
        <f ca="1">IFERROR(__xludf.DUMMYFUNCTION("""COMPUTED_VALUE"""),"المقطم")</f>
        <v>المقطم</v>
      </c>
      <c r="D2309" s="5" t="str">
        <f ca="1">IFERROR(__xludf.DUMMYFUNCTION("""COMPUTED_VALUE"""),"صيدلية")</f>
        <v>صيدلية</v>
      </c>
      <c r="E2309" s="5" t="str">
        <f ca="1">IFERROR(__xludf.DUMMYFUNCTION("""COMPUTED_VALUE"""),"صيدلية")</f>
        <v>صيدلية</v>
      </c>
      <c r="F2309" s="5" t="str">
        <f ca="1">IFERROR(__xludf.DUMMYFUNCTION("""COMPUTED_VALUE"""),"صيدلية (أدوية ومستلزمات طبية)")</f>
        <v>صيدلية (أدوية ومستلزمات طبية)</v>
      </c>
      <c r="G230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09" s="5" t="str">
        <f ca="1">IFERROR(__xludf.DUMMYFUNCTION("""COMPUTED_VALUE"""),"""المقطم ش 9  - قطعة 9123 - محل رقم 1 عمارة 108 - الهضبة العليا
")</f>
        <v xml:space="preserve">"المقطم ش 9  - قطعة 9123 - محل رقم 1 عمارة 108 - الهضبة العليا
</v>
      </c>
      <c r="I2309" s="6" t="str">
        <f ca="1">IFERROR(__xludf.DUMMYFUNCTION("""COMPUTED_VALUE"""),"1063707242")</f>
        <v>1063707242</v>
      </c>
      <c r="J2309" s="6" t="str">
        <f ca="1">IFERROR(__xludf.DUMMYFUNCTION("""COMPUTED_VALUE"""),"19600")</f>
        <v>19600</v>
      </c>
      <c r="K2309" s="6" t="str">
        <f ca="1">IFERROR(__xludf.DUMMYFUNCTION("""COMPUTED_VALUE"""),"7.5 % على المحلى ,5% على المستلزمات الطبية و التجميل")</f>
        <v>7.5 % على المحلى ,5% على المستلزمات الطبية و التجميل</v>
      </c>
    </row>
    <row r="2310" spans="1:11" x14ac:dyDescent="0.25">
      <c r="A2310" s="4" t="str">
        <f ca="1">IFERROR(__xludf.DUMMYFUNCTION("""COMPUTED_VALUE"""),"1683-B")</f>
        <v>1683-B</v>
      </c>
      <c r="B2310" s="5" t="str">
        <f ca="1">IFERROR(__xludf.DUMMYFUNCTION("""COMPUTED_VALUE"""),"القاهرة")</f>
        <v>القاهرة</v>
      </c>
      <c r="C2310" s="5" t="str">
        <f ca="1">IFERROR(__xludf.DUMMYFUNCTION("""COMPUTED_VALUE"""),"المقطم")</f>
        <v>المقطم</v>
      </c>
      <c r="D2310" s="5" t="str">
        <f ca="1">IFERROR(__xludf.DUMMYFUNCTION("""COMPUTED_VALUE"""),"صيدلية")</f>
        <v>صيدلية</v>
      </c>
      <c r="E2310" s="5" t="str">
        <f ca="1">IFERROR(__xludf.DUMMYFUNCTION("""COMPUTED_VALUE"""),"صيدلية")</f>
        <v>صيدلية</v>
      </c>
      <c r="F2310" s="5" t="str">
        <f ca="1">IFERROR(__xludf.DUMMYFUNCTION("""COMPUTED_VALUE"""),"صيدلية (أدوية ومستلزمات طبية)")</f>
        <v>صيدلية (أدوية ومستلزمات طبية)</v>
      </c>
      <c r="G231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10" s="5" t="str">
        <f ca="1">IFERROR(__xludf.DUMMYFUNCTION("""COMPUTED_VALUE"""),"قطعه رقم 74-ميدان النافورة-رقم 5 المقطم-الهضبة العليا
")</f>
        <v xml:space="preserve">قطعه رقم 74-ميدان النافورة-رقم 5 المقطم-الهضبة العليا
</v>
      </c>
      <c r="I2310" s="6" t="str">
        <f ca="1">IFERROR(__xludf.DUMMYFUNCTION("""COMPUTED_VALUE"""),"1158682891")</f>
        <v>1158682891</v>
      </c>
      <c r="J2310" s="6" t="str">
        <f ca="1">IFERROR(__xludf.DUMMYFUNCTION("""COMPUTED_VALUE"""),"19600")</f>
        <v>19600</v>
      </c>
      <c r="K2310" s="6" t="str">
        <f ca="1">IFERROR(__xludf.DUMMYFUNCTION("""COMPUTED_VALUE"""),"7.5 % على المحلى ,5% على المستلزمات الطبية و التجميل")</f>
        <v>7.5 % على المحلى ,5% على المستلزمات الطبية و التجميل</v>
      </c>
    </row>
    <row r="2311" spans="1:11" x14ac:dyDescent="0.25">
      <c r="A2311" s="4" t="str">
        <f ca="1">IFERROR(__xludf.DUMMYFUNCTION("""COMPUTED_VALUE"""),"1683-B")</f>
        <v>1683-B</v>
      </c>
      <c r="B2311" s="5" t="str">
        <f ca="1">IFERROR(__xludf.DUMMYFUNCTION("""COMPUTED_VALUE"""),"القاهرة")</f>
        <v>القاهرة</v>
      </c>
      <c r="C2311" s="5" t="str">
        <f ca="1">IFERROR(__xludf.DUMMYFUNCTION("""COMPUTED_VALUE"""),"حدائق القبة")</f>
        <v>حدائق القبة</v>
      </c>
      <c r="D2311" s="5" t="str">
        <f ca="1">IFERROR(__xludf.DUMMYFUNCTION("""COMPUTED_VALUE"""),"صيدلية")</f>
        <v>صيدلية</v>
      </c>
      <c r="E2311" s="5" t="str">
        <f ca="1">IFERROR(__xludf.DUMMYFUNCTION("""COMPUTED_VALUE"""),"صيدلية")</f>
        <v>صيدلية</v>
      </c>
      <c r="F2311" s="5" t="str">
        <f ca="1">IFERROR(__xludf.DUMMYFUNCTION("""COMPUTED_VALUE"""),"صيدلية (أدوية ومستلزمات طبية)")</f>
        <v>صيدلية (أدوية ومستلزمات طبية)</v>
      </c>
      <c r="G231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11" s="5" t="str">
        <f ca="1">IFERROR(__xludf.DUMMYFUNCTION("""COMPUTED_VALUE"""),"146 ش مصر والسودان - حدائق القبة
")</f>
        <v xml:space="preserve">146 ش مصر والسودان - حدائق القبة
</v>
      </c>
      <c r="I2311" s="6" t="str">
        <f ca="1">IFERROR(__xludf.DUMMYFUNCTION("""COMPUTED_VALUE"""),"1157950349")</f>
        <v>1157950349</v>
      </c>
      <c r="J2311" s="6" t="str">
        <f ca="1">IFERROR(__xludf.DUMMYFUNCTION("""COMPUTED_VALUE"""),"19600")</f>
        <v>19600</v>
      </c>
      <c r="K2311" s="6" t="str">
        <f ca="1">IFERROR(__xludf.DUMMYFUNCTION("""COMPUTED_VALUE"""),"7.5 % على المحلى ,5% على المستلزمات الطبية و التجميل")</f>
        <v>7.5 % على المحلى ,5% على المستلزمات الطبية و التجميل</v>
      </c>
    </row>
    <row r="2312" spans="1:11" x14ac:dyDescent="0.25">
      <c r="A2312" s="4" t="str">
        <f ca="1">IFERROR(__xludf.DUMMYFUNCTION("""COMPUTED_VALUE"""),"1683-B")</f>
        <v>1683-B</v>
      </c>
      <c r="B2312" s="5" t="str">
        <f ca="1">IFERROR(__xludf.DUMMYFUNCTION("""COMPUTED_VALUE"""),"القاهرة")</f>
        <v>القاهرة</v>
      </c>
      <c r="C2312" s="5" t="str">
        <f ca="1">IFERROR(__xludf.DUMMYFUNCTION("""COMPUTED_VALUE"""),"حلوان")</f>
        <v>حلوان</v>
      </c>
      <c r="D2312" s="5" t="str">
        <f ca="1">IFERROR(__xludf.DUMMYFUNCTION("""COMPUTED_VALUE"""),"صيدلية")</f>
        <v>صيدلية</v>
      </c>
      <c r="E2312" s="5" t="str">
        <f ca="1">IFERROR(__xludf.DUMMYFUNCTION("""COMPUTED_VALUE"""),"صيدلية")</f>
        <v>صيدلية</v>
      </c>
      <c r="F2312" s="5" t="str">
        <f ca="1">IFERROR(__xludf.DUMMYFUNCTION("""COMPUTED_VALUE"""),"صيدلية (أدوية ومستلزمات طبية)")</f>
        <v>صيدلية (أدوية ومستلزمات طبية)</v>
      </c>
      <c r="G231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12" s="5" t="str">
        <f ca="1">IFERROR(__xludf.DUMMYFUNCTION("""COMPUTED_VALUE"""),"""172شارع محمد عبدالمنعم- تقاطع شارع رايل-برج الاسكندرية -حلوان
")</f>
        <v xml:space="preserve">"172شارع محمد عبدالمنعم- تقاطع شارع رايل-برج الاسكندرية -حلوان
</v>
      </c>
      <c r="I2312" s="6" t="str">
        <f ca="1">IFERROR(__xludf.DUMMYFUNCTION("""COMPUTED_VALUE"""),"01552482721")</f>
        <v>01552482721</v>
      </c>
      <c r="J2312" s="6" t="str">
        <f ca="1">IFERROR(__xludf.DUMMYFUNCTION("""COMPUTED_VALUE"""),"19600")</f>
        <v>19600</v>
      </c>
      <c r="K2312" s="6" t="str">
        <f ca="1">IFERROR(__xludf.DUMMYFUNCTION("""COMPUTED_VALUE"""),"7.5 % على المحلى ,5% على المستلزمات الطبية و التجميل")</f>
        <v>7.5 % على المحلى ,5% على المستلزمات الطبية و التجميل</v>
      </c>
    </row>
    <row r="2313" spans="1:11" x14ac:dyDescent="0.25">
      <c r="A2313" s="4" t="str">
        <f ca="1">IFERROR(__xludf.DUMMYFUNCTION("""COMPUTED_VALUE"""),"1683-B")</f>
        <v>1683-B</v>
      </c>
      <c r="B2313" s="5" t="str">
        <f ca="1">IFERROR(__xludf.DUMMYFUNCTION("""COMPUTED_VALUE"""),"القاهرة")</f>
        <v>القاهرة</v>
      </c>
      <c r="C2313" s="5" t="str">
        <f ca="1">IFERROR(__xludf.DUMMYFUNCTION("""COMPUTED_VALUE"""),"حلوان")</f>
        <v>حلوان</v>
      </c>
      <c r="D2313" s="5" t="str">
        <f ca="1">IFERROR(__xludf.DUMMYFUNCTION("""COMPUTED_VALUE"""),"صيدلية")</f>
        <v>صيدلية</v>
      </c>
      <c r="E2313" s="5" t="str">
        <f ca="1">IFERROR(__xludf.DUMMYFUNCTION("""COMPUTED_VALUE"""),"صيدلية")</f>
        <v>صيدلية</v>
      </c>
      <c r="F2313" s="5" t="str">
        <f ca="1">IFERROR(__xludf.DUMMYFUNCTION("""COMPUTED_VALUE"""),"صيدلية (أدوية ومستلزمات طبية)")</f>
        <v>صيدلية (أدوية ومستلزمات طبية)</v>
      </c>
      <c r="G231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13" s="5" t="str">
        <f ca="1">IFERROR(__xludf.DUMMYFUNCTION("""COMPUTED_VALUE"""),"29شارع محمد سيد احمد -حلوان
")</f>
        <v xml:space="preserve">29شارع محمد سيد احمد -حلوان
</v>
      </c>
      <c r="I2313" s="6" t="str">
        <f ca="1">IFERROR(__xludf.DUMMYFUNCTION("""COMPUTED_VALUE"""),"1128444853")</f>
        <v>1128444853</v>
      </c>
      <c r="J2313" s="6" t="str">
        <f ca="1">IFERROR(__xludf.DUMMYFUNCTION("""COMPUTED_VALUE"""),"19600")</f>
        <v>19600</v>
      </c>
      <c r="K2313" s="6" t="str">
        <f ca="1">IFERROR(__xludf.DUMMYFUNCTION("""COMPUTED_VALUE"""),"7.5 % على المحلى ,5% على المستلزمات الطبية و التجميل")</f>
        <v>7.5 % على المحلى ,5% على المستلزمات الطبية و التجميل</v>
      </c>
    </row>
    <row r="2314" spans="1:11" x14ac:dyDescent="0.25">
      <c r="A2314" s="4" t="str">
        <f ca="1">IFERROR(__xludf.DUMMYFUNCTION("""COMPUTED_VALUE"""),"1683-B")</f>
        <v>1683-B</v>
      </c>
      <c r="B2314" s="5" t="str">
        <f ca="1">IFERROR(__xludf.DUMMYFUNCTION("""COMPUTED_VALUE"""),"القاهرة")</f>
        <v>القاهرة</v>
      </c>
      <c r="C2314" s="5" t="str">
        <f ca="1">IFERROR(__xludf.DUMMYFUNCTION("""COMPUTED_VALUE"""),"حلوان")</f>
        <v>حلوان</v>
      </c>
      <c r="D2314" s="5" t="str">
        <f ca="1">IFERROR(__xludf.DUMMYFUNCTION("""COMPUTED_VALUE"""),"صيدلية")</f>
        <v>صيدلية</v>
      </c>
      <c r="E2314" s="5" t="str">
        <f ca="1">IFERROR(__xludf.DUMMYFUNCTION("""COMPUTED_VALUE"""),"صيدلية")</f>
        <v>صيدلية</v>
      </c>
      <c r="F2314" s="5" t="str">
        <f ca="1">IFERROR(__xludf.DUMMYFUNCTION("""COMPUTED_VALUE"""),"صيدلية (أدوية ومستلزمات طبية)")</f>
        <v>صيدلية (أدوية ومستلزمات طبية)</v>
      </c>
      <c r="G231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14" s="5" t="str">
        <f ca="1">IFERROR(__xludf.DUMMYFUNCTION("""COMPUTED_VALUE"""),"محل رقم 22عمارات البنك المصرى الخليجى-عمارات السعودية-كورنيش النيل-حلوان
")</f>
        <v xml:space="preserve">محل رقم 22عمارات البنك المصرى الخليجى-عمارات السعودية-كورنيش النيل-حلوان
</v>
      </c>
      <c r="I2314" s="6" t="str">
        <f ca="1">IFERROR(__xludf.DUMMYFUNCTION("""COMPUTED_VALUE"""),"1100380487")</f>
        <v>1100380487</v>
      </c>
      <c r="J2314" s="6" t="str">
        <f ca="1">IFERROR(__xludf.DUMMYFUNCTION("""COMPUTED_VALUE"""),"19600")</f>
        <v>19600</v>
      </c>
      <c r="K2314" s="6" t="str">
        <f ca="1">IFERROR(__xludf.DUMMYFUNCTION("""COMPUTED_VALUE"""),"7.5 % على المحلى ,5% على المستلزمات الطبية و التجميل")</f>
        <v>7.5 % على المحلى ,5% على المستلزمات الطبية و التجميل</v>
      </c>
    </row>
    <row r="2315" spans="1:11" x14ac:dyDescent="0.25">
      <c r="A2315" s="4" t="str">
        <f ca="1">IFERROR(__xludf.DUMMYFUNCTION("""COMPUTED_VALUE"""),"1683-B")</f>
        <v>1683-B</v>
      </c>
      <c r="B2315" s="5" t="str">
        <f ca="1">IFERROR(__xludf.DUMMYFUNCTION("""COMPUTED_VALUE"""),"القاهرة")</f>
        <v>القاهرة</v>
      </c>
      <c r="C2315" s="5" t="str">
        <f ca="1">IFERROR(__xludf.DUMMYFUNCTION("""COMPUTED_VALUE"""),"عين شمس")</f>
        <v>عين شمس</v>
      </c>
      <c r="D2315" s="5" t="str">
        <f ca="1">IFERROR(__xludf.DUMMYFUNCTION("""COMPUTED_VALUE"""),"صيدلية")</f>
        <v>صيدلية</v>
      </c>
      <c r="E2315" s="5" t="str">
        <f ca="1">IFERROR(__xludf.DUMMYFUNCTION("""COMPUTED_VALUE"""),"صيدلية")</f>
        <v>صيدلية</v>
      </c>
      <c r="F2315" s="5" t="str">
        <f ca="1">IFERROR(__xludf.DUMMYFUNCTION("""COMPUTED_VALUE"""),"صيدلية (أدوية ومستلزمات طبية)")</f>
        <v>صيدلية (أدوية ومستلزمات طبية)</v>
      </c>
      <c r="G231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15" s="5" t="str">
        <f ca="1">IFERROR(__xludf.DUMMYFUNCTION("""COMPUTED_VALUE"""),"242شارع الشهيد احمد عصمت- محل رقم 1  تقاطع احمد عصمت مع جسر السويس -عين شمس  
")</f>
        <v xml:space="preserve">242شارع الشهيد احمد عصمت- محل رقم 1  تقاطع احمد عصمت مع جسر السويس -عين شمس  
</v>
      </c>
      <c r="I2315" s="6" t="str">
        <f ca="1">IFERROR(__xludf.DUMMYFUNCTION("""COMPUTED_VALUE"""),"1122241554")</f>
        <v>1122241554</v>
      </c>
      <c r="J2315" s="6" t="str">
        <f ca="1">IFERROR(__xludf.DUMMYFUNCTION("""COMPUTED_VALUE"""),"19600")</f>
        <v>19600</v>
      </c>
      <c r="K2315" s="6" t="str">
        <f ca="1">IFERROR(__xludf.DUMMYFUNCTION("""COMPUTED_VALUE"""),"7.5 % على المحلى ,5% على المستلزمات الطبية و التجميل")</f>
        <v>7.5 % على المحلى ,5% على المستلزمات الطبية و التجميل</v>
      </c>
    </row>
    <row r="2316" spans="1:11" x14ac:dyDescent="0.25">
      <c r="A2316" s="4" t="str">
        <f ca="1">IFERROR(__xludf.DUMMYFUNCTION("""COMPUTED_VALUE"""),"1683-B")</f>
        <v>1683-B</v>
      </c>
      <c r="B2316" s="5" t="str">
        <f ca="1">IFERROR(__xludf.DUMMYFUNCTION("""COMPUTED_VALUE"""),"القاهرة")</f>
        <v>القاهرة</v>
      </c>
      <c r="C2316" s="5" t="str">
        <f ca="1">IFERROR(__xludf.DUMMYFUNCTION("""COMPUTED_VALUE"""),"مدينة الشروق")</f>
        <v>مدينة الشروق</v>
      </c>
      <c r="D2316" s="5" t="str">
        <f ca="1">IFERROR(__xludf.DUMMYFUNCTION("""COMPUTED_VALUE"""),"صيدلية")</f>
        <v>صيدلية</v>
      </c>
      <c r="E2316" s="5" t="str">
        <f ca="1">IFERROR(__xludf.DUMMYFUNCTION("""COMPUTED_VALUE"""),"صيدلية")</f>
        <v>صيدلية</v>
      </c>
      <c r="F2316" s="5" t="str">
        <f ca="1">IFERROR(__xludf.DUMMYFUNCTION("""COMPUTED_VALUE"""),"صيدلية (أدوية ومستلزمات طبية)")</f>
        <v>صيدلية (أدوية ومستلزمات طبية)</v>
      </c>
      <c r="G231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16" s="5" t="str">
        <f ca="1">IFERROR(__xludf.DUMMYFUNCTION("""COMPUTED_VALUE"""),"قطعه 3-مركز خدمات الحى التاسع -محل من 5:1 مدينة الشروق
")</f>
        <v xml:space="preserve">قطعه 3-مركز خدمات الحى التاسع -محل من 5:1 مدينة الشروق
</v>
      </c>
      <c r="I2316" s="6" t="str">
        <f ca="1">IFERROR(__xludf.DUMMYFUNCTION("""COMPUTED_VALUE"""),"01120011539")</f>
        <v>01120011539</v>
      </c>
      <c r="J2316" s="6" t="str">
        <f ca="1">IFERROR(__xludf.DUMMYFUNCTION("""COMPUTED_VALUE"""),"19600")</f>
        <v>19600</v>
      </c>
      <c r="K2316" s="6" t="str">
        <f ca="1">IFERROR(__xludf.DUMMYFUNCTION("""COMPUTED_VALUE"""),"7.5 % على المحلى ,5% على المستلزمات الطبية و التجميل")</f>
        <v>7.5 % على المحلى ,5% على المستلزمات الطبية و التجميل</v>
      </c>
    </row>
    <row r="2317" spans="1:11" x14ac:dyDescent="0.25">
      <c r="A2317" s="4" t="str">
        <f ca="1">IFERROR(__xludf.DUMMYFUNCTION("""COMPUTED_VALUE"""),"1683-B")</f>
        <v>1683-B</v>
      </c>
      <c r="B2317" s="5" t="str">
        <f ca="1">IFERROR(__xludf.DUMMYFUNCTION("""COMPUTED_VALUE"""),"القاهرة")</f>
        <v>القاهرة</v>
      </c>
      <c r="C2317" s="5" t="str">
        <f ca="1">IFERROR(__xludf.DUMMYFUNCTION("""COMPUTED_VALUE"""),"مدينة الشروق")</f>
        <v>مدينة الشروق</v>
      </c>
      <c r="D2317" s="5" t="str">
        <f ca="1">IFERROR(__xludf.DUMMYFUNCTION("""COMPUTED_VALUE"""),"صيدلية")</f>
        <v>صيدلية</v>
      </c>
      <c r="E2317" s="5" t="str">
        <f ca="1">IFERROR(__xludf.DUMMYFUNCTION("""COMPUTED_VALUE"""),"صيدلية")</f>
        <v>صيدلية</v>
      </c>
      <c r="F2317" s="5" t="str">
        <f ca="1">IFERROR(__xludf.DUMMYFUNCTION("""COMPUTED_VALUE"""),"صيدلية (أدوية ومستلزمات طبية)")</f>
        <v>صيدلية (أدوية ومستلزمات طبية)</v>
      </c>
      <c r="G231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17" s="5" t="str">
        <f ca="1">IFERROR(__xludf.DUMMYFUNCTION("""COMPUTED_VALUE"""),"""محل رقم G02 الشروق-بجوار دار مصر -مول تون سنتر -مركز المدينة 2(الشروق)
")</f>
        <v xml:space="preserve">"محل رقم G02 الشروق-بجوار دار مصر -مول تون سنتر -مركز المدينة 2(الشروق)
</v>
      </c>
      <c r="I2317" s="6" t="str">
        <f ca="1">IFERROR(__xludf.DUMMYFUNCTION("""COMPUTED_VALUE"""),"01153623898")</f>
        <v>01153623898</v>
      </c>
      <c r="J2317" s="6" t="str">
        <f ca="1">IFERROR(__xludf.DUMMYFUNCTION("""COMPUTED_VALUE"""),"19600")</f>
        <v>19600</v>
      </c>
      <c r="K2317" s="6" t="str">
        <f ca="1">IFERROR(__xludf.DUMMYFUNCTION("""COMPUTED_VALUE"""),"7.5 % على المحلى ,5% على المستلزمات الطبية و التجميل")</f>
        <v>7.5 % على المحلى ,5% على المستلزمات الطبية و التجميل</v>
      </c>
    </row>
    <row r="2318" spans="1:11" x14ac:dyDescent="0.25">
      <c r="A2318" s="4" t="str">
        <f ca="1">IFERROR(__xludf.DUMMYFUNCTION("""COMPUTED_VALUE"""),"1683-B")</f>
        <v>1683-B</v>
      </c>
      <c r="B2318" s="5" t="str">
        <f ca="1">IFERROR(__xludf.DUMMYFUNCTION("""COMPUTED_VALUE"""),"القاهرة")</f>
        <v>القاهرة</v>
      </c>
      <c r="C2318" s="5" t="str">
        <f ca="1">IFERROR(__xludf.DUMMYFUNCTION("""COMPUTED_VALUE"""),"مدينة نصر")</f>
        <v>مدينة نصر</v>
      </c>
      <c r="D2318" s="5" t="str">
        <f ca="1">IFERROR(__xludf.DUMMYFUNCTION("""COMPUTED_VALUE"""),"صيدلية")</f>
        <v>صيدلية</v>
      </c>
      <c r="E2318" s="5" t="str">
        <f ca="1">IFERROR(__xludf.DUMMYFUNCTION("""COMPUTED_VALUE"""),"صيدلية")</f>
        <v>صيدلية</v>
      </c>
      <c r="F2318" s="5" t="str">
        <f ca="1">IFERROR(__xludf.DUMMYFUNCTION("""COMPUTED_VALUE"""),"صيدلية (أدوية ومستلزمات طبية)")</f>
        <v>صيدلية (أدوية ومستلزمات طبية)</v>
      </c>
      <c r="G231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18" s="5" t="str">
        <f ca="1">IFERROR(__xludf.DUMMYFUNCTION("""COMPUTED_VALUE"""),"سيتى ستارز5
مول سيتى ستارز مدخل 5 الدور الارضى محل R1 - مدينة نصر")</f>
        <v>سيتى ستارز5
مول سيتى ستارز مدخل 5 الدور الارضى محل R1 - مدينة نصر</v>
      </c>
      <c r="I2318" s="6" t="str">
        <f ca="1">IFERROR(__xludf.DUMMYFUNCTION("""COMPUTED_VALUE"""),"01113931931")</f>
        <v>01113931931</v>
      </c>
      <c r="J2318" s="6" t="str">
        <f ca="1">IFERROR(__xludf.DUMMYFUNCTION("""COMPUTED_VALUE"""),"19600")</f>
        <v>19600</v>
      </c>
      <c r="K2318" s="6" t="str">
        <f ca="1">IFERROR(__xludf.DUMMYFUNCTION("""COMPUTED_VALUE"""),"7.5 % على المحلى ,5% على المستلزمات الطبية و التجميل")</f>
        <v>7.5 % على المحلى ,5% على المستلزمات الطبية و التجميل</v>
      </c>
    </row>
    <row r="2319" spans="1:11" x14ac:dyDescent="0.25">
      <c r="A2319" s="4" t="str">
        <f ca="1">IFERROR(__xludf.DUMMYFUNCTION("""COMPUTED_VALUE"""),"1683-B")</f>
        <v>1683-B</v>
      </c>
      <c r="B2319" s="5" t="str">
        <f ca="1">IFERROR(__xludf.DUMMYFUNCTION("""COMPUTED_VALUE"""),"القاهرة")</f>
        <v>القاهرة</v>
      </c>
      <c r="C2319" s="5" t="str">
        <f ca="1">IFERROR(__xludf.DUMMYFUNCTION("""COMPUTED_VALUE"""),"مدينة نصر")</f>
        <v>مدينة نصر</v>
      </c>
      <c r="D2319" s="5" t="str">
        <f ca="1">IFERROR(__xludf.DUMMYFUNCTION("""COMPUTED_VALUE"""),"صيدلية")</f>
        <v>صيدلية</v>
      </c>
      <c r="E2319" s="5" t="str">
        <f ca="1">IFERROR(__xludf.DUMMYFUNCTION("""COMPUTED_VALUE"""),"صيدلية")</f>
        <v>صيدلية</v>
      </c>
      <c r="F2319" s="5" t="str">
        <f ca="1">IFERROR(__xludf.DUMMYFUNCTION("""COMPUTED_VALUE"""),"صيدلية (أدوية ومستلزمات طبية)")</f>
        <v>صيدلية (أدوية ومستلزمات طبية)</v>
      </c>
      <c r="G231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19" s="5" t="str">
        <f ca="1">IFERROR(__xludf.DUMMYFUNCTION("""COMPUTED_VALUE"""),"119شارع مصطفى النحاس –المنطقة الثامنه -مدينة نصر اول-القاهرة
")</f>
        <v xml:space="preserve">119شارع مصطفى النحاس –المنطقة الثامنه -مدينة نصر اول-القاهرة
</v>
      </c>
      <c r="I2319" s="6" t="str">
        <f ca="1">IFERROR(__xludf.DUMMYFUNCTION("""COMPUTED_VALUE"""),"1142771709")</f>
        <v>1142771709</v>
      </c>
      <c r="J2319" s="6" t="str">
        <f ca="1">IFERROR(__xludf.DUMMYFUNCTION("""COMPUTED_VALUE"""),"19600")</f>
        <v>19600</v>
      </c>
      <c r="K2319" s="6" t="str">
        <f ca="1">IFERROR(__xludf.DUMMYFUNCTION("""COMPUTED_VALUE"""),"7.5 % على المحلى ,5% على المستلزمات الطبية و التجميل")</f>
        <v>7.5 % على المحلى ,5% على المستلزمات الطبية و التجميل</v>
      </c>
    </row>
    <row r="2320" spans="1:11" x14ac:dyDescent="0.25">
      <c r="A2320" s="4" t="str">
        <f ca="1">IFERROR(__xludf.DUMMYFUNCTION("""COMPUTED_VALUE"""),"1683-B")</f>
        <v>1683-B</v>
      </c>
      <c r="B2320" s="5" t="str">
        <f ca="1">IFERROR(__xludf.DUMMYFUNCTION("""COMPUTED_VALUE"""),"القاهرة")</f>
        <v>القاهرة</v>
      </c>
      <c r="C2320" s="5" t="str">
        <f ca="1">IFERROR(__xludf.DUMMYFUNCTION("""COMPUTED_VALUE"""),"مدينة نصر")</f>
        <v>مدينة نصر</v>
      </c>
      <c r="D2320" s="5" t="str">
        <f ca="1">IFERROR(__xludf.DUMMYFUNCTION("""COMPUTED_VALUE"""),"صيدلية")</f>
        <v>صيدلية</v>
      </c>
      <c r="E2320" s="5" t="str">
        <f ca="1">IFERROR(__xludf.DUMMYFUNCTION("""COMPUTED_VALUE"""),"صيدلية")</f>
        <v>صيدلية</v>
      </c>
      <c r="F2320" s="5" t="str">
        <f ca="1">IFERROR(__xludf.DUMMYFUNCTION("""COMPUTED_VALUE"""),"صيدلية (أدوية ومستلزمات طبية)")</f>
        <v>صيدلية (أدوية ومستلزمات طبية)</v>
      </c>
      <c r="G232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20" s="5" t="str">
        <f ca="1">IFERROR(__xludf.DUMMYFUNCTION("""COMPUTED_VALUE"""),"رقم 1048 شارع العيادة -محل رقم 1 -زهراء مدينة نصر- مدينة نصر القاهره 
")</f>
        <v xml:space="preserve">رقم 1048 شارع العيادة -محل رقم 1 -زهراء مدينة نصر- مدينة نصر القاهره 
</v>
      </c>
      <c r="I2320" s="6" t="str">
        <f ca="1">IFERROR(__xludf.DUMMYFUNCTION("""COMPUTED_VALUE"""),"01012410281")</f>
        <v>01012410281</v>
      </c>
      <c r="J2320" s="6" t="str">
        <f ca="1">IFERROR(__xludf.DUMMYFUNCTION("""COMPUTED_VALUE"""),"19600")</f>
        <v>19600</v>
      </c>
      <c r="K2320" s="6" t="str">
        <f ca="1">IFERROR(__xludf.DUMMYFUNCTION("""COMPUTED_VALUE"""),"7.5 % على المحلى ,5% على المستلزمات الطبية و التجميل")</f>
        <v>7.5 % على المحلى ,5% على المستلزمات الطبية و التجميل</v>
      </c>
    </row>
    <row r="2321" spans="1:11" x14ac:dyDescent="0.25">
      <c r="A2321" s="4" t="str">
        <f ca="1">IFERROR(__xludf.DUMMYFUNCTION("""COMPUTED_VALUE"""),"1683-B")</f>
        <v>1683-B</v>
      </c>
      <c r="B2321" s="5" t="str">
        <f ca="1">IFERROR(__xludf.DUMMYFUNCTION("""COMPUTED_VALUE"""),"القاهرة")</f>
        <v>القاهرة</v>
      </c>
      <c r="C2321" s="5" t="str">
        <f ca="1">IFERROR(__xludf.DUMMYFUNCTION("""COMPUTED_VALUE"""),"مدينة نصر")</f>
        <v>مدينة نصر</v>
      </c>
      <c r="D2321" s="5" t="str">
        <f ca="1">IFERROR(__xludf.DUMMYFUNCTION("""COMPUTED_VALUE"""),"صيدلية")</f>
        <v>صيدلية</v>
      </c>
      <c r="E2321" s="5" t="str">
        <f ca="1">IFERROR(__xludf.DUMMYFUNCTION("""COMPUTED_VALUE"""),"صيدلية")</f>
        <v>صيدلية</v>
      </c>
      <c r="F2321" s="5" t="str">
        <f ca="1">IFERROR(__xludf.DUMMYFUNCTION("""COMPUTED_VALUE"""),"صيدلية (أدوية ومستلزمات طبية)")</f>
        <v>صيدلية (أدوية ومستلزمات طبية)</v>
      </c>
      <c r="G232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21" s="5" t="str">
        <f ca="1">IFERROR(__xludf.DUMMYFUNCTION("""COMPUTED_VALUE"""),"عمارة 52شارع عباس العقاد محل رقم( 1-2  )المنطقة السادسة مدينة نصر اول -القاهرة
")</f>
        <v xml:space="preserve">عمارة 52شارع عباس العقاد محل رقم( 1-2  )المنطقة السادسة مدينة نصر اول -القاهرة
</v>
      </c>
      <c r="I2321" s="6" t="str">
        <f ca="1">IFERROR(__xludf.DUMMYFUNCTION("""COMPUTED_VALUE"""),"1159271988")</f>
        <v>1159271988</v>
      </c>
      <c r="J2321" s="6" t="str">
        <f ca="1">IFERROR(__xludf.DUMMYFUNCTION("""COMPUTED_VALUE"""),"19600")</f>
        <v>19600</v>
      </c>
      <c r="K2321" s="6" t="str">
        <f ca="1">IFERROR(__xludf.DUMMYFUNCTION("""COMPUTED_VALUE"""),"7.5 % على المحلى ,5% على المستلزمات الطبية و التجميل")</f>
        <v>7.5 % على المحلى ,5% على المستلزمات الطبية و التجميل</v>
      </c>
    </row>
    <row r="2322" spans="1:11" x14ac:dyDescent="0.25">
      <c r="A2322" s="4" t="str">
        <f ca="1">IFERROR(__xludf.DUMMYFUNCTION("""COMPUTED_VALUE"""),"1683-B")</f>
        <v>1683-B</v>
      </c>
      <c r="B2322" s="5" t="str">
        <f ca="1">IFERROR(__xludf.DUMMYFUNCTION("""COMPUTED_VALUE"""),"القاهرة")</f>
        <v>القاهرة</v>
      </c>
      <c r="C2322" s="5" t="str">
        <f ca="1">IFERROR(__xludf.DUMMYFUNCTION("""COMPUTED_VALUE"""),"مدينة نصر")</f>
        <v>مدينة نصر</v>
      </c>
      <c r="D2322" s="5" t="str">
        <f ca="1">IFERROR(__xludf.DUMMYFUNCTION("""COMPUTED_VALUE"""),"صيدلية")</f>
        <v>صيدلية</v>
      </c>
      <c r="E2322" s="5" t="str">
        <f ca="1">IFERROR(__xludf.DUMMYFUNCTION("""COMPUTED_VALUE"""),"صيدلية")</f>
        <v>صيدلية</v>
      </c>
      <c r="F2322" s="5" t="str">
        <f ca="1">IFERROR(__xludf.DUMMYFUNCTION("""COMPUTED_VALUE"""),"صيدلية (أدوية ومستلزمات طبية)")</f>
        <v>صيدلية (أدوية ومستلزمات طبية)</v>
      </c>
      <c r="G232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22" s="5" t="str">
        <f ca="1">IFERROR(__xludf.DUMMYFUNCTION("""COMPUTED_VALUE"""),"محل رقم 1 عمارة 2ب مشروع 14عمارة -المنطقة الثانية عشر -الواحه -مدينة نصر -القاهرة
")</f>
        <v xml:space="preserve">محل رقم 1 عمارة 2ب مشروع 14عمارة -المنطقة الثانية عشر -الواحه -مدينة نصر -القاهرة
</v>
      </c>
      <c r="I2322" s="6" t="str">
        <f ca="1">IFERROR(__xludf.DUMMYFUNCTION("""COMPUTED_VALUE"""),"1111754404")</f>
        <v>1111754404</v>
      </c>
      <c r="J2322" s="6" t="str">
        <f ca="1">IFERROR(__xludf.DUMMYFUNCTION("""COMPUTED_VALUE"""),"19600")</f>
        <v>19600</v>
      </c>
      <c r="K2322" s="6" t="str">
        <f ca="1">IFERROR(__xludf.DUMMYFUNCTION("""COMPUTED_VALUE"""),"7.5 % على المحلى ,5% على المستلزمات الطبية و التجميل")</f>
        <v>7.5 % على المحلى ,5% على المستلزمات الطبية و التجميل</v>
      </c>
    </row>
    <row r="2323" spans="1:11" x14ac:dyDescent="0.25">
      <c r="A2323" s="4" t="str">
        <f ca="1">IFERROR(__xludf.DUMMYFUNCTION("""COMPUTED_VALUE"""),"1683-B")</f>
        <v>1683-B</v>
      </c>
      <c r="B2323" s="5" t="str">
        <f ca="1">IFERROR(__xludf.DUMMYFUNCTION("""COMPUTED_VALUE"""),"القاهرة")</f>
        <v>القاهرة</v>
      </c>
      <c r="C2323" s="5" t="str">
        <f ca="1">IFERROR(__xludf.DUMMYFUNCTION("""COMPUTED_VALUE"""),"مدينة نصر")</f>
        <v>مدينة نصر</v>
      </c>
      <c r="D2323" s="5" t="str">
        <f ca="1">IFERROR(__xludf.DUMMYFUNCTION("""COMPUTED_VALUE"""),"صيدلية")</f>
        <v>صيدلية</v>
      </c>
      <c r="E2323" s="5" t="str">
        <f ca="1">IFERROR(__xludf.DUMMYFUNCTION("""COMPUTED_VALUE"""),"صيدلية")</f>
        <v>صيدلية</v>
      </c>
      <c r="F2323" s="5" t="str">
        <f ca="1">IFERROR(__xludf.DUMMYFUNCTION("""COMPUTED_VALUE"""),"صيدلية (أدوية ومستلزمات طبية)")</f>
        <v>صيدلية (أدوية ومستلزمات طبية)</v>
      </c>
      <c r="G232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23" s="5" t="str">
        <f ca="1">IFERROR(__xludf.DUMMYFUNCTION("""COMPUTED_VALUE"""),"محل رقم 1 عمارة 3 شارع مكرم عبيد-مدينة نصر- القاهرة 
")</f>
        <v xml:space="preserve">محل رقم 1 عمارة 3 شارع مكرم عبيد-مدينة نصر- القاهرة 
</v>
      </c>
      <c r="I2323" s="6" t="str">
        <f ca="1">IFERROR(__xludf.DUMMYFUNCTION("""COMPUTED_VALUE"""),"01129786556")</f>
        <v>01129786556</v>
      </c>
      <c r="J2323" s="6" t="str">
        <f ca="1">IFERROR(__xludf.DUMMYFUNCTION("""COMPUTED_VALUE"""),"19600")</f>
        <v>19600</v>
      </c>
      <c r="K2323" s="6" t="str">
        <f ca="1">IFERROR(__xludf.DUMMYFUNCTION("""COMPUTED_VALUE"""),"7.5 % على المحلى ,5% على المستلزمات الطبية و التجميل")</f>
        <v>7.5 % على المحلى ,5% على المستلزمات الطبية و التجميل</v>
      </c>
    </row>
    <row r="2324" spans="1:11" x14ac:dyDescent="0.25">
      <c r="A2324" s="4" t="str">
        <f ca="1">IFERROR(__xludf.DUMMYFUNCTION("""COMPUTED_VALUE"""),"1683-B")</f>
        <v>1683-B</v>
      </c>
      <c r="B2324" s="5" t="str">
        <f ca="1">IFERROR(__xludf.DUMMYFUNCTION("""COMPUTED_VALUE"""),"القاهرة")</f>
        <v>القاهرة</v>
      </c>
      <c r="C2324" s="5" t="str">
        <f ca="1">IFERROR(__xludf.DUMMYFUNCTION("""COMPUTED_VALUE"""),"مدينة نصر")</f>
        <v>مدينة نصر</v>
      </c>
      <c r="D2324" s="5" t="str">
        <f ca="1">IFERROR(__xludf.DUMMYFUNCTION("""COMPUTED_VALUE"""),"صيدلية")</f>
        <v>صيدلية</v>
      </c>
      <c r="E2324" s="5" t="str">
        <f ca="1">IFERROR(__xludf.DUMMYFUNCTION("""COMPUTED_VALUE"""),"صيدلية")</f>
        <v>صيدلية</v>
      </c>
      <c r="F2324" s="5" t="str">
        <f ca="1">IFERROR(__xludf.DUMMYFUNCTION("""COMPUTED_VALUE"""),"صيدلية (أدوية ومستلزمات طبية)")</f>
        <v>صيدلية (أدوية ومستلزمات طبية)</v>
      </c>
      <c r="G232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24" s="5" t="str">
        <f ca="1">IFERROR(__xludf.DUMMYFUNCTION("""COMPUTED_VALUE"""),"محل رقم 3جراند ستور -داخل دار الدفاع الجوي- اسفل فندق طيبة روز  -مدينة نصر اول -القاهرة
")</f>
        <v xml:space="preserve">محل رقم 3جراند ستور -داخل دار الدفاع الجوي- اسفل فندق طيبة روز  -مدينة نصر اول -القاهرة
</v>
      </c>
      <c r="I2324" s="6" t="str">
        <f ca="1">IFERROR(__xludf.DUMMYFUNCTION("""COMPUTED_VALUE"""),"1158682267")</f>
        <v>1158682267</v>
      </c>
      <c r="J2324" s="6" t="str">
        <f ca="1">IFERROR(__xludf.DUMMYFUNCTION("""COMPUTED_VALUE"""),"19600")</f>
        <v>19600</v>
      </c>
      <c r="K2324" s="6" t="str">
        <f ca="1">IFERROR(__xludf.DUMMYFUNCTION("""COMPUTED_VALUE"""),"7.5 % على المحلى ,5% على المستلزمات الطبية و التجميل")</f>
        <v>7.5 % على المحلى ,5% على المستلزمات الطبية و التجميل</v>
      </c>
    </row>
    <row r="2325" spans="1:11" x14ac:dyDescent="0.25">
      <c r="A2325" s="4" t="str">
        <f ca="1">IFERROR(__xludf.DUMMYFUNCTION("""COMPUTED_VALUE"""),"1683-B")</f>
        <v>1683-B</v>
      </c>
      <c r="B2325" s="5" t="str">
        <f ca="1">IFERROR(__xludf.DUMMYFUNCTION("""COMPUTED_VALUE"""),"القاهرة")</f>
        <v>القاهرة</v>
      </c>
      <c r="C2325" s="5" t="str">
        <f ca="1">IFERROR(__xludf.DUMMYFUNCTION("""COMPUTED_VALUE"""),"مدينة نصر")</f>
        <v>مدينة نصر</v>
      </c>
      <c r="D2325" s="5" t="str">
        <f ca="1">IFERROR(__xludf.DUMMYFUNCTION("""COMPUTED_VALUE"""),"صيدلية")</f>
        <v>صيدلية</v>
      </c>
      <c r="E2325" s="5" t="str">
        <f ca="1">IFERROR(__xludf.DUMMYFUNCTION("""COMPUTED_VALUE"""),"صيدلية")</f>
        <v>صيدلية</v>
      </c>
      <c r="F2325" s="5" t="str">
        <f ca="1">IFERROR(__xludf.DUMMYFUNCTION("""COMPUTED_VALUE"""),"صيدلية (أدوية ومستلزمات طبية)")</f>
        <v>صيدلية (أدوية ومستلزمات طبية)</v>
      </c>
      <c r="G232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25" s="5" t="str">
        <f ca="1">IFERROR(__xludf.DUMMYFUNCTION("""COMPUTED_VALUE"""),"مشروع 41عمارة -محل رقم 5-شارع مصطفى النحاس -مدينة نصر ثالث-القاهرة
")</f>
        <v xml:space="preserve">مشروع 41عمارة -محل رقم 5-شارع مصطفى النحاس -مدينة نصر ثالث-القاهرة
</v>
      </c>
      <c r="I2325" s="6" t="str">
        <f ca="1">IFERROR(__xludf.DUMMYFUNCTION("""COMPUTED_VALUE"""),"1101865554")</f>
        <v>1101865554</v>
      </c>
      <c r="J2325" s="6" t="str">
        <f ca="1">IFERROR(__xludf.DUMMYFUNCTION("""COMPUTED_VALUE"""),"19600")</f>
        <v>19600</v>
      </c>
      <c r="K2325" s="6" t="str">
        <f ca="1">IFERROR(__xludf.DUMMYFUNCTION("""COMPUTED_VALUE"""),"7.5 % على المحلى ,5% على المستلزمات الطبية و التجميل")</f>
        <v>7.5 % على المحلى ,5% على المستلزمات الطبية و التجميل</v>
      </c>
    </row>
    <row r="2326" spans="1:11" x14ac:dyDescent="0.25">
      <c r="A2326" s="4" t="str">
        <f ca="1">IFERROR(__xludf.DUMMYFUNCTION("""COMPUTED_VALUE"""),"1683-B")</f>
        <v>1683-B</v>
      </c>
      <c r="B2326" s="5" t="str">
        <f ca="1">IFERROR(__xludf.DUMMYFUNCTION("""COMPUTED_VALUE"""),"القاهرة")</f>
        <v>القاهرة</v>
      </c>
      <c r="C2326" s="5" t="str">
        <f ca="1">IFERROR(__xludf.DUMMYFUNCTION("""COMPUTED_VALUE"""),"مصر الجديدة")</f>
        <v>مصر الجديدة</v>
      </c>
      <c r="D2326" s="5" t="str">
        <f ca="1">IFERROR(__xludf.DUMMYFUNCTION("""COMPUTED_VALUE"""),"صيدلية")</f>
        <v>صيدلية</v>
      </c>
      <c r="E2326" s="5" t="str">
        <f ca="1">IFERROR(__xludf.DUMMYFUNCTION("""COMPUTED_VALUE"""),"صيدلية")</f>
        <v>صيدلية</v>
      </c>
      <c r="F2326" s="5" t="str">
        <f ca="1">IFERROR(__xludf.DUMMYFUNCTION("""COMPUTED_VALUE"""),"صيدلية (أدوية ومستلزمات طبية)")</f>
        <v>صيدلية (أدوية ومستلزمات طبية)</v>
      </c>
      <c r="G232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26" s="5" t="str">
        <f ca="1">IFERROR(__xludf.DUMMYFUNCTION("""COMPUTED_VALUE"""),"49شارع دمشق-مصر الجديدة -القاهرة
")</f>
        <v xml:space="preserve">49شارع دمشق-مصر الجديدة -القاهرة
</v>
      </c>
      <c r="I2326" s="6" t="str">
        <f ca="1">IFERROR(__xludf.DUMMYFUNCTION("""COMPUTED_VALUE"""),"1116226635")</f>
        <v>1116226635</v>
      </c>
      <c r="J2326" s="6" t="str">
        <f ca="1">IFERROR(__xludf.DUMMYFUNCTION("""COMPUTED_VALUE"""),"19600")</f>
        <v>19600</v>
      </c>
      <c r="K2326" s="6" t="str">
        <f ca="1">IFERROR(__xludf.DUMMYFUNCTION("""COMPUTED_VALUE"""),"7.5 % على المحلى ,5% على المستلزمات الطبية و التجميل")</f>
        <v>7.5 % على المحلى ,5% على المستلزمات الطبية و التجميل</v>
      </c>
    </row>
    <row r="2327" spans="1:11" x14ac:dyDescent="0.25">
      <c r="A2327" s="4" t="str">
        <f ca="1">IFERROR(__xludf.DUMMYFUNCTION("""COMPUTED_VALUE"""),"1683-B")</f>
        <v>1683-B</v>
      </c>
      <c r="B2327" s="5" t="str">
        <f ca="1">IFERROR(__xludf.DUMMYFUNCTION("""COMPUTED_VALUE"""),"القاهرة")</f>
        <v>القاهرة</v>
      </c>
      <c r="C2327" s="5" t="str">
        <f ca="1">IFERROR(__xludf.DUMMYFUNCTION("""COMPUTED_VALUE"""),"مصر الجديدة")</f>
        <v>مصر الجديدة</v>
      </c>
      <c r="D2327" s="5" t="str">
        <f ca="1">IFERROR(__xludf.DUMMYFUNCTION("""COMPUTED_VALUE"""),"صيدلية")</f>
        <v>صيدلية</v>
      </c>
      <c r="E2327" s="5" t="str">
        <f ca="1">IFERROR(__xludf.DUMMYFUNCTION("""COMPUTED_VALUE"""),"صيدلية")</f>
        <v>صيدلية</v>
      </c>
      <c r="F2327" s="5" t="str">
        <f ca="1">IFERROR(__xludf.DUMMYFUNCTION("""COMPUTED_VALUE"""),"صيدلية (أدوية ومستلزمات طبية)")</f>
        <v>صيدلية (أدوية ومستلزمات طبية)</v>
      </c>
      <c r="G232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27" s="5" t="str">
        <f ca="1">IFERROR(__xludf.DUMMYFUNCTION("""COMPUTED_VALUE"""),"رقم 75 شارع ابو بكر الصديق-ناصية شارع العباسين
-مصر الجديدة-القاهرة ")</f>
        <v xml:space="preserve">رقم 75 شارع ابو بكر الصديق-ناصية شارع العباسين
-مصر الجديدة-القاهرة </v>
      </c>
      <c r="I2327" s="6" t="str">
        <f ca="1">IFERROR(__xludf.DUMMYFUNCTION("""COMPUTED_VALUE"""),"1100300756")</f>
        <v>1100300756</v>
      </c>
      <c r="J2327" s="6" t="str">
        <f ca="1">IFERROR(__xludf.DUMMYFUNCTION("""COMPUTED_VALUE"""),"19600")</f>
        <v>19600</v>
      </c>
      <c r="K2327" s="6" t="str">
        <f ca="1">IFERROR(__xludf.DUMMYFUNCTION("""COMPUTED_VALUE"""),"7.5 % على المحلى ,5% على المستلزمات الطبية و التجميل")</f>
        <v>7.5 % على المحلى ,5% على المستلزمات الطبية و التجميل</v>
      </c>
    </row>
    <row r="2328" spans="1:11" x14ac:dyDescent="0.25">
      <c r="A2328" s="4" t="str">
        <f ca="1">IFERROR(__xludf.DUMMYFUNCTION("""COMPUTED_VALUE"""),"1683-B")</f>
        <v>1683-B</v>
      </c>
      <c r="B2328" s="5" t="str">
        <f ca="1">IFERROR(__xludf.DUMMYFUNCTION("""COMPUTED_VALUE"""),"القاهرة")</f>
        <v>القاهرة</v>
      </c>
      <c r="C2328" s="5" t="str">
        <f ca="1">IFERROR(__xludf.DUMMYFUNCTION("""COMPUTED_VALUE"""),"باب الشعرية")</f>
        <v>باب الشعرية</v>
      </c>
      <c r="D2328" s="5" t="str">
        <f ca="1">IFERROR(__xludf.DUMMYFUNCTION("""COMPUTED_VALUE"""),"صيدلية")</f>
        <v>صيدلية</v>
      </c>
      <c r="E2328" s="5" t="str">
        <f ca="1">IFERROR(__xludf.DUMMYFUNCTION("""COMPUTED_VALUE"""),"صيدلية")</f>
        <v>صيدلية</v>
      </c>
      <c r="F2328" s="5" t="str">
        <f ca="1">IFERROR(__xludf.DUMMYFUNCTION("""COMPUTED_VALUE"""),"صيدلية (أدوية ومستلزمات طبية)")</f>
        <v>صيدلية (أدوية ومستلزمات طبية)</v>
      </c>
      <c r="G232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28" s="5" t="str">
        <f ca="1">IFERROR(__xludf.DUMMYFUNCTION("""COMPUTED_VALUE"""),"2أ ميدان باب الشعرية محل رقم 9-(باب الشعرية)القاهرة
")</f>
        <v xml:space="preserve">2أ ميدان باب الشعرية محل رقم 9-(باب الشعرية)القاهرة
</v>
      </c>
      <c r="I2328" s="6" t="str">
        <f ca="1">IFERROR(__xludf.DUMMYFUNCTION("""COMPUTED_VALUE"""),"1149159959")</f>
        <v>1149159959</v>
      </c>
      <c r="J2328" s="6" t="str">
        <f ca="1">IFERROR(__xludf.DUMMYFUNCTION("""COMPUTED_VALUE"""),"19600")</f>
        <v>19600</v>
      </c>
      <c r="K2328" s="6" t="str">
        <f ca="1">IFERROR(__xludf.DUMMYFUNCTION("""COMPUTED_VALUE"""),"7.5 % على المحلى ,5% على المستلزمات الطبية و التجميل")</f>
        <v>7.5 % على المحلى ,5% على المستلزمات الطبية و التجميل</v>
      </c>
    </row>
    <row r="2329" spans="1:11" x14ac:dyDescent="0.25">
      <c r="A2329" s="4" t="str">
        <f ca="1">IFERROR(__xludf.DUMMYFUNCTION("""COMPUTED_VALUE"""),"1683-B")</f>
        <v>1683-B</v>
      </c>
      <c r="B2329" s="5" t="str">
        <f ca="1">IFERROR(__xludf.DUMMYFUNCTION("""COMPUTED_VALUE"""),"القاهرة")</f>
        <v>القاهرة</v>
      </c>
      <c r="C2329" s="5" t="str">
        <f ca="1">IFERROR(__xludf.DUMMYFUNCTION("""COMPUTED_VALUE"""),"المرج")</f>
        <v>المرج</v>
      </c>
      <c r="D2329" s="5" t="str">
        <f ca="1">IFERROR(__xludf.DUMMYFUNCTION("""COMPUTED_VALUE"""),"صيدلية")</f>
        <v>صيدلية</v>
      </c>
      <c r="E2329" s="5" t="str">
        <f ca="1">IFERROR(__xludf.DUMMYFUNCTION("""COMPUTED_VALUE"""),"صيدلية")</f>
        <v>صيدلية</v>
      </c>
      <c r="F2329" s="5" t="str">
        <f ca="1">IFERROR(__xludf.DUMMYFUNCTION("""COMPUTED_VALUE"""),"صيدلية (أدوية ومستلزمات طبية)")</f>
        <v>صيدلية (أدوية ومستلزمات طبية)</v>
      </c>
      <c r="G232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29" s="5" t="str">
        <f ca="1">IFERROR(__xludf.DUMMYFUNCTION("""COMPUTED_VALUE"""),"""16 شارع مؤسسة الزكاة-امام كوبرى ابورجيلة -محطة عبدالله رفاعى -المرج 
")</f>
        <v xml:space="preserve">"16 شارع مؤسسة الزكاة-امام كوبرى ابورجيلة -محطة عبدالله رفاعى -المرج 
</v>
      </c>
      <c r="I2329" s="6" t="str">
        <f ca="1">IFERROR(__xludf.DUMMYFUNCTION("""COMPUTED_VALUE"""),"01012556146")</f>
        <v>01012556146</v>
      </c>
      <c r="J2329" s="6" t="str">
        <f ca="1">IFERROR(__xludf.DUMMYFUNCTION("""COMPUTED_VALUE"""),"19600")</f>
        <v>19600</v>
      </c>
      <c r="K2329" s="6" t="str">
        <f ca="1">IFERROR(__xludf.DUMMYFUNCTION("""COMPUTED_VALUE"""),"7.5 % على المحلى ,5% على المستلزمات الطبية و التجميل")</f>
        <v>7.5 % على المحلى ,5% على المستلزمات الطبية و التجميل</v>
      </c>
    </row>
    <row r="2330" spans="1:11" x14ac:dyDescent="0.25">
      <c r="A2330" s="4" t="str">
        <f ca="1">IFERROR(__xludf.DUMMYFUNCTION("""COMPUTED_VALUE"""),"1683-B")</f>
        <v>1683-B</v>
      </c>
      <c r="B2330" s="5" t="str">
        <f ca="1">IFERROR(__xludf.DUMMYFUNCTION("""COMPUTED_VALUE"""),"القاهرة")</f>
        <v>القاهرة</v>
      </c>
      <c r="C2330" s="5" t="str">
        <f ca="1">IFERROR(__xludf.DUMMYFUNCTION("""COMPUTED_VALUE"""),"مصر الجديدة")</f>
        <v>مصر الجديدة</v>
      </c>
      <c r="D2330" s="5" t="str">
        <f ca="1">IFERROR(__xludf.DUMMYFUNCTION("""COMPUTED_VALUE"""),"صيدلية")</f>
        <v>صيدلية</v>
      </c>
      <c r="E2330" s="5" t="str">
        <f ca="1">IFERROR(__xludf.DUMMYFUNCTION("""COMPUTED_VALUE"""),"صيدلية")</f>
        <v>صيدلية</v>
      </c>
      <c r="F2330" s="5" t="str">
        <f ca="1">IFERROR(__xludf.DUMMYFUNCTION("""COMPUTED_VALUE"""),"صيدلية (أدوية ومستلزمات طبية)")</f>
        <v>صيدلية (أدوية ومستلزمات طبية)</v>
      </c>
      <c r="G233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30" s="5" t="str">
        <f ca="1">IFERROR(__xludf.DUMMYFUNCTION("""COMPUTED_VALUE"""),"3شارع الشهيد سيد زكريا-مساكن شيراتون المطار -محل رقم 4
-بجوار النساجون الشرقيون")</f>
        <v>3شارع الشهيد سيد زكريا-مساكن شيراتون المطار -محل رقم 4
-بجوار النساجون الشرقيون</v>
      </c>
      <c r="I2330" s="6" t="str">
        <f ca="1">IFERROR(__xludf.DUMMYFUNCTION("""COMPUTED_VALUE"""),"1124400605")</f>
        <v>1124400605</v>
      </c>
      <c r="J2330" s="6" t="str">
        <f ca="1">IFERROR(__xludf.DUMMYFUNCTION("""COMPUTED_VALUE"""),"19600")</f>
        <v>19600</v>
      </c>
      <c r="K2330" s="6" t="str">
        <f ca="1">IFERROR(__xludf.DUMMYFUNCTION("""COMPUTED_VALUE"""),"7.5 % على المحلى ,5% على المستلزمات الطبية و التجميل")</f>
        <v>7.5 % على المحلى ,5% على المستلزمات الطبية و التجميل</v>
      </c>
    </row>
    <row r="2331" spans="1:11" x14ac:dyDescent="0.25">
      <c r="A2331" s="4" t="str">
        <f ca="1">IFERROR(__xludf.DUMMYFUNCTION("""COMPUTED_VALUE"""),"1683-B")</f>
        <v>1683-B</v>
      </c>
      <c r="B2331" s="5" t="str">
        <f ca="1">IFERROR(__xludf.DUMMYFUNCTION("""COMPUTED_VALUE"""),"القاهرة")</f>
        <v>القاهرة</v>
      </c>
      <c r="C2331" s="5" t="str">
        <f ca="1">IFERROR(__xludf.DUMMYFUNCTION("""COMPUTED_VALUE"""),"المرج")</f>
        <v>المرج</v>
      </c>
      <c r="D2331" s="5" t="str">
        <f ca="1">IFERROR(__xludf.DUMMYFUNCTION("""COMPUTED_VALUE"""),"صيدلية")</f>
        <v>صيدلية</v>
      </c>
      <c r="E2331" s="5" t="str">
        <f ca="1">IFERROR(__xludf.DUMMYFUNCTION("""COMPUTED_VALUE"""),"صيدلية")</f>
        <v>صيدلية</v>
      </c>
      <c r="F2331" s="5" t="str">
        <f ca="1">IFERROR(__xludf.DUMMYFUNCTION("""COMPUTED_VALUE"""),"صيدلية (أدوية ومستلزمات طبية)")</f>
        <v>صيدلية (أدوية ومستلزمات طبية)</v>
      </c>
      <c r="G233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31" s="5" t="str">
        <f ca="1">IFERROR(__xludf.DUMMYFUNCTION("""COMPUTED_VALUE"""),"13ش مصنع النسيج-عزبة النخل الشرقية-المرج
")</f>
        <v xml:space="preserve">13ش مصنع النسيج-عزبة النخل الشرقية-المرج
</v>
      </c>
      <c r="I2331" s="6" t="str">
        <f ca="1">IFERROR(__xludf.DUMMYFUNCTION("""COMPUTED_VALUE"""),"1122237332")</f>
        <v>1122237332</v>
      </c>
      <c r="J2331" s="6" t="str">
        <f ca="1">IFERROR(__xludf.DUMMYFUNCTION("""COMPUTED_VALUE"""),"19600")</f>
        <v>19600</v>
      </c>
      <c r="K2331" s="6" t="str">
        <f ca="1">IFERROR(__xludf.DUMMYFUNCTION("""COMPUTED_VALUE"""),"7.5 % على المحلى ,5% على المستلزمات الطبية و التجميل")</f>
        <v>7.5 % على المحلى ,5% على المستلزمات الطبية و التجميل</v>
      </c>
    </row>
    <row r="2332" spans="1:11" x14ac:dyDescent="0.25">
      <c r="A2332" s="4" t="str">
        <f ca="1">IFERROR(__xludf.DUMMYFUNCTION("""COMPUTED_VALUE"""),"1683-B")</f>
        <v>1683-B</v>
      </c>
      <c r="B2332" s="5" t="str">
        <f ca="1">IFERROR(__xludf.DUMMYFUNCTION("""COMPUTED_VALUE"""),"القاهرة")</f>
        <v>القاهرة</v>
      </c>
      <c r="C2332" s="5" t="str">
        <f ca="1">IFERROR(__xludf.DUMMYFUNCTION("""COMPUTED_VALUE"""),"حلمية الزيتون")</f>
        <v>حلمية الزيتون</v>
      </c>
      <c r="D2332" s="5" t="str">
        <f ca="1">IFERROR(__xludf.DUMMYFUNCTION("""COMPUTED_VALUE"""),"صيدلية")</f>
        <v>صيدلية</v>
      </c>
      <c r="E2332" s="5" t="str">
        <f ca="1">IFERROR(__xludf.DUMMYFUNCTION("""COMPUTED_VALUE"""),"صيدلية")</f>
        <v>صيدلية</v>
      </c>
      <c r="F2332" s="5" t="str">
        <f ca="1">IFERROR(__xludf.DUMMYFUNCTION("""COMPUTED_VALUE"""),"صيدلية (أدوية ومستلزمات طبية)")</f>
        <v>صيدلية (أدوية ومستلزمات طبية)</v>
      </c>
      <c r="G233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32" s="5" t="str">
        <f ca="1">IFERROR(__xludf.DUMMYFUNCTION("""COMPUTED_VALUE"""),"279  شارع ترعة الجبل -الزيتون - القاهرة
")</f>
        <v xml:space="preserve">279  شارع ترعة الجبل -الزيتون - القاهرة
</v>
      </c>
      <c r="I2332" s="6" t="str">
        <f ca="1">IFERROR(__xludf.DUMMYFUNCTION("""COMPUTED_VALUE"""),"1000726811")</f>
        <v>1000726811</v>
      </c>
      <c r="J2332" s="6" t="str">
        <f ca="1">IFERROR(__xludf.DUMMYFUNCTION("""COMPUTED_VALUE"""),"19600")</f>
        <v>19600</v>
      </c>
      <c r="K2332" s="6" t="str">
        <f ca="1">IFERROR(__xludf.DUMMYFUNCTION("""COMPUTED_VALUE"""),"7.5 % على المحلى ,5% على المستلزمات الطبية و التجميل")</f>
        <v>7.5 % على المحلى ,5% على المستلزمات الطبية و التجميل</v>
      </c>
    </row>
    <row r="2333" spans="1:11" x14ac:dyDescent="0.25">
      <c r="A2333" s="4" t="str">
        <f ca="1">IFERROR(__xludf.DUMMYFUNCTION("""COMPUTED_VALUE"""),"1683-B")</f>
        <v>1683-B</v>
      </c>
      <c r="B2333" s="5" t="str">
        <f ca="1">IFERROR(__xludf.DUMMYFUNCTION("""COMPUTED_VALUE"""),"القاهرة")</f>
        <v>القاهرة</v>
      </c>
      <c r="C2333" s="5" t="str">
        <f ca="1">IFERROR(__xludf.DUMMYFUNCTION("""COMPUTED_VALUE"""),"حلمية الزيتون")</f>
        <v>حلمية الزيتون</v>
      </c>
      <c r="D2333" s="5" t="str">
        <f ca="1">IFERROR(__xludf.DUMMYFUNCTION("""COMPUTED_VALUE"""),"صيدلية")</f>
        <v>صيدلية</v>
      </c>
      <c r="E2333" s="5" t="str">
        <f ca="1">IFERROR(__xludf.DUMMYFUNCTION("""COMPUTED_VALUE"""),"صيدلية")</f>
        <v>صيدلية</v>
      </c>
      <c r="F2333" s="5" t="str">
        <f ca="1">IFERROR(__xludf.DUMMYFUNCTION("""COMPUTED_VALUE"""),"صيدلية (أدوية ومستلزمات طبية)")</f>
        <v>صيدلية (أدوية ومستلزمات طبية)</v>
      </c>
      <c r="G233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33" s="5" t="str">
        <f ca="1">IFERROR(__xludf.DUMMYFUNCTION("""COMPUTED_VALUE"""),"""37\35 شارع العزيز بالله-الزيتون
")</f>
        <v xml:space="preserve">"37\35 شارع العزيز بالله-الزيتون
</v>
      </c>
      <c r="I2333" s="6" t="str">
        <f ca="1">IFERROR(__xludf.DUMMYFUNCTION("""COMPUTED_VALUE"""),"01550213842")</f>
        <v>01550213842</v>
      </c>
      <c r="J2333" s="6" t="str">
        <f ca="1">IFERROR(__xludf.DUMMYFUNCTION("""COMPUTED_VALUE"""),"19600")</f>
        <v>19600</v>
      </c>
      <c r="K2333" s="6" t="str">
        <f ca="1">IFERROR(__xludf.DUMMYFUNCTION("""COMPUTED_VALUE"""),"7.5 % على المحلى ,5% على المستلزمات الطبية و التجميل")</f>
        <v>7.5 % على المحلى ,5% على المستلزمات الطبية و التجميل</v>
      </c>
    </row>
    <row r="2334" spans="1:11" x14ac:dyDescent="0.25">
      <c r="A2334" s="4" t="str">
        <f ca="1">IFERROR(__xludf.DUMMYFUNCTION("""COMPUTED_VALUE"""),"1683-B")</f>
        <v>1683-B</v>
      </c>
      <c r="B2334" s="5" t="str">
        <f ca="1">IFERROR(__xludf.DUMMYFUNCTION("""COMPUTED_VALUE"""),"القاهرة")</f>
        <v>القاهرة</v>
      </c>
      <c r="C2334" s="5" t="str">
        <f ca="1">IFERROR(__xludf.DUMMYFUNCTION("""COMPUTED_VALUE"""),"حلمية الزيتون")</f>
        <v>حلمية الزيتون</v>
      </c>
      <c r="D2334" s="5" t="str">
        <f ca="1">IFERROR(__xludf.DUMMYFUNCTION("""COMPUTED_VALUE"""),"صيدلية")</f>
        <v>صيدلية</v>
      </c>
      <c r="E2334" s="5" t="str">
        <f ca="1">IFERROR(__xludf.DUMMYFUNCTION("""COMPUTED_VALUE"""),"صيدلية")</f>
        <v>صيدلية</v>
      </c>
      <c r="F2334" s="5" t="str">
        <f ca="1">IFERROR(__xludf.DUMMYFUNCTION("""COMPUTED_VALUE"""),"صيدلية (أدوية ومستلزمات طبية)")</f>
        <v>صيدلية (أدوية ومستلزمات طبية)</v>
      </c>
      <c r="G233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34" s="5" t="str">
        <f ca="1">IFERROR(__xludf.DUMMYFUNCTION("""COMPUTED_VALUE"""),"625شارع بورسعيد-الخليج المصرى-غمرة
")</f>
        <v xml:space="preserve">625شارع بورسعيد-الخليج المصرى-غمرة
</v>
      </c>
      <c r="I2334" s="6" t="str">
        <f ca="1">IFERROR(__xludf.DUMMYFUNCTION("""COMPUTED_VALUE"""),"1119318714")</f>
        <v>1119318714</v>
      </c>
      <c r="J2334" s="6" t="str">
        <f ca="1">IFERROR(__xludf.DUMMYFUNCTION("""COMPUTED_VALUE"""),"19600")</f>
        <v>19600</v>
      </c>
      <c r="K2334" s="6" t="str">
        <f ca="1">IFERROR(__xludf.DUMMYFUNCTION("""COMPUTED_VALUE"""),"7.5 % على المحلى ,5% على المستلزمات الطبية و التجميل")</f>
        <v>7.5 % على المحلى ,5% على المستلزمات الطبية و التجميل</v>
      </c>
    </row>
    <row r="2335" spans="1:11" x14ac:dyDescent="0.25">
      <c r="A2335" s="4" t="str">
        <f ca="1">IFERROR(__xludf.DUMMYFUNCTION("""COMPUTED_VALUE"""),"1683-B")</f>
        <v>1683-B</v>
      </c>
      <c r="B2335" s="5" t="str">
        <f ca="1">IFERROR(__xludf.DUMMYFUNCTION("""COMPUTED_VALUE"""),"القاهرة")</f>
        <v>القاهرة</v>
      </c>
      <c r="C2335" s="5" t="str">
        <f ca="1">IFERROR(__xludf.DUMMYFUNCTION("""COMPUTED_VALUE"""),"المطرية")</f>
        <v>المطرية</v>
      </c>
      <c r="D2335" s="5" t="str">
        <f ca="1">IFERROR(__xludf.DUMMYFUNCTION("""COMPUTED_VALUE"""),"صيدلية")</f>
        <v>صيدلية</v>
      </c>
      <c r="E2335" s="5" t="str">
        <f ca="1">IFERROR(__xludf.DUMMYFUNCTION("""COMPUTED_VALUE"""),"صيدلية")</f>
        <v>صيدلية</v>
      </c>
      <c r="F2335" s="5" t="str">
        <f ca="1">IFERROR(__xludf.DUMMYFUNCTION("""COMPUTED_VALUE"""),"صيدلية (أدوية ومستلزمات طبية)")</f>
        <v>صيدلية (أدوية ومستلزمات طبية)</v>
      </c>
      <c r="G233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35" s="5" t="str">
        <f ca="1">IFERROR(__xludf.DUMMYFUNCTION("""COMPUTED_VALUE"""),"8شارع الحرية-ميدان المطرية بمسجد الانوار المحمدية-المطرية
")</f>
        <v xml:space="preserve">8شارع الحرية-ميدان المطرية بمسجد الانوار المحمدية-المطرية
</v>
      </c>
      <c r="I2335" s="6" t="str">
        <f ca="1">IFERROR(__xludf.DUMMYFUNCTION("""COMPUTED_VALUE"""),"1140556444")</f>
        <v>1140556444</v>
      </c>
      <c r="J2335" s="6" t="str">
        <f ca="1">IFERROR(__xludf.DUMMYFUNCTION("""COMPUTED_VALUE"""),"19600")</f>
        <v>19600</v>
      </c>
      <c r="K2335" s="6" t="str">
        <f ca="1">IFERROR(__xludf.DUMMYFUNCTION("""COMPUTED_VALUE"""),"7.5 % على المحلى ,5% على المستلزمات الطبية و التجميل")</f>
        <v>7.5 % على المحلى ,5% على المستلزمات الطبية و التجميل</v>
      </c>
    </row>
    <row r="2336" spans="1:11" x14ac:dyDescent="0.25">
      <c r="A2336" s="4" t="str">
        <f ca="1">IFERROR(__xludf.DUMMYFUNCTION("""COMPUTED_VALUE"""),"1683-B")</f>
        <v>1683-B</v>
      </c>
      <c r="B2336" s="5" t="str">
        <f ca="1">IFERROR(__xludf.DUMMYFUNCTION("""COMPUTED_VALUE"""),"القاهرة")</f>
        <v>القاهرة</v>
      </c>
      <c r="C2336" s="5" t="str">
        <f ca="1">IFERROR(__xludf.DUMMYFUNCTION("""COMPUTED_VALUE"""),"وسط البلد")</f>
        <v>وسط البلد</v>
      </c>
      <c r="D2336" s="5" t="str">
        <f ca="1">IFERROR(__xludf.DUMMYFUNCTION("""COMPUTED_VALUE"""),"صيدلية")</f>
        <v>صيدلية</v>
      </c>
      <c r="E2336" s="5" t="str">
        <f ca="1">IFERROR(__xludf.DUMMYFUNCTION("""COMPUTED_VALUE"""),"صيدلية")</f>
        <v>صيدلية</v>
      </c>
      <c r="F2336" s="5" t="str">
        <f ca="1">IFERROR(__xludf.DUMMYFUNCTION("""COMPUTED_VALUE"""),"صيدلية (أدوية ومستلزمات طبية)")</f>
        <v>صيدلية (أدوية ومستلزمات طبية)</v>
      </c>
      <c r="G233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36" s="5" t="str">
        <f ca="1">IFERROR(__xludf.DUMMYFUNCTION("""COMPUTED_VALUE"""),"اركاديا مول-كورنيش النيل-القاهرة
")</f>
        <v xml:space="preserve">اركاديا مول-كورنيش النيل-القاهرة
</v>
      </c>
      <c r="I2336" s="6" t="str">
        <f ca="1">IFERROR(__xludf.DUMMYFUNCTION("""COMPUTED_VALUE"""),"1158682262")</f>
        <v>1158682262</v>
      </c>
      <c r="J2336" s="6" t="str">
        <f ca="1">IFERROR(__xludf.DUMMYFUNCTION("""COMPUTED_VALUE"""),"19600")</f>
        <v>19600</v>
      </c>
      <c r="K2336" s="6" t="str">
        <f ca="1">IFERROR(__xludf.DUMMYFUNCTION("""COMPUTED_VALUE"""),"7.5 % على المحلى ,5% على المستلزمات الطبية و التجميل")</f>
        <v>7.5 % على المحلى ,5% على المستلزمات الطبية و التجميل</v>
      </c>
    </row>
    <row r="2337" spans="1:11" x14ac:dyDescent="0.25">
      <c r="A2337" s="4" t="str">
        <f ca="1">IFERROR(__xludf.DUMMYFUNCTION("""COMPUTED_VALUE"""),"1683-B")</f>
        <v>1683-B</v>
      </c>
      <c r="B2337" s="5" t="str">
        <f ca="1">IFERROR(__xludf.DUMMYFUNCTION("""COMPUTED_VALUE"""),"القاهرة")</f>
        <v>القاهرة</v>
      </c>
      <c r="C2337" s="5" t="str">
        <f ca="1">IFERROR(__xludf.DUMMYFUNCTION("""COMPUTED_VALUE"""),"مدينة نصر")</f>
        <v>مدينة نصر</v>
      </c>
      <c r="D2337" s="5" t="str">
        <f ca="1">IFERROR(__xludf.DUMMYFUNCTION("""COMPUTED_VALUE"""),"صيدلية")</f>
        <v>صيدلية</v>
      </c>
      <c r="E2337" s="5" t="str">
        <f ca="1">IFERROR(__xludf.DUMMYFUNCTION("""COMPUTED_VALUE"""),"صيدلية")</f>
        <v>صيدلية</v>
      </c>
      <c r="F2337" s="5" t="str">
        <f ca="1">IFERROR(__xludf.DUMMYFUNCTION("""COMPUTED_VALUE"""),"صيدلية (أدوية ومستلزمات طبية)")</f>
        <v>صيدلية (أدوية ومستلزمات طبية)</v>
      </c>
      <c r="G233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37" s="5" t="str">
        <f ca="1">IFERROR(__xludf.DUMMYFUNCTION("""COMPUTED_VALUE"""),"الدور الارضى- بجوار كومبيومى وسوبر ماركت سعودى- داخل مول سيتى ستارز
")</f>
        <v xml:space="preserve">الدور الارضى- بجوار كومبيومى وسوبر ماركت سعودى- داخل مول سيتى ستارز
</v>
      </c>
      <c r="I2337" s="6" t="str">
        <f ca="1">IFERROR(__xludf.DUMMYFUNCTION("""COMPUTED_VALUE"""),"1157672277")</f>
        <v>1157672277</v>
      </c>
      <c r="J2337" s="6" t="str">
        <f ca="1">IFERROR(__xludf.DUMMYFUNCTION("""COMPUTED_VALUE"""),"19600")</f>
        <v>19600</v>
      </c>
      <c r="K2337" s="6" t="str">
        <f ca="1">IFERROR(__xludf.DUMMYFUNCTION("""COMPUTED_VALUE"""),"7.5 % على المحلى ,5% على المستلزمات الطبية و التجميل")</f>
        <v>7.5 % على المحلى ,5% على المستلزمات الطبية و التجميل</v>
      </c>
    </row>
    <row r="2338" spans="1:11" x14ac:dyDescent="0.25">
      <c r="A2338" s="4" t="str">
        <f ca="1">IFERROR(__xludf.DUMMYFUNCTION("""COMPUTED_VALUE"""),"1683-B")</f>
        <v>1683-B</v>
      </c>
      <c r="B2338" s="5" t="str">
        <f ca="1">IFERROR(__xludf.DUMMYFUNCTION("""COMPUTED_VALUE"""),"القاهرة")</f>
        <v>القاهرة</v>
      </c>
      <c r="C2338" s="5" t="str">
        <f ca="1">IFERROR(__xludf.DUMMYFUNCTION("""COMPUTED_VALUE"""),"الزاويه الحمراء")</f>
        <v>الزاويه الحمراء</v>
      </c>
      <c r="D2338" s="5" t="str">
        <f ca="1">IFERROR(__xludf.DUMMYFUNCTION("""COMPUTED_VALUE"""),"صيدلية")</f>
        <v>صيدلية</v>
      </c>
      <c r="E2338" s="5" t="str">
        <f ca="1">IFERROR(__xludf.DUMMYFUNCTION("""COMPUTED_VALUE"""),"صيدلية")</f>
        <v>صيدلية</v>
      </c>
      <c r="F2338" s="5" t="str">
        <f ca="1">IFERROR(__xludf.DUMMYFUNCTION("""COMPUTED_VALUE"""),"صيدلية (أدوية ومستلزمات طبية)")</f>
        <v>صيدلية (أدوية ومستلزمات طبية)</v>
      </c>
      <c r="G233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38" s="5" t="str">
        <f ca="1">IFERROR(__xludf.DUMMYFUNCTION("""COMPUTED_VALUE"""),"""بلوك 73  رقم 1 مدخل 2 منشية الجمل -الزاوية الحمراء
")</f>
        <v xml:space="preserve">"بلوك 73  رقم 1 مدخل 2 منشية الجمل -الزاوية الحمراء
</v>
      </c>
      <c r="I2338" s="6" t="str">
        <f ca="1">IFERROR(__xludf.DUMMYFUNCTION("""COMPUTED_VALUE"""),"01153729538")</f>
        <v>01153729538</v>
      </c>
      <c r="J2338" s="6" t="str">
        <f ca="1">IFERROR(__xludf.DUMMYFUNCTION("""COMPUTED_VALUE"""),"19600")</f>
        <v>19600</v>
      </c>
      <c r="K2338" s="6" t="str">
        <f ca="1">IFERROR(__xludf.DUMMYFUNCTION("""COMPUTED_VALUE"""),"7.5 % على المحلى ,5% على المستلزمات الطبية و التجميل")</f>
        <v>7.5 % على المحلى ,5% على المستلزمات الطبية و التجميل</v>
      </c>
    </row>
    <row r="2339" spans="1:11" x14ac:dyDescent="0.25">
      <c r="A2339" s="4" t="str">
        <f ca="1">IFERROR(__xludf.DUMMYFUNCTION("""COMPUTED_VALUE"""),"1683-B")</f>
        <v>1683-B</v>
      </c>
      <c r="B2339" s="5" t="str">
        <f ca="1">IFERROR(__xludf.DUMMYFUNCTION("""COMPUTED_VALUE"""),"القاهرة")</f>
        <v>القاهرة</v>
      </c>
      <c r="C2339" s="5" t="str">
        <f ca="1">IFERROR(__xludf.DUMMYFUNCTION("""COMPUTED_VALUE"""),"الازبكية")</f>
        <v>الازبكية</v>
      </c>
      <c r="D2339" s="5" t="str">
        <f ca="1">IFERROR(__xludf.DUMMYFUNCTION("""COMPUTED_VALUE"""),"صيدلية")</f>
        <v>صيدلية</v>
      </c>
      <c r="E2339" s="5" t="str">
        <f ca="1">IFERROR(__xludf.DUMMYFUNCTION("""COMPUTED_VALUE"""),"صيدلية")</f>
        <v>صيدلية</v>
      </c>
      <c r="F2339" s="5" t="str">
        <f ca="1">IFERROR(__xludf.DUMMYFUNCTION("""COMPUTED_VALUE"""),"صيدلية (أدوية ومستلزمات طبية)")</f>
        <v>صيدلية (أدوية ومستلزمات طبية)</v>
      </c>
      <c r="G233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39" s="5" t="str">
        <f ca="1">IFERROR(__xludf.DUMMYFUNCTION("""COMPUTED_VALUE"""),"رقم 26شارع 26يوليو – الازبكية- القاهرة
")</f>
        <v xml:space="preserve">رقم 26شارع 26يوليو – الازبكية- القاهرة
</v>
      </c>
      <c r="I2339" s="6" t="str">
        <f ca="1">IFERROR(__xludf.DUMMYFUNCTION("""COMPUTED_VALUE"""),"1158682055")</f>
        <v>1158682055</v>
      </c>
      <c r="J2339" s="6" t="str">
        <f ca="1">IFERROR(__xludf.DUMMYFUNCTION("""COMPUTED_VALUE"""),"19600")</f>
        <v>19600</v>
      </c>
      <c r="K2339" s="6" t="str">
        <f ca="1">IFERROR(__xludf.DUMMYFUNCTION("""COMPUTED_VALUE"""),"7.5 % على المحلى ,5% على المستلزمات الطبية و التجميل")</f>
        <v>7.5 % على المحلى ,5% على المستلزمات الطبية و التجميل</v>
      </c>
    </row>
    <row r="2340" spans="1:11" x14ac:dyDescent="0.25">
      <c r="A2340" s="4" t="str">
        <f ca="1">IFERROR(__xludf.DUMMYFUNCTION("""COMPUTED_VALUE"""),"1683-B")</f>
        <v>1683-B</v>
      </c>
      <c r="B2340" s="5" t="str">
        <f ca="1">IFERROR(__xludf.DUMMYFUNCTION("""COMPUTED_VALUE"""),"القاهرة")</f>
        <v>القاهرة</v>
      </c>
      <c r="C2340" s="5" t="str">
        <f ca="1">IFERROR(__xludf.DUMMYFUNCTION("""COMPUTED_VALUE"""),"العباسية")</f>
        <v>العباسية</v>
      </c>
      <c r="D2340" s="5" t="str">
        <f ca="1">IFERROR(__xludf.DUMMYFUNCTION("""COMPUTED_VALUE"""),"صيدلية")</f>
        <v>صيدلية</v>
      </c>
      <c r="E2340" s="5" t="str">
        <f ca="1">IFERROR(__xludf.DUMMYFUNCTION("""COMPUTED_VALUE"""),"صيدلية")</f>
        <v>صيدلية</v>
      </c>
      <c r="F2340" s="5" t="str">
        <f ca="1">IFERROR(__xludf.DUMMYFUNCTION("""COMPUTED_VALUE"""),"صيدلية (أدوية ومستلزمات طبية)")</f>
        <v>صيدلية (أدوية ومستلزمات طبية)</v>
      </c>
      <c r="G234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40" s="5" t="str">
        <f ca="1">IFERROR(__xludf.DUMMYFUNCTION("""COMPUTED_VALUE"""),"شارع العباسية -محطة احمد سعيد -قسم الظاهر -القاهره 
")</f>
        <v xml:space="preserve">شارع العباسية -محطة احمد سعيد -قسم الظاهر -القاهره 
</v>
      </c>
      <c r="I2340" s="6" t="str">
        <f ca="1">IFERROR(__xludf.DUMMYFUNCTION("""COMPUTED_VALUE"""),"01129786645")</f>
        <v>01129786645</v>
      </c>
      <c r="J2340" s="6" t="str">
        <f ca="1">IFERROR(__xludf.DUMMYFUNCTION("""COMPUTED_VALUE"""),"19600")</f>
        <v>19600</v>
      </c>
      <c r="K2340" s="6" t="str">
        <f ca="1">IFERROR(__xludf.DUMMYFUNCTION("""COMPUTED_VALUE"""),"7.5 % على المحلى ,5% على المستلزمات الطبية و التجميل")</f>
        <v>7.5 % على المحلى ,5% على المستلزمات الطبية و التجميل</v>
      </c>
    </row>
    <row r="2341" spans="1:11" x14ac:dyDescent="0.25">
      <c r="A2341" s="4" t="str">
        <f ca="1">IFERROR(__xludf.DUMMYFUNCTION("""COMPUTED_VALUE"""),"1683-B")</f>
        <v>1683-B</v>
      </c>
      <c r="B2341" s="5" t="str">
        <f ca="1">IFERROR(__xludf.DUMMYFUNCTION("""COMPUTED_VALUE"""),"القاهرة")</f>
        <v>القاهرة</v>
      </c>
      <c r="C2341" s="5" t="str">
        <f ca="1">IFERROR(__xludf.DUMMYFUNCTION("""COMPUTED_VALUE"""),"القاهرة الجديدة")</f>
        <v>القاهرة الجديدة</v>
      </c>
      <c r="D2341" s="5" t="str">
        <f ca="1">IFERROR(__xludf.DUMMYFUNCTION("""COMPUTED_VALUE"""),"صيدلية")</f>
        <v>صيدلية</v>
      </c>
      <c r="E2341" s="5" t="str">
        <f ca="1">IFERROR(__xludf.DUMMYFUNCTION("""COMPUTED_VALUE"""),"صيدلية")</f>
        <v>صيدلية</v>
      </c>
      <c r="F2341" s="5" t="str">
        <f ca="1">IFERROR(__xludf.DUMMYFUNCTION("""COMPUTED_VALUE"""),"صيدلية (أدوية ومستلزمات طبية)")</f>
        <v>صيدلية (أدوية ومستلزمات طبية)</v>
      </c>
      <c r="G234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41" s="5" t="str">
        <f ca="1">IFERROR(__xludf.DUMMYFUNCTION("""COMPUTED_VALUE"""),"قطعه 24بلوكE  مركز خدمات التجمع الاول -القاهرة الجديدة 
")</f>
        <v xml:space="preserve">قطعه 24بلوكE  مركز خدمات التجمع الاول -القاهرة الجديدة 
</v>
      </c>
      <c r="I2341" s="6" t="str">
        <f ca="1">IFERROR(__xludf.DUMMYFUNCTION("""COMPUTED_VALUE"""),"1140351313")</f>
        <v>1140351313</v>
      </c>
      <c r="J2341" s="6" t="str">
        <f ca="1">IFERROR(__xludf.DUMMYFUNCTION("""COMPUTED_VALUE"""),"19600")</f>
        <v>19600</v>
      </c>
      <c r="K2341" s="6" t="str">
        <f ca="1">IFERROR(__xludf.DUMMYFUNCTION("""COMPUTED_VALUE"""),"7.5 % على المحلى ,5% على المستلزمات الطبية و التجميل")</f>
        <v>7.5 % على المحلى ,5% على المستلزمات الطبية و التجميل</v>
      </c>
    </row>
    <row r="2342" spans="1:11" x14ac:dyDescent="0.25">
      <c r="A2342" s="4" t="str">
        <f ca="1">IFERROR(__xludf.DUMMYFUNCTION("""COMPUTED_VALUE"""),"1683-B")</f>
        <v>1683-B</v>
      </c>
      <c r="B2342" s="5" t="str">
        <f ca="1">IFERROR(__xludf.DUMMYFUNCTION("""COMPUTED_VALUE"""),"القاهرة")</f>
        <v>القاهرة</v>
      </c>
      <c r="C2342" s="5" t="str">
        <f ca="1">IFERROR(__xludf.DUMMYFUNCTION("""COMPUTED_VALUE"""),"القاهرة الجديدة")</f>
        <v>القاهرة الجديدة</v>
      </c>
      <c r="D2342" s="5" t="str">
        <f ca="1">IFERROR(__xludf.DUMMYFUNCTION("""COMPUTED_VALUE"""),"صيدلية")</f>
        <v>صيدلية</v>
      </c>
      <c r="E2342" s="5" t="str">
        <f ca="1">IFERROR(__xludf.DUMMYFUNCTION("""COMPUTED_VALUE"""),"صيدلية")</f>
        <v>صيدلية</v>
      </c>
      <c r="F2342" s="5" t="str">
        <f ca="1">IFERROR(__xludf.DUMMYFUNCTION("""COMPUTED_VALUE"""),"صيدلية (أدوية ومستلزمات طبية)")</f>
        <v>صيدلية (أدوية ومستلزمات طبية)</v>
      </c>
      <c r="G234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42" s="5" t="str">
        <f ca="1">IFERROR(__xludf.DUMMYFUNCTION("""COMPUTED_VALUE"""),"وحدة تجارية رقم E27  الدور الارضي الميراج مول 
")</f>
        <v xml:space="preserve">وحدة تجارية رقم E27  الدور الارضي الميراج مول 
</v>
      </c>
      <c r="I2342" s="6" t="str">
        <f ca="1">IFERROR(__xludf.DUMMYFUNCTION("""COMPUTED_VALUE"""),"1111287651")</f>
        <v>1111287651</v>
      </c>
      <c r="J2342" s="6" t="str">
        <f ca="1">IFERROR(__xludf.DUMMYFUNCTION("""COMPUTED_VALUE"""),"19600")</f>
        <v>19600</v>
      </c>
      <c r="K2342" s="6" t="str">
        <f ca="1">IFERROR(__xludf.DUMMYFUNCTION("""COMPUTED_VALUE"""),"7.5 % على المحلى ,5% على المستلزمات الطبية و التجميل")</f>
        <v>7.5 % على المحلى ,5% على المستلزمات الطبية و التجميل</v>
      </c>
    </row>
    <row r="2343" spans="1:11" x14ac:dyDescent="0.25">
      <c r="A2343" s="4" t="str">
        <f ca="1">IFERROR(__xludf.DUMMYFUNCTION("""COMPUTED_VALUE"""),"1683-B")</f>
        <v>1683-B</v>
      </c>
      <c r="B2343" s="5" t="str">
        <f ca="1">IFERROR(__xludf.DUMMYFUNCTION("""COMPUTED_VALUE"""),"القاهرة")</f>
        <v>القاهرة</v>
      </c>
      <c r="C2343" s="5" t="str">
        <f ca="1">IFERROR(__xludf.DUMMYFUNCTION("""COMPUTED_VALUE"""),"القاهرة الجديدة")</f>
        <v>القاهرة الجديدة</v>
      </c>
      <c r="D2343" s="5" t="str">
        <f ca="1">IFERROR(__xludf.DUMMYFUNCTION("""COMPUTED_VALUE"""),"صيدلية")</f>
        <v>صيدلية</v>
      </c>
      <c r="E2343" s="5" t="str">
        <f ca="1">IFERROR(__xludf.DUMMYFUNCTION("""COMPUTED_VALUE"""),"صيدلية")</f>
        <v>صيدلية</v>
      </c>
      <c r="F2343" s="5" t="str">
        <f ca="1">IFERROR(__xludf.DUMMYFUNCTION("""COMPUTED_VALUE"""),"صيدلية (أدوية ومستلزمات طبية)")</f>
        <v>صيدلية (أدوية ومستلزمات طبية)</v>
      </c>
      <c r="G234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43" s="5" t="str">
        <f ca="1">IFERROR(__xludf.DUMMYFUNCTION("""COMPUTED_VALUE"""),"وحدة - g23اربيلا بلازا - منطقة المثلث - ميدان جمال عبدالناصر-الحى الخامس- القاهرة
")</f>
        <v xml:space="preserve">وحدة - g23اربيلا بلازا - منطقة المثلث - ميدان جمال عبدالناصر-الحى الخامس- القاهرة
</v>
      </c>
      <c r="I2343" s="6" t="str">
        <f ca="1">IFERROR(__xludf.DUMMYFUNCTION("""COMPUTED_VALUE"""),"1103660802")</f>
        <v>1103660802</v>
      </c>
      <c r="J2343" s="6" t="str">
        <f ca="1">IFERROR(__xludf.DUMMYFUNCTION("""COMPUTED_VALUE"""),"19600")</f>
        <v>19600</v>
      </c>
      <c r="K2343" s="6" t="str">
        <f ca="1">IFERROR(__xludf.DUMMYFUNCTION("""COMPUTED_VALUE"""),"7.5 % على المحلى ,5% على المستلزمات الطبية و التجميل")</f>
        <v>7.5 % على المحلى ,5% على المستلزمات الطبية و التجميل</v>
      </c>
    </row>
    <row r="2344" spans="1:11" x14ac:dyDescent="0.25">
      <c r="A2344" s="4" t="str">
        <f ca="1">IFERROR(__xludf.DUMMYFUNCTION("""COMPUTED_VALUE"""),"1683-B")</f>
        <v>1683-B</v>
      </c>
      <c r="B2344" s="5" t="str">
        <f ca="1">IFERROR(__xludf.DUMMYFUNCTION("""COMPUTED_VALUE"""),"القاهرة")</f>
        <v>القاهرة</v>
      </c>
      <c r="C2344" s="5" t="str">
        <f ca="1">IFERROR(__xludf.DUMMYFUNCTION("""COMPUTED_VALUE"""),"القاهرة الجديدة")</f>
        <v>القاهرة الجديدة</v>
      </c>
      <c r="D2344" s="5" t="str">
        <f ca="1">IFERROR(__xludf.DUMMYFUNCTION("""COMPUTED_VALUE"""),"صيدلية")</f>
        <v>صيدلية</v>
      </c>
      <c r="E2344" s="5" t="str">
        <f ca="1">IFERROR(__xludf.DUMMYFUNCTION("""COMPUTED_VALUE"""),"صيدلية")</f>
        <v>صيدلية</v>
      </c>
      <c r="F2344" s="5" t="str">
        <f ca="1">IFERROR(__xludf.DUMMYFUNCTION("""COMPUTED_VALUE"""),"صيدلية (أدوية ومستلزمات طبية)")</f>
        <v>صيدلية (أدوية ومستلزمات طبية)</v>
      </c>
      <c r="G234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44" s="5" t="str">
        <f ca="1">IFERROR(__xludf.DUMMYFUNCTION("""COMPUTED_VALUE"""),"وحدة ٧ الدور رقم (GR) مبني رقم B2 - the gate plaza
")</f>
        <v xml:space="preserve">وحدة ٧ الدور رقم (GR) مبني رقم B2 - the gate plaza
</v>
      </c>
      <c r="I2344" s="6" t="str">
        <f ca="1">IFERROR(__xludf.DUMMYFUNCTION("""COMPUTED_VALUE"""),"1125001092")</f>
        <v>1125001092</v>
      </c>
      <c r="J2344" s="6" t="str">
        <f ca="1">IFERROR(__xludf.DUMMYFUNCTION("""COMPUTED_VALUE"""),"19600")</f>
        <v>19600</v>
      </c>
      <c r="K2344" s="6" t="str">
        <f ca="1">IFERROR(__xludf.DUMMYFUNCTION("""COMPUTED_VALUE"""),"7.5 % على المحلى ,5% على المستلزمات الطبية و التجميل")</f>
        <v>7.5 % على المحلى ,5% على المستلزمات الطبية و التجميل</v>
      </c>
    </row>
    <row r="2345" spans="1:11" x14ac:dyDescent="0.25">
      <c r="A2345" s="4" t="str">
        <f ca="1">IFERROR(__xludf.DUMMYFUNCTION("""COMPUTED_VALUE"""),"1683-B")</f>
        <v>1683-B</v>
      </c>
      <c r="B2345" s="5" t="str">
        <f ca="1">IFERROR(__xludf.DUMMYFUNCTION("""COMPUTED_VALUE"""),"القاهرة")</f>
        <v>القاهرة</v>
      </c>
      <c r="C2345" s="5" t="str">
        <f ca="1">IFERROR(__xludf.DUMMYFUNCTION("""COMPUTED_VALUE"""),"عابدين")</f>
        <v>عابدين</v>
      </c>
      <c r="D2345" s="5" t="str">
        <f ca="1">IFERROR(__xludf.DUMMYFUNCTION("""COMPUTED_VALUE"""),"صيدلية")</f>
        <v>صيدلية</v>
      </c>
      <c r="E2345" s="5" t="str">
        <f ca="1">IFERROR(__xludf.DUMMYFUNCTION("""COMPUTED_VALUE"""),"صيدلية")</f>
        <v>صيدلية</v>
      </c>
      <c r="F2345" s="5" t="str">
        <f ca="1">IFERROR(__xludf.DUMMYFUNCTION("""COMPUTED_VALUE"""),"صيدلية (أدوية ومستلزمات طبية)")</f>
        <v>صيدلية (أدوية ومستلزمات طبية)</v>
      </c>
      <c r="G234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45" s="5" t="str">
        <f ca="1">IFERROR(__xludf.DUMMYFUNCTION("""COMPUTED_VALUE"""),"محل رقم 2و5 شارع صبرى ابو علم -عابدين - القاهرة
")</f>
        <v xml:space="preserve">محل رقم 2و5 شارع صبرى ابو علم -عابدين - القاهرة
</v>
      </c>
      <c r="I2345" s="6" t="str">
        <f ca="1">IFERROR(__xludf.DUMMYFUNCTION("""COMPUTED_VALUE"""),"1103304105")</f>
        <v>1103304105</v>
      </c>
      <c r="J2345" s="6" t="str">
        <f ca="1">IFERROR(__xludf.DUMMYFUNCTION("""COMPUTED_VALUE"""),"19600")</f>
        <v>19600</v>
      </c>
      <c r="K2345" s="6" t="str">
        <f ca="1">IFERROR(__xludf.DUMMYFUNCTION("""COMPUTED_VALUE"""),"7.5 % على المحلى ,5% على المستلزمات الطبية و التجميل")</f>
        <v>7.5 % على المحلى ,5% على المستلزمات الطبية و التجميل</v>
      </c>
    </row>
    <row r="2346" spans="1:11" x14ac:dyDescent="0.25">
      <c r="A2346" s="4" t="str">
        <f ca="1">IFERROR(__xludf.DUMMYFUNCTION("""COMPUTED_VALUE"""),"1683-B")</f>
        <v>1683-B</v>
      </c>
      <c r="B2346" s="5" t="str">
        <f ca="1">IFERROR(__xludf.DUMMYFUNCTION("""COMPUTED_VALUE"""),"القاهرة")</f>
        <v>القاهرة</v>
      </c>
      <c r="C2346" s="5" t="str">
        <f ca="1">IFERROR(__xludf.DUMMYFUNCTION("""COMPUTED_VALUE"""),"المعادى")</f>
        <v>المعادى</v>
      </c>
      <c r="D2346" s="5" t="str">
        <f ca="1">IFERROR(__xludf.DUMMYFUNCTION("""COMPUTED_VALUE"""),"صيدلية")</f>
        <v>صيدلية</v>
      </c>
      <c r="E2346" s="5" t="str">
        <f ca="1">IFERROR(__xludf.DUMMYFUNCTION("""COMPUTED_VALUE"""),"صيدلية")</f>
        <v>صيدلية</v>
      </c>
      <c r="F2346" s="5" t="str">
        <f ca="1">IFERROR(__xludf.DUMMYFUNCTION("""COMPUTED_VALUE"""),"صيدلية (أدوية ومستلزمات طبية)")</f>
        <v>صيدلية (أدوية ومستلزمات طبية)</v>
      </c>
      <c r="G234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46" s="5" t="str">
        <f ca="1">IFERROR(__xludf.DUMMYFUNCTION("""COMPUTED_VALUE"""),"محل 5 عمارة 16 - ش 233 - دجلة المعادي
")</f>
        <v xml:space="preserve">محل 5 عمارة 16 - ش 233 - دجلة المعادي
</v>
      </c>
      <c r="I2346" s="6" t="str">
        <f ca="1">IFERROR(__xludf.DUMMYFUNCTION("""COMPUTED_VALUE"""),"1147774886")</f>
        <v>1147774886</v>
      </c>
      <c r="J2346" s="6" t="str">
        <f ca="1">IFERROR(__xludf.DUMMYFUNCTION("""COMPUTED_VALUE"""),"19600")</f>
        <v>19600</v>
      </c>
      <c r="K2346" s="6" t="str">
        <f ca="1">IFERROR(__xludf.DUMMYFUNCTION("""COMPUTED_VALUE"""),"7.5 % على المحلى ,5% على المستلزمات الطبية و التجميل")</f>
        <v>7.5 % على المحلى ,5% على المستلزمات الطبية و التجميل</v>
      </c>
    </row>
    <row r="2347" spans="1:11" x14ac:dyDescent="0.25">
      <c r="A2347" s="4" t="str">
        <f ca="1">IFERROR(__xludf.DUMMYFUNCTION("""COMPUTED_VALUE"""),"1683-B")</f>
        <v>1683-B</v>
      </c>
      <c r="B2347" s="5" t="str">
        <f ca="1">IFERROR(__xludf.DUMMYFUNCTION("""COMPUTED_VALUE"""),"القاهرة")</f>
        <v>القاهرة</v>
      </c>
      <c r="C2347" s="5" t="str">
        <f ca="1">IFERROR(__xludf.DUMMYFUNCTION("""COMPUTED_VALUE"""),"القاهرة الجديدة")</f>
        <v>القاهرة الجديدة</v>
      </c>
      <c r="D2347" s="5" t="str">
        <f ca="1">IFERROR(__xludf.DUMMYFUNCTION("""COMPUTED_VALUE"""),"صيدلية")</f>
        <v>صيدلية</v>
      </c>
      <c r="E2347" s="5" t="str">
        <f ca="1">IFERROR(__xludf.DUMMYFUNCTION("""COMPUTED_VALUE"""),"صيدلية")</f>
        <v>صيدلية</v>
      </c>
      <c r="F2347" s="5" t="str">
        <f ca="1">IFERROR(__xludf.DUMMYFUNCTION("""COMPUTED_VALUE"""),"صيدلية (أدوية ومستلزمات طبية)")</f>
        <v>صيدلية (أدوية ومستلزمات طبية)</v>
      </c>
      <c r="G234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47" s="5" t="str">
        <f ca="1">IFERROR(__xludf.DUMMYFUNCTION("""COMPUTED_VALUE"""),"محل 100قطاع A السوق الشرقى-التجمع الاول - القاهرة الجديدة
")</f>
        <v xml:space="preserve">محل 100قطاع A السوق الشرقى-التجمع الاول - القاهرة الجديدة
</v>
      </c>
      <c r="I2347" s="6" t="str">
        <f ca="1">IFERROR(__xludf.DUMMYFUNCTION("""COMPUTED_VALUE"""),"1100380571")</f>
        <v>1100380571</v>
      </c>
      <c r="J2347" s="6" t="str">
        <f ca="1">IFERROR(__xludf.DUMMYFUNCTION("""COMPUTED_VALUE"""),"19600")</f>
        <v>19600</v>
      </c>
      <c r="K2347" s="6" t="str">
        <f ca="1">IFERROR(__xludf.DUMMYFUNCTION("""COMPUTED_VALUE"""),"7.5 % على المحلى ,5% على المستلزمات الطبية و التجميل")</f>
        <v>7.5 % على المحلى ,5% على المستلزمات الطبية و التجميل</v>
      </c>
    </row>
    <row r="2348" spans="1:11" x14ac:dyDescent="0.25">
      <c r="A2348" s="4" t="str">
        <f ca="1">IFERROR(__xludf.DUMMYFUNCTION("""COMPUTED_VALUE"""),"1683-B")</f>
        <v>1683-B</v>
      </c>
      <c r="B2348" s="5" t="str">
        <f ca="1">IFERROR(__xludf.DUMMYFUNCTION("""COMPUTED_VALUE"""),"القاهرة")</f>
        <v>القاهرة</v>
      </c>
      <c r="C2348" s="5" t="str">
        <f ca="1">IFERROR(__xludf.DUMMYFUNCTION("""COMPUTED_VALUE"""),"القطامية")</f>
        <v>القطامية</v>
      </c>
      <c r="D2348" s="5" t="str">
        <f ca="1">IFERROR(__xludf.DUMMYFUNCTION("""COMPUTED_VALUE"""),"صيدلية")</f>
        <v>صيدلية</v>
      </c>
      <c r="E2348" s="5" t="str">
        <f ca="1">IFERROR(__xludf.DUMMYFUNCTION("""COMPUTED_VALUE"""),"صيدلية")</f>
        <v>صيدلية</v>
      </c>
      <c r="F2348" s="5" t="str">
        <f ca="1">IFERROR(__xludf.DUMMYFUNCTION("""COMPUTED_VALUE"""),"صيدلية (أدوية ومستلزمات طبية)")</f>
        <v>صيدلية (أدوية ومستلزمات طبية)</v>
      </c>
      <c r="G234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48" s="5" t="str">
        <f ca="1">IFERROR(__xludf.DUMMYFUNCTION("""COMPUTED_VALUE"""),"مجمع شيل اوت النخيل-اخر طريق الشهيد- ميدان محمد زكى
")</f>
        <v xml:space="preserve">مجمع شيل اوت النخيل-اخر طريق الشهيد- ميدان محمد زكى
</v>
      </c>
      <c r="I2348" s="6" t="str">
        <f ca="1">IFERROR(__xludf.DUMMYFUNCTION("""COMPUTED_VALUE"""),"1122239517")</f>
        <v>1122239517</v>
      </c>
      <c r="J2348" s="6" t="str">
        <f ca="1">IFERROR(__xludf.DUMMYFUNCTION("""COMPUTED_VALUE"""),"19600")</f>
        <v>19600</v>
      </c>
      <c r="K2348" s="6" t="str">
        <f ca="1">IFERROR(__xludf.DUMMYFUNCTION("""COMPUTED_VALUE"""),"7.5 % على المحلى ,5% على المستلزمات الطبية و التجميل")</f>
        <v>7.5 % على المحلى ,5% على المستلزمات الطبية و التجميل</v>
      </c>
    </row>
    <row r="2349" spans="1:11" x14ac:dyDescent="0.25">
      <c r="A2349" s="4" t="str">
        <f ca="1">IFERROR(__xludf.DUMMYFUNCTION("""COMPUTED_VALUE"""),"1683-B")</f>
        <v>1683-B</v>
      </c>
      <c r="B2349" s="5" t="str">
        <f ca="1">IFERROR(__xludf.DUMMYFUNCTION("""COMPUTED_VALUE"""),"القاهرة")</f>
        <v>القاهرة</v>
      </c>
      <c r="C2349" s="5" t="str">
        <f ca="1">IFERROR(__xludf.DUMMYFUNCTION("""COMPUTED_VALUE"""),"القاهرة الجديدة")</f>
        <v>القاهرة الجديدة</v>
      </c>
      <c r="D2349" s="5" t="str">
        <f ca="1">IFERROR(__xludf.DUMMYFUNCTION("""COMPUTED_VALUE"""),"صيدلية")</f>
        <v>صيدلية</v>
      </c>
      <c r="E2349" s="5" t="str">
        <f ca="1">IFERROR(__xludf.DUMMYFUNCTION("""COMPUTED_VALUE"""),"صيدلية")</f>
        <v>صيدلية</v>
      </c>
      <c r="F2349" s="5" t="str">
        <f ca="1">IFERROR(__xludf.DUMMYFUNCTION("""COMPUTED_VALUE"""),"صيدلية (أدوية ومستلزمات طبية)")</f>
        <v>صيدلية (أدوية ومستلزمات طبية)</v>
      </c>
      <c r="G234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49" s="5" t="str">
        <f ca="1">IFERROR(__xludf.DUMMYFUNCTION("""COMPUTED_VALUE"""),"""لمحل الكائن بواجهة مدخل المبنى من جهة اليمين بالمركز التجارى المقام على قطعه  الارض رقم 26 خدمات البنفسج التجمع الخامس")</f>
        <v>"لمحل الكائن بواجهة مدخل المبنى من جهة اليمين بالمركز التجارى المقام على قطعه  الارض رقم 26 خدمات البنفسج التجمع الخامس</v>
      </c>
      <c r="I2349" s="6" t="str">
        <f ca="1">IFERROR(__xludf.DUMMYFUNCTION("""COMPUTED_VALUE"""),"01148132619")</f>
        <v>01148132619</v>
      </c>
      <c r="J2349" s="6" t="str">
        <f ca="1">IFERROR(__xludf.DUMMYFUNCTION("""COMPUTED_VALUE"""),"19600")</f>
        <v>19600</v>
      </c>
      <c r="K2349" s="6" t="str">
        <f ca="1">IFERROR(__xludf.DUMMYFUNCTION("""COMPUTED_VALUE"""),"7.5 % على المحلى ,5% على المستلزمات الطبية و التجميل")</f>
        <v>7.5 % على المحلى ,5% على المستلزمات الطبية و التجميل</v>
      </c>
    </row>
    <row r="2350" spans="1:11" x14ac:dyDescent="0.25">
      <c r="A2350" s="4" t="str">
        <f ca="1">IFERROR(__xludf.DUMMYFUNCTION("""COMPUTED_VALUE"""),"1683-B")</f>
        <v>1683-B</v>
      </c>
      <c r="B2350" s="5" t="str">
        <f ca="1">IFERROR(__xludf.DUMMYFUNCTION("""COMPUTED_VALUE"""),"الجيزة")</f>
        <v>الجيزة</v>
      </c>
      <c r="C2350" s="5" t="str">
        <f ca="1">IFERROR(__xludf.DUMMYFUNCTION("""COMPUTED_VALUE"""),"فيصل")</f>
        <v>فيصل</v>
      </c>
      <c r="D2350" s="5" t="str">
        <f ca="1">IFERROR(__xludf.DUMMYFUNCTION("""COMPUTED_VALUE"""),"صيدلية")</f>
        <v>صيدلية</v>
      </c>
      <c r="E2350" s="5" t="str">
        <f ca="1">IFERROR(__xludf.DUMMYFUNCTION("""COMPUTED_VALUE"""),"صيدلية")</f>
        <v>صيدلية</v>
      </c>
      <c r="F2350" s="5" t="str">
        <f ca="1">IFERROR(__xludf.DUMMYFUNCTION("""COMPUTED_VALUE"""),"صيدلية (أدوية ومستلزمات طبية)")</f>
        <v>صيدلية (أدوية ومستلزمات طبية)</v>
      </c>
      <c r="G235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50" s="5" t="str">
        <f ca="1">IFERROR(__xludf.DUMMYFUNCTION("""COMPUTED_VALUE"""),"كفر طهرمس
")</f>
        <v xml:space="preserve">كفر طهرمس
</v>
      </c>
      <c r="I2350" s="6" t="str">
        <f ca="1">IFERROR(__xludf.DUMMYFUNCTION("""COMPUTED_VALUE"""),"1120011628")</f>
        <v>1120011628</v>
      </c>
      <c r="J2350" s="6" t="str">
        <f ca="1">IFERROR(__xludf.DUMMYFUNCTION("""COMPUTED_VALUE"""),"19600")</f>
        <v>19600</v>
      </c>
      <c r="K2350" s="6" t="str">
        <f ca="1">IFERROR(__xludf.DUMMYFUNCTION("""COMPUTED_VALUE"""),"7.5 % على المحلى ,5% على المستلزمات الطبية و التجميل")</f>
        <v>7.5 % على المحلى ,5% على المستلزمات الطبية و التجميل</v>
      </c>
    </row>
    <row r="2351" spans="1:11" x14ac:dyDescent="0.25">
      <c r="A2351" s="4" t="str">
        <f ca="1">IFERROR(__xludf.DUMMYFUNCTION("""COMPUTED_VALUE"""),"1683-B")</f>
        <v>1683-B</v>
      </c>
      <c r="B2351" s="5" t="str">
        <f ca="1">IFERROR(__xludf.DUMMYFUNCTION("""COMPUTED_VALUE"""),"الجيزة")</f>
        <v>الجيزة</v>
      </c>
      <c r="C2351" s="5" t="str">
        <f ca="1">IFERROR(__xludf.DUMMYFUNCTION("""COMPUTED_VALUE"""),"الجيزة")</f>
        <v>الجيزة</v>
      </c>
      <c r="D2351" s="5" t="str">
        <f ca="1">IFERROR(__xludf.DUMMYFUNCTION("""COMPUTED_VALUE"""),"صيدلية")</f>
        <v>صيدلية</v>
      </c>
      <c r="E2351" s="5" t="str">
        <f ca="1">IFERROR(__xludf.DUMMYFUNCTION("""COMPUTED_VALUE"""),"صيدلية")</f>
        <v>صيدلية</v>
      </c>
      <c r="F2351" s="5" t="str">
        <f ca="1">IFERROR(__xludf.DUMMYFUNCTION("""COMPUTED_VALUE"""),"صيدلية (أدوية ومستلزمات طبية)")</f>
        <v>صيدلية (أدوية ومستلزمات طبية)</v>
      </c>
      <c r="G235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51" s="5" t="str">
        <f ca="1">IFERROR(__xludf.DUMMYFUNCTION("""COMPUTED_VALUE"""),"ربيع الجيزي
")</f>
        <v xml:space="preserve">ربيع الجيزي
</v>
      </c>
      <c r="I2351" s="6" t="str">
        <f ca="1">IFERROR(__xludf.DUMMYFUNCTION("""COMPUTED_VALUE"""),"1100268005")</f>
        <v>1100268005</v>
      </c>
      <c r="J2351" s="6" t="str">
        <f ca="1">IFERROR(__xludf.DUMMYFUNCTION("""COMPUTED_VALUE"""),"19600")</f>
        <v>19600</v>
      </c>
      <c r="K2351" s="6" t="str">
        <f ca="1">IFERROR(__xludf.DUMMYFUNCTION("""COMPUTED_VALUE"""),"7.5 % على المحلى ,5% على المستلزمات الطبية و التجميل")</f>
        <v>7.5 % على المحلى ,5% على المستلزمات الطبية و التجميل</v>
      </c>
    </row>
    <row r="2352" spans="1:11" x14ac:dyDescent="0.25">
      <c r="A2352" s="4" t="str">
        <f ca="1">IFERROR(__xludf.DUMMYFUNCTION("""COMPUTED_VALUE"""),"1683-B")</f>
        <v>1683-B</v>
      </c>
      <c r="B2352" s="5" t="str">
        <f ca="1">IFERROR(__xludf.DUMMYFUNCTION("""COMPUTED_VALUE"""),"الجيزة")</f>
        <v>الجيزة</v>
      </c>
      <c r="C2352" s="5" t="str">
        <f ca="1">IFERROR(__xludf.DUMMYFUNCTION("""COMPUTED_VALUE"""),"السادس من اكتوبر")</f>
        <v>السادس من اكتوبر</v>
      </c>
      <c r="D2352" s="5" t="str">
        <f ca="1">IFERROR(__xludf.DUMMYFUNCTION("""COMPUTED_VALUE"""),"صيدلية")</f>
        <v>صيدلية</v>
      </c>
      <c r="E2352" s="5" t="str">
        <f ca="1">IFERROR(__xludf.DUMMYFUNCTION("""COMPUTED_VALUE"""),"صيدلية")</f>
        <v>صيدلية</v>
      </c>
      <c r="F2352" s="5" t="str">
        <f ca="1">IFERROR(__xludf.DUMMYFUNCTION("""COMPUTED_VALUE"""),"صيدلية (أدوية ومستلزمات طبية)")</f>
        <v>صيدلية (أدوية ومستلزمات طبية)</v>
      </c>
      <c r="G235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52" s="5" t="str">
        <f ca="1">IFERROR(__xludf.DUMMYFUNCTION("""COMPUTED_VALUE"""),"محل رقم 21و22 العمرانية الاولى -بجوار محور جمال عبدالناصر-
هابى تاون-التوسعات الشمالية -اكتوبر -الجيزة")</f>
        <v>محل رقم 21و22 العمرانية الاولى -بجوار محور جمال عبدالناصر-
هابى تاون-التوسعات الشمالية -اكتوبر -الجيزة</v>
      </c>
      <c r="I2352" s="6" t="str">
        <f ca="1">IFERROR(__xludf.DUMMYFUNCTION("""COMPUTED_VALUE"""),"1100341011")</f>
        <v>1100341011</v>
      </c>
      <c r="J2352" s="6" t="str">
        <f ca="1">IFERROR(__xludf.DUMMYFUNCTION("""COMPUTED_VALUE"""),"19600")</f>
        <v>19600</v>
      </c>
      <c r="K2352" s="6" t="str">
        <f ca="1">IFERROR(__xludf.DUMMYFUNCTION("""COMPUTED_VALUE"""),"7.5 % على المحلى ,5% على المستلزمات الطبية و التجميل")</f>
        <v>7.5 % على المحلى ,5% على المستلزمات الطبية و التجميل</v>
      </c>
    </row>
    <row r="2353" spans="1:11" x14ac:dyDescent="0.25">
      <c r="A2353" s="4" t="str">
        <f ca="1">IFERROR(__xludf.DUMMYFUNCTION("""COMPUTED_VALUE"""),"1683-B")</f>
        <v>1683-B</v>
      </c>
      <c r="B2353" s="5" t="str">
        <f ca="1">IFERROR(__xludf.DUMMYFUNCTION("""COMPUTED_VALUE"""),"الجيزة")</f>
        <v>الجيزة</v>
      </c>
      <c r="C2353" s="5" t="str">
        <f ca="1">IFERROR(__xludf.DUMMYFUNCTION("""COMPUTED_VALUE"""),"فيصل")</f>
        <v>فيصل</v>
      </c>
      <c r="D2353" s="5" t="str">
        <f ca="1">IFERROR(__xludf.DUMMYFUNCTION("""COMPUTED_VALUE"""),"صيدلية")</f>
        <v>صيدلية</v>
      </c>
      <c r="E2353" s="5" t="str">
        <f ca="1">IFERROR(__xludf.DUMMYFUNCTION("""COMPUTED_VALUE"""),"صيدلية")</f>
        <v>صيدلية</v>
      </c>
      <c r="F2353" s="5" t="str">
        <f ca="1">IFERROR(__xludf.DUMMYFUNCTION("""COMPUTED_VALUE"""),"صيدلية (أدوية ومستلزمات طبية)")</f>
        <v>صيدلية (أدوية ومستلزمات طبية)</v>
      </c>
      <c r="G235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53" s="5" t="str">
        <f ca="1">IFERROR(__xludf.DUMMYFUNCTION("""COMPUTED_VALUE"""),"115 شارع الملك فيصل - محطة الكوم الاخضر - العمرانية - الجيزة
")</f>
        <v xml:space="preserve">115 شارع الملك فيصل - محطة الكوم الاخضر - العمرانية - الجيزة
</v>
      </c>
      <c r="I2353" s="6" t="str">
        <f ca="1">IFERROR(__xludf.DUMMYFUNCTION("""COMPUTED_VALUE"""),"1127610006")</f>
        <v>1127610006</v>
      </c>
      <c r="J2353" s="6" t="str">
        <f ca="1">IFERROR(__xludf.DUMMYFUNCTION("""COMPUTED_VALUE"""),"19600")</f>
        <v>19600</v>
      </c>
      <c r="K2353" s="6" t="str">
        <f ca="1">IFERROR(__xludf.DUMMYFUNCTION("""COMPUTED_VALUE"""),"7.5 % على المحلى ,5% على المستلزمات الطبية و التجميل")</f>
        <v>7.5 % على المحلى ,5% على المستلزمات الطبية و التجميل</v>
      </c>
    </row>
    <row r="2354" spans="1:11" x14ac:dyDescent="0.25">
      <c r="A2354" s="4" t="str">
        <f ca="1">IFERROR(__xludf.DUMMYFUNCTION("""COMPUTED_VALUE"""),"1683-B")</f>
        <v>1683-B</v>
      </c>
      <c r="B2354" s="5" t="str">
        <f ca="1">IFERROR(__xludf.DUMMYFUNCTION("""COMPUTED_VALUE"""),"الجيزة")</f>
        <v>الجيزة</v>
      </c>
      <c r="C2354" s="5" t="str">
        <f ca="1">IFERROR(__xludf.DUMMYFUNCTION("""COMPUTED_VALUE"""),"فيصل")</f>
        <v>فيصل</v>
      </c>
      <c r="D2354" s="5" t="str">
        <f ca="1">IFERROR(__xludf.DUMMYFUNCTION("""COMPUTED_VALUE"""),"صيدلية")</f>
        <v>صيدلية</v>
      </c>
      <c r="E2354" s="5" t="str">
        <f ca="1">IFERROR(__xludf.DUMMYFUNCTION("""COMPUTED_VALUE"""),"صيدلية")</f>
        <v>صيدلية</v>
      </c>
      <c r="F2354" s="5" t="str">
        <f ca="1">IFERROR(__xludf.DUMMYFUNCTION("""COMPUTED_VALUE"""),"صيدلية (أدوية ومستلزمات طبية)")</f>
        <v>صيدلية (أدوية ومستلزمات طبية)</v>
      </c>
      <c r="G235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54" s="5" t="str">
        <f ca="1">IFERROR(__xludf.DUMMYFUNCTION("""COMPUTED_VALUE"""),"195شارع فيصل -الطوابق-الجيزة
")</f>
        <v xml:space="preserve">195شارع فيصل -الطوابق-الجيزة
</v>
      </c>
      <c r="I2354" s="6" t="str">
        <f ca="1">IFERROR(__xludf.DUMMYFUNCTION("""COMPUTED_VALUE"""),"1124575458")</f>
        <v>1124575458</v>
      </c>
      <c r="J2354" s="6" t="str">
        <f ca="1">IFERROR(__xludf.DUMMYFUNCTION("""COMPUTED_VALUE"""),"19600")</f>
        <v>19600</v>
      </c>
      <c r="K2354" s="6" t="str">
        <f ca="1">IFERROR(__xludf.DUMMYFUNCTION("""COMPUTED_VALUE"""),"7.5 % على المحلى ,5% على المستلزمات الطبية و التجميل")</f>
        <v>7.5 % على المحلى ,5% على المستلزمات الطبية و التجميل</v>
      </c>
    </row>
    <row r="2355" spans="1:11" x14ac:dyDescent="0.25">
      <c r="A2355" s="4" t="str">
        <f ca="1">IFERROR(__xludf.DUMMYFUNCTION("""COMPUTED_VALUE"""),"1683-B")</f>
        <v>1683-B</v>
      </c>
      <c r="B2355" s="5" t="str">
        <f ca="1">IFERROR(__xludf.DUMMYFUNCTION("""COMPUTED_VALUE"""),"الجيزة")</f>
        <v>الجيزة</v>
      </c>
      <c r="C2355" s="5" t="str">
        <f ca="1">IFERROR(__xludf.DUMMYFUNCTION("""COMPUTED_VALUE"""),"الهرم")</f>
        <v>الهرم</v>
      </c>
      <c r="D2355" s="5" t="str">
        <f ca="1">IFERROR(__xludf.DUMMYFUNCTION("""COMPUTED_VALUE"""),"صيدلية")</f>
        <v>صيدلية</v>
      </c>
      <c r="E2355" s="5" t="str">
        <f ca="1">IFERROR(__xludf.DUMMYFUNCTION("""COMPUTED_VALUE"""),"صيدلية")</f>
        <v>صيدلية</v>
      </c>
      <c r="F2355" s="5" t="str">
        <f ca="1">IFERROR(__xludf.DUMMYFUNCTION("""COMPUTED_VALUE"""),"صيدلية (أدوية ومستلزمات طبية)")</f>
        <v>صيدلية (أدوية ومستلزمات طبية)</v>
      </c>
      <c r="G235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55" s="5" t="str">
        <f ca="1">IFERROR(__xludf.DUMMYFUNCTION("""COMPUTED_VALUE"""),"2 شارع السلام من شارع الهرم- امام فندق اوربا - الجيزة
")</f>
        <v xml:space="preserve">2 شارع السلام من شارع الهرم- امام فندق اوربا - الجيزة
</v>
      </c>
      <c r="I2355" s="6" t="str">
        <f ca="1">IFERROR(__xludf.DUMMYFUNCTION("""COMPUTED_VALUE"""),"1142608077")</f>
        <v>1142608077</v>
      </c>
      <c r="J2355" s="6" t="str">
        <f ca="1">IFERROR(__xludf.DUMMYFUNCTION("""COMPUTED_VALUE"""),"19600")</f>
        <v>19600</v>
      </c>
      <c r="K2355" s="6" t="str">
        <f ca="1">IFERROR(__xludf.DUMMYFUNCTION("""COMPUTED_VALUE"""),"7.5 % على المحلى ,5% على المستلزمات الطبية و التجميل")</f>
        <v>7.5 % على المحلى ,5% على المستلزمات الطبية و التجميل</v>
      </c>
    </row>
    <row r="2356" spans="1:11" x14ac:dyDescent="0.25">
      <c r="A2356" s="4" t="str">
        <f ca="1">IFERROR(__xludf.DUMMYFUNCTION("""COMPUTED_VALUE"""),"1683-B")</f>
        <v>1683-B</v>
      </c>
      <c r="B2356" s="5" t="str">
        <f ca="1">IFERROR(__xludf.DUMMYFUNCTION("""COMPUTED_VALUE"""),"الجيزة")</f>
        <v>الجيزة</v>
      </c>
      <c r="C2356" s="5" t="str">
        <f ca="1">IFERROR(__xludf.DUMMYFUNCTION("""COMPUTED_VALUE"""),"حدائق الاهرام")</f>
        <v>حدائق الاهرام</v>
      </c>
      <c r="D2356" s="5" t="str">
        <f ca="1">IFERROR(__xludf.DUMMYFUNCTION("""COMPUTED_VALUE"""),"صيدلية")</f>
        <v>صيدلية</v>
      </c>
      <c r="E2356" s="5" t="str">
        <f ca="1">IFERROR(__xludf.DUMMYFUNCTION("""COMPUTED_VALUE"""),"صيدلية")</f>
        <v>صيدلية</v>
      </c>
      <c r="F2356" s="5" t="str">
        <f ca="1">IFERROR(__xludf.DUMMYFUNCTION("""COMPUTED_VALUE"""),"صيدلية (أدوية ومستلزمات طبية)")</f>
        <v>صيدلية (أدوية ومستلزمات طبية)</v>
      </c>
      <c r="G235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56" s="5" t="str">
        <f ca="1">IFERROR(__xludf.DUMMYFUNCTION("""COMPUTED_VALUE"""),"272 د حدايق الاهرام-البوابة الثانية الجديدة-حدايق الاهرام 
")</f>
        <v xml:space="preserve">272 د حدايق الاهرام-البوابة الثانية الجديدة-حدايق الاهرام 
</v>
      </c>
      <c r="I2356" s="6" t="str">
        <f ca="1">IFERROR(__xludf.DUMMYFUNCTION("""COMPUTED_VALUE"""),"1100380465")</f>
        <v>1100380465</v>
      </c>
      <c r="J2356" s="6" t="str">
        <f ca="1">IFERROR(__xludf.DUMMYFUNCTION("""COMPUTED_VALUE"""),"19600")</f>
        <v>19600</v>
      </c>
      <c r="K2356" s="6" t="str">
        <f ca="1">IFERROR(__xludf.DUMMYFUNCTION("""COMPUTED_VALUE"""),"7.5 % على المحلى ,5% على المستلزمات الطبية و التجميل")</f>
        <v>7.5 % على المحلى ,5% على المستلزمات الطبية و التجميل</v>
      </c>
    </row>
    <row r="2357" spans="1:11" x14ac:dyDescent="0.25">
      <c r="A2357" s="4" t="str">
        <f ca="1">IFERROR(__xludf.DUMMYFUNCTION("""COMPUTED_VALUE"""),"1683-B")</f>
        <v>1683-B</v>
      </c>
      <c r="B2357" s="5" t="str">
        <f ca="1">IFERROR(__xludf.DUMMYFUNCTION("""COMPUTED_VALUE"""),"الجيزة")</f>
        <v>الجيزة</v>
      </c>
      <c r="C2357" s="5" t="str">
        <f ca="1">IFERROR(__xludf.DUMMYFUNCTION("""COMPUTED_VALUE"""),"فيصل")</f>
        <v>فيصل</v>
      </c>
      <c r="D2357" s="5" t="str">
        <f ca="1">IFERROR(__xludf.DUMMYFUNCTION("""COMPUTED_VALUE"""),"صيدلية")</f>
        <v>صيدلية</v>
      </c>
      <c r="E2357" s="5" t="str">
        <f ca="1">IFERROR(__xludf.DUMMYFUNCTION("""COMPUTED_VALUE"""),"صيدلية")</f>
        <v>صيدلية</v>
      </c>
      <c r="F2357" s="5" t="str">
        <f ca="1">IFERROR(__xludf.DUMMYFUNCTION("""COMPUTED_VALUE"""),"صيدلية (أدوية ومستلزمات طبية)")</f>
        <v>صيدلية (أدوية ومستلزمات طبية)</v>
      </c>
      <c r="G235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57" s="5" t="str">
        <f ca="1">IFERROR(__xludf.DUMMYFUNCTION("""COMPUTED_VALUE"""),"432شارع الملك فيصل-فيصل-الجيزة
")</f>
        <v xml:space="preserve">432شارع الملك فيصل-فيصل-الجيزة
</v>
      </c>
      <c r="I2357" s="6" t="str">
        <f ca="1">IFERROR(__xludf.DUMMYFUNCTION("""COMPUTED_VALUE"""),"1100299091")</f>
        <v>1100299091</v>
      </c>
      <c r="J2357" s="6" t="str">
        <f ca="1">IFERROR(__xludf.DUMMYFUNCTION("""COMPUTED_VALUE"""),"19600")</f>
        <v>19600</v>
      </c>
      <c r="K2357" s="6" t="str">
        <f ca="1">IFERROR(__xludf.DUMMYFUNCTION("""COMPUTED_VALUE"""),"7.5 % على المحلى ,5% على المستلزمات الطبية و التجميل")</f>
        <v>7.5 % على المحلى ,5% على المستلزمات الطبية و التجميل</v>
      </c>
    </row>
    <row r="2358" spans="1:11" x14ac:dyDescent="0.25">
      <c r="A2358" s="4" t="str">
        <f ca="1">IFERROR(__xludf.DUMMYFUNCTION("""COMPUTED_VALUE"""),"1683-B")</f>
        <v>1683-B</v>
      </c>
      <c r="B2358" s="5" t="str">
        <f ca="1">IFERROR(__xludf.DUMMYFUNCTION("""COMPUTED_VALUE"""),"الجيزة")</f>
        <v>الجيزة</v>
      </c>
      <c r="C2358" s="5" t="str">
        <f ca="1">IFERROR(__xludf.DUMMYFUNCTION("""COMPUTED_VALUE"""),"المهندسين")</f>
        <v>المهندسين</v>
      </c>
      <c r="D2358" s="5" t="str">
        <f ca="1">IFERROR(__xludf.DUMMYFUNCTION("""COMPUTED_VALUE"""),"صيدلية")</f>
        <v>صيدلية</v>
      </c>
      <c r="E2358" s="5" t="str">
        <f ca="1">IFERROR(__xludf.DUMMYFUNCTION("""COMPUTED_VALUE"""),"صيدلية")</f>
        <v>صيدلية</v>
      </c>
      <c r="F2358" s="5" t="str">
        <f ca="1">IFERROR(__xludf.DUMMYFUNCTION("""COMPUTED_VALUE"""),"صيدلية (أدوية ومستلزمات طبية)")</f>
        <v>صيدلية (أدوية ومستلزمات طبية)</v>
      </c>
      <c r="G235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58" s="5" t="str">
        <f ca="1">IFERROR(__xludf.DUMMYFUNCTION("""COMPUTED_VALUE"""),"44 ش عبدالمنعم رياض متفرع من البطل احمد عبدالعزيز-المهندسين بجوار سفارة السنغال وامام برج الاطباء
")</f>
        <v xml:space="preserve">44 ش عبدالمنعم رياض متفرع من البطل احمد عبدالعزيز-المهندسين بجوار سفارة السنغال وامام برج الاطباء
</v>
      </c>
      <c r="I2358" s="6" t="str">
        <f ca="1">IFERROR(__xludf.DUMMYFUNCTION("""COMPUTED_VALUE"""),"1103013134")</f>
        <v>1103013134</v>
      </c>
      <c r="J2358" s="6" t="str">
        <f ca="1">IFERROR(__xludf.DUMMYFUNCTION("""COMPUTED_VALUE"""),"19600")</f>
        <v>19600</v>
      </c>
      <c r="K2358" s="6" t="str">
        <f ca="1">IFERROR(__xludf.DUMMYFUNCTION("""COMPUTED_VALUE"""),"7.5 % على المحلى ,5% على المستلزمات الطبية و التجميل")</f>
        <v>7.5 % على المحلى ,5% على المستلزمات الطبية و التجميل</v>
      </c>
    </row>
    <row r="2359" spans="1:11" x14ac:dyDescent="0.25">
      <c r="A2359" s="4" t="str">
        <f ca="1">IFERROR(__xludf.DUMMYFUNCTION("""COMPUTED_VALUE"""),"1683-B")</f>
        <v>1683-B</v>
      </c>
      <c r="B2359" s="5" t="str">
        <f ca="1">IFERROR(__xludf.DUMMYFUNCTION("""COMPUTED_VALUE"""),"الجيزة")</f>
        <v>الجيزة</v>
      </c>
      <c r="C2359" s="5" t="str">
        <f ca="1">IFERROR(__xludf.DUMMYFUNCTION("""COMPUTED_VALUE"""),"ترسا")</f>
        <v>ترسا</v>
      </c>
      <c r="D2359" s="5" t="str">
        <f ca="1">IFERROR(__xludf.DUMMYFUNCTION("""COMPUTED_VALUE"""),"صيدلية")</f>
        <v>صيدلية</v>
      </c>
      <c r="E2359" s="5" t="str">
        <f ca="1">IFERROR(__xludf.DUMMYFUNCTION("""COMPUTED_VALUE"""),"صيدلية")</f>
        <v>صيدلية</v>
      </c>
      <c r="F2359" s="5" t="str">
        <f ca="1">IFERROR(__xludf.DUMMYFUNCTION("""COMPUTED_VALUE"""),"صيدلية (أدوية ومستلزمات طبية)")</f>
        <v>صيدلية (أدوية ومستلزمات طبية)</v>
      </c>
      <c r="G235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59" s="5" t="str">
        <f ca="1">IFERROR(__xludf.DUMMYFUNCTION("""COMPUTED_VALUE"""),"50شارع السادات-  (ترسا )برج قصر الاهرام
")</f>
        <v xml:space="preserve">50شارع السادات-  (ترسا )برج قصر الاهرام
</v>
      </c>
      <c r="I2359" s="6" t="str">
        <f ca="1">IFERROR(__xludf.DUMMYFUNCTION("""COMPUTED_VALUE"""),"1111559253")</f>
        <v>1111559253</v>
      </c>
      <c r="J2359" s="6" t="str">
        <f ca="1">IFERROR(__xludf.DUMMYFUNCTION("""COMPUTED_VALUE"""),"19600")</f>
        <v>19600</v>
      </c>
      <c r="K2359" s="6" t="str">
        <f ca="1">IFERROR(__xludf.DUMMYFUNCTION("""COMPUTED_VALUE"""),"7.5 % على المحلى ,5% على المستلزمات الطبية و التجميل")</f>
        <v>7.5 % على المحلى ,5% على المستلزمات الطبية و التجميل</v>
      </c>
    </row>
    <row r="2360" spans="1:11" x14ac:dyDescent="0.25">
      <c r="A2360" s="4" t="str">
        <f ca="1">IFERROR(__xludf.DUMMYFUNCTION("""COMPUTED_VALUE"""),"1683-B")</f>
        <v>1683-B</v>
      </c>
      <c r="B2360" s="5" t="str">
        <f ca="1">IFERROR(__xludf.DUMMYFUNCTION("""COMPUTED_VALUE"""),"الجيزة")</f>
        <v>الجيزة</v>
      </c>
      <c r="C2360" s="5" t="str">
        <f ca="1">IFERROR(__xludf.DUMMYFUNCTION("""COMPUTED_VALUE"""),"حدائق الاهرام")</f>
        <v>حدائق الاهرام</v>
      </c>
      <c r="D2360" s="5" t="str">
        <f ca="1">IFERROR(__xludf.DUMMYFUNCTION("""COMPUTED_VALUE"""),"صيدلية")</f>
        <v>صيدلية</v>
      </c>
      <c r="E2360" s="5" t="str">
        <f ca="1">IFERROR(__xludf.DUMMYFUNCTION("""COMPUTED_VALUE"""),"صيدلية")</f>
        <v>صيدلية</v>
      </c>
      <c r="F2360" s="5" t="str">
        <f ca="1">IFERROR(__xludf.DUMMYFUNCTION("""COMPUTED_VALUE"""),"صيدلية (أدوية ومستلزمات طبية)")</f>
        <v>صيدلية (أدوية ومستلزمات طبية)</v>
      </c>
      <c r="G236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60" s="5" t="str">
        <f ca="1">IFERROR(__xludf.DUMMYFUNCTION("""COMPUTED_VALUE"""),"5منطقة ح -حدايق الاهرام-االبوابة الرابعه -الجيزة
")</f>
        <v xml:space="preserve">5منطقة ح -حدايق الاهرام-االبوابة الرابعه -الجيزة
</v>
      </c>
      <c r="I2360" s="6" t="str">
        <f ca="1">IFERROR(__xludf.DUMMYFUNCTION("""COMPUTED_VALUE"""),"1103200649")</f>
        <v>1103200649</v>
      </c>
      <c r="J2360" s="6" t="str">
        <f ca="1">IFERROR(__xludf.DUMMYFUNCTION("""COMPUTED_VALUE"""),"19600")</f>
        <v>19600</v>
      </c>
      <c r="K2360" s="6" t="str">
        <f ca="1">IFERROR(__xludf.DUMMYFUNCTION("""COMPUTED_VALUE"""),"7.5 % على المحلى ,5% على المستلزمات الطبية و التجميل")</f>
        <v>7.5 % على المحلى ,5% على المستلزمات الطبية و التجميل</v>
      </c>
    </row>
    <row r="2361" spans="1:11" x14ac:dyDescent="0.25">
      <c r="A2361" s="4" t="str">
        <f ca="1">IFERROR(__xludf.DUMMYFUNCTION("""COMPUTED_VALUE"""),"1683-B")</f>
        <v>1683-B</v>
      </c>
      <c r="B2361" s="5" t="str">
        <f ca="1">IFERROR(__xludf.DUMMYFUNCTION("""COMPUTED_VALUE"""),"الجيزة")</f>
        <v>الجيزة</v>
      </c>
      <c r="C2361" s="5" t="str">
        <f ca="1">IFERROR(__xludf.DUMMYFUNCTION("""COMPUTED_VALUE"""),"السادس من اكتوبر")</f>
        <v>السادس من اكتوبر</v>
      </c>
      <c r="D2361" s="5" t="str">
        <f ca="1">IFERROR(__xludf.DUMMYFUNCTION("""COMPUTED_VALUE"""),"صيدلية")</f>
        <v>صيدلية</v>
      </c>
      <c r="E2361" s="5" t="str">
        <f ca="1">IFERROR(__xludf.DUMMYFUNCTION("""COMPUTED_VALUE"""),"صيدلية")</f>
        <v>صيدلية</v>
      </c>
      <c r="F2361" s="5" t="str">
        <f ca="1">IFERROR(__xludf.DUMMYFUNCTION("""COMPUTED_VALUE"""),"صيدلية (أدوية ومستلزمات طبية)")</f>
        <v>صيدلية (أدوية ومستلزمات طبية)</v>
      </c>
      <c r="G236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61" s="5" t="str">
        <f ca="1">IFERROR(__xludf.DUMMYFUNCTION("""COMPUTED_VALUE"""),"6 اكتوبر | الحى السادس|مركز وادى الملوك-جيزة")</f>
        <v>6 اكتوبر | الحى السادس|مركز وادى الملوك-جيزة</v>
      </c>
      <c r="I2361" s="6" t="str">
        <f ca="1">IFERROR(__xludf.DUMMYFUNCTION("""COMPUTED_VALUE"""),"01118442929")</f>
        <v>01118442929</v>
      </c>
      <c r="J2361" s="6" t="str">
        <f ca="1">IFERROR(__xludf.DUMMYFUNCTION("""COMPUTED_VALUE"""),"19600")</f>
        <v>19600</v>
      </c>
      <c r="K2361" s="6" t="str">
        <f ca="1">IFERROR(__xludf.DUMMYFUNCTION("""COMPUTED_VALUE"""),"7.5 % على المحلى ,5% على المستلزمات الطبية و التجميل")</f>
        <v>7.5 % على المحلى ,5% على المستلزمات الطبية و التجميل</v>
      </c>
    </row>
    <row r="2362" spans="1:11" x14ac:dyDescent="0.25">
      <c r="A2362" s="4" t="str">
        <f ca="1">IFERROR(__xludf.DUMMYFUNCTION("""COMPUTED_VALUE"""),"1683-B")</f>
        <v>1683-B</v>
      </c>
      <c r="B2362" s="5" t="str">
        <f ca="1">IFERROR(__xludf.DUMMYFUNCTION("""COMPUTED_VALUE"""),"الجيزة")</f>
        <v>الجيزة</v>
      </c>
      <c r="C2362" s="5" t="str">
        <f ca="1">IFERROR(__xludf.DUMMYFUNCTION("""COMPUTED_VALUE"""),"امبابة")</f>
        <v>امبابة</v>
      </c>
      <c r="D2362" s="5" t="str">
        <f ca="1">IFERROR(__xludf.DUMMYFUNCTION("""COMPUTED_VALUE"""),"صيدلية")</f>
        <v>صيدلية</v>
      </c>
      <c r="E2362" s="5" t="str">
        <f ca="1">IFERROR(__xludf.DUMMYFUNCTION("""COMPUTED_VALUE"""),"صيدلية")</f>
        <v>صيدلية</v>
      </c>
      <c r="F2362" s="5" t="str">
        <f ca="1">IFERROR(__xludf.DUMMYFUNCTION("""COMPUTED_VALUE"""),"صيدلية (أدوية ومستلزمات طبية)")</f>
        <v>صيدلية (أدوية ومستلزمات طبية)</v>
      </c>
      <c r="G236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62" s="5" t="str">
        <f ca="1">IFERROR(__xludf.DUMMYFUNCTION("""COMPUTED_VALUE"""),"71شارع الوحدة -المنيرة-امبابة -الجيزة")</f>
        <v>71شارع الوحدة -المنيرة-امبابة -الجيزة</v>
      </c>
      <c r="I2362" s="6" t="str">
        <f ca="1">IFERROR(__xludf.DUMMYFUNCTION("""COMPUTED_VALUE"""),"01140524000")</f>
        <v>01140524000</v>
      </c>
      <c r="J2362" s="6" t="str">
        <f ca="1">IFERROR(__xludf.DUMMYFUNCTION("""COMPUTED_VALUE"""),"19600")</f>
        <v>19600</v>
      </c>
      <c r="K2362" s="6" t="str">
        <f ca="1">IFERROR(__xludf.DUMMYFUNCTION("""COMPUTED_VALUE"""),"7.5 % على المحلى ,5% على المستلزمات الطبية و التجميل")</f>
        <v>7.5 % على المحلى ,5% على المستلزمات الطبية و التجميل</v>
      </c>
    </row>
    <row r="2363" spans="1:11" x14ac:dyDescent="0.25">
      <c r="A2363" s="4" t="str">
        <f ca="1">IFERROR(__xludf.DUMMYFUNCTION("""COMPUTED_VALUE"""),"1683-B")</f>
        <v>1683-B</v>
      </c>
      <c r="B2363" s="5" t="str">
        <f ca="1">IFERROR(__xludf.DUMMYFUNCTION("""COMPUTED_VALUE"""),"الجيزة")</f>
        <v>الجيزة</v>
      </c>
      <c r="C2363" s="5" t="str">
        <f ca="1">IFERROR(__xludf.DUMMYFUNCTION("""COMPUTED_VALUE"""),"الهرم")</f>
        <v>الهرم</v>
      </c>
      <c r="D2363" s="5" t="str">
        <f ca="1">IFERROR(__xludf.DUMMYFUNCTION("""COMPUTED_VALUE"""),"صيدلية")</f>
        <v>صيدلية</v>
      </c>
      <c r="E2363" s="5" t="str">
        <f ca="1">IFERROR(__xludf.DUMMYFUNCTION("""COMPUTED_VALUE"""),"صيدلية")</f>
        <v>صيدلية</v>
      </c>
      <c r="F2363" s="5" t="str">
        <f ca="1">IFERROR(__xludf.DUMMYFUNCTION("""COMPUTED_VALUE"""),"صيدلية (أدوية ومستلزمات طبية)")</f>
        <v>صيدلية (أدوية ومستلزمات طبية)</v>
      </c>
      <c r="G236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63" s="5" t="str">
        <f ca="1">IFERROR(__xludf.DUMMYFUNCTION("""COMPUTED_VALUE"""),"77 ترعة المنصورية محل رقم 3 خلف البنك الوطني الكويتي - بجوار تسيباس - الهرم 
")</f>
        <v xml:space="preserve">77 ترعة المنصورية محل رقم 3 خلف البنك الوطني الكويتي - بجوار تسيباس - الهرم 
</v>
      </c>
      <c r="I2363" s="6" t="str">
        <f ca="1">IFERROR(__xludf.DUMMYFUNCTION("""COMPUTED_VALUE"""),"1111259510")</f>
        <v>1111259510</v>
      </c>
      <c r="J2363" s="6" t="str">
        <f ca="1">IFERROR(__xludf.DUMMYFUNCTION("""COMPUTED_VALUE"""),"19600")</f>
        <v>19600</v>
      </c>
      <c r="K2363" s="6" t="str">
        <f ca="1">IFERROR(__xludf.DUMMYFUNCTION("""COMPUTED_VALUE"""),"7.5 % على المحلى ,5% على المستلزمات الطبية و التجميل")</f>
        <v>7.5 % على المحلى ,5% على المستلزمات الطبية و التجميل</v>
      </c>
    </row>
    <row r="2364" spans="1:11" x14ac:dyDescent="0.25">
      <c r="A2364" s="4" t="str">
        <f ca="1">IFERROR(__xludf.DUMMYFUNCTION("""COMPUTED_VALUE"""),"1683-B")</f>
        <v>1683-B</v>
      </c>
      <c r="B2364" s="5" t="str">
        <f ca="1">IFERROR(__xludf.DUMMYFUNCTION("""COMPUTED_VALUE"""),"الجيزة")</f>
        <v>الجيزة</v>
      </c>
      <c r="C2364" s="5" t="str">
        <f ca="1">IFERROR(__xludf.DUMMYFUNCTION("""COMPUTED_VALUE"""),"فيصل")</f>
        <v>فيصل</v>
      </c>
      <c r="D2364" s="5" t="str">
        <f ca="1">IFERROR(__xludf.DUMMYFUNCTION("""COMPUTED_VALUE"""),"صيدلية")</f>
        <v>صيدلية</v>
      </c>
      <c r="E2364" s="5" t="str">
        <f ca="1">IFERROR(__xludf.DUMMYFUNCTION("""COMPUTED_VALUE"""),"صيدلية")</f>
        <v>صيدلية</v>
      </c>
      <c r="F2364" s="5" t="str">
        <f ca="1">IFERROR(__xludf.DUMMYFUNCTION("""COMPUTED_VALUE"""),"صيدلية (أدوية ومستلزمات طبية)")</f>
        <v>صيدلية (أدوية ومستلزمات طبية)</v>
      </c>
      <c r="G236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64" s="5" t="str">
        <f ca="1">IFERROR(__xludf.DUMMYFUNCTION("""COMPUTED_VALUE"""),"85شارع فيصل الرئيسى -الجيزة")</f>
        <v>85شارع فيصل الرئيسى -الجيزة</v>
      </c>
      <c r="I2364" s="6" t="str">
        <f ca="1">IFERROR(__xludf.DUMMYFUNCTION("""COMPUTED_VALUE"""),"1100450041")</f>
        <v>1100450041</v>
      </c>
      <c r="J2364" s="6" t="str">
        <f ca="1">IFERROR(__xludf.DUMMYFUNCTION("""COMPUTED_VALUE"""),"19600")</f>
        <v>19600</v>
      </c>
      <c r="K2364" s="6" t="str">
        <f ca="1">IFERROR(__xludf.DUMMYFUNCTION("""COMPUTED_VALUE"""),"7.5 % على المحلى ,5% على المستلزمات الطبية و التجميل")</f>
        <v>7.5 % على المحلى ,5% على المستلزمات الطبية و التجميل</v>
      </c>
    </row>
    <row r="2365" spans="1:11" x14ac:dyDescent="0.25">
      <c r="A2365" s="4" t="str">
        <f ca="1">IFERROR(__xludf.DUMMYFUNCTION("""COMPUTED_VALUE"""),"1683-B")</f>
        <v>1683-B</v>
      </c>
      <c r="B2365" s="5" t="str">
        <f ca="1">IFERROR(__xludf.DUMMYFUNCTION("""COMPUTED_VALUE"""),"الجيزة")</f>
        <v>الجيزة</v>
      </c>
      <c r="C2365" s="5" t="str">
        <f ca="1">IFERROR(__xludf.DUMMYFUNCTION("""COMPUTED_VALUE"""),"السادس من اكتوبر")</f>
        <v>السادس من اكتوبر</v>
      </c>
      <c r="D2365" s="5" t="str">
        <f ca="1">IFERROR(__xludf.DUMMYFUNCTION("""COMPUTED_VALUE"""),"صيدلية")</f>
        <v>صيدلية</v>
      </c>
      <c r="E2365" s="5" t="str">
        <f ca="1">IFERROR(__xludf.DUMMYFUNCTION("""COMPUTED_VALUE"""),"صيدلية")</f>
        <v>صيدلية</v>
      </c>
      <c r="F2365" s="5" t="str">
        <f ca="1">IFERROR(__xludf.DUMMYFUNCTION("""COMPUTED_VALUE"""),"صيدلية (أدوية ومستلزمات طبية)")</f>
        <v>صيدلية (أدوية ومستلزمات طبية)</v>
      </c>
      <c r="G236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65" s="5" t="str">
        <f ca="1">IFERROR(__xludf.DUMMYFUNCTION("""COMPUTED_VALUE"""),"التوسعات الشرقية-قطعه 12و13-ميدان بالم هيلز -6اكتوبر")</f>
        <v>التوسعات الشرقية-قطعه 12و13-ميدان بالم هيلز -6اكتوبر</v>
      </c>
      <c r="I2365" s="6" t="str">
        <f ca="1">IFERROR(__xludf.DUMMYFUNCTION("""COMPUTED_VALUE"""),"1159519389")</f>
        <v>1159519389</v>
      </c>
      <c r="J2365" s="6" t="str">
        <f ca="1">IFERROR(__xludf.DUMMYFUNCTION("""COMPUTED_VALUE"""),"19600")</f>
        <v>19600</v>
      </c>
      <c r="K2365" s="6" t="str">
        <f ca="1">IFERROR(__xludf.DUMMYFUNCTION("""COMPUTED_VALUE"""),"7.5 % على المحلى ,5% على المستلزمات الطبية و التجميل")</f>
        <v>7.5 % على المحلى ,5% على المستلزمات الطبية و التجميل</v>
      </c>
    </row>
    <row r="2366" spans="1:11" x14ac:dyDescent="0.25">
      <c r="A2366" s="4" t="str">
        <f ca="1">IFERROR(__xludf.DUMMYFUNCTION("""COMPUTED_VALUE"""),"1683-B")</f>
        <v>1683-B</v>
      </c>
      <c r="B2366" s="5" t="str">
        <f ca="1">IFERROR(__xludf.DUMMYFUNCTION("""COMPUTED_VALUE"""),"الجيزة")</f>
        <v>الجيزة</v>
      </c>
      <c r="C2366" s="5" t="str">
        <f ca="1">IFERROR(__xludf.DUMMYFUNCTION("""COMPUTED_VALUE"""),"الشيخ زايد")</f>
        <v>الشيخ زايد</v>
      </c>
      <c r="D2366" s="5" t="str">
        <f ca="1">IFERROR(__xludf.DUMMYFUNCTION("""COMPUTED_VALUE"""),"صيدلية")</f>
        <v>صيدلية</v>
      </c>
      <c r="E2366" s="5" t="str">
        <f ca="1">IFERROR(__xludf.DUMMYFUNCTION("""COMPUTED_VALUE"""),"صيدلية")</f>
        <v>صيدلية</v>
      </c>
      <c r="F2366" s="5" t="str">
        <f ca="1">IFERROR(__xludf.DUMMYFUNCTION("""COMPUTED_VALUE"""),"صيدلية (أدوية ومستلزمات طبية)")</f>
        <v>صيدلية (أدوية ومستلزمات طبية)</v>
      </c>
      <c r="G236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66" s="5" t="str">
        <f ca="1">IFERROR(__xludf.DUMMYFUNCTION("""COMPUTED_VALUE"""),"الكائنة وصلة دهشور -بجوار مدخل زايد 4-الاتجاة المقابل لكمبوند جامعة القاهرة")</f>
        <v>الكائنة وصلة دهشور -بجوار مدخل زايد 4-الاتجاة المقابل لكمبوند جامعة القاهرة</v>
      </c>
      <c r="I2366" s="6" t="str">
        <f ca="1">IFERROR(__xludf.DUMMYFUNCTION("""COMPUTED_VALUE"""),"1124005576")</f>
        <v>1124005576</v>
      </c>
      <c r="J2366" s="6" t="str">
        <f ca="1">IFERROR(__xludf.DUMMYFUNCTION("""COMPUTED_VALUE"""),"19600")</f>
        <v>19600</v>
      </c>
      <c r="K2366" s="6" t="str">
        <f ca="1">IFERROR(__xludf.DUMMYFUNCTION("""COMPUTED_VALUE"""),"7.5 % على المحلى ,5% على المستلزمات الطبية و التجميل")</f>
        <v>7.5 % على المحلى ,5% على المستلزمات الطبية و التجميل</v>
      </c>
    </row>
    <row r="2367" spans="1:11" x14ac:dyDescent="0.25">
      <c r="A2367" s="4" t="str">
        <f ca="1">IFERROR(__xludf.DUMMYFUNCTION("""COMPUTED_VALUE"""),"1683-B")</f>
        <v>1683-B</v>
      </c>
      <c r="B2367" s="5" t="str">
        <f ca="1">IFERROR(__xludf.DUMMYFUNCTION("""COMPUTED_VALUE"""),"الجيزة")</f>
        <v>الجيزة</v>
      </c>
      <c r="C2367" s="5" t="str">
        <f ca="1">IFERROR(__xludf.DUMMYFUNCTION("""COMPUTED_VALUE"""),"السادس من اكتوبر")</f>
        <v>السادس من اكتوبر</v>
      </c>
      <c r="D2367" s="5" t="str">
        <f ca="1">IFERROR(__xludf.DUMMYFUNCTION("""COMPUTED_VALUE"""),"صيدلية")</f>
        <v>صيدلية</v>
      </c>
      <c r="E2367" s="5" t="str">
        <f ca="1">IFERROR(__xludf.DUMMYFUNCTION("""COMPUTED_VALUE"""),"صيدلية")</f>
        <v>صيدلية</v>
      </c>
      <c r="F2367" s="5" t="str">
        <f ca="1">IFERROR(__xludf.DUMMYFUNCTION("""COMPUTED_VALUE"""),"صيدلية (أدوية ومستلزمات طبية)")</f>
        <v>صيدلية (أدوية ومستلزمات طبية)</v>
      </c>
      <c r="G236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67" s="5" t="str">
        <f ca="1">IFERROR(__xludf.DUMMYFUNCTION("""COMPUTED_VALUE"""),"الوحدة G2-سكوير مول -الحى الاول-محور الكفراوى-مدينة 6اكتوبر")</f>
        <v>الوحدة G2-سكوير مول -الحى الاول-محور الكفراوى-مدينة 6اكتوبر</v>
      </c>
      <c r="I2367" s="6" t="str">
        <f ca="1">IFERROR(__xludf.DUMMYFUNCTION("""COMPUTED_VALUE"""),"1129747303")</f>
        <v>1129747303</v>
      </c>
      <c r="J2367" s="6" t="str">
        <f ca="1">IFERROR(__xludf.DUMMYFUNCTION("""COMPUTED_VALUE"""),"19600")</f>
        <v>19600</v>
      </c>
      <c r="K2367" s="6" t="str">
        <f ca="1">IFERROR(__xludf.DUMMYFUNCTION("""COMPUTED_VALUE"""),"7.5 % على المحلى ,5% على المستلزمات الطبية و التجميل")</f>
        <v>7.5 % على المحلى ,5% على المستلزمات الطبية و التجميل</v>
      </c>
    </row>
    <row r="2368" spans="1:11" x14ac:dyDescent="0.25">
      <c r="A2368" s="4" t="str">
        <f ca="1">IFERROR(__xludf.DUMMYFUNCTION("""COMPUTED_VALUE"""),"1683-B")</f>
        <v>1683-B</v>
      </c>
      <c r="B2368" s="5" t="str">
        <f ca="1">IFERROR(__xludf.DUMMYFUNCTION("""COMPUTED_VALUE"""),"الجيزة")</f>
        <v>الجيزة</v>
      </c>
      <c r="C2368" s="5" t="str">
        <f ca="1">IFERROR(__xludf.DUMMYFUNCTION("""COMPUTED_VALUE"""),"الهرم")</f>
        <v>الهرم</v>
      </c>
      <c r="D2368" s="5" t="str">
        <f ca="1">IFERROR(__xludf.DUMMYFUNCTION("""COMPUTED_VALUE"""),"صيدلية")</f>
        <v>صيدلية</v>
      </c>
      <c r="E2368" s="5" t="str">
        <f ca="1">IFERROR(__xludf.DUMMYFUNCTION("""COMPUTED_VALUE"""),"صيدلية")</f>
        <v>صيدلية</v>
      </c>
      <c r="F2368" s="5" t="str">
        <f ca="1">IFERROR(__xludf.DUMMYFUNCTION("""COMPUTED_VALUE"""),"صيدلية (أدوية ومستلزمات طبية)")</f>
        <v>صيدلية (أدوية ومستلزمات طبية)</v>
      </c>
      <c r="G236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68" s="5" t="str">
        <f ca="1">IFERROR(__xludf.DUMMYFUNCTION("""COMPUTED_VALUE"""),"برج اللؤلؤة ش محمد متولى الشعراوى -اللبينى سابقا-بجوار البنك الاهلى 
")</f>
        <v xml:space="preserve">برج اللؤلؤة ش محمد متولى الشعراوى -اللبينى سابقا-بجوار البنك الاهلى 
</v>
      </c>
      <c r="I2368" s="6" t="str">
        <f ca="1">IFERROR(__xludf.DUMMYFUNCTION("""COMPUTED_VALUE"""),"1103140743")</f>
        <v>1103140743</v>
      </c>
      <c r="J2368" s="6" t="str">
        <f ca="1">IFERROR(__xludf.DUMMYFUNCTION("""COMPUTED_VALUE"""),"19600")</f>
        <v>19600</v>
      </c>
      <c r="K2368" s="6" t="str">
        <f ca="1">IFERROR(__xludf.DUMMYFUNCTION("""COMPUTED_VALUE"""),"7.5 % على المحلى ,5% على المستلزمات الطبية و التجميل")</f>
        <v>7.5 % على المحلى ,5% على المستلزمات الطبية و التجميل</v>
      </c>
    </row>
    <row r="2369" spans="1:11" x14ac:dyDescent="0.25">
      <c r="A2369" s="4" t="str">
        <f ca="1">IFERROR(__xludf.DUMMYFUNCTION("""COMPUTED_VALUE"""),"1683-B")</f>
        <v>1683-B</v>
      </c>
      <c r="B2369" s="5" t="str">
        <f ca="1">IFERROR(__xludf.DUMMYFUNCTION("""COMPUTED_VALUE"""),"الجيزة")</f>
        <v>الجيزة</v>
      </c>
      <c r="C2369" s="5" t="str">
        <f ca="1">IFERROR(__xludf.DUMMYFUNCTION("""COMPUTED_VALUE"""),"الهرم")</f>
        <v>الهرم</v>
      </c>
      <c r="D2369" s="5" t="str">
        <f ca="1">IFERROR(__xludf.DUMMYFUNCTION("""COMPUTED_VALUE"""),"صيدلية")</f>
        <v>صيدلية</v>
      </c>
      <c r="E2369" s="5" t="str">
        <f ca="1">IFERROR(__xludf.DUMMYFUNCTION("""COMPUTED_VALUE"""),"صيدلية")</f>
        <v>صيدلية</v>
      </c>
      <c r="F2369" s="5" t="str">
        <f ca="1">IFERROR(__xludf.DUMMYFUNCTION("""COMPUTED_VALUE"""),"صيدلية (أدوية ومستلزمات طبية)")</f>
        <v>صيدلية (أدوية ومستلزمات طبية)</v>
      </c>
      <c r="G236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69" s="5" t="str">
        <f ca="1">IFERROR(__xludf.DUMMYFUNCTION("""COMPUTED_VALUE"""),"برج بانوراما بيراميدز-1شارع الهرم مشعل-الجيزة
")</f>
        <v xml:space="preserve">برج بانوراما بيراميدز-1شارع الهرم مشعل-الجيزة
</v>
      </c>
      <c r="I2369" s="6" t="str">
        <f ca="1">IFERROR(__xludf.DUMMYFUNCTION("""COMPUTED_VALUE"""),"1103848804")</f>
        <v>1103848804</v>
      </c>
      <c r="J2369" s="6" t="str">
        <f ca="1">IFERROR(__xludf.DUMMYFUNCTION("""COMPUTED_VALUE"""),"19600")</f>
        <v>19600</v>
      </c>
      <c r="K2369" s="6" t="str">
        <f ca="1">IFERROR(__xludf.DUMMYFUNCTION("""COMPUTED_VALUE"""),"7.5 % على المحلى ,5% على المستلزمات الطبية و التجميل")</f>
        <v>7.5 % على المحلى ,5% على المستلزمات الطبية و التجميل</v>
      </c>
    </row>
    <row r="2370" spans="1:11" x14ac:dyDescent="0.25">
      <c r="A2370" s="4" t="str">
        <f ca="1">IFERROR(__xludf.DUMMYFUNCTION("""COMPUTED_VALUE"""),"1683-B")</f>
        <v>1683-B</v>
      </c>
      <c r="B2370" s="5" t="str">
        <f ca="1">IFERROR(__xludf.DUMMYFUNCTION("""COMPUTED_VALUE"""),"الجيزة")</f>
        <v>الجيزة</v>
      </c>
      <c r="C2370" s="5" t="str">
        <f ca="1">IFERROR(__xludf.DUMMYFUNCTION("""COMPUTED_VALUE"""),"الدقي")</f>
        <v>الدقي</v>
      </c>
      <c r="D2370" s="5" t="str">
        <f ca="1">IFERROR(__xludf.DUMMYFUNCTION("""COMPUTED_VALUE"""),"صيدلية")</f>
        <v>صيدلية</v>
      </c>
      <c r="E2370" s="5" t="str">
        <f ca="1">IFERROR(__xludf.DUMMYFUNCTION("""COMPUTED_VALUE"""),"صيدلية")</f>
        <v>صيدلية</v>
      </c>
      <c r="F2370" s="5" t="str">
        <f ca="1">IFERROR(__xludf.DUMMYFUNCTION("""COMPUTED_VALUE"""),"صيدلية (أدوية ومستلزمات طبية)")</f>
        <v>صيدلية (أدوية ومستلزمات طبية)</v>
      </c>
      <c r="G237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70" s="5" t="str">
        <f ca="1">IFERROR(__xludf.DUMMYFUNCTION("""COMPUTED_VALUE"""),"رقم 31شارع محى الدين ابوالعز -الدقى
")</f>
        <v xml:space="preserve">رقم 31شارع محى الدين ابوالعز -الدقى
</v>
      </c>
      <c r="I2370" s="6" t="str">
        <f ca="1">IFERROR(__xludf.DUMMYFUNCTION("""COMPUTED_VALUE"""),"1149411140")</f>
        <v>1149411140</v>
      </c>
      <c r="J2370" s="6" t="str">
        <f ca="1">IFERROR(__xludf.DUMMYFUNCTION("""COMPUTED_VALUE"""),"19600")</f>
        <v>19600</v>
      </c>
      <c r="K2370" s="6" t="str">
        <f ca="1">IFERROR(__xludf.DUMMYFUNCTION("""COMPUTED_VALUE"""),"7.5 % على المحلى ,5% على المستلزمات الطبية و التجميل")</f>
        <v>7.5 % على المحلى ,5% على المستلزمات الطبية و التجميل</v>
      </c>
    </row>
    <row r="2371" spans="1:11" x14ac:dyDescent="0.25">
      <c r="A2371" s="4" t="str">
        <f ca="1">IFERROR(__xludf.DUMMYFUNCTION("""COMPUTED_VALUE"""),"1683-B")</f>
        <v>1683-B</v>
      </c>
      <c r="B2371" s="5" t="str">
        <f ca="1">IFERROR(__xludf.DUMMYFUNCTION("""COMPUTED_VALUE"""),"الجيزة")</f>
        <v>الجيزة</v>
      </c>
      <c r="C2371" s="5" t="str">
        <f ca="1">IFERROR(__xludf.DUMMYFUNCTION("""COMPUTED_VALUE"""),"العمرانية")</f>
        <v>العمرانية</v>
      </c>
      <c r="D2371" s="5" t="str">
        <f ca="1">IFERROR(__xludf.DUMMYFUNCTION("""COMPUTED_VALUE"""),"صيدلية")</f>
        <v>صيدلية</v>
      </c>
      <c r="E2371" s="5" t="str">
        <f ca="1">IFERROR(__xludf.DUMMYFUNCTION("""COMPUTED_VALUE"""),"صيدلية")</f>
        <v>صيدلية</v>
      </c>
      <c r="F2371" s="5" t="str">
        <f ca="1">IFERROR(__xludf.DUMMYFUNCTION("""COMPUTED_VALUE"""),"صيدلية (أدوية ومستلزمات طبية)")</f>
        <v>صيدلية (أدوية ومستلزمات طبية)</v>
      </c>
      <c r="G237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71" s="5" t="str">
        <f ca="1">IFERROR(__xludf.DUMMYFUNCTION("""COMPUTED_VALUE"""),"رقم 384 ش ترعة الزمر بجوار مسجد خاتم المرسلين -العمرانية - الجيزة
")</f>
        <v xml:space="preserve">رقم 384 ش ترعة الزمر بجوار مسجد خاتم المرسلين -العمرانية - الجيزة
</v>
      </c>
      <c r="I2371" s="6" t="str">
        <f ca="1">IFERROR(__xludf.DUMMYFUNCTION("""COMPUTED_VALUE"""),"01127771689")</f>
        <v>01127771689</v>
      </c>
      <c r="J2371" s="6" t="str">
        <f ca="1">IFERROR(__xludf.DUMMYFUNCTION("""COMPUTED_VALUE"""),"19600")</f>
        <v>19600</v>
      </c>
      <c r="K2371" s="6" t="str">
        <f ca="1">IFERROR(__xludf.DUMMYFUNCTION("""COMPUTED_VALUE"""),"7.5 % على المحلى ,5% على المستلزمات الطبية و التجميل")</f>
        <v>7.5 % على المحلى ,5% على المستلزمات الطبية و التجميل</v>
      </c>
    </row>
    <row r="2372" spans="1:11" x14ac:dyDescent="0.25">
      <c r="A2372" s="4" t="str">
        <f ca="1">IFERROR(__xludf.DUMMYFUNCTION("""COMPUTED_VALUE"""),"1683-B")</f>
        <v>1683-B</v>
      </c>
      <c r="B2372" s="5" t="str">
        <f ca="1">IFERROR(__xludf.DUMMYFUNCTION("""COMPUTED_VALUE"""),"الجيزة")</f>
        <v>الجيزة</v>
      </c>
      <c r="C2372" s="5" t="str">
        <f ca="1">IFERROR(__xludf.DUMMYFUNCTION("""COMPUTED_VALUE"""),"حدائق الاهرام")</f>
        <v>حدائق الاهرام</v>
      </c>
      <c r="D2372" s="5" t="str">
        <f ca="1">IFERROR(__xludf.DUMMYFUNCTION("""COMPUTED_VALUE"""),"صيدلية")</f>
        <v>صيدلية</v>
      </c>
      <c r="E2372" s="5" t="str">
        <f ca="1">IFERROR(__xludf.DUMMYFUNCTION("""COMPUTED_VALUE"""),"صيدلية")</f>
        <v>صيدلية</v>
      </c>
      <c r="F2372" s="5" t="str">
        <f ca="1">IFERROR(__xludf.DUMMYFUNCTION("""COMPUTED_VALUE"""),"صيدلية (أدوية ومستلزمات طبية)")</f>
        <v>صيدلية (أدوية ومستلزمات طبية)</v>
      </c>
      <c r="G237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72" s="5" t="str">
        <f ca="1">IFERROR(__xludf.DUMMYFUNCTION("""COMPUTED_VALUE"""),"رقم 426 ن البوابة الرابعه-شارع الجيس -حدايق الاهرام-الجيزة
")</f>
        <v xml:space="preserve">رقم 426 ن البوابة الرابعه-شارع الجيس -حدايق الاهرام-الجيزة
</v>
      </c>
      <c r="I2372" s="6" t="str">
        <f ca="1">IFERROR(__xludf.DUMMYFUNCTION("""COMPUTED_VALUE"""),"01129540005")</f>
        <v>01129540005</v>
      </c>
      <c r="J2372" s="6" t="str">
        <f ca="1">IFERROR(__xludf.DUMMYFUNCTION("""COMPUTED_VALUE"""),"19600")</f>
        <v>19600</v>
      </c>
      <c r="K2372" s="6" t="str">
        <f ca="1">IFERROR(__xludf.DUMMYFUNCTION("""COMPUTED_VALUE"""),"7.5 % على المحلى ,5% على المستلزمات الطبية و التجميل")</f>
        <v>7.5 % على المحلى ,5% على المستلزمات الطبية و التجميل</v>
      </c>
    </row>
    <row r="2373" spans="1:11" x14ac:dyDescent="0.25">
      <c r="A2373" s="4" t="str">
        <f ca="1">IFERROR(__xludf.DUMMYFUNCTION("""COMPUTED_VALUE"""),"1683-B")</f>
        <v>1683-B</v>
      </c>
      <c r="B2373" s="5" t="str">
        <f ca="1">IFERROR(__xludf.DUMMYFUNCTION("""COMPUTED_VALUE"""),"الجيزة")</f>
        <v>الجيزة</v>
      </c>
      <c r="C2373" s="5" t="str">
        <f ca="1">IFERROR(__xludf.DUMMYFUNCTION("""COMPUTED_VALUE"""),"الدقي")</f>
        <v>الدقي</v>
      </c>
      <c r="D2373" s="5" t="str">
        <f ca="1">IFERROR(__xludf.DUMMYFUNCTION("""COMPUTED_VALUE"""),"صيدلية")</f>
        <v>صيدلية</v>
      </c>
      <c r="E2373" s="5" t="str">
        <f ca="1">IFERROR(__xludf.DUMMYFUNCTION("""COMPUTED_VALUE"""),"صيدلية")</f>
        <v>صيدلية</v>
      </c>
      <c r="F2373" s="5" t="str">
        <f ca="1">IFERROR(__xludf.DUMMYFUNCTION("""COMPUTED_VALUE"""),"صيدلية (أدوية ومستلزمات طبية)")</f>
        <v>صيدلية (أدوية ومستلزمات طبية)</v>
      </c>
      <c r="G237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73" s="5" t="str">
        <f ca="1">IFERROR(__xludf.DUMMYFUNCTION("""COMPUTED_VALUE"""),"رقم 7 شارع التحرير -الدقى -امام محطة مترو البحوث -الجيزة")</f>
        <v>رقم 7 شارع التحرير -الدقى -امام محطة مترو البحوث -الجيزة</v>
      </c>
      <c r="I2373" s="6" t="str">
        <f ca="1">IFERROR(__xludf.DUMMYFUNCTION("""COMPUTED_VALUE"""),"1101115112")</f>
        <v>1101115112</v>
      </c>
      <c r="J2373" s="6" t="str">
        <f ca="1">IFERROR(__xludf.DUMMYFUNCTION("""COMPUTED_VALUE"""),"19600")</f>
        <v>19600</v>
      </c>
      <c r="K2373" s="6" t="str">
        <f ca="1">IFERROR(__xludf.DUMMYFUNCTION("""COMPUTED_VALUE"""),"7.5 % على المحلى ,5% على المستلزمات الطبية و التجميل")</f>
        <v>7.5 % على المحلى ,5% على المستلزمات الطبية و التجميل</v>
      </c>
    </row>
    <row r="2374" spans="1:11" x14ac:dyDescent="0.25">
      <c r="A2374" s="4" t="str">
        <f ca="1">IFERROR(__xludf.DUMMYFUNCTION("""COMPUTED_VALUE"""),"1683-B")</f>
        <v>1683-B</v>
      </c>
      <c r="B2374" s="5" t="str">
        <f ca="1">IFERROR(__xludf.DUMMYFUNCTION("""COMPUTED_VALUE"""),"الجيزة")</f>
        <v>الجيزة</v>
      </c>
      <c r="C2374" s="5" t="str">
        <f ca="1">IFERROR(__xludf.DUMMYFUNCTION("""COMPUTED_VALUE"""),"البدرشين")</f>
        <v>البدرشين</v>
      </c>
      <c r="D2374" s="5" t="str">
        <f ca="1">IFERROR(__xludf.DUMMYFUNCTION("""COMPUTED_VALUE"""),"صيدلية")</f>
        <v>صيدلية</v>
      </c>
      <c r="E2374" s="5" t="str">
        <f ca="1">IFERROR(__xludf.DUMMYFUNCTION("""COMPUTED_VALUE"""),"صيدلية")</f>
        <v>صيدلية</v>
      </c>
      <c r="F2374" s="5" t="str">
        <f ca="1">IFERROR(__xludf.DUMMYFUNCTION("""COMPUTED_VALUE"""),"صيدلية (أدوية ومستلزمات طبية)")</f>
        <v>صيدلية (أدوية ومستلزمات طبية)</v>
      </c>
      <c r="G237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74" s="5" t="str">
        <f ca="1">IFERROR(__xludf.DUMMYFUNCTION("""COMPUTED_VALUE"""),"ش/معدية البدرشين-من شارع مصر اسيوط -البدرشين-الجيزة")</f>
        <v>ش/معدية البدرشين-من شارع مصر اسيوط -البدرشين-الجيزة</v>
      </c>
      <c r="I2374" s="6" t="str">
        <f ca="1">IFERROR(__xludf.DUMMYFUNCTION("""COMPUTED_VALUE"""),"1145899111")</f>
        <v>1145899111</v>
      </c>
      <c r="J2374" s="6" t="str">
        <f ca="1">IFERROR(__xludf.DUMMYFUNCTION("""COMPUTED_VALUE"""),"19600")</f>
        <v>19600</v>
      </c>
      <c r="K2374" s="6" t="str">
        <f ca="1">IFERROR(__xludf.DUMMYFUNCTION("""COMPUTED_VALUE"""),"7.5 % على المحلى ,5% على المستلزمات الطبية و التجميل")</f>
        <v>7.5 % على المحلى ,5% على المستلزمات الطبية و التجميل</v>
      </c>
    </row>
    <row r="2375" spans="1:11" x14ac:dyDescent="0.25">
      <c r="A2375" s="4" t="str">
        <f ca="1">IFERROR(__xludf.DUMMYFUNCTION("""COMPUTED_VALUE"""),"1683-B")</f>
        <v>1683-B</v>
      </c>
      <c r="B2375" s="5" t="str">
        <f ca="1">IFERROR(__xludf.DUMMYFUNCTION("""COMPUTED_VALUE"""),"الجيزة")</f>
        <v>الجيزة</v>
      </c>
      <c r="C2375" s="5" t="str">
        <f ca="1">IFERROR(__xludf.DUMMYFUNCTION("""COMPUTED_VALUE"""),"الجيزة")</f>
        <v>الجيزة</v>
      </c>
      <c r="D2375" s="5" t="str">
        <f ca="1">IFERROR(__xludf.DUMMYFUNCTION("""COMPUTED_VALUE"""),"صيدلية")</f>
        <v>صيدلية</v>
      </c>
      <c r="E2375" s="5" t="str">
        <f ca="1">IFERROR(__xludf.DUMMYFUNCTION("""COMPUTED_VALUE"""),"صيدلية")</f>
        <v>صيدلية</v>
      </c>
      <c r="F2375" s="5" t="str">
        <f ca="1">IFERROR(__xludf.DUMMYFUNCTION("""COMPUTED_VALUE"""),"صيدلية (أدوية ومستلزمات طبية)")</f>
        <v>صيدلية (أدوية ومستلزمات طبية)</v>
      </c>
      <c r="G237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75" s="5" t="str">
        <f ca="1">IFERROR(__xludf.DUMMYFUNCTION("""COMPUTED_VALUE"""),"شارع البحر الاعظم امام القرية الفرعونية -ساقية مكى -الجيزة ")</f>
        <v xml:space="preserve">شارع البحر الاعظم امام القرية الفرعونية -ساقية مكى -الجيزة </v>
      </c>
      <c r="I2375" s="6" t="str">
        <f ca="1">IFERROR(__xludf.DUMMYFUNCTION("""COMPUTED_VALUE"""),"01117277664")</f>
        <v>01117277664</v>
      </c>
      <c r="J2375" s="6" t="str">
        <f ca="1">IFERROR(__xludf.DUMMYFUNCTION("""COMPUTED_VALUE"""),"19600")</f>
        <v>19600</v>
      </c>
      <c r="K2375" s="6" t="str">
        <f ca="1">IFERROR(__xludf.DUMMYFUNCTION("""COMPUTED_VALUE"""),"7.5 % على المحلى ,5% على المستلزمات الطبية و التجميل")</f>
        <v>7.5 % على المحلى ,5% على المستلزمات الطبية و التجميل</v>
      </c>
    </row>
    <row r="2376" spans="1:11" x14ac:dyDescent="0.25">
      <c r="A2376" s="4" t="str">
        <f ca="1">IFERROR(__xludf.DUMMYFUNCTION("""COMPUTED_VALUE"""),"1683-B")</f>
        <v>1683-B</v>
      </c>
      <c r="B2376" s="5" t="str">
        <f ca="1">IFERROR(__xludf.DUMMYFUNCTION("""COMPUTED_VALUE"""),"الجيزة")</f>
        <v>الجيزة</v>
      </c>
      <c r="C2376" s="5" t="str">
        <f ca="1">IFERROR(__xludf.DUMMYFUNCTION("""COMPUTED_VALUE"""),"السادس من اكتوبر")</f>
        <v>السادس من اكتوبر</v>
      </c>
      <c r="D2376" s="5" t="str">
        <f ca="1">IFERROR(__xludf.DUMMYFUNCTION("""COMPUTED_VALUE"""),"صيدلية")</f>
        <v>صيدلية</v>
      </c>
      <c r="E2376" s="5" t="str">
        <f ca="1">IFERROR(__xludf.DUMMYFUNCTION("""COMPUTED_VALUE"""),"صيدلية")</f>
        <v>صيدلية</v>
      </c>
      <c r="F2376" s="5" t="str">
        <f ca="1">IFERROR(__xludf.DUMMYFUNCTION("""COMPUTED_VALUE"""),"صيدلية (أدوية ومستلزمات طبية)")</f>
        <v>صيدلية (أدوية ومستلزمات طبية)</v>
      </c>
      <c r="G237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76" s="5" t="str">
        <f ca="1">IFERROR(__xludf.DUMMYFUNCTION("""COMPUTED_VALUE"""),"عقار 41 الحى الثانى -مجاورة 1-المحور المركزى-6 أكتوبر- الجيزة
")</f>
        <v xml:space="preserve">عقار 41 الحى الثانى -مجاورة 1-المحور المركزى-6 أكتوبر- الجيزة
</v>
      </c>
      <c r="I2376" s="6" t="str">
        <f ca="1">IFERROR(__xludf.DUMMYFUNCTION("""COMPUTED_VALUE"""),"1103018819")</f>
        <v>1103018819</v>
      </c>
      <c r="J2376" s="6" t="str">
        <f ca="1">IFERROR(__xludf.DUMMYFUNCTION("""COMPUTED_VALUE"""),"19600")</f>
        <v>19600</v>
      </c>
      <c r="K2376" s="6" t="str">
        <f ca="1">IFERROR(__xludf.DUMMYFUNCTION("""COMPUTED_VALUE"""),"7.5 % على المحلى ,5% على المستلزمات الطبية و التجميل")</f>
        <v>7.5 % على المحلى ,5% على المستلزمات الطبية و التجميل</v>
      </c>
    </row>
    <row r="2377" spans="1:11" x14ac:dyDescent="0.25">
      <c r="A2377" s="4" t="str">
        <f ca="1">IFERROR(__xludf.DUMMYFUNCTION("""COMPUTED_VALUE"""),"1683-B")</f>
        <v>1683-B</v>
      </c>
      <c r="B2377" s="5" t="str">
        <f ca="1">IFERROR(__xludf.DUMMYFUNCTION("""COMPUTED_VALUE"""),"الجيزة")</f>
        <v>الجيزة</v>
      </c>
      <c r="C2377" s="5" t="str">
        <f ca="1">IFERROR(__xludf.DUMMYFUNCTION("""COMPUTED_VALUE"""),"امبابة")</f>
        <v>امبابة</v>
      </c>
      <c r="D2377" s="5" t="str">
        <f ca="1">IFERROR(__xludf.DUMMYFUNCTION("""COMPUTED_VALUE"""),"صيدلية")</f>
        <v>صيدلية</v>
      </c>
      <c r="E2377" s="5" t="str">
        <f ca="1">IFERROR(__xludf.DUMMYFUNCTION("""COMPUTED_VALUE"""),"صيدلية")</f>
        <v>صيدلية</v>
      </c>
      <c r="F2377" s="5" t="str">
        <f ca="1">IFERROR(__xludf.DUMMYFUNCTION("""COMPUTED_VALUE"""),"صيدلية (أدوية ومستلزمات طبية)")</f>
        <v>صيدلية (أدوية ومستلزمات طبية)</v>
      </c>
      <c r="G237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77" s="5" t="str">
        <f ca="1">IFERROR(__xludf.DUMMYFUNCTION("""COMPUTED_VALUE"""),"عمارة رقم 116 شارع طلعت حرب-مدينة التحرير-امام مطعم البرنس -امبابة 
")</f>
        <v xml:space="preserve">عمارة رقم 116 شارع طلعت حرب-مدينة التحرير-امام مطعم البرنس -امبابة 
</v>
      </c>
      <c r="I2377" s="6" t="str">
        <f ca="1">IFERROR(__xludf.DUMMYFUNCTION("""COMPUTED_VALUE"""),"1158682567")</f>
        <v>1158682567</v>
      </c>
      <c r="J2377" s="6" t="str">
        <f ca="1">IFERROR(__xludf.DUMMYFUNCTION("""COMPUTED_VALUE"""),"19600")</f>
        <v>19600</v>
      </c>
      <c r="K2377" s="6" t="str">
        <f ca="1">IFERROR(__xludf.DUMMYFUNCTION("""COMPUTED_VALUE"""),"7.5 % على المحلى ,5% على المستلزمات الطبية و التجميل")</f>
        <v>7.5 % على المحلى ,5% على المستلزمات الطبية و التجميل</v>
      </c>
    </row>
    <row r="2378" spans="1:11" x14ac:dyDescent="0.25">
      <c r="A2378" s="4" t="str">
        <f ca="1">IFERROR(__xludf.DUMMYFUNCTION("""COMPUTED_VALUE"""),"1683-B")</f>
        <v>1683-B</v>
      </c>
      <c r="B2378" s="5" t="str">
        <f ca="1">IFERROR(__xludf.DUMMYFUNCTION("""COMPUTED_VALUE"""),"الجيزة")</f>
        <v>الجيزة</v>
      </c>
      <c r="C2378" s="5" t="str">
        <f ca="1">IFERROR(__xludf.DUMMYFUNCTION("""COMPUTED_VALUE"""),"السادس من اكتوبر")</f>
        <v>السادس من اكتوبر</v>
      </c>
      <c r="D2378" s="5" t="str">
        <f ca="1">IFERROR(__xludf.DUMMYFUNCTION("""COMPUTED_VALUE"""),"صيدلية")</f>
        <v>صيدلية</v>
      </c>
      <c r="E2378" s="5" t="str">
        <f ca="1">IFERROR(__xludf.DUMMYFUNCTION("""COMPUTED_VALUE"""),"صيدلية")</f>
        <v>صيدلية</v>
      </c>
      <c r="F2378" s="5" t="str">
        <f ca="1">IFERROR(__xludf.DUMMYFUNCTION("""COMPUTED_VALUE"""),"صيدلية (أدوية ومستلزمات طبية)")</f>
        <v>صيدلية (أدوية ومستلزمات طبية)</v>
      </c>
      <c r="G237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78" s="5" t="str">
        <f ca="1">IFERROR(__xludf.DUMMYFUNCTION("""COMPUTED_VALUE"""),"قطعة رقم 443 الحى الاول مجاورة 2 - 6 أكتوبر - الجيزة
")</f>
        <v xml:space="preserve">قطعة رقم 443 الحى الاول مجاورة 2 - 6 أكتوبر - الجيزة
</v>
      </c>
      <c r="I2378" s="6" t="str">
        <f ca="1">IFERROR(__xludf.DUMMYFUNCTION("""COMPUTED_VALUE"""),"1119011031")</f>
        <v>1119011031</v>
      </c>
      <c r="J2378" s="6" t="str">
        <f ca="1">IFERROR(__xludf.DUMMYFUNCTION("""COMPUTED_VALUE"""),"19600")</f>
        <v>19600</v>
      </c>
      <c r="K2378" s="6" t="str">
        <f ca="1">IFERROR(__xludf.DUMMYFUNCTION("""COMPUTED_VALUE"""),"7.5 % على المحلى ,5% على المستلزمات الطبية و التجميل")</f>
        <v>7.5 % على المحلى ,5% على المستلزمات الطبية و التجميل</v>
      </c>
    </row>
    <row r="2379" spans="1:11" x14ac:dyDescent="0.25">
      <c r="A2379" s="4" t="str">
        <f ca="1">IFERROR(__xludf.DUMMYFUNCTION("""COMPUTED_VALUE"""),"1683-B")</f>
        <v>1683-B</v>
      </c>
      <c r="B2379" s="5" t="str">
        <f ca="1">IFERROR(__xludf.DUMMYFUNCTION("""COMPUTED_VALUE"""),"الجيزة")</f>
        <v>الجيزة</v>
      </c>
      <c r="C2379" s="5" t="str">
        <f ca="1">IFERROR(__xludf.DUMMYFUNCTION("""COMPUTED_VALUE"""),"حدائق الاهرام")</f>
        <v>حدائق الاهرام</v>
      </c>
      <c r="D2379" s="5" t="str">
        <f ca="1">IFERROR(__xludf.DUMMYFUNCTION("""COMPUTED_VALUE"""),"صيدلية")</f>
        <v>صيدلية</v>
      </c>
      <c r="E2379" s="5" t="str">
        <f ca="1">IFERROR(__xludf.DUMMYFUNCTION("""COMPUTED_VALUE"""),"صيدلية")</f>
        <v>صيدلية</v>
      </c>
      <c r="F2379" s="5" t="str">
        <f ca="1">IFERROR(__xludf.DUMMYFUNCTION("""COMPUTED_VALUE"""),"صيدلية (أدوية ومستلزمات طبية)")</f>
        <v>صيدلية (أدوية ومستلزمات طبية)</v>
      </c>
      <c r="G237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79" s="5" t="str">
        <f ca="1">IFERROR(__xludf.DUMMYFUNCTION("""COMPUTED_VALUE"""),"ك18 - البوابة الثانية - حدائق الاهرام
")</f>
        <v xml:space="preserve">ك18 - البوابة الثانية - حدائق الاهرام
</v>
      </c>
      <c r="I2379" s="6" t="str">
        <f ca="1">IFERROR(__xludf.DUMMYFUNCTION("""COMPUTED_VALUE"""),"1101334191")</f>
        <v>1101334191</v>
      </c>
      <c r="J2379" s="6" t="str">
        <f ca="1">IFERROR(__xludf.DUMMYFUNCTION("""COMPUTED_VALUE"""),"19600")</f>
        <v>19600</v>
      </c>
      <c r="K2379" s="6" t="str">
        <f ca="1">IFERROR(__xludf.DUMMYFUNCTION("""COMPUTED_VALUE"""),"7.5 % على المحلى ,5% على المستلزمات الطبية و التجميل")</f>
        <v>7.5 % على المحلى ,5% على المستلزمات الطبية و التجميل</v>
      </c>
    </row>
    <row r="2380" spans="1:11" x14ac:dyDescent="0.25">
      <c r="A2380" s="4" t="str">
        <f ca="1">IFERROR(__xludf.DUMMYFUNCTION("""COMPUTED_VALUE"""),"1683-B")</f>
        <v>1683-B</v>
      </c>
      <c r="B2380" s="5" t="str">
        <f ca="1">IFERROR(__xludf.DUMMYFUNCTION("""COMPUTED_VALUE"""),"الجيزة")</f>
        <v>الجيزة</v>
      </c>
      <c r="C2380" s="5" t="str">
        <f ca="1">IFERROR(__xludf.DUMMYFUNCTION("""COMPUTED_VALUE"""),"الشيخ زايد")</f>
        <v>الشيخ زايد</v>
      </c>
      <c r="D2380" s="5" t="str">
        <f ca="1">IFERROR(__xludf.DUMMYFUNCTION("""COMPUTED_VALUE"""),"صيدلية")</f>
        <v>صيدلية</v>
      </c>
      <c r="E2380" s="5" t="str">
        <f ca="1">IFERROR(__xludf.DUMMYFUNCTION("""COMPUTED_VALUE"""),"صيدلية")</f>
        <v>صيدلية</v>
      </c>
      <c r="F2380" s="5" t="str">
        <f ca="1">IFERROR(__xludf.DUMMYFUNCTION("""COMPUTED_VALUE"""),"صيدلية (أدوية ومستلزمات طبية)")</f>
        <v>صيدلية (أدوية ومستلزمات طبية)</v>
      </c>
      <c r="G238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80" s="5" t="str">
        <f ca="1">IFERROR(__xludf.DUMMYFUNCTION("""COMPUTED_VALUE"""),"محطة وجود شيل اوت اكتوبر الكائنة محور 26يوليو بعد مسجد الشرطة الاتجاة 
المقابل لكمبوند رويال")</f>
        <v>محطة وجود شيل اوت اكتوبر الكائنة محور 26يوليو بعد مسجد الشرطة الاتجاة 
المقابل لكمبوند رويال</v>
      </c>
      <c r="I2380" s="6" t="str">
        <f ca="1">IFERROR(__xludf.DUMMYFUNCTION("""COMPUTED_VALUE"""),"1100931220")</f>
        <v>1100931220</v>
      </c>
      <c r="J2380" s="6" t="str">
        <f ca="1">IFERROR(__xludf.DUMMYFUNCTION("""COMPUTED_VALUE"""),"19600")</f>
        <v>19600</v>
      </c>
      <c r="K2380" s="6" t="str">
        <f ca="1">IFERROR(__xludf.DUMMYFUNCTION("""COMPUTED_VALUE"""),"7.5 % على المحلى ,5% على المستلزمات الطبية و التجميل")</f>
        <v>7.5 % على المحلى ,5% على المستلزمات الطبية و التجميل</v>
      </c>
    </row>
    <row r="2381" spans="1:11" x14ac:dyDescent="0.25">
      <c r="A2381" s="4" t="str">
        <f ca="1">IFERROR(__xludf.DUMMYFUNCTION("""COMPUTED_VALUE"""),"1683-B")</f>
        <v>1683-B</v>
      </c>
      <c r="B2381" s="5" t="str">
        <f ca="1">IFERROR(__xludf.DUMMYFUNCTION("""COMPUTED_VALUE"""),"الجيزة")</f>
        <v>الجيزة</v>
      </c>
      <c r="C2381" s="5" t="str">
        <f ca="1">IFERROR(__xludf.DUMMYFUNCTION("""COMPUTED_VALUE"""),"الشيخ زايد")</f>
        <v>الشيخ زايد</v>
      </c>
      <c r="D2381" s="5" t="str">
        <f ca="1">IFERROR(__xludf.DUMMYFUNCTION("""COMPUTED_VALUE"""),"صيدلية")</f>
        <v>صيدلية</v>
      </c>
      <c r="E2381" s="5" t="str">
        <f ca="1">IFERROR(__xludf.DUMMYFUNCTION("""COMPUTED_VALUE"""),"صيدلية")</f>
        <v>صيدلية</v>
      </c>
      <c r="F2381" s="5" t="str">
        <f ca="1">IFERROR(__xludf.DUMMYFUNCTION("""COMPUTED_VALUE"""),"صيدلية (أدوية ومستلزمات طبية)")</f>
        <v>صيدلية (أدوية ومستلزمات طبية)</v>
      </c>
      <c r="G238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81" s="5" t="str">
        <f ca="1">IFERROR(__xludf.DUMMYFUNCTION("""COMPUTED_VALUE"""),"محل 2 الدور الارضى مبنى Bاالحى السادس-مجاورة 3 المول التجارى كمبوند زايد 
")</f>
        <v xml:space="preserve">محل 2 الدور الارضى مبنى Bاالحى السادس-مجاورة 3 المول التجارى كمبوند زايد 
</v>
      </c>
      <c r="I2381" s="6" t="str">
        <f ca="1">IFERROR(__xludf.DUMMYFUNCTION("""COMPUTED_VALUE"""),"1146995546")</f>
        <v>1146995546</v>
      </c>
      <c r="J2381" s="6" t="str">
        <f ca="1">IFERROR(__xludf.DUMMYFUNCTION("""COMPUTED_VALUE"""),"19600")</f>
        <v>19600</v>
      </c>
      <c r="K2381" s="6" t="str">
        <f ca="1">IFERROR(__xludf.DUMMYFUNCTION("""COMPUTED_VALUE"""),"7.5 % على المحلى ,5% على المستلزمات الطبية و التجميل")</f>
        <v>7.5 % على المحلى ,5% على المستلزمات الطبية و التجميل</v>
      </c>
    </row>
    <row r="2382" spans="1:11" x14ac:dyDescent="0.25">
      <c r="A2382" s="4" t="str">
        <f ca="1">IFERROR(__xludf.DUMMYFUNCTION("""COMPUTED_VALUE"""),"1683-B")</f>
        <v>1683-B</v>
      </c>
      <c r="B2382" s="5" t="str">
        <f ca="1">IFERROR(__xludf.DUMMYFUNCTION("""COMPUTED_VALUE"""),"الجيزة")</f>
        <v>الجيزة</v>
      </c>
      <c r="C2382" s="5" t="str">
        <f ca="1">IFERROR(__xludf.DUMMYFUNCTION("""COMPUTED_VALUE"""),"الدقي")</f>
        <v>الدقي</v>
      </c>
      <c r="D2382" s="5" t="str">
        <f ca="1">IFERROR(__xludf.DUMMYFUNCTION("""COMPUTED_VALUE"""),"صيدلية")</f>
        <v>صيدلية</v>
      </c>
      <c r="E2382" s="5" t="str">
        <f ca="1">IFERROR(__xludf.DUMMYFUNCTION("""COMPUTED_VALUE"""),"صيدلية")</f>
        <v>صيدلية</v>
      </c>
      <c r="F2382" s="5" t="str">
        <f ca="1">IFERROR(__xludf.DUMMYFUNCTION("""COMPUTED_VALUE"""),"صيدلية (أدوية ومستلزمات طبية)")</f>
        <v>صيدلية (أدوية ومستلزمات طبية)</v>
      </c>
      <c r="G238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82" s="5" t="str">
        <f ca="1">IFERROR(__xludf.DUMMYFUNCTION("""COMPUTED_VALUE"""),"محل رقم 2-عمارة رقم 148شارع التحرير -الدقى- امام بنك فيصل الاسلامى
")</f>
        <v xml:space="preserve">محل رقم 2-عمارة رقم 148شارع التحرير -الدقى- امام بنك فيصل الاسلامى
</v>
      </c>
      <c r="I2382" s="6" t="str">
        <f ca="1">IFERROR(__xludf.DUMMYFUNCTION("""COMPUTED_VALUE"""),"1158682915")</f>
        <v>1158682915</v>
      </c>
      <c r="J2382" s="6" t="str">
        <f ca="1">IFERROR(__xludf.DUMMYFUNCTION("""COMPUTED_VALUE"""),"19600")</f>
        <v>19600</v>
      </c>
      <c r="K2382" s="6" t="str">
        <f ca="1">IFERROR(__xludf.DUMMYFUNCTION("""COMPUTED_VALUE"""),"7.5 % على المحلى ,5% على المستلزمات الطبية و التجميل")</f>
        <v>7.5 % على المحلى ,5% على المستلزمات الطبية و التجميل</v>
      </c>
    </row>
    <row r="2383" spans="1:11" x14ac:dyDescent="0.25">
      <c r="A2383" s="4" t="str">
        <f ca="1">IFERROR(__xludf.DUMMYFUNCTION("""COMPUTED_VALUE"""),"1683-B")</f>
        <v>1683-B</v>
      </c>
      <c r="B2383" s="5" t="str">
        <f ca="1">IFERROR(__xludf.DUMMYFUNCTION("""COMPUTED_VALUE"""),"الجيزة")</f>
        <v>الجيزة</v>
      </c>
      <c r="C2383" s="5" t="str">
        <f ca="1">IFERROR(__xludf.DUMMYFUNCTION("""COMPUTED_VALUE"""),"الشيخ زايد")</f>
        <v>الشيخ زايد</v>
      </c>
      <c r="D2383" s="5" t="str">
        <f ca="1">IFERROR(__xludf.DUMMYFUNCTION("""COMPUTED_VALUE"""),"صيدلية")</f>
        <v>صيدلية</v>
      </c>
      <c r="E2383" s="5" t="str">
        <f ca="1">IFERROR(__xludf.DUMMYFUNCTION("""COMPUTED_VALUE"""),"صيدلية")</f>
        <v>صيدلية</v>
      </c>
      <c r="F2383" s="5" t="str">
        <f ca="1">IFERROR(__xludf.DUMMYFUNCTION("""COMPUTED_VALUE"""),"صيدلية (أدوية ومستلزمات طبية)")</f>
        <v>صيدلية (أدوية ومستلزمات طبية)</v>
      </c>
      <c r="G238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83" s="5" t="str">
        <f ca="1">IFERROR(__xludf.DUMMYFUNCTION("""COMPUTED_VALUE"""),"""محل رقم 3 الدور الارضى ق 23 الشيخ زايد بجوار مستشفى جلوبال -المحور المركزى الجنوبى -الشيخ زايد
")</f>
        <v xml:space="preserve">"محل رقم 3 الدور الارضى ق 23 الشيخ زايد بجوار مستشفى جلوبال -المحور المركزى الجنوبى -الشيخ زايد
</v>
      </c>
      <c r="I2383" s="6" t="str">
        <f ca="1">IFERROR(__xludf.DUMMYFUNCTION("""COMPUTED_VALUE"""),"01118738394")</f>
        <v>01118738394</v>
      </c>
      <c r="J2383" s="6" t="str">
        <f ca="1">IFERROR(__xludf.DUMMYFUNCTION("""COMPUTED_VALUE"""),"19600")</f>
        <v>19600</v>
      </c>
      <c r="K2383" s="6" t="str">
        <f ca="1">IFERROR(__xludf.DUMMYFUNCTION("""COMPUTED_VALUE"""),"7.5 % على المحلى ,5% على المستلزمات الطبية و التجميل")</f>
        <v>7.5 % على المحلى ,5% على المستلزمات الطبية و التجميل</v>
      </c>
    </row>
    <row r="2384" spans="1:11" x14ac:dyDescent="0.25">
      <c r="A2384" s="4" t="str">
        <f ca="1">IFERROR(__xludf.DUMMYFUNCTION("""COMPUTED_VALUE"""),"1683-B")</f>
        <v>1683-B</v>
      </c>
      <c r="B2384" s="5" t="str">
        <f ca="1">IFERROR(__xludf.DUMMYFUNCTION("""COMPUTED_VALUE"""),"الجيزة")</f>
        <v>الجيزة</v>
      </c>
      <c r="C2384" s="5" t="str">
        <f ca="1">IFERROR(__xludf.DUMMYFUNCTION("""COMPUTED_VALUE"""),"الشيخ زايد")</f>
        <v>الشيخ زايد</v>
      </c>
      <c r="D2384" s="5" t="str">
        <f ca="1">IFERROR(__xludf.DUMMYFUNCTION("""COMPUTED_VALUE"""),"صيدلية")</f>
        <v>صيدلية</v>
      </c>
      <c r="E2384" s="5" t="str">
        <f ca="1">IFERROR(__xludf.DUMMYFUNCTION("""COMPUTED_VALUE"""),"صيدلية")</f>
        <v>صيدلية</v>
      </c>
      <c r="F2384" s="5" t="str">
        <f ca="1">IFERROR(__xludf.DUMMYFUNCTION("""COMPUTED_VALUE"""),"صيدلية (أدوية ومستلزمات طبية)")</f>
        <v>صيدلية (أدوية ومستلزمات طبية)</v>
      </c>
      <c r="G238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84" s="5" t="str">
        <f ca="1">IFERROR(__xludf.DUMMYFUNCTION("""COMPUTED_VALUE"""),"محل رقم 5 المركز التجارى مزار B  الحى 16  المجاورة 5 - الشيخ زايد
")</f>
        <v xml:space="preserve">محل رقم 5 المركز التجارى مزار B  الحى 16  المجاورة 5 - الشيخ زايد
</v>
      </c>
      <c r="I2384" s="6" t="str">
        <f ca="1">IFERROR(__xludf.DUMMYFUNCTION("""COMPUTED_VALUE"""),"1140976146")</f>
        <v>1140976146</v>
      </c>
      <c r="J2384" s="6" t="str">
        <f ca="1">IFERROR(__xludf.DUMMYFUNCTION("""COMPUTED_VALUE"""),"19600")</f>
        <v>19600</v>
      </c>
      <c r="K2384" s="6" t="str">
        <f ca="1">IFERROR(__xludf.DUMMYFUNCTION("""COMPUTED_VALUE"""),"7.5 % على المحلى ,5% على المستلزمات الطبية و التجميل")</f>
        <v>7.5 % على المحلى ,5% على المستلزمات الطبية و التجميل</v>
      </c>
    </row>
    <row r="2385" spans="1:11" x14ac:dyDescent="0.25">
      <c r="A2385" s="4" t="str">
        <f ca="1">IFERROR(__xludf.DUMMYFUNCTION("""COMPUTED_VALUE"""),"1683-B")</f>
        <v>1683-B</v>
      </c>
      <c r="B2385" s="5" t="str">
        <f ca="1">IFERROR(__xludf.DUMMYFUNCTION("""COMPUTED_VALUE"""),"الجيزة")</f>
        <v>الجيزة</v>
      </c>
      <c r="C2385" s="5" t="str">
        <f ca="1">IFERROR(__xludf.DUMMYFUNCTION("""COMPUTED_VALUE"""),"امبابة")</f>
        <v>امبابة</v>
      </c>
      <c r="D2385" s="5" t="str">
        <f ca="1">IFERROR(__xludf.DUMMYFUNCTION("""COMPUTED_VALUE"""),"صيدلية")</f>
        <v>صيدلية</v>
      </c>
      <c r="E2385" s="5" t="str">
        <f ca="1">IFERROR(__xludf.DUMMYFUNCTION("""COMPUTED_VALUE"""),"صيدلية")</f>
        <v>صيدلية</v>
      </c>
      <c r="F2385" s="5" t="str">
        <f ca="1">IFERROR(__xludf.DUMMYFUNCTION("""COMPUTED_VALUE"""),"صيدلية (أدوية ومستلزمات طبية)")</f>
        <v>صيدلية (أدوية ومستلزمات طبية)</v>
      </c>
      <c r="G238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85" s="5" t="str">
        <f ca="1">IFERROR(__xludf.DUMMYFUNCTION("""COMPUTED_VALUE"""),"محل رقم 6و7 جمعية جماعة انصار السنة المحمدية شارع نادى امبابة الرياضى
")</f>
        <v xml:space="preserve">محل رقم 6و7 جمعية جماعة انصار السنة المحمدية شارع نادى امبابة الرياضى
</v>
      </c>
      <c r="I2385" s="6" t="str">
        <f ca="1">IFERROR(__xludf.DUMMYFUNCTION("""COMPUTED_VALUE"""),"1111658124")</f>
        <v>1111658124</v>
      </c>
      <c r="J2385" s="6" t="str">
        <f ca="1">IFERROR(__xludf.DUMMYFUNCTION("""COMPUTED_VALUE"""),"19600")</f>
        <v>19600</v>
      </c>
      <c r="K2385" s="6" t="str">
        <f ca="1">IFERROR(__xludf.DUMMYFUNCTION("""COMPUTED_VALUE"""),"7.5 % على المحلى ,5% على المستلزمات الطبية و التجميل")</f>
        <v>7.5 % على المحلى ,5% على المستلزمات الطبية و التجميل</v>
      </c>
    </row>
    <row r="2386" spans="1:11" x14ac:dyDescent="0.25">
      <c r="A2386" s="4" t="str">
        <f ca="1">IFERROR(__xludf.DUMMYFUNCTION("""COMPUTED_VALUE"""),"1683-B")</f>
        <v>1683-B</v>
      </c>
      <c r="B2386" s="5" t="str">
        <f ca="1">IFERROR(__xludf.DUMMYFUNCTION("""COMPUTED_VALUE"""),"الجيزة")</f>
        <v>الجيزة</v>
      </c>
      <c r="C2386" s="5" t="str">
        <f ca="1">IFERROR(__xludf.DUMMYFUNCTION("""COMPUTED_VALUE"""),"الوراق")</f>
        <v>الوراق</v>
      </c>
      <c r="D2386" s="5" t="str">
        <f ca="1">IFERROR(__xludf.DUMMYFUNCTION("""COMPUTED_VALUE"""),"صيدلية")</f>
        <v>صيدلية</v>
      </c>
      <c r="E2386" s="5" t="str">
        <f ca="1">IFERROR(__xludf.DUMMYFUNCTION("""COMPUTED_VALUE"""),"صيدلية")</f>
        <v>صيدلية</v>
      </c>
      <c r="F2386" s="5" t="str">
        <f ca="1">IFERROR(__xludf.DUMMYFUNCTION("""COMPUTED_VALUE"""),"صيدلية (أدوية ومستلزمات طبية)")</f>
        <v>صيدلية (أدوية ومستلزمات طبية)</v>
      </c>
      <c r="G238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86" s="5" t="str">
        <f ca="1">IFERROR(__xludf.DUMMYFUNCTION("""COMPUTED_VALUE"""),"""محل رقم1 برج الاصدقاء7 - ش كورنيش النيل الوراق - ناصية ش اسوان - الوراق - الجيزه
")</f>
        <v xml:space="preserve">"محل رقم1 برج الاصدقاء7 - ش كورنيش النيل الوراق - ناصية ش اسوان - الوراق - الجيزه
</v>
      </c>
      <c r="I2386" s="6" t="str">
        <f ca="1">IFERROR(__xludf.DUMMYFUNCTION("""COMPUTED_VALUE"""),"1153610591")</f>
        <v>1153610591</v>
      </c>
      <c r="J2386" s="6" t="str">
        <f ca="1">IFERROR(__xludf.DUMMYFUNCTION("""COMPUTED_VALUE"""),"19600")</f>
        <v>19600</v>
      </c>
      <c r="K2386" s="6" t="str">
        <f ca="1">IFERROR(__xludf.DUMMYFUNCTION("""COMPUTED_VALUE"""),"7.5 % على المحلى ,5% على المستلزمات الطبية و التجميل")</f>
        <v>7.5 % على المحلى ,5% على المستلزمات الطبية و التجميل</v>
      </c>
    </row>
    <row r="2387" spans="1:11" x14ac:dyDescent="0.25">
      <c r="A2387" s="4" t="str">
        <f ca="1">IFERROR(__xludf.DUMMYFUNCTION("""COMPUTED_VALUE"""),"1683-B")</f>
        <v>1683-B</v>
      </c>
      <c r="B2387" s="5" t="str">
        <f ca="1">IFERROR(__xludf.DUMMYFUNCTION("""COMPUTED_VALUE"""),"الجيزة")</f>
        <v>الجيزة</v>
      </c>
      <c r="C2387" s="5" t="str">
        <f ca="1">IFERROR(__xludf.DUMMYFUNCTION("""COMPUTED_VALUE"""),"الشيخ زايد")</f>
        <v>الشيخ زايد</v>
      </c>
      <c r="D2387" s="5" t="str">
        <f ca="1">IFERROR(__xludf.DUMMYFUNCTION("""COMPUTED_VALUE"""),"صيدلية")</f>
        <v>صيدلية</v>
      </c>
      <c r="E2387" s="5" t="str">
        <f ca="1">IFERROR(__xludf.DUMMYFUNCTION("""COMPUTED_VALUE"""),"صيدلية")</f>
        <v>صيدلية</v>
      </c>
      <c r="F2387" s="5" t="str">
        <f ca="1">IFERROR(__xludf.DUMMYFUNCTION("""COMPUTED_VALUE"""),"صيدلية (أدوية ومستلزمات طبية)")</f>
        <v>صيدلية (أدوية ومستلزمات طبية)</v>
      </c>
      <c r="G238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87" s="5" t="str">
        <f ca="1">IFERROR(__xludf.DUMMYFUNCTION("""COMPUTED_VALUE"""),"وصلة دهشور الاتجاه المقابل لمدخل زايد 3 امام محطة وقود توتال(مول العرب)
")</f>
        <v xml:space="preserve">وصلة دهشور الاتجاه المقابل لمدخل زايد 3 امام محطة وقود توتال(مول العرب)
</v>
      </c>
      <c r="I2387" s="6" t="str">
        <f ca="1">IFERROR(__xludf.DUMMYFUNCTION("""COMPUTED_VALUE"""),"1150338832")</f>
        <v>1150338832</v>
      </c>
      <c r="J2387" s="6" t="str">
        <f ca="1">IFERROR(__xludf.DUMMYFUNCTION("""COMPUTED_VALUE"""),"19600")</f>
        <v>19600</v>
      </c>
      <c r="K2387" s="6" t="str">
        <f ca="1">IFERROR(__xludf.DUMMYFUNCTION("""COMPUTED_VALUE"""),"7.5 % على المحلى ,5% على المستلزمات الطبية و التجميل")</f>
        <v>7.5 % على المحلى ,5% على المستلزمات الطبية و التجميل</v>
      </c>
    </row>
    <row r="2388" spans="1:11" x14ac:dyDescent="0.25">
      <c r="A2388" s="4" t="str">
        <f ca="1">IFERROR(__xludf.DUMMYFUNCTION("""COMPUTED_VALUE"""),"1683-B")</f>
        <v>1683-B</v>
      </c>
      <c r="B2388" s="5" t="str">
        <f ca="1">IFERROR(__xludf.DUMMYFUNCTION("""COMPUTED_VALUE"""),"مرسى مطروح")</f>
        <v>مرسى مطروح</v>
      </c>
      <c r="C2388" s="5" t="str">
        <f ca="1">IFERROR(__xludf.DUMMYFUNCTION("""COMPUTED_VALUE"""),"الساحل الشمالي")</f>
        <v>الساحل الشمالي</v>
      </c>
      <c r="D2388" s="5" t="str">
        <f ca="1">IFERROR(__xludf.DUMMYFUNCTION("""COMPUTED_VALUE"""),"صيدلية")</f>
        <v>صيدلية</v>
      </c>
      <c r="E2388" s="5" t="str">
        <f ca="1">IFERROR(__xludf.DUMMYFUNCTION("""COMPUTED_VALUE"""),"صيدلية")</f>
        <v>صيدلية</v>
      </c>
      <c r="F2388" s="5" t="str">
        <f ca="1">IFERROR(__xludf.DUMMYFUNCTION("""COMPUTED_VALUE"""),"صيدلية (أدوية ومستلزمات طبية)")</f>
        <v>صيدلية (أدوية ومستلزمات طبية)</v>
      </c>
      <c r="G238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88" s="5" t="str">
        <f ca="1">IFERROR(__xludf.DUMMYFUNCTION("""COMPUTED_VALUE"""),"مول -العالمين الجديدة -بجوار مارينا 7-الساحل الشمالى")</f>
        <v>مول -العالمين الجديدة -بجوار مارينا 7-الساحل الشمالى</v>
      </c>
      <c r="I2388" s="6" t="str">
        <f ca="1">IFERROR(__xludf.DUMMYFUNCTION("""COMPUTED_VALUE"""),"01101115113")</f>
        <v>01101115113</v>
      </c>
      <c r="J2388" s="6" t="str">
        <f ca="1">IFERROR(__xludf.DUMMYFUNCTION("""COMPUTED_VALUE"""),"19600")</f>
        <v>19600</v>
      </c>
      <c r="K2388" s="6" t="str">
        <f ca="1">IFERROR(__xludf.DUMMYFUNCTION("""COMPUTED_VALUE"""),"7.5 % على المحلى ,5% على المستلزمات الطبية و التجميل")</f>
        <v>7.5 % على المحلى ,5% على المستلزمات الطبية و التجميل</v>
      </c>
    </row>
    <row r="2389" spans="1:11" x14ac:dyDescent="0.25">
      <c r="A2389" s="4" t="str">
        <f ca="1">IFERROR(__xludf.DUMMYFUNCTION("""COMPUTED_VALUE"""),"1683-B")</f>
        <v>1683-B</v>
      </c>
      <c r="B2389" s="5" t="str">
        <f ca="1">IFERROR(__xludf.DUMMYFUNCTION("""COMPUTED_VALUE"""),"الاسكندرية")</f>
        <v>الاسكندرية</v>
      </c>
      <c r="C2389" s="5" t="str">
        <f ca="1">IFERROR(__xludf.DUMMYFUNCTION("""COMPUTED_VALUE"""),"العطارين")</f>
        <v>العطارين</v>
      </c>
      <c r="D2389" s="5" t="str">
        <f ca="1">IFERROR(__xludf.DUMMYFUNCTION("""COMPUTED_VALUE"""),"صيدلية")</f>
        <v>صيدلية</v>
      </c>
      <c r="E2389" s="5" t="str">
        <f ca="1">IFERROR(__xludf.DUMMYFUNCTION("""COMPUTED_VALUE"""),"صيدلية")</f>
        <v>صيدلية</v>
      </c>
      <c r="F2389" s="5" t="str">
        <f ca="1">IFERROR(__xludf.DUMMYFUNCTION("""COMPUTED_VALUE"""),"صيدلية (أدوية ومستلزمات طبية)")</f>
        <v>صيدلية (أدوية ومستلزمات طبية)</v>
      </c>
      <c r="G238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89" s="5" t="str">
        <f ca="1">IFERROR(__xludf.DUMMYFUNCTION("""COMPUTED_VALUE"""),"54شارع صفية زغلول -العطارين- الاسكندرية -عمارة  شركة مصر للتامين")</f>
        <v>54شارع صفية زغلول -العطارين- الاسكندرية -عمارة  شركة مصر للتامين</v>
      </c>
      <c r="I2389" s="6" t="str">
        <f ca="1">IFERROR(__xludf.DUMMYFUNCTION("""COMPUTED_VALUE"""),"1159271691")</f>
        <v>1159271691</v>
      </c>
      <c r="J2389" s="6" t="str">
        <f ca="1">IFERROR(__xludf.DUMMYFUNCTION("""COMPUTED_VALUE"""),"19600")</f>
        <v>19600</v>
      </c>
      <c r="K2389" s="6" t="str">
        <f ca="1">IFERROR(__xludf.DUMMYFUNCTION("""COMPUTED_VALUE"""),"7.5 % على المحلى ,5% على المستلزمات الطبية و التجميل")</f>
        <v>7.5 % على المحلى ,5% على المستلزمات الطبية و التجميل</v>
      </c>
    </row>
    <row r="2390" spans="1:11" x14ac:dyDescent="0.25">
      <c r="A2390" s="4" t="str">
        <f ca="1">IFERROR(__xludf.DUMMYFUNCTION("""COMPUTED_VALUE"""),"1683-B")</f>
        <v>1683-B</v>
      </c>
      <c r="B2390" s="5" t="str">
        <f ca="1">IFERROR(__xludf.DUMMYFUNCTION("""COMPUTED_VALUE"""),"الاسكندرية")</f>
        <v>الاسكندرية</v>
      </c>
      <c r="C2390" s="5" t="str">
        <f ca="1">IFERROR(__xludf.DUMMYFUNCTION("""COMPUTED_VALUE"""),"لوران")</f>
        <v>لوران</v>
      </c>
      <c r="D2390" s="5" t="str">
        <f ca="1">IFERROR(__xludf.DUMMYFUNCTION("""COMPUTED_VALUE"""),"صيدلية")</f>
        <v>صيدلية</v>
      </c>
      <c r="E2390" s="5" t="str">
        <f ca="1">IFERROR(__xludf.DUMMYFUNCTION("""COMPUTED_VALUE"""),"صيدلية")</f>
        <v>صيدلية</v>
      </c>
      <c r="F2390" s="5" t="str">
        <f ca="1">IFERROR(__xludf.DUMMYFUNCTION("""COMPUTED_VALUE"""),"صيدلية (أدوية ومستلزمات طبية)")</f>
        <v>صيدلية (أدوية ومستلزمات طبية)</v>
      </c>
      <c r="G239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90" s="5" t="str">
        <f ca="1">IFERROR(__xludf.DUMMYFUNCTION("""COMPUTED_VALUE"""),"8 شارع نور الهدي متفرع من شارع شعراوي - لوران الاسكندرية")</f>
        <v>8 شارع نور الهدي متفرع من شارع شعراوي - لوران الاسكندرية</v>
      </c>
      <c r="I2390" s="6" t="str">
        <f ca="1">IFERROR(__xludf.DUMMYFUNCTION("""COMPUTED_VALUE"""),"1019799611")</f>
        <v>1019799611</v>
      </c>
      <c r="J2390" s="6" t="str">
        <f ca="1">IFERROR(__xludf.DUMMYFUNCTION("""COMPUTED_VALUE"""),"19600")</f>
        <v>19600</v>
      </c>
      <c r="K2390" s="6" t="str">
        <f ca="1">IFERROR(__xludf.DUMMYFUNCTION("""COMPUTED_VALUE"""),"7.5 % على المحلى ,5% على المستلزمات الطبية و التجميل")</f>
        <v>7.5 % على المحلى ,5% على المستلزمات الطبية و التجميل</v>
      </c>
    </row>
    <row r="2391" spans="1:11" x14ac:dyDescent="0.25">
      <c r="A2391" s="4" t="str">
        <f ca="1">IFERROR(__xludf.DUMMYFUNCTION("""COMPUTED_VALUE"""),"1683-B")</f>
        <v>1683-B</v>
      </c>
      <c r="B2391" s="5" t="str">
        <f ca="1">IFERROR(__xludf.DUMMYFUNCTION("""COMPUTED_VALUE"""),"مرسى مطروح")</f>
        <v>مرسى مطروح</v>
      </c>
      <c r="C2391" s="5" t="str">
        <f ca="1">IFERROR(__xludf.DUMMYFUNCTION("""COMPUTED_VALUE"""),"الساحل الشمالي")</f>
        <v>الساحل الشمالي</v>
      </c>
      <c r="D2391" s="5" t="str">
        <f ca="1">IFERROR(__xludf.DUMMYFUNCTION("""COMPUTED_VALUE"""),"صيدلية")</f>
        <v>صيدلية</v>
      </c>
      <c r="E2391" s="5" t="str">
        <f ca="1">IFERROR(__xludf.DUMMYFUNCTION("""COMPUTED_VALUE"""),"صيدلية")</f>
        <v>صيدلية</v>
      </c>
      <c r="F2391" s="5" t="str">
        <f ca="1">IFERROR(__xludf.DUMMYFUNCTION("""COMPUTED_VALUE"""),"صيدلية (أدوية ومستلزمات طبية)")</f>
        <v>صيدلية (أدوية ومستلزمات طبية)</v>
      </c>
      <c r="G239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91" s="5" t="str">
        <f ca="1">IFERROR(__xludf.DUMMYFUNCTION("""COMPUTED_VALUE"""),"الوحدة رقم ff-11bبمول امواج الساحل الشمالى")</f>
        <v>الوحدة رقم ff-11bبمول امواج الساحل الشمالى</v>
      </c>
      <c r="I2391" s="6" t="str">
        <f ca="1">IFERROR(__xludf.DUMMYFUNCTION("""COMPUTED_VALUE"""),"1146665166")</f>
        <v>1146665166</v>
      </c>
      <c r="J2391" s="6" t="str">
        <f ca="1">IFERROR(__xludf.DUMMYFUNCTION("""COMPUTED_VALUE"""),"19600")</f>
        <v>19600</v>
      </c>
      <c r="K2391" s="6" t="str">
        <f ca="1">IFERROR(__xludf.DUMMYFUNCTION("""COMPUTED_VALUE"""),"7.5 % على المحلى ,5% على المستلزمات الطبية و التجميل")</f>
        <v>7.5 % على المحلى ,5% على المستلزمات الطبية و التجميل</v>
      </c>
    </row>
    <row r="2392" spans="1:11" x14ac:dyDescent="0.25">
      <c r="A2392" s="4" t="str">
        <f ca="1">IFERROR(__xludf.DUMMYFUNCTION("""COMPUTED_VALUE"""),"1683-B")</f>
        <v>1683-B</v>
      </c>
      <c r="B2392" s="5" t="str">
        <f ca="1">IFERROR(__xludf.DUMMYFUNCTION("""COMPUTED_VALUE"""),"الاسكندرية")</f>
        <v>الاسكندرية</v>
      </c>
      <c r="C2392" s="5" t="str">
        <f ca="1">IFERROR(__xludf.DUMMYFUNCTION("""COMPUTED_VALUE"""),"السيوف")</f>
        <v>السيوف</v>
      </c>
      <c r="D2392" s="5" t="str">
        <f ca="1">IFERROR(__xludf.DUMMYFUNCTION("""COMPUTED_VALUE"""),"صيدلية")</f>
        <v>صيدلية</v>
      </c>
      <c r="E2392" s="5" t="str">
        <f ca="1">IFERROR(__xludf.DUMMYFUNCTION("""COMPUTED_VALUE"""),"صيدلية")</f>
        <v>صيدلية</v>
      </c>
      <c r="F2392" s="5" t="str">
        <f ca="1">IFERROR(__xludf.DUMMYFUNCTION("""COMPUTED_VALUE"""),"صيدلية (أدوية ومستلزمات طبية)")</f>
        <v>صيدلية (أدوية ومستلزمات طبية)</v>
      </c>
      <c r="G239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92" s="5" t="str">
        <f ca="1">IFERROR(__xludf.DUMMYFUNCTION("""COMPUTED_VALUE"""),"تقاطع شارع جميلة بوحريد-ميدان السيوف-ابراج ايوب بركة -السيوف - الاسكندرية")</f>
        <v>تقاطع شارع جميلة بوحريد-ميدان السيوف-ابراج ايوب بركة -السيوف - الاسكندرية</v>
      </c>
      <c r="I2392" s="6" t="str">
        <f ca="1">IFERROR(__xludf.DUMMYFUNCTION("""COMPUTED_VALUE"""),"1111755647")</f>
        <v>1111755647</v>
      </c>
      <c r="J2392" s="6" t="str">
        <f ca="1">IFERROR(__xludf.DUMMYFUNCTION("""COMPUTED_VALUE"""),"19600")</f>
        <v>19600</v>
      </c>
      <c r="K2392" s="6" t="str">
        <f ca="1">IFERROR(__xludf.DUMMYFUNCTION("""COMPUTED_VALUE"""),"7.5 % على المحلى ,5% على المستلزمات الطبية و التجميل")</f>
        <v>7.5 % على المحلى ,5% على المستلزمات الطبية و التجميل</v>
      </c>
    </row>
    <row r="2393" spans="1:11" x14ac:dyDescent="0.25">
      <c r="A2393" s="4" t="str">
        <f ca="1">IFERROR(__xludf.DUMMYFUNCTION("""COMPUTED_VALUE"""),"1683-B")</f>
        <v>1683-B</v>
      </c>
      <c r="B2393" s="5" t="str">
        <f ca="1">IFERROR(__xludf.DUMMYFUNCTION("""COMPUTED_VALUE"""),"الاسكندرية")</f>
        <v>الاسكندرية</v>
      </c>
      <c r="C2393" s="5" t="str">
        <f ca="1">IFERROR(__xludf.DUMMYFUNCTION("""COMPUTED_VALUE"""),"العجمي")</f>
        <v>العجمي</v>
      </c>
      <c r="D2393" s="5" t="str">
        <f ca="1">IFERROR(__xludf.DUMMYFUNCTION("""COMPUTED_VALUE"""),"صيدلية")</f>
        <v>صيدلية</v>
      </c>
      <c r="E2393" s="5" t="str">
        <f ca="1">IFERROR(__xludf.DUMMYFUNCTION("""COMPUTED_VALUE"""),"صيدلية")</f>
        <v>صيدلية</v>
      </c>
      <c r="F2393" s="5" t="str">
        <f ca="1">IFERROR(__xludf.DUMMYFUNCTION("""COMPUTED_VALUE"""),"صيدلية (أدوية ومستلزمات طبية)")</f>
        <v>صيدلية (أدوية ومستلزمات طبية)</v>
      </c>
      <c r="G239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93" s="5" t="str">
        <f ca="1">IFERROR(__xludf.DUMMYFUNCTION("""COMPUTED_VALUE"""),"شارع الهانوفيل العجمى -ناصية شارع مكة -الاسكندرية")</f>
        <v>شارع الهانوفيل العجمى -ناصية شارع مكة -الاسكندرية</v>
      </c>
      <c r="I2393" s="6" t="str">
        <f ca="1">IFERROR(__xludf.DUMMYFUNCTION("""COMPUTED_VALUE"""),"1103455528")</f>
        <v>1103455528</v>
      </c>
      <c r="J2393" s="6" t="str">
        <f ca="1">IFERROR(__xludf.DUMMYFUNCTION("""COMPUTED_VALUE"""),"19600")</f>
        <v>19600</v>
      </c>
      <c r="K2393" s="6" t="str">
        <f ca="1">IFERROR(__xludf.DUMMYFUNCTION("""COMPUTED_VALUE"""),"7.5 % على المحلى ,5% على المستلزمات الطبية و التجميل")</f>
        <v>7.5 % على المحلى ,5% على المستلزمات الطبية و التجميل</v>
      </c>
    </row>
    <row r="2394" spans="1:11" x14ac:dyDescent="0.25">
      <c r="A2394" s="4" t="str">
        <f ca="1">IFERROR(__xludf.DUMMYFUNCTION("""COMPUTED_VALUE"""),"1683-B")</f>
        <v>1683-B</v>
      </c>
      <c r="B2394" s="5" t="str">
        <f ca="1">IFERROR(__xludf.DUMMYFUNCTION("""COMPUTED_VALUE"""),"أسيوط")</f>
        <v>أسيوط</v>
      </c>
      <c r="C2394" s="5" t="str">
        <f ca="1">IFERROR(__xludf.DUMMYFUNCTION("""COMPUTED_VALUE"""),"أسيوط")</f>
        <v>أسيوط</v>
      </c>
      <c r="D2394" s="5" t="str">
        <f ca="1">IFERROR(__xludf.DUMMYFUNCTION("""COMPUTED_VALUE"""),"صيدلية")</f>
        <v>صيدلية</v>
      </c>
      <c r="E2394" s="5" t="str">
        <f ca="1">IFERROR(__xludf.DUMMYFUNCTION("""COMPUTED_VALUE"""),"صيدلية")</f>
        <v>صيدلية</v>
      </c>
      <c r="F2394" s="5" t="str">
        <f ca="1">IFERROR(__xludf.DUMMYFUNCTION("""COMPUTED_VALUE"""),"صيدلية (أدوية ومستلزمات طبية)")</f>
        <v>صيدلية (أدوية ومستلزمات طبية)</v>
      </c>
      <c r="G239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94" s="5" t="str">
        <f ca="1">IFERROR(__xludf.DUMMYFUNCTION("""COMPUTED_VALUE"""),"محل رقم 2-برج النحال-امتداد شارع يسرى راغب –اسيوط اول-اسيوط")</f>
        <v>محل رقم 2-برج النحال-امتداد شارع يسرى راغب –اسيوط اول-اسيوط</v>
      </c>
      <c r="I2394" s="6" t="str">
        <f ca="1">IFERROR(__xludf.DUMMYFUNCTION("""COMPUTED_VALUE"""),"1103903862")</f>
        <v>1103903862</v>
      </c>
      <c r="J2394" s="6" t="str">
        <f ca="1">IFERROR(__xludf.DUMMYFUNCTION("""COMPUTED_VALUE"""),"19600")</f>
        <v>19600</v>
      </c>
      <c r="K2394" s="6" t="str">
        <f ca="1">IFERROR(__xludf.DUMMYFUNCTION("""COMPUTED_VALUE"""),"7.5 % على المحلى ,5% على المستلزمات الطبية و التجميل")</f>
        <v>7.5 % على المحلى ,5% على المستلزمات الطبية و التجميل</v>
      </c>
    </row>
    <row r="2395" spans="1:11" x14ac:dyDescent="0.25">
      <c r="A2395" s="4" t="str">
        <f ca="1">IFERROR(__xludf.DUMMYFUNCTION("""COMPUTED_VALUE"""),"1683-B")</f>
        <v>1683-B</v>
      </c>
      <c r="B2395" s="5" t="str">
        <f ca="1">IFERROR(__xludf.DUMMYFUNCTION("""COMPUTED_VALUE"""),"البحر الاحمر")</f>
        <v>البحر الاحمر</v>
      </c>
      <c r="C2395" s="5" t="str">
        <f ca="1">IFERROR(__xludf.DUMMYFUNCTION("""COMPUTED_VALUE"""),"الغردقة")</f>
        <v>الغردقة</v>
      </c>
      <c r="D2395" s="5" t="str">
        <f ca="1">IFERROR(__xludf.DUMMYFUNCTION("""COMPUTED_VALUE"""),"صيدلية")</f>
        <v>صيدلية</v>
      </c>
      <c r="E2395" s="5" t="str">
        <f ca="1">IFERROR(__xludf.DUMMYFUNCTION("""COMPUTED_VALUE"""),"صيدلية")</f>
        <v>صيدلية</v>
      </c>
      <c r="F2395" s="5" t="str">
        <f ca="1">IFERROR(__xludf.DUMMYFUNCTION("""COMPUTED_VALUE"""),"صيدلية (أدوية ومستلزمات طبية)")</f>
        <v>صيدلية (أدوية ومستلزمات طبية)</v>
      </c>
      <c r="G239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95" s="5" t="str">
        <f ca="1">IFERROR(__xludf.DUMMYFUNCTION("""COMPUTED_VALUE"""),"ارينا مول - ش شيراتون - السقالة الغردقة")</f>
        <v>ارينا مول - ش شيراتون - السقالة الغردقة</v>
      </c>
      <c r="I2395" s="6" t="str">
        <f ca="1">IFERROR(__xludf.DUMMYFUNCTION("""COMPUTED_VALUE"""),"1103124440")</f>
        <v>1103124440</v>
      </c>
      <c r="J2395" s="6" t="str">
        <f ca="1">IFERROR(__xludf.DUMMYFUNCTION("""COMPUTED_VALUE"""),"19600")</f>
        <v>19600</v>
      </c>
      <c r="K2395" s="6" t="str">
        <f ca="1">IFERROR(__xludf.DUMMYFUNCTION("""COMPUTED_VALUE"""),"7.5 % على المحلى ,5% على المستلزمات الطبية و التجميل")</f>
        <v>7.5 % على المحلى ,5% على المستلزمات الطبية و التجميل</v>
      </c>
    </row>
    <row r="2396" spans="1:11" x14ac:dyDescent="0.25">
      <c r="A2396" s="4" t="str">
        <f ca="1">IFERROR(__xludf.DUMMYFUNCTION("""COMPUTED_VALUE"""),"1683-B")</f>
        <v>1683-B</v>
      </c>
      <c r="B2396" s="5" t="str">
        <f ca="1">IFERROR(__xludf.DUMMYFUNCTION("""COMPUTED_VALUE"""),"البحر الاحمر")</f>
        <v>البحر الاحمر</v>
      </c>
      <c r="C2396" s="5" t="str">
        <f ca="1">IFERROR(__xludf.DUMMYFUNCTION("""COMPUTED_VALUE"""),"الغردقة")</f>
        <v>الغردقة</v>
      </c>
      <c r="D2396" s="5" t="str">
        <f ca="1">IFERROR(__xludf.DUMMYFUNCTION("""COMPUTED_VALUE"""),"صيدلية")</f>
        <v>صيدلية</v>
      </c>
      <c r="E2396" s="5" t="str">
        <f ca="1">IFERROR(__xludf.DUMMYFUNCTION("""COMPUTED_VALUE"""),"صيدلية")</f>
        <v>صيدلية</v>
      </c>
      <c r="F2396" s="5" t="str">
        <f ca="1">IFERROR(__xludf.DUMMYFUNCTION("""COMPUTED_VALUE"""),"صيدلية (أدوية ومستلزمات طبية)")</f>
        <v>صيدلية (أدوية ومستلزمات طبية)</v>
      </c>
      <c r="G239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96" s="5" t="str">
        <f ca="1">IFERROR(__xludf.DUMMYFUNCTION("""COMPUTED_VALUE"""),"محل رقم 3 عقار رقم 22 -شارع محمد سعيد -امام المستشفى المصرى-الكوثر-الغردقة   ")</f>
        <v xml:space="preserve">محل رقم 3 عقار رقم 22 -شارع محمد سعيد -امام المستشفى المصرى-الكوثر-الغردقة   </v>
      </c>
      <c r="I2396" s="6" t="str">
        <f ca="1">IFERROR(__xludf.DUMMYFUNCTION("""COMPUTED_VALUE"""),"01113880997")</f>
        <v>01113880997</v>
      </c>
      <c r="J2396" s="6" t="str">
        <f ca="1">IFERROR(__xludf.DUMMYFUNCTION("""COMPUTED_VALUE"""),"19600")</f>
        <v>19600</v>
      </c>
      <c r="K2396" s="6" t="str">
        <f ca="1">IFERROR(__xludf.DUMMYFUNCTION("""COMPUTED_VALUE"""),"7.5 % على المحلى ,5% على المستلزمات الطبية و التجميل")</f>
        <v>7.5 % على المحلى ,5% على المستلزمات الطبية و التجميل</v>
      </c>
    </row>
    <row r="2397" spans="1:11" x14ac:dyDescent="0.25">
      <c r="A2397" s="4" t="str">
        <f ca="1">IFERROR(__xludf.DUMMYFUNCTION("""COMPUTED_VALUE"""),"1683-B")</f>
        <v>1683-B</v>
      </c>
      <c r="B2397" s="5" t="str">
        <f ca="1">IFERROR(__xludf.DUMMYFUNCTION("""COMPUTED_VALUE"""),"البحيرة")</f>
        <v>البحيرة</v>
      </c>
      <c r="C2397" s="5" t="str">
        <f ca="1">IFERROR(__xludf.DUMMYFUNCTION("""COMPUTED_VALUE"""),"كفر الدوار")</f>
        <v>كفر الدوار</v>
      </c>
      <c r="D2397" s="5" t="str">
        <f ca="1">IFERROR(__xludf.DUMMYFUNCTION("""COMPUTED_VALUE"""),"صيدلية")</f>
        <v>صيدلية</v>
      </c>
      <c r="E2397" s="5" t="str">
        <f ca="1">IFERROR(__xludf.DUMMYFUNCTION("""COMPUTED_VALUE"""),"صيدلية")</f>
        <v>صيدلية</v>
      </c>
      <c r="F2397" s="5" t="str">
        <f ca="1">IFERROR(__xludf.DUMMYFUNCTION("""COMPUTED_VALUE"""),"صيدلية (أدوية ومستلزمات طبية)")</f>
        <v>صيدلية (أدوية ومستلزمات طبية)</v>
      </c>
      <c r="G239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97" s="5" t="str">
        <f ca="1">IFERROR(__xludf.DUMMYFUNCTION("""COMPUTED_VALUE"""),"2 شارع الجيش كفر الدوار - محافظة البحيرة
")</f>
        <v xml:space="preserve">2 شارع الجيش كفر الدوار - محافظة البحيرة
</v>
      </c>
      <c r="I2397" s="6" t="str">
        <f ca="1">IFERROR(__xludf.DUMMYFUNCTION("""COMPUTED_VALUE"""),"1140577499")</f>
        <v>1140577499</v>
      </c>
      <c r="J2397" s="6" t="str">
        <f ca="1">IFERROR(__xludf.DUMMYFUNCTION("""COMPUTED_VALUE"""),"19600")</f>
        <v>19600</v>
      </c>
      <c r="K2397" s="6" t="str">
        <f ca="1">IFERROR(__xludf.DUMMYFUNCTION("""COMPUTED_VALUE"""),"7.5 % على المحلى ,5% على المستلزمات الطبية و التجميل")</f>
        <v>7.5 % على المحلى ,5% على المستلزمات الطبية و التجميل</v>
      </c>
    </row>
    <row r="2398" spans="1:11" x14ac:dyDescent="0.25">
      <c r="A2398" s="4" t="str">
        <f ca="1">IFERROR(__xludf.DUMMYFUNCTION("""COMPUTED_VALUE"""),"1683-B")</f>
        <v>1683-B</v>
      </c>
      <c r="B2398" s="5" t="str">
        <f ca="1">IFERROR(__xludf.DUMMYFUNCTION("""COMPUTED_VALUE"""),"الدقهلية")</f>
        <v>الدقهلية</v>
      </c>
      <c r="C2398" s="5" t="str">
        <f ca="1">IFERROR(__xludf.DUMMYFUNCTION("""COMPUTED_VALUE"""),"المنصورة")</f>
        <v>المنصورة</v>
      </c>
      <c r="D2398" s="5" t="str">
        <f ca="1">IFERROR(__xludf.DUMMYFUNCTION("""COMPUTED_VALUE"""),"صيدلية")</f>
        <v>صيدلية</v>
      </c>
      <c r="E2398" s="5" t="str">
        <f ca="1">IFERROR(__xludf.DUMMYFUNCTION("""COMPUTED_VALUE"""),"صيدلية")</f>
        <v>صيدلية</v>
      </c>
      <c r="F2398" s="5" t="str">
        <f ca="1">IFERROR(__xludf.DUMMYFUNCTION("""COMPUTED_VALUE"""),"صيدلية (أدوية ومستلزمات طبية)")</f>
        <v>صيدلية (أدوية ومستلزمات طبية)</v>
      </c>
      <c r="G239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98" s="5" t="str">
        <f ca="1">IFERROR(__xludf.DUMMYFUNCTION("""COMPUTED_VALUE"""),"12شارع عمر بن عبدالعزيز -حى الجامعه-المنصورة اول-الدقهلية
")</f>
        <v xml:space="preserve">12شارع عمر بن عبدالعزيز -حى الجامعه-المنصورة اول-الدقهلية
</v>
      </c>
      <c r="I2398" s="6" t="str">
        <f ca="1">IFERROR(__xludf.DUMMYFUNCTION("""COMPUTED_VALUE"""),"1100987036")</f>
        <v>1100987036</v>
      </c>
      <c r="J2398" s="6" t="str">
        <f ca="1">IFERROR(__xludf.DUMMYFUNCTION("""COMPUTED_VALUE"""),"19600")</f>
        <v>19600</v>
      </c>
      <c r="K2398" s="6" t="str">
        <f ca="1">IFERROR(__xludf.DUMMYFUNCTION("""COMPUTED_VALUE"""),"7.5 % على المحلى ,5% على المستلزمات الطبية و التجميل")</f>
        <v>7.5 % على المحلى ,5% على المستلزمات الطبية و التجميل</v>
      </c>
    </row>
    <row r="2399" spans="1:11" x14ac:dyDescent="0.25">
      <c r="A2399" s="4" t="str">
        <f ca="1">IFERROR(__xludf.DUMMYFUNCTION("""COMPUTED_VALUE"""),"1683-B")</f>
        <v>1683-B</v>
      </c>
      <c r="B2399" s="5" t="str">
        <f ca="1">IFERROR(__xludf.DUMMYFUNCTION("""COMPUTED_VALUE"""),"الدقهلية")</f>
        <v>الدقهلية</v>
      </c>
      <c r="C2399" s="5" t="str">
        <f ca="1">IFERROR(__xludf.DUMMYFUNCTION("""COMPUTED_VALUE"""),"المنصورة")</f>
        <v>المنصورة</v>
      </c>
      <c r="D2399" s="5" t="str">
        <f ca="1">IFERROR(__xludf.DUMMYFUNCTION("""COMPUTED_VALUE"""),"صيدلية")</f>
        <v>صيدلية</v>
      </c>
      <c r="E2399" s="5" t="str">
        <f ca="1">IFERROR(__xludf.DUMMYFUNCTION("""COMPUTED_VALUE"""),"صيدلية")</f>
        <v>صيدلية</v>
      </c>
      <c r="F2399" s="5" t="str">
        <f ca="1">IFERROR(__xludf.DUMMYFUNCTION("""COMPUTED_VALUE"""),"صيدلية (أدوية ومستلزمات طبية)")</f>
        <v>صيدلية (أدوية ومستلزمات طبية)</v>
      </c>
      <c r="G239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399" s="5" t="str">
        <f ca="1">IFERROR(__xludf.DUMMYFUNCTION("""COMPUTED_VALUE"""),"ش بنك مصر المنصورة عمارة رقم 17 -الانوار المحمدية -المنصورة
")</f>
        <v xml:space="preserve">ش بنك مصر المنصورة عمارة رقم 17 -الانوار المحمدية -المنصورة
</v>
      </c>
      <c r="I2399" s="6" t="str">
        <f ca="1">IFERROR(__xludf.DUMMYFUNCTION("""COMPUTED_VALUE"""),"1159108101")</f>
        <v>1159108101</v>
      </c>
      <c r="J2399" s="6" t="str">
        <f ca="1">IFERROR(__xludf.DUMMYFUNCTION("""COMPUTED_VALUE"""),"19600")</f>
        <v>19600</v>
      </c>
      <c r="K2399" s="6" t="str">
        <f ca="1">IFERROR(__xludf.DUMMYFUNCTION("""COMPUTED_VALUE"""),"7.5 % على المحلى ,5% على المستلزمات الطبية و التجميل")</f>
        <v>7.5 % على المحلى ,5% على المستلزمات الطبية و التجميل</v>
      </c>
    </row>
    <row r="2400" spans="1:11" x14ac:dyDescent="0.25">
      <c r="A2400" s="4" t="str">
        <f ca="1">IFERROR(__xludf.DUMMYFUNCTION("""COMPUTED_VALUE"""),"1683-B")</f>
        <v>1683-B</v>
      </c>
      <c r="B2400" s="5" t="str">
        <f ca="1">IFERROR(__xludf.DUMMYFUNCTION("""COMPUTED_VALUE"""),"الدقهلية")</f>
        <v>الدقهلية</v>
      </c>
      <c r="C2400" s="5" t="str">
        <f ca="1">IFERROR(__xludf.DUMMYFUNCTION("""COMPUTED_VALUE"""),"المنصورة")</f>
        <v>المنصورة</v>
      </c>
      <c r="D2400" s="5" t="str">
        <f ca="1">IFERROR(__xludf.DUMMYFUNCTION("""COMPUTED_VALUE"""),"صيدلية")</f>
        <v>صيدلية</v>
      </c>
      <c r="E2400" s="5" t="str">
        <f ca="1">IFERROR(__xludf.DUMMYFUNCTION("""COMPUTED_VALUE"""),"صيدلية")</f>
        <v>صيدلية</v>
      </c>
      <c r="F2400" s="5" t="str">
        <f ca="1">IFERROR(__xludf.DUMMYFUNCTION("""COMPUTED_VALUE"""),"صيدلية (أدوية ومستلزمات طبية)")</f>
        <v>صيدلية (أدوية ومستلزمات طبية)</v>
      </c>
      <c r="G240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00" s="5" t="str">
        <f ca="1">IFERROR(__xludf.DUMMYFUNCTION("""COMPUTED_VALUE"""),"ش عبد السلام عارف – مدينة السلام – المنصورة ثان – الدقهلية")</f>
        <v>ش عبد السلام عارف – مدينة السلام – المنصورة ثان – الدقهلية</v>
      </c>
      <c r="I2400" s="6" t="str">
        <f ca="1">IFERROR(__xludf.DUMMYFUNCTION("""COMPUTED_VALUE"""),"01153712557")</f>
        <v>01153712557</v>
      </c>
      <c r="J2400" s="6" t="str">
        <f ca="1">IFERROR(__xludf.DUMMYFUNCTION("""COMPUTED_VALUE"""),"19600")</f>
        <v>19600</v>
      </c>
      <c r="K2400" s="6" t="str">
        <f ca="1">IFERROR(__xludf.DUMMYFUNCTION("""COMPUTED_VALUE"""),"7.5 % على المحلى ,5% على المستلزمات الطبية و التجميل")</f>
        <v>7.5 % على المحلى ,5% على المستلزمات الطبية و التجميل</v>
      </c>
    </row>
    <row r="2401" spans="1:11" x14ac:dyDescent="0.25">
      <c r="A2401" s="4" t="str">
        <f ca="1">IFERROR(__xludf.DUMMYFUNCTION("""COMPUTED_VALUE"""),"1683-B")</f>
        <v>1683-B</v>
      </c>
      <c r="B2401" s="5" t="str">
        <f ca="1">IFERROR(__xludf.DUMMYFUNCTION("""COMPUTED_VALUE"""),"الدقهلية")</f>
        <v>الدقهلية</v>
      </c>
      <c r="C2401" s="5" t="str">
        <f ca="1">IFERROR(__xludf.DUMMYFUNCTION("""COMPUTED_VALUE"""),"دكرنس")</f>
        <v>دكرنس</v>
      </c>
      <c r="D2401" s="5" t="str">
        <f ca="1">IFERROR(__xludf.DUMMYFUNCTION("""COMPUTED_VALUE"""),"صيدلية")</f>
        <v>صيدلية</v>
      </c>
      <c r="E2401" s="5" t="str">
        <f ca="1">IFERROR(__xludf.DUMMYFUNCTION("""COMPUTED_VALUE"""),"صيدلية")</f>
        <v>صيدلية</v>
      </c>
      <c r="F2401" s="5" t="str">
        <f ca="1">IFERROR(__xludf.DUMMYFUNCTION("""COMPUTED_VALUE"""),"صيدلية (أدوية ومستلزمات طبية)")</f>
        <v>صيدلية (أدوية ومستلزمات طبية)</v>
      </c>
      <c r="G240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01" s="5" t="str">
        <f ca="1">IFERROR(__xludf.DUMMYFUNCTION("""COMPUTED_VALUE"""),"ش عبدالمنهم رياض-مركز دكرنس-الدقهلية")</f>
        <v>ش عبدالمنهم رياض-مركز دكرنس-الدقهلية</v>
      </c>
      <c r="I2401" s="6" t="str">
        <f ca="1">IFERROR(__xludf.DUMMYFUNCTION("""COMPUTED_VALUE"""),"1100987554")</f>
        <v>1100987554</v>
      </c>
      <c r="J2401" s="6" t="str">
        <f ca="1">IFERROR(__xludf.DUMMYFUNCTION("""COMPUTED_VALUE"""),"19600")</f>
        <v>19600</v>
      </c>
      <c r="K2401" s="6" t="str">
        <f ca="1">IFERROR(__xludf.DUMMYFUNCTION("""COMPUTED_VALUE"""),"7.5 % على المحلى ,5% على المستلزمات الطبية و التجميل")</f>
        <v>7.5 % على المحلى ,5% على المستلزمات الطبية و التجميل</v>
      </c>
    </row>
    <row r="2402" spans="1:11" x14ac:dyDescent="0.25">
      <c r="A2402" s="4" t="str">
        <f ca="1">IFERROR(__xludf.DUMMYFUNCTION("""COMPUTED_VALUE"""),"1683-B")</f>
        <v>1683-B</v>
      </c>
      <c r="B2402" s="5" t="str">
        <f ca="1">IFERROR(__xludf.DUMMYFUNCTION("""COMPUTED_VALUE"""),"السويس")</f>
        <v>السويس</v>
      </c>
      <c r="C2402" s="5" t="str">
        <f ca="1">IFERROR(__xludf.DUMMYFUNCTION("""COMPUTED_VALUE"""),"العين السخنة")</f>
        <v>العين السخنة</v>
      </c>
      <c r="D2402" s="5" t="str">
        <f ca="1">IFERROR(__xludf.DUMMYFUNCTION("""COMPUTED_VALUE"""),"صيدلية")</f>
        <v>صيدلية</v>
      </c>
      <c r="E2402" s="5" t="str">
        <f ca="1">IFERROR(__xludf.DUMMYFUNCTION("""COMPUTED_VALUE"""),"صيدلية")</f>
        <v>صيدلية</v>
      </c>
      <c r="F2402" s="5" t="str">
        <f ca="1">IFERROR(__xludf.DUMMYFUNCTION("""COMPUTED_VALUE"""),"صيدلية (أدوية ومستلزمات طبية)")</f>
        <v>صيدلية (أدوية ومستلزمات طبية)</v>
      </c>
      <c r="G240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02" s="5" t="str">
        <f ca="1">IFERROR(__xludf.DUMMYFUNCTION("""COMPUTED_VALUE"""),"قرية دولفين الكيلو 66 طريق السويس 
الزعفرانه-العين السخنة ")</f>
        <v xml:space="preserve">قرية دولفين الكيلو 66 طريق السويس 
الزعفرانه-العين السخنة </v>
      </c>
      <c r="I2402" s="6" t="str">
        <f ca="1">IFERROR(__xludf.DUMMYFUNCTION("""COMPUTED_VALUE"""),"1158682938")</f>
        <v>1158682938</v>
      </c>
      <c r="J2402" s="6" t="str">
        <f ca="1">IFERROR(__xludf.DUMMYFUNCTION("""COMPUTED_VALUE"""),"19600")</f>
        <v>19600</v>
      </c>
      <c r="K2402" s="6" t="str">
        <f ca="1">IFERROR(__xludf.DUMMYFUNCTION("""COMPUTED_VALUE"""),"7.5 % على المحلى ,5% على المستلزمات الطبية و التجميل")</f>
        <v>7.5 % على المحلى ,5% على المستلزمات الطبية و التجميل</v>
      </c>
    </row>
    <row r="2403" spans="1:11" x14ac:dyDescent="0.25">
      <c r="A2403" s="4" t="str">
        <f ca="1">IFERROR(__xludf.DUMMYFUNCTION("""COMPUTED_VALUE"""),"1683-B")</f>
        <v>1683-B</v>
      </c>
      <c r="B2403" s="5" t="str">
        <f ca="1">IFERROR(__xludf.DUMMYFUNCTION("""COMPUTED_VALUE"""),"الشرقية")</f>
        <v>الشرقية</v>
      </c>
      <c r="C2403" s="5" t="str">
        <f ca="1">IFERROR(__xludf.DUMMYFUNCTION("""COMPUTED_VALUE"""),"العاشر من رمضان")</f>
        <v>العاشر من رمضان</v>
      </c>
      <c r="D2403" s="5" t="str">
        <f ca="1">IFERROR(__xludf.DUMMYFUNCTION("""COMPUTED_VALUE"""),"صيدلية")</f>
        <v>صيدلية</v>
      </c>
      <c r="E2403" s="5" t="str">
        <f ca="1">IFERROR(__xludf.DUMMYFUNCTION("""COMPUTED_VALUE"""),"صيدلية")</f>
        <v>صيدلية</v>
      </c>
      <c r="F2403" s="5" t="str">
        <f ca="1">IFERROR(__xludf.DUMMYFUNCTION("""COMPUTED_VALUE"""),"صيدلية (أدوية ومستلزمات طبية)")</f>
        <v>صيدلية (أدوية ومستلزمات طبية)</v>
      </c>
      <c r="G240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03" s="5" t="str">
        <f ca="1">IFERROR(__xludf.DUMMYFUNCTION("""COMPUTED_VALUE"""),"4جرش مول-المرحلة الثانية -الاردنية-العاشر من رمضان")</f>
        <v>4جرش مول-المرحلة الثانية -الاردنية-العاشر من رمضان</v>
      </c>
      <c r="I2403" s="6" t="str">
        <f ca="1">IFERROR(__xludf.DUMMYFUNCTION("""COMPUTED_VALUE"""),"1111273806")</f>
        <v>1111273806</v>
      </c>
      <c r="J2403" s="6" t="str">
        <f ca="1">IFERROR(__xludf.DUMMYFUNCTION("""COMPUTED_VALUE"""),"19600")</f>
        <v>19600</v>
      </c>
      <c r="K2403" s="6" t="str">
        <f ca="1">IFERROR(__xludf.DUMMYFUNCTION("""COMPUTED_VALUE"""),"7.5 % على المحلى ,5% على المستلزمات الطبية و التجميل")</f>
        <v>7.5 % على المحلى ,5% على المستلزمات الطبية و التجميل</v>
      </c>
    </row>
    <row r="2404" spans="1:11" x14ac:dyDescent="0.25">
      <c r="A2404" s="4" t="str">
        <f ca="1">IFERROR(__xludf.DUMMYFUNCTION("""COMPUTED_VALUE"""),"1683-B")</f>
        <v>1683-B</v>
      </c>
      <c r="B2404" s="5" t="str">
        <f ca="1">IFERROR(__xludf.DUMMYFUNCTION("""COMPUTED_VALUE"""),"الشرقية")</f>
        <v>الشرقية</v>
      </c>
      <c r="C2404" s="5" t="str">
        <f ca="1">IFERROR(__xludf.DUMMYFUNCTION("""COMPUTED_VALUE"""),"الزقازيق")</f>
        <v>الزقازيق</v>
      </c>
      <c r="D2404" s="5" t="str">
        <f ca="1">IFERROR(__xludf.DUMMYFUNCTION("""COMPUTED_VALUE"""),"صيدلية")</f>
        <v>صيدلية</v>
      </c>
      <c r="E2404" s="5" t="str">
        <f ca="1">IFERROR(__xludf.DUMMYFUNCTION("""COMPUTED_VALUE"""),"صيدلية")</f>
        <v>صيدلية</v>
      </c>
      <c r="F2404" s="5" t="str">
        <f ca="1">IFERROR(__xludf.DUMMYFUNCTION("""COMPUTED_VALUE"""),"صيدلية (أدوية ومستلزمات طبية)")</f>
        <v>صيدلية (أدوية ومستلزمات طبية)</v>
      </c>
      <c r="G240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04" s="5" t="str">
        <f ca="1">IFERROR(__xludf.DUMMYFUNCTION("""COMPUTED_VALUE"""),"برج الفيروز-الكائن بحوض العقابى -شارع مصرف اكوا سابقا -شارع د /طلبة عويضة حاليا-بجوار رنين -قسم ثانى الزقازيق
")</f>
        <v xml:space="preserve">برج الفيروز-الكائن بحوض العقابى -شارع مصرف اكوا سابقا -شارع د /طلبة عويضة حاليا-بجوار رنين -قسم ثانى الزقازيق
</v>
      </c>
      <c r="I2404" s="6" t="str">
        <f ca="1">IFERROR(__xludf.DUMMYFUNCTION("""COMPUTED_VALUE"""),"1111148873")</f>
        <v>1111148873</v>
      </c>
      <c r="J2404" s="6" t="str">
        <f ca="1">IFERROR(__xludf.DUMMYFUNCTION("""COMPUTED_VALUE"""),"19600")</f>
        <v>19600</v>
      </c>
      <c r="K2404" s="6" t="str">
        <f ca="1">IFERROR(__xludf.DUMMYFUNCTION("""COMPUTED_VALUE"""),"7.5 % على المحلى ,5% على المستلزمات الطبية و التجميل")</f>
        <v>7.5 % على المحلى ,5% على المستلزمات الطبية و التجميل</v>
      </c>
    </row>
    <row r="2405" spans="1:11" x14ac:dyDescent="0.25">
      <c r="A2405" s="4" t="str">
        <f ca="1">IFERROR(__xludf.DUMMYFUNCTION("""COMPUTED_VALUE"""),"1683-B")</f>
        <v>1683-B</v>
      </c>
      <c r="B2405" s="5" t="str">
        <f ca="1">IFERROR(__xludf.DUMMYFUNCTION("""COMPUTED_VALUE"""),"الشرقية")</f>
        <v>الشرقية</v>
      </c>
      <c r="C2405" s="5" t="str">
        <f ca="1">IFERROR(__xludf.DUMMYFUNCTION("""COMPUTED_VALUE"""),"العاشر من رمضان")</f>
        <v>العاشر من رمضان</v>
      </c>
      <c r="D2405" s="5" t="str">
        <f ca="1">IFERROR(__xludf.DUMMYFUNCTION("""COMPUTED_VALUE"""),"صيدلية")</f>
        <v>صيدلية</v>
      </c>
      <c r="E2405" s="5" t="str">
        <f ca="1">IFERROR(__xludf.DUMMYFUNCTION("""COMPUTED_VALUE"""),"صيدلية")</f>
        <v>صيدلية</v>
      </c>
      <c r="F2405" s="5" t="str">
        <f ca="1">IFERROR(__xludf.DUMMYFUNCTION("""COMPUTED_VALUE"""),"صيدلية (أدوية ومستلزمات طبية)")</f>
        <v>صيدلية (أدوية ومستلزمات طبية)</v>
      </c>
      <c r="G240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05" s="5" t="str">
        <f ca="1">IFERROR(__xludf.DUMMYFUNCTION("""COMPUTED_VALUE"""),"مج 5 - الحي الاول - قطعة 8 - العاشر من رمضان")</f>
        <v>مج 5 - الحي الاول - قطعة 8 - العاشر من رمضان</v>
      </c>
      <c r="I2405" s="6" t="str">
        <f ca="1">IFERROR(__xludf.DUMMYFUNCTION("""COMPUTED_VALUE"""),"1103699229")</f>
        <v>1103699229</v>
      </c>
      <c r="J2405" s="6" t="str">
        <f ca="1">IFERROR(__xludf.DUMMYFUNCTION("""COMPUTED_VALUE"""),"19600")</f>
        <v>19600</v>
      </c>
      <c r="K2405" s="6" t="str">
        <f ca="1">IFERROR(__xludf.DUMMYFUNCTION("""COMPUTED_VALUE"""),"7.5 % على المحلى ,5% على المستلزمات الطبية و التجميل")</f>
        <v>7.5 % على المحلى ,5% على المستلزمات الطبية و التجميل</v>
      </c>
    </row>
    <row r="2406" spans="1:11" x14ac:dyDescent="0.25">
      <c r="A2406" s="4" t="str">
        <f ca="1">IFERROR(__xludf.DUMMYFUNCTION("""COMPUTED_VALUE"""),"1683-B")</f>
        <v>1683-B</v>
      </c>
      <c r="B2406" s="5" t="str">
        <f ca="1">IFERROR(__xludf.DUMMYFUNCTION("""COMPUTED_VALUE"""),"الغربية")</f>
        <v>الغربية</v>
      </c>
      <c r="C2406" s="5" t="str">
        <f ca="1">IFERROR(__xludf.DUMMYFUNCTION("""COMPUTED_VALUE"""),"المحلة الكبرى")</f>
        <v>المحلة الكبرى</v>
      </c>
      <c r="D2406" s="5" t="str">
        <f ca="1">IFERROR(__xludf.DUMMYFUNCTION("""COMPUTED_VALUE"""),"صيدلية")</f>
        <v>صيدلية</v>
      </c>
      <c r="E2406" s="5" t="str">
        <f ca="1">IFERROR(__xludf.DUMMYFUNCTION("""COMPUTED_VALUE"""),"صيدلية")</f>
        <v>صيدلية</v>
      </c>
      <c r="F2406" s="5" t="str">
        <f ca="1">IFERROR(__xludf.DUMMYFUNCTION("""COMPUTED_VALUE"""),"صيدلية (أدوية ومستلزمات طبية)")</f>
        <v>صيدلية (أدوية ومستلزمات طبية)</v>
      </c>
      <c r="G240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06" s="5" t="str">
        <f ca="1">IFERROR(__xludf.DUMMYFUNCTION("""COMPUTED_VALUE"""),"7شارع الجلاء متفرع من شارع محب -استاد المحلة -المحلي الكبرى")</f>
        <v>7شارع الجلاء متفرع من شارع محب -استاد المحلة -المحلي الكبرى</v>
      </c>
      <c r="I2406" s="6" t="str">
        <f ca="1">IFERROR(__xludf.DUMMYFUNCTION("""COMPUTED_VALUE"""),"1100380594")</f>
        <v>1100380594</v>
      </c>
      <c r="J2406" s="6" t="str">
        <f ca="1">IFERROR(__xludf.DUMMYFUNCTION("""COMPUTED_VALUE"""),"19600")</f>
        <v>19600</v>
      </c>
      <c r="K2406" s="6" t="str">
        <f ca="1">IFERROR(__xludf.DUMMYFUNCTION("""COMPUTED_VALUE"""),"7.5 % على المحلى ,5% على المستلزمات الطبية و التجميل")</f>
        <v>7.5 % على المحلى ,5% على المستلزمات الطبية و التجميل</v>
      </c>
    </row>
    <row r="2407" spans="1:11" x14ac:dyDescent="0.25">
      <c r="A2407" s="4" t="str">
        <f ca="1">IFERROR(__xludf.DUMMYFUNCTION("""COMPUTED_VALUE"""),"1683-B")</f>
        <v>1683-B</v>
      </c>
      <c r="B2407" s="5" t="str">
        <f ca="1">IFERROR(__xludf.DUMMYFUNCTION("""COMPUTED_VALUE"""),"الغربية")</f>
        <v>الغربية</v>
      </c>
      <c r="C2407" s="5" t="str">
        <f ca="1">IFERROR(__xludf.DUMMYFUNCTION("""COMPUTED_VALUE"""),"طنطا")</f>
        <v>طنطا</v>
      </c>
      <c r="D2407" s="5" t="str">
        <f ca="1">IFERROR(__xludf.DUMMYFUNCTION("""COMPUTED_VALUE"""),"صيدلية")</f>
        <v>صيدلية</v>
      </c>
      <c r="E2407" s="5" t="str">
        <f ca="1">IFERROR(__xludf.DUMMYFUNCTION("""COMPUTED_VALUE"""),"صيدلية")</f>
        <v>صيدلية</v>
      </c>
      <c r="F2407" s="5" t="str">
        <f ca="1">IFERROR(__xludf.DUMMYFUNCTION("""COMPUTED_VALUE"""),"صيدلية (أدوية ومستلزمات طبية)")</f>
        <v>صيدلية (أدوية ومستلزمات طبية)</v>
      </c>
      <c r="G240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07" s="5" t="str">
        <f ca="1">IFERROR(__xludf.DUMMYFUNCTION("""COMPUTED_VALUE"""),"تقاطع شارع الجلاء مع شارع البحر -طنطا-بجوار بنك فيصل - الاسلامى
")</f>
        <v xml:space="preserve">تقاطع شارع الجلاء مع شارع البحر -طنطا-بجوار بنك فيصل - الاسلامى
</v>
      </c>
      <c r="I2407" s="6" t="str">
        <f ca="1">IFERROR(__xludf.DUMMYFUNCTION("""COMPUTED_VALUE"""),"1122219915")</f>
        <v>1122219915</v>
      </c>
      <c r="J2407" s="6" t="str">
        <f ca="1">IFERROR(__xludf.DUMMYFUNCTION("""COMPUTED_VALUE"""),"19600")</f>
        <v>19600</v>
      </c>
      <c r="K2407" s="6" t="str">
        <f ca="1">IFERROR(__xludf.DUMMYFUNCTION("""COMPUTED_VALUE"""),"7.5 % على المحلى ,5% على المستلزمات الطبية و التجميل")</f>
        <v>7.5 % على المحلى ,5% على المستلزمات الطبية و التجميل</v>
      </c>
    </row>
    <row r="2408" spans="1:11" x14ac:dyDescent="0.25">
      <c r="A2408" s="4" t="str">
        <f ca="1">IFERROR(__xludf.DUMMYFUNCTION("""COMPUTED_VALUE"""),"1683-B")</f>
        <v>1683-B</v>
      </c>
      <c r="B2408" s="5" t="str">
        <f ca="1">IFERROR(__xludf.DUMMYFUNCTION("""COMPUTED_VALUE"""),"الغربية")</f>
        <v>الغربية</v>
      </c>
      <c r="C2408" s="5" t="str">
        <f ca="1">IFERROR(__xludf.DUMMYFUNCTION("""COMPUTED_VALUE"""),"طنطا")</f>
        <v>طنطا</v>
      </c>
      <c r="D2408" s="5" t="str">
        <f ca="1">IFERROR(__xludf.DUMMYFUNCTION("""COMPUTED_VALUE"""),"صيدلية")</f>
        <v>صيدلية</v>
      </c>
      <c r="E2408" s="5" t="str">
        <f ca="1">IFERROR(__xludf.DUMMYFUNCTION("""COMPUTED_VALUE"""),"صيدلية")</f>
        <v>صيدلية</v>
      </c>
      <c r="F2408" s="5" t="str">
        <f ca="1">IFERROR(__xludf.DUMMYFUNCTION("""COMPUTED_VALUE"""),"صيدلية (أدوية ومستلزمات طبية)")</f>
        <v>صيدلية (أدوية ومستلزمات طبية)</v>
      </c>
      <c r="G240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08" s="5" t="str">
        <f ca="1">IFERROR(__xludf.DUMMYFUNCTION("""COMPUTED_VALUE"""),"شارع الست مباركة -ميدان المحطة-3عمارة محمد عبدالخالق
")</f>
        <v xml:space="preserve">شارع الست مباركة -ميدان المحطة-3عمارة محمد عبدالخالق
</v>
      </c>
      <c r="I2408" s="6" t="str">
        <f ca="1">IFERROR(__xludf.DUMMYFUNCTION("""COMPUTED_VALUE"""),"1122809480")</f>
        <v>1122809480</v>
      </c>
      <c r="J2408" s="6" t="str">
        <f ca="1">IFERROR(__xludf.DUMMYFUNCTION("""COMPUTED_VALUE"""),"19600")</f>
        <v>19600</v>
      </c>
      <c r="K2408" s="6" t="str">
        <f ca="1">IFERROR(__xludf.DUMMYFUNCTION("""COMPUTED_VALUE"""),"7.5 % على المحلى ,5% على المستلزمات الطبية و التجميل")</f>
        <v>7.5 % على المحلى ,5% على المستلزمات الطبية و التجميل</v>
      </c>
    </row>
    <row r="2409" spans="1:11" x14ac:dyDescent="0.25">
      <c r="A2409" s="4" t="str">
        <f ca="1">IFERROR(__xludf.DUMMYFUNCTION("""COMPUTED_VALUE"""),"1683-B")</f>
        <v>1683-B</v>
      </c>
      <c r="B2409" s="5" t="str">
        <f ca="1">IFERROR(__xludf.DUMMYFUNCTION("""COMPUTED_VALUE"""),"الغربية")</f>
        <v>الغربية</v>
      </c>
      <c r="C2409" s="5" t="str">
        <f ca="1">IFERROR(__xludf.DUMMYFUNCTION("""COMPUTED_VALUE"""),"طنطا")</f>
        <v>طنطا</v>
      </c>
      <c r="D2409" s="5" t="str">
        <f ca="1">IFERROR(__xludf.DUMMYFUNCTION("""COMPUTED_VALUE"""),"صيدلية")</f>
        <v>صيدلية</v>
      </c>
      <c r="E2409" s="5" t="str">
        <f ca="1">IFERROR(__xludf.DUMMYFUNCTION("""COMPUTED_VALUE"""),"صيدلية")</f>
        <v>صيدلية</v>
      </c>
      <c r="F2409" s="5" t="str">
        <f ca="1">IFERROR(__xludf.DUMMYFUNCTION("""COMPUTED_VALUE"""),"صيدلية (أدوية ومستلزمات طبية)")</f>
        <v>صيدلية (أدوية ومستلزمات طبية)</v>
      </c>
      <c r="G240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09" s="5" t="str">
        <f ca="1">IFERROR(__xludf.DUMMYFUNCTION("""COMPUTED_VALUE"""),"شارع سعيد- امام كلية التجارة -طنطا")</f>
        <v>شارع سعيد- امام كلية التجارة -طنطا</v>
      </c>
      <c r="I2409" s="6" t="str">
        <f ca="1">IFERROR(__xludf.DUMMYFUNCTION("""COMPUTED_VALUE"""),"1101115651")</f>
        <v>1101115651</v>
      </c>
      <c r="J2409" s="6" t="str">
        <f ca="1">IFERROR(__xludf.DUMMYFUNCTION("""COMPUTED_VALUE"""),"19600")</f>
        <v>19600</v>
      </c>
      <c r="K2409" s="6" t="str">
        <f ca="1">IFERROR(__xludf.DUMMYFUNCTION("""COMPUTED_VALUE"""),"7.5 % على المحلى ,5% على المستلزمات الطبية و التجميل")</f>
        <v>7.5 % على المحلى ,5% على المستلزمات الطبية و التجميل</v>
      </c>
    </row>
    <row r="2410" spans="1:11" x14ac:dyDescent="0.25">
      <c r="A2410" s="4" t="str">
        <f ca="1">IFERROR(__xludf.DUMMYFUNCTION("""COMPUTED_VALUE"""),"1683-B")</f>
        <v>1683-B</v>
      </c>
      <c r="B2410" s="5" t="str">
        <f ca="1">IFERROR(__xludf.DUMMYFUNCTION("""COMPUTED_VALUE"""),"الفيوم")</f>
        <v>الفيوم</v>
      </c>
      <c r="C2410" s="5" t="str">
        <f ca="1">IFERROR(__xludf.DUMMYFUNCTION("""COMPUTED_VALUE"""),"الفيوم")</f>
        <v>الفيوم</v>
      </c>
      <c r="D2410" s="5" t="str">
        <f ca="1">IFERROR(__xludf.DUMMYFUNCTION("""COMPUTED_VALUE"""),"صيدلية")</f>
        <v>صيدلية</v>
      </c>
      <c r="E2410" s="5" t="str">
        <f ca="1">IFERROR(__xludf.DUMMYFUNCTION("""COMPUTED_VALUE"""),"صيدلية")</f>
        <v>صيدلية</v>
      </c>
      <c r="F2410" s="5" t="str">
        <f ca="1">IFERROR(__xludf.DUMMYFUNCTION("""COMPUTED_VALUE"""),"صيدلية (أدوية ومستلزمات طبية)")</f>
        <v>صيدلية (أدوية ومستلزمات طبية)</v>
      </c>
      <c r="G241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10" s="5" t="str">
        <f ca="1">IFERROR(__xludf.DUMMYFUNCTION("""COMPUTED_VALUE"""),"رقم  15 شارع السد العالي -بندر الفيوم- الفيوم")</f>
        <v>رقم  15 شارع السد العالي -بندر الفيوم- الفيوم</v>
      </c>
      <c r="I2410" s="6" t="str">
        <f ca="1">IFERROR(__xludf.DUMMYFUNCTION("""COMPUTED_VALUE"""),"1096690202")</f>
        <v>1096690202</v>
      </c>
      <c r="J2410" s="6" t="str">
        <f ca="1">IFERROR(__xludf.DUMMYFUNCTION("""COMPUTED_VALUE"""),"19600")</f>
        <v>19600</v>
      </c>
      <c r="K2410" s="6" t="str">
        <f ca="1">IFERROR(__xludf.DUMMYFUNCTION("""COMPUTED_VALUE"""),"7.5 % على المحلى ,5% على المستلزمات الطبية و التجميل")</f>
        <v>7.5 % على المحلى ,5% على المستلزمات الطبية و التجميل</v>
      </c>
    </row>
    <row r="2411" spans="1:11" x14ac:dyDescent="0.25">
      <c r="A2411" s="4" t="str">
        <f ca="1">IFERROR(__xludf.DUMMYFUNCTION("""COMPUTED_VALUE"""),"1683-B")</f>
        <v>1683-B</v>
      </c>
      <c r="B2411" s="5" t="str">
        <f ca="1">IFERROR(__xludf.DUMMYFUNCTION("""COMPUTED_VALUE"""),"القليوبية")</f>
        <v>القليوبية</v>
      </c>
      <c r="C2411" s="5" t="str">
        <f ca="1">IFERROR(__xludf.DUMMYFUNCTION("""COMPUTED_VALUE"""),"بنها")</f>
        <v>بنها</v>
      </c>
      <c r="D2411" s="5" t="str">
        <f ca="1">IFERROR(__xludf.DUMMYFUNCTION("""COMPUTED_VALUE"""),"صيدلية")</f>
        <v>صيدلية</v>
      </c>
      <c r="E2411" s="5" t="str">
        <f ca="1">IFERROR(__xludf.DUMMYFUNCTION("""COMPUTED_VALUE"""),"صيدلية")</f>
        <v>صيدلية</v>
      </c>
      <c r="F2411" s="5" t="str">
        <f ca="1">IFERROR(__xludf.DUMMYFUNCTION("""COMPUTED_VALUE"""),"صيدلية (أدوية ومستلزمات طبية)")</f>
        <v>صيدلية (أدوية ومستلزمات طبية)</v>
      </c>
      <c r="G241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11" s="5" t="str">
        <f ca="1">IFERROR(__xludf.DUMMYFUNCTION("""COMPUTED_VALUE"""),"8شارع كورنيش النيل-منطقة الفيلل -بنها الجديدة")</f>
        <v>8شارع كورنيش النيل-منطقة الفيلل -بنها الجديدة</v>
      </c>
      <c r="I2411" s="6" t="str">
        <f ca="1">IFERROR(__xludf.DUMMYFUNCTION("""COMPUTED_VALUE"""),"1103304092")</f>
        <v>1103304092</v>
      </c>
      <c r="J2411" s="6" t="str">
        <f ca="1">IFERROR(__xludf.DUMMYFUNCTION("""COMPUTED_VALUE"""),"19600")</f>
        <v>19600</v>
      </c>
      <c r="K2411" s="6" t="str">
        <f ca="1">IFERROR(__xludf.DUMMYFUNCTION("""COMPUTED_VALUE"""),"7.5 % على المحلى ,5% على المستلزمات الطبية و التجميل")</f>
        <v>7.5 % على المحلى ,5% على المستلزمات الطبية و التجميل</v>
      </c>
    </row>
    <row r="2412" spans="1:11" x14ac:dyDescent="0.25">
      <c r="A2412" s="4" t="str">
        <f ca="1">IFERROR(__xludf.DUMMYFUNCTION("""COMPUTED_VALUE"""),"1683-B")</f>
        <v>1683-B</v>
      </c>
      <c r="B2412" s="5" t="str">
        <f ca="1">IFERROR(__xludf.DUMMYFUNCTION("""COMPUTED_VALUE"""),"القليوبية")</f>
        <v>القليوبية</v>
      </c>
      <c r="C2412" s="5" t="str">
        <f ca="1">IFERROR(__xludf.DUMMYFUNCTION("""COMPUTED_VALUE"""),"قليوب")</f>
        <v>قليوب</v>
      </c>
      <c r="D2412" s="5" t="str">
        <f ca="1">IFERROR(__xludf.DUMMYFUNCTION("""COMPUTED_VALUE"""),"صيدلية")</f>
        <v>صيدلية</v>
      </c>
      <c r="E2412" s="5" t="str">
        <f ca="1">IFERROR(__xludf.DUMMYFUNCTION("""COMPUTED_VALUE"""),"صيدلية")</f>
        <v>صيدلية</v>
      </c>
      <c r="F2412" s="5" t="str">
        <f ca="1">IFERROR(__xludf.DUMMYFUNCTION("""COMPUTED_VALUE"""),"صيدلية (أدوية ومستلزمات طبية)")</f>
        <v>صيدلية (أدوية ومستلزمات طبية)</v>
      </c>
      <c r="G241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12" s="5" t="str">
        <f ca="1">IFERROR(__xludf.DUMMYFUNCTION("""COMPUTED_VALUE"""),"المساكن الاقتصادية - امام المركز الطبى بقليوب - القليوبية")</f>
        <v>المساكن الاقتصادية - امام المركز الطبى بقليوب - القليوبية</v>
      </c>
      <c r="I2412" s="6" t="str">
        <f ca="1">IFERROR(__xludf.DUMMYFUNCTION("""COMPUTED_VALUE"""),"01148889292")</f>
        <v>01148889292</v>
      </c>
      <c r="J2412" s="6" t="str">
        <f ca="1">IFERROR(__xludf.DUMMYFUNCTION("""COMPUTED_VALUE"""),"19600")</f>
        <v>19600</v>
      </c>
      <c r="K2412" s="6" t="str">
        <f ca="1">IFERROR(__xludf.DUMMYFUNCTION("""COMPUTED_VALUE"""),"7.5 % على المحلى ,5% على المستلزمات الطبية و التجميل")</f>
        <v>7.5 % على المحلى ,5% على المستلزمات الطبية و التجميل</v>
      </c>
    </row>
    <row r="2413" spans="1:11" x14ac:dyDescent="0.25">
      <c r="A2413" s="4" t="str">
        <f ca="1">IFERROR(__xludf.DUMMYFUNCTION("""COMPUTED_VALUE"""),"1683-B")</f>
        <v>1683-B</v>
      </c>
      <c r="B2413" s="5" t="str">
        <f ca="1">IFERROR(__xludf.DUMMYFUNCTION("""COMPUTED_VALUE"""),"القليوبية")</f>
        <v>القليوبية</v>
      </c>
      <c r="C2413" s="5" t="str">
        <f ca="1">IFERROR(__xludf.DUMMYFUNCTION("""COMPUTED_VALUE"""),"بنها")</f>
        <v>بنها</v>
      </c>
      <c r="D2413" s="5" t="str">
        <f ca="1">IFERROR(__xludf.DUMMYFUNCTION("""COMPUTED_VALUE"""),"صيدلية")</f>
        <v>صيدلية</v>
      </c>
      <c r="E2413" s="5" t="str">
        <f ca="1">IFERROR(__xludf.DUMMYFUNCTION("""COMPUTED_VALUE"""),"صيدلية")</f>
        <v>صيدلية</v>
      </c>
      <c r="F2413" s="5" t="str">
        <f ca="1">IFERROR(__xludf.DUMMYFUNCTION("""COMPUTED_VALUE"""),"صيدلية (أدوية ومستلزمات طبية)")</f>
        <v>صيدلية (أدوية ومستلزمات طبية)</v>
      </c>
      <c r="G241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13" s="5" t="str">
        <f ca="1">IFERROR(__xludf.DUMMYFUNCTION("""COMPUTED_VALUE"""),"شارع كورنيش النيل-ناصية شارع الدهشان-  بنها")</f>
        <v>شارع كورنيش النيل-ناصية شارع الدهشان-  بنها</v>
      </c>
      <c r="I2413" s="6" t="str">
        <f ca="1">IFERROR(__xludf.DUMMYFUNCTION("""COMPUTED_VALUE"""),"1152662084")</f>
        <v>1152662084</v>
      </c>
      <c r="J2413" s="6" t="str">
        <f ca="1">IFERROR(__xludf.DUMMYFUNCTION("""COMPUTED_VALUE"""),"19600")</f>
        <v>19600</v>
      </c>
      <c r="K2413" s="6" t="str">
        <f ca="1">IFERROR(__xludf.DUMMYFUNCTION("""COMPUTED_VALUE"""),"7.5 % على المحلى ,5% على المستلزمات الطبية و التجميل")</f>
        <v>7.5 % على المحلى ,5% على المستلزمات الطبية و التجميل</v>
      </c>
    </row>
    <row r="2414" spans="1:11" x14ac:dyDescent="0.25">
      <c r="A2414" s="4" t="str">
        <f ca="1">IFERROR(__xludf.DUMMYFUNCTION("""COMPUTED_VALUE"""),"1683-B")</f>
        <v>1683-B</v>
      </c>
      <c r="B2414" s="5" t="str">
        <f ca="1">IFERROR(__xludf.DUMMYFUNCTION("""COMPUTED_VALUE"""),"القليوبية")</f>
        <v>القليوبية</v>
      </c>
      <c r="C2414" s="5" t="str">
        <f ca="1">IFERROR(__xludf.DUMMYFUNCTION("""COMPUTED_VALUE"""),"شبرا الخيمة")</f>
        <v>شبرا الخيمة</v>
      </c>
      <c r="D2414" s="5" t="str">
        <f ca="1">IFERROR(__xludf.DUMMYFUNCTION("""COMPUTED_VALUE"""),"صيدلية")</f>
        <v>صيدلية</v>
      </c>
      <c r="E2414" s="5" t="str">
        <f ca="1">IFERROR(__xludf.DUMMYFUNCTION("""COMPUTED_VALUE"""),"صيدلية")</f>
        <v>صيدلية</v>
      </c>
      <c r="F2414" s="5" t="str">
        <f ca="1">IFERROR(__xludf.DUMMYFUNCTION("""COMPUTED_VALUE"""),"صيدلية (أدوية ومستلزمات طبية)")</f>
        <v>صيدلية (أدوية ومستلزمات طبية)</v>
      </c>
      <c r="G241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14" s="5" t="str">
        <f ca="1">IFERROR(__xludf.DUMMYFUNCTION("""COMPUTED_VALUE"""),"عمارة 2 بجوار سور اسماعيل سلام - ش 15 مايو - شبرا الخيمة ثان")</f>
        <v>عمارة 2 بجوار سور اسماعيل سلام - ش 15 مايو - شبرا الخيمة ثان</v>
      </c>
      <c r="I2414" s="6" t="str">
        <f ca="1">IFERROR(__xludf.DUMMYFUNCTION("""COMPUTED_VALUE"""),"1123726103")</f>
        <v>1123726103</v>
      </c>
      <c r="J2414" s="6" t="str">
        <f ca="1">IFERROR(__xludf.DUMMYFUNCTION("""COMPUTED_VALUE"""),"19600")</f>
        <v>19600</v>
      </c>
      <c r="K2414" s="6" t="str">
        <f ca="1">IFERROR(__xludf.DUMMYFUNCTION("""COMPUTED_VALUE"""),"7.5 % على المحلى ,5% على المستلزمات الطبية و التجميل")</f>
        <v>7.5 % على المحلى ,5% على المستلزمات الطبية و التجميل</v>
      </c>
    </row>
    <row r="2415" spans="1:11" x14ac:dyDescent="0.25">
      <c r="A2415" s="4" t="str">
        <f ca="1">IFERROR(__xludf.DUMMYFUNCTION("""COMPUTED_VALUE"""),"1683-B")</f>
        <v>1683-B</v>
      </c>
      <c r="B2415" s="5" t="str">
        <f ca="1">IFERROR(__xludf.DUMMYFUNCTION("""COMPUTED_VALUE"""),"القليوبية")</f>
        <v>القليوبية</v>
      </c>
      <c r="C2415" s="5" t="str">
        <f ca="1">IFERROR(__xludf.DUMMYFUNCTION("""COMPUTED_VALUE"""),"القناطر الخيرية")</f>
        <v>القناطر الخيرية</v>
      </c>
      <c r="D2415" s="5" t="str">
        <f ca="1">IFERROR(__xludf.DUMMYFUNCTION("""COMPUTED_VALUE"""),"صيدلية")</f>
        <v>صيدلية</v>
      </c>
      <c r="E2415" s="5" t="str">
        <f ca="1">IFERROR(__xludf.DUMMYFUNCTION("""COMPUTED_VALUE"""),"صيدلية")</f>
        <v>صيدلية</v>
      </c>
      <c r="F2415" s="5" t="str">
        <f ca="1">IFERROR(__xludf.DUMMYFUNCTION("""COMPUTED_VALUE"""),"صيدلية (أدوية ومستلزمات طبية)")</f>
        <v>صيدلية (أدوية ومستلزمات طبية)</v>
      </c>
      <c r="G241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15" s="5" t="str">
        <f ca="1">IFERROR(__xludf.DUMMYFUNCTION("""COMPUTED_VALUE"""),"عمارة المفتحجى -بجوار المصرية للاتصالات-القناطر الخيرية")</f>
        <v>عمارة المفتحجى -بجوار المصرية للاتصالات-القناطر الخيرية</v>
      </c>
      <c r="I2415" s="6" t="str">
        <f ca="1">IFERROR(__xludf.DUMMYFUNCTION("""COMPUTED_VALUE"""),"1140351473")</f>
        <v>1140351473</v>
      </c>
      <c r="J2415" s="6" t="str">
        <f ca="1">IFERROR(__xludf.DUMMYFUNCTION("""COMPUTED_VALUE"""),"19600")</f>
        <v>19600</v>
      </c>
      <c r="K2415" s="6" t="str">
        <f ca="1">IFERROR(__xludf.DUMMYFUNCTION("""COMPUTED_VALUE"""),"7.5 % على المحلى ,5% على المستلزمات الطبية و التجميل")</f>
        <v>7.5 % على المحلى ,5% على المستلزمات الطبية و التجميل</v>
      </c>
    </row>
    <row r="2416" spans="1:11" x14ac:dyDescent="0.25">
      <c r="A2416" s="4" t="str">
        <f ca="1">IFERROR(__xludf.DUMMYFUNCTION("""COMPUTED_VALUE"""),"1683-B")</f>
        <v>1683-B</v>
      </c>
      <c r="B2416" s="5" t="str">
        <f ca="1">IFERROR(__xludf.DUMMYFUNCTION("""COMPUTED_VALUE"""),"القليوبية")</f>
        <v>القليوبية</v>
      </c>
      <c r="C2416" s="5" t="str">
        <f ca="1">IFERROR(__xludf.DUMMYFUNCTION("""COMPUTED_VALUE"""),"مدينة العبور")</f>
        <v>مدينة العبور</v>
      </c>
      <c r="D2416" s="5" t="str">
        <f ca="1">IFERROR(__xludf.DUMMYFUNCTION("""COMPUTED_VALUE"""),"صيدلية")</f>
        <v>صيدلية</v>
      </c>
      <c r="E2416" s="5" t="str">
        <f ca="1">IFERROR(__xludf.DUMMYFUNCTION("""COMPUTED_VALUE"""),"صيدلية")</f>
        <v>صيدلية</v>
      </c>
      <c r="F2416" s="5" t="str">
        <f ca="1">IFERROR(__xludf.DUMMYFUNCTION("""COMPUTED_VALUE"""),"صيدلية (أدوية ومستلزمات طبية)")</f>
        <v>صيدلية (أدوية ومستلزمات طبية)</v>
      </c>
      <c r="G241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16" s="5" t="str">
        <f ca="1">IFERROR(__xludf.DUMMYFUNCTION("""COMPUTED_VALUE"""),"محل رقم 105 مبنى Bمول العبور كومبلكس -محور العبور")</f>
        <v>محل رقم 105 مبنى Bمول العبور كومبلكس -محور العبور</v>
      </c>
      <c r="I2416" s="6" t="str">
        <f ca="1">IFERROR(__xludf.DUMMYFUNCTION("""COMPUTED_VALUE"""),"01148132652")</f>
        <v>01148132652</v>
      </c>
      <c r="J2416" s="6" t="str">
        <f ca="1">IFERROR(__xludf.DUMMYFUNCTION("""COMPUTED_VALUE"""),"19600")</f>
        <v>19600</v>
      </c>
      <c r="K2416" s="6" t="str">
        <f ca="1">IFERROR(__xludf.DUMMYFUNCTION("""COMPUTED_VALUE"""),"7.5 % على المحلى ,5% على المستلزمات الطبية و التجميل")</f>
        <v>7.5 % على المحلى ,5% على المستلزمات الطبية و التجميل</v>
      </c>
    </row>
    <row r="2417" spans="1:11" x14ac:dyDescent="0.25">
      <c r="A2417" s="4" t="str">
        <f ca="1">IFERROR(__xludf.DUMMYFUNCTION("""COMPUTED_VALUE"""),"1683-B")</f>
        <v>1683-B</v>
      </c>
      <c r="B2417" s="5" t="str">
        <f ca="1">IFERROR(__xludf.DUMMYFUNCTION("""COMPUTED_VALUE"""),"القليوبية")</f>
        <v>القليوبية</v>
      </c>
      <c r="C2417" s="5" t="str">
        <f ca="1">IFERROR(__xludf.DUMMYFUNCTION("""COMPUTED_VALUE"""),"مدينة العبور")</f>
        <v>مدينة العبور</v>
      </c>
      <c r="D2417" s="5" t="str">
        <f ca="1">IFERROR(__xludf.DUMMYFUNCTION("""COMPUTED_VALUE"""),"صيدلية")</f>
        <v>صيدلية</v>
      </c>
      <c r="E2417" s="5" t="str">
        <f ca="1">IFERROR(__xludf.DUMMYFUNCTION("""COMPUTED_VALUE"""),"صيدلية")</f>
        <v>صيدلية</v>
      </c>
      <c r="F2417" s="5" t="str">
        <f ca="1">IFERROR(__xludf.DUMMYFUNCTION("""COMPUTED_VALUE"""),"صيدلية (أدوية ومستلزمات طبية)")</f>
        <v>صيدلية (أدوية ومستلزمات طبية)</v>
      </c>
      <c r="G241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17" s="5" t="str">
        <f ca="1">IFERROR(__xludf.DUMMYFUNCTION("""COMPUTED_VALUE"""),"محل رقم 5-7 على الواجهة مول مكة -الخانكة-العبور
")</f>
        <v xml:space="preserve">محل رقم 5-7 على الواجهة مول مكة -الخانكة-العبور
</v>
      </c>
      <c r="I2417" s="6" t="str">
        <f ca="1">IFERROR(__xludf.DUMMYFUNCTION("""COMPUTED_VALUE"""),"1103903861")</f>
        <v>1103903861</v>
      </c>
      <c r="J2417" s="6" t="str">
        <f ca="1">IFERROR(__xludf.DUMMYFUNCTION("""COMPUTED_VALUE"""),"19600")</f>
        <v>19600</v>
      </c>
      <c r="K2417" s="6" t="str">
        <f ca="1">IFERROR(__xludf.DUMMYFUNCTION("""COMPUTED_VALUE"""),"7.5 % على المحلى ,5% على المستلزمات الطبية و التجميل")</f>
        <v>7.5 % على المحلى ,5% على المستلزمات الطبية و التجميل</v>
      </c>
    </row>
    <row r="2418" spans="1:11" x14ac:dyDescent="0.25">
      <c r="A2418" s="4" t="str">
        <f ca="1">IFERROR(__xludf.DUMMYFUNCTION("""COMPUTED_VALUE"""),"1683-B")</f>
        <v>1683-B</v>
      </c>
      <c r="B2418" s="5" t="str">
        <f ca="1">IFERROR(__xludf.DUMMYFUNCTION("""COMPUTED_VALUE"""),"القليوبية")</f>
        <v>القليوبية</v>
      </c>
      <c r="C2418" s="5" t="str">
        <f ca="1">IFERROR(__xludf.DUMMYFUNCTION("""COMPUTED_VALUE"""),"شبرا الخيمة")</f>
        <v>شبرا الخيمة</v>
      </c>
      <c r="D2418" s="5" t="str">
        <f ca="1">IFERROR(__xludf.DUMMYFUNCTION("""COMPUTED_VALUE"""),"صيدلية")</f>
        <v>صيدلية</v>
      </c>
      <c r="E2418" s="5" t="str">
        <f ca="1">IFERROR(__xludf.DUMMYFUNCTION("""COMPUTED_VALUE"""),"صيدلية")</f>
        <v>صيدلية</v>
      </c>
      <c r="F2418" s="5" t="str">
        <f ca="1">IFERROR(__xludf.DUMMYFUNCTION("""COMPUTED_VALUE"""),"صيدلية (أدوية ومستلزمات طبية)")</f>
        <v>صيدلية (أدوية ومستلزمات طبية)</v>
      </c>
      <c r="G241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18" s="5" t="str">
        <f ca="1">IFERROR(__xludf.DUMMYFUNCTION("""COMPUTED_VALUE"""),"موقف مسطرد الجديد -كوبرى مسطرد -االقليوبية 
")</f>
        <v xml:space="preserve">موقف مسطرد الجديد -كوبرى مسطرد -االقليوبية 
</v>
      </c>
      <c r="I2418" s="6" t="str">
        <f ca="1">IFERROR(__xludf.DUMMYFUNCTION("""COMPUTED_VALUE"""),"1155532108")</f>
        <v>1155532108</v>
      </c>
      <c r="J2418" s="6" t="str">
        <f ca="1">IFERROR(__xludf.DUMMYFUNCTION("""COMPUTED_VALUE"""),"19600")</f>
        <v>19600</v>
      </c>
      <c r="K2418" s="6" t="str">
        <f ca="1">IFERROR(__xludf.DUMMYFUNCTION("""COMPUTED_VALUE"""),"7.5 % على المحلى ,5% على المستلزمات الطبية و التجميل")</f>
        <v>7.5 % على المحلى ,5% على المستلزمات الطبية و التجميل</v>
      </c>
    </row>
    <row r="2419" spans="1:11" x14ac:dyDescent="0.25">
      <c r="A2419" s="4" t="str">
        <f ca="1">IFERROR(__xludf.DUMMYFUNCTION("""COMPUTED_VALUE"""),"1683-B")</f>
        <v>1683-B</v>
      </c>
      <c r="B2419" s="5" t="str">
        <f ca="1">IFERROR(__xludf.DUMMYFUNCTION("""COMPUTED_VALUE"""),"القليوبية")</f>
        <v>القليوبية</v>
      </c>
      <c r="C2419" s="5" t="str">
        <f ca="1">IFERROR(__xludf.DUMMYFUNCTION("""COMPUTED_VALUE"""),"مدينة العبور")</f>
        <v>مدينة العبور</v>
      </c>
      <c r="D2419" s="5" t="str">
        <f ca="1">IFERROR(__xludf.DUMMYFUNCTION("""COMPUTED_VALUE"""),"صيدلية")</f>
        <v>صيدلية</v>
      </c>
      <c r="E2419" s="5" t="str">
        <f ca="1">IFERROR(__xludf.DUMMYFUNCTION("""COMPUTED_VALUE"""),"صيدلية")</f>
        <v>صيدلية</v>
      </c>
      <c r="F2419" s="5" t="str">
        <f ca="1">IFERROR(__xludf.DUMMYFUNCTION("""COMPUTED_VALUE"""),"صيدلية (أدوية ومستلزمات طبية)")</f>
        <v>صيدلية (أدوية ومستلزمات طبية)</v>
      </c>
      <c r="G241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19" s="5" t="str">
        <f ca="1">IFERROR(__xludf.DUMMYFUNCTION("""COMPUTED_VALUE"""),"مول كابيتال بلازا -الحى السادس -شارع ابوحنيفة النعمان -مدينة العبور -القليوبيه
")</f>
        <v xml:space="preserve">مول كابيتال بلازا -الحى السادس -شارع ابوحنيفة النعمان -مدينة العبور -القليوبيه
</v>
      </c>
      <c r="I2419" s="6" t="str">
        <f ca="1">IFERROR(__xludf.DUMMYFUNCTION("""COMPUTED_VALUE"""),"1011178129")</f>
        <v>1011178129</v>
      </c>
      <c r="J2419" s="6" t="str">
        <f ca="1">IFERROR(__xludf.DUMMYFUNCTION("""COMPUTED_VALUE"""),"19600")</f>
        <v>19600</v>
      </c>
      <c r="K2419" s="6" t="str">
        <f ca="1">IFERROR(__xludf.DUMMYFUNCTION("""COMPUTED_VALUE"""),"7.5 % على المحلى ,5% على المستلزمات الطبية و التجميل")</f>
        <v>7.5 % على المحلى ,5% على المستلزمات الطبية و التجميل</v>
      </c>
    </row>
    <row r="2420" spans="1:11" x14ac:dyDescent="0.25">
      <c r="A2420" s="4" t="str">
        <f ca="1">IFERROR(__xludf.DUMMYFUNCTION("""COMPUTED_VALUE"""),"1683-B")</f>
        <v>1683-B</v>
      </c>
      <c r="B2420" s="5" t="str">
        <f ca="1">IFERROR(__xludf.DUMMYFUNCTION("""COMPUTED_VALUE"""),"القليوبية")</f>
        <v>القليوبية</v>
      </c>
      <c r="C2420" s="5" t="str">
        <f ca="1">IFERROR(__xludf.DUMMYFUNCTION("""COMPUTED_VALUE"""),"شبرا الخيمة")</f>
        <v>شبرا الخيمة</v>
      </c>
      <c r="D2420" s="5" t="str">
        <f ca="1">IFERROR(__xludf.DUMMYFUNCTION("""COMPUTED_VALUE"""),"صيدلية")</f>
        <v>صيدلية</v>
      </c>
      <c r="E2420" s="5" t="str">
        <f ca="1">IFERROR(__xludf.DUMMYFUNCTION("""COMPUTED_VALUE"""),"صيدلية")</f>
        <v>صيدلية</v>
      </c>
      <c r="F2420" s="5" t="str">
        <f ca="1">IFERROR(__xludf.DUMMYFUNCTION("""COMPUTED_VALUE"""),"صيدلية (أدوية ومستلزمات طبية)")</f>
        <v>صيدلية (أدوية ومستلزمات طبية)</v>
      </c>
      <c r="G242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20" s="5" t="str">
        <f ca="1">IFERROR(__xludf.DUMMYFUNCTION("""COMPUTED_VALUE"""),"ناصية حارة مسجد سالم موسى - ميدان بهتيم- شبرا الخيمة")</f>
        <v>ناصية حارة مسجد سالم موسى - ميدان بهتيم- شبرا الخيمة</v>
      </c>
      <c r="I2420" s="6" t="str">
        <f ca="1">IFERROR(__xludf.DUMMYFUNCTION("""COMPUTED_VALUE"""),"1146466603")</f>
        <v>1146466603</v>
      </c>
      <c r="J2420" s="6" t="str">
        <f ca="1">IFERROR(__xludf.DUMMYFUNCTION("""COMPUTED_VALUE"""),"19600")</f>
        <v>19600</v>
      </c>
      <c r="K2420" s="6" t="str">
        <f ca="1">IFERROR(__xludf.DUMMYFUNCTION("""COMPUTED_VALUE"""),"7.5 % على المحلى ,5% على المستلزمات الطبية و التجميل")</f>
        <v>7.5 % على المحلى ,5% على المستلزمات الطبية و التجميل</v>
      </c>
    </row>
    <row r="2421" spans="1:11" x14ac:dyDescent="0.25">
      <c r="A2421" s="4" t="str">
        <f ca="1">IFERROR(__xludf.DUMMYFUNCTION("""COMPUTED_VALUE"""),"1683-B")</f>
        <v>1683-B</v>
      </c>
      <c r="B2421" s="5" t="str">
        <f ca="1">IFERROR(__xludf.DUMMYFUNCTION("""COMPUTED_VALUE"""),"المنوفية")</f>
        <v>المنوفية</v>
      </c>
      <c r="C2421" s="5" t="str">
        <f ca="1">IFERROR(__xludf.DUMMYFUNCTION("""COMPUTED_VALUE"""),"شبين الكوم")</f>
        <v>شبين الكوم</v>
      </c>
      <c r="D2421" s="5" t="str">
        <f ca="1">IFERROR(__xludf.DUMMYFUNCTION("""COMPUTED_VALUE"""),"صيدلية")</f>
        <v>صيدلية</v>
      </c>
      <c r="E2421" s="5" t="str">
        <f ca="1">IFERROR(__xludf.DUMMYFUNCTION("""COMPUTED_VALUE"""),"صيدلية")</f>
        <v>صيدلية</v>
      </c>
      <c r="F2421" s="5" t="str">
        <f ca="1">IFERROR(__xludf.DUMMYFUNCTION("""COMPUTED_VALUE"""),"صيدلية (أدوية ومستلزمات طبية)")</f>
        <v>صيدلية (أدوية ومستلزمات طبية)</v>
      </c>
      <c r="G242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21" s="5" t="str">
        <f ca="1">IFERROR(__xludf.DUMMYFUNCTION("""COMPUTED_VALUE"""),"ميدان شرف-برج الكوثر-شبين الكوم -المنوفية")</f>
        <v>ميدان شرف-برج الكوثر-شبين الكوم -المنوفية</v>
      </c>
      <c r="I2421" s="6" t="str">
        <f ca="1">IFERROR(__xludf.DUMMYFUNCTION("""COMPUTED_VALUE"""),"1063417466")</f>
        <v>1063417466</v>
      </c>
      <c r="J2421" s="6" t="str">
        <f ca="1">IFERROR(__xludf.DUMMYFUNCTION("""COMPUTED_VALUE"""),"19600")</f>
        <v>19600</v>
      </c>
      <c r="K2421" s="6" t="str">
        <f ca="1">IFERROR(__xludf.DUMMYFUNCTION("""COMPUTED_VALUE"""),"7.5 % على المحلى ,5% على المستلزمات الطبية و التجميل")</f>
        <v>7.5 % على المحلى ,5% على المستلزمات الطبية و التجميل</v>
      </c>
    </row>
    <row r="2422" spans="1:11" x14ac:dyDescent="0.25">
      <c r="A2422" s="4" t="str">
        <f ca="1">IFERROR(__xludf.DUMMYFUNCTION("""COMPUTED_VALUE"""),"1683-B")</f>
        <v>1683-B</v>
      </c>
      <c r="B2422" s="5" t="str">
        <f ca="1">IFERROR(__xludf.DUMMYFUNCTION("""COMPUTED_VALUE"""),"المنيا")</f>
        <v>المنيا</v>
      </c>
      <c r="C2422" s="5" t="str">
        <f ca="1">IFERROR(__xludf.DUMMYFUNCTION("""COMPUTED_VALUE"""),"المنيا")</f>
        <v>المنيا</v>
      </c>
      <c r="D2422" s="5" t="str">
        <f ca="1">IFERROR(__xludf.DUMMYFUNCTION("""COMPUTED_VALUE"""),"صيدلية")</f>
        <v>صيدلية</v>
      </c>
      <c r="E2422" s="5" t="str">
        <f ca="1">IFERROR(__xludf.DUMMYFUNCTION("""COMPUTED_VALUE"""),"صيدلية")</f>
        <v>صيدلية</v>
      </c>
      <c r="F2422" s="5" t="str">
        <f ca="1">IFERROR(__xludf.DUMMYFUNCTION("""COMPUTED_VALUE"""),"صيدلية (أدوية ومستلزمات طبية)")</f>
        <v>صيدلية (أدوية ومستلزمات طبية)</v>
      </c>
      <c r="G242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22" s="5" t="str">
        <f ca="1">IFERROR(__xludf.DUMMYFUNCTION("""COMPUTED_VALUE"""),"29شارع طة حسين -صور نادى المنيا-محافظة المنيا")</f>
        <v>29شارع طة حسين -صور نادى المنيا-محافظة المنيا</v>
      </c>
      <c r="I2422" s="6" t="str">
        <f ca="1">IFERROR(__xludf.DUMMYFUNCTION("""COMPUTED_VALUE"""),"1152655101")</f>
        <v>1152655101</v>
      </c>
      <c r="J2422" s="6" t="str">
        <f ca="1">IFERROR(__xludf.DUMMYFUNCTION("""COMPUTED_VALUE"""),"19600")</f>
        <v>19600</v>
      </c>
      <c r="K2422" s="6" t="str">
        <f ca="1">IFERROR(__xludf.DUMMYFUNCTION("""COMPUTED_VALUE"""),"7.5 % على المحلى ,5% على المستلزمات الطبية و التجميل")</f>
        <v>7.5 % على المحلى ,5% على المستلزمات الطبية و التجميل</v>
      </c>
    </row>
    <row r="2423" spans="1:11" x14ac:dyDescent="0.25">
      <c r="A2423" s="4" t="str">
        <f ca="1">IFERROR(__xludf.DUMMYFUNCTION("""COMPUTED_VALUE"""),"1683-B")</f>
        <v>1683-B</v>
      </c>
      <c r="B2423" s="5" t="str">
        <f ca="1">IFERROR(__xludf.DUMMYFUNCTION("""COMPUTED_VALUE"""),"المنيا")</f>
        <v>المنيا</v>
      </c>
      <c r="C2423" s="5" t="str">
        <f ca="1">IFERROR(__xludf.DUMMYFUNCTION("""COMPUTED_VALUE"""),"المنيا")</f>
        <v>المنيا</v>
      </c>
      <c r="D2423" s="5" t="str">
        <f ca="1">IFERROR(__xludf.DUMMYFUNCTION("""COMPUTED_VALUE"""),"صيدلية")</f>
        <v>صيدلية</v>
      </c>
      <c r="E2423" s="5" t="str">
        <f ca="1">IFERROR(__xludf.DUMMYFUNCTION("""COMPUTED_VALUE"""),"صيدلية")</f>
        <v>صيدلية</v>
      </c>
      <c r="F2423" s="5" t="str">
        <f ca="1">IFERROR(__xludf.DUMMYFUNCTION("""COMPUTED_VALUE"""),"صيدلية (أدوية ومستلزمات طبية)")</f>
        <v>صيدلية (أدوية ومستلزمات طبية)</v>
      </c>
      <c r="G242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23" s="5" t="str">
        <f ca="1">IFERROR(__xludf.DUMMYFUNCTION("""COMPUTED_VALUE"""),"36 شارع الجيش- بندر المنيا")</f>
        <v>36 شارع الجيش- بندر المنيا</v>
      </c>
      <c r="I2423" s="6" t="str">
        <f ca="1">IFERROR(__xludf.DUMMYFUNCTION("""COMPUTED_VALUE"""),"1149331770")</f>
        <v>1149331770</v>
      </c>
      <c r="J2423" s="6" t="str">
        <f ca="1">IFERROR(__xludf.DUMMYFUNCTION("""COMPUTED_VALUE"""),"19600")</f>
        <v>19600</v>
      </c>
      <c r="K2423" s="6" t="str">
        <f ca="1">IFERROR(__xludf.DUMMYFUNCTION("""COMPUTED_VALUE"""),"7.5 % على المحلى ,5% على المستلزمات الطبية و التجميل")</f>
        <v>7.5 % على المحلى ,5% على المستلزمات الطبية و التجميل</v>
      </c>
    </row>
    <row r="2424" spans="1:11" x14ac:dyDescent="0.25">
      <c r="A2424" s="4" t="str">
        <f ca="1">IFERROR(__xludf.DUMMYFUNCTION("""COMPUTED_VALUE"""),"1683-B")</f>
        <v>1683-B</v>
      </c>
      <c r="B2424" s="5" t="str">
        <f ca="1">IFERROR(__xludf.DUMMYFUNCTION("""COMPUTED_VALUE"""),"بورسعيد")</f>
        <v>بورسعيد</v>
      </c>
      <c r="C2424" s="5" t="str">
        <f ca="1">IFERROR(__xludf.DUMMYFUNCTION("""COMPUTED_VALUE"""),"بورسعيد")</f>
        <v>بورسعيد</v>
      </c>
      <c r="D2424" s="5" t="str">
        <f ca="1">IFERROR(__xludf.DUMMYFUNCTION("""COMPUTED_VALUE"""),"صيدلية")</f>
        <v>صيدلية</v>
      </c>
      <c r="E2424" s="5" t="str">
        <f ca="1">IFERROR(__xludf.DUMMYFUNCTION("""COMPUTED_VALUE"""),"صيدلية")</f>
        <v>صيدلية</v>
      </c>
      <c r="F2424" s="5" t="str">
        <f ca="1">IFERROR(__xludf.DUMMYFUNCTION("""COMPUTED_VALUE"""),"صيدلية (أدوية ومستلزمات طبية)")</f>
        <v>صيدلية (أدوية ومستلزمات طبية)</v>
      </c>
      <c r="G242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24" s="5" t="str">
        <f ca="1">IFERROR(__xludf.DUMMYFUNCTION("""COMPUTED_VALUE"""),"رقم 23 يوليو امام كلية التربيه النوعية")</f>
        <v>رقم 23 يوليو امام كلية التربيه النوعية</v>
      </c>
      <c r="I2424" s="6" t="str">
        <f ca="1">IFERROR(__xludf.DUMMYFUNCTION("""COMPUTED_VALUE"""),"1150533677")</f>
        <v>1150533677</v>
      </c>
      <c r="J2424" s="6" t="str">
        <f ca="1">IFERROR(__xludf.DUMMYFUNCTION("""COMPUTED_VALUE"""),"19600")</f>
        <v>19600</v>
      </c>
      <c r="K2424" s="6" t="str">
        <f ca="1">IFERROR(__xludf.DUMMYFUNCTION("""COMPUTED_VALUE"""),"7.5 % على المحلى ,5% على المستلزمات الطبية و التجميل")</f>
        <v>7.5 % على المحلى ,5% على المستلزمات الطبية و التجميل</v>
      </c>
    </row>
    <row r="2425" spans="1:11" x14ac:dyDescent="0.25">
      <c r="A2425" s="4" t="str">
        <f ca="1">IFERROR(__xludf.DUMMYFUNCTION("""COMPUTED_VALUE"""),"1683-B")</f>
        <v>1683-B</v>
      </c>
      <c r="B2425" s="5" t="str">
        <f ca="1">IFERROR(__xludf.DUMMYFUNCTION("""COMPUTED_VALUE"""),"بورسعيد")</f>
        <v>بورسعيد</v>
      </c>
      <c r="C2425" s="5" t="str">
        <f ca="1">IFERROR(__xludf.DUMMYFUNCTION("""COMPUTED_VALUE"""),"بورسعيد")</f>
        <v>بورسعيد</v>
      </c>
      <c r="D2425" s="5" t="str">
        <f ca="1">IFERROR(__xludf.DUMMYFUNCTION("""COMPUTED_VALUE"""),"صيدلية")</f>
        <v>صيدلية</v>
      </c>
      <c r="E2425" s="5" t="str">
        <f ca="1">IFERROR(__xludf.DUMMYFUNCTION("""COMPUTED_VALUE"""),"صيدلية")</f>
        <v>صيدلية</v>
      </c>
      <c r="F2425" s="5" t="str">
        <f ca="1">IFERROR(__xludf.DUMMYFUNCTION("""COMPUTED_VALUE"""),"صيدلية (أدوية ومستلزمات طبية)")</f>
        <v>صيدلية (أدوية ومستلزمات طبية)</v>
      </c>
      <c r="G242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25" s="5" t="str">
        <f ca="1">IFERROR(__xludf.DUMMYFUNCTION("""COMPUTED_VALUE"""),"محل رقم 2 شارع صفية زغلول والجمهورية -بورسعيد")</f>
        <v>محل رقم 2 شارع صفية زغلول والجمهورية -بورسعيد</v>
      </c>
      <c r="I2425" s="6" t="str">
        <f ca="1">IFERROR(__xludf.DUMMYFUNCTION("""COMPUTED_VALUE"""),"01279956529")</f>
        <v>01279956529</v>
      </c>
      <c r="J2425" s="6" t="str">
        <f ca="1">IFERROR(__xludf.DUMMYFUNCTION("""COMPUTED_VALUE"""),"19600")</f>
        <v>19600</v>
      </c>
      <c r="K2425" s="6" t="str">
        <f ca="1">IFERROR(__xludf.DUMMYFUNCTION("""COMPUTED_VALUE"""),"7.5 % على المحلى ,5% على المستلزمات الطبية و التجميل")</f>
        <v>7.5 % على المحلى ,5% على المستلزمات الطبية و التجميل</v>
      </c>
    </row>
    <row r="2426" spans="1:11" x14ac:dyDescent="0.25">
      <c r="A2426" s="4" t="str">
        <f ca="1">IFERROR(__xludf.DUMMYFUNCTION("""COMPUTED_VALUE"""),"1683-B")</f>
        <v>1683-B</v>
      </c>
      <c r="B2426" s="5" t="str">
        <f ca="1">IFERROR(__xludf.DUMMYFUNCTION("""COMPUTED_VALUE"""),"جنوب سيناء")</f>
        <v>جنوب سيناء</v>
      </c>
      <c r="C2426" s="5" t="str">
        <f ca="1">IFERROR(__xludf.DUMMYFUNCTION("""COMPUTED_VALUE"""),"شرم الشيخ")</f>
        <v>شرم الشيخ</v>
      </c>
      <c r="D2426" s="5" t="str">
        <f ca="1">IFERROR(__xludf.DUMMYFUNCTION("""COMPUTED_VALUE"""),"صيدلية")</f>
        <v>صيدلية</v>
      </c>
      <c r="E2426" s="5" t="str">
        <f ca="1">IFERROR(__xludf.DUMMYFUNCTION("""COMPUTED_VALUE"""),"صيدلية")</f>
        <v>صيدلية</v>
      </c>
      <c r="F2426" s="5" t="str">
        <f ca="1">IFERROR(__xludf.DUMMYFUNCTION("""COMPUTED_VALUE"""),"صيدلية (أدوية ومستلزمات طبية)")</f>
        <v>صيدلية (أدوية ومستلزمات طبية)</v>
      </c>
      <c r="G242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26" s="5" t="str">
        <f ca="1">IFERROR(__xludf.DUMMYFUNCTION("""COMPUTED_VALUE"""),"7 منطقة خليج نعمة - بجوار المشاية - شرم الشيخ")</f>
        <v>7 منطقة خليج نعمة - بجوار المشاية - شرم الشيخ</v>
      </c>
      <c r="I2426" s="6" t="str">
        <f ca="1">IFERROR(__xludf.DUMMYFUNCTION("""COMPUTED_VALUE"""),"1144435427")</f>
        <v>1144435427</v>
      </c>
      <c r="J2426" s="6" t="str">
        <f ca="1">IFERROR(__xludf.DUMMYFUNCTION("""COMPUTED_VALUE"""),"19600")</f>
        <v>19600</v>
      </c>
      <c r="K2426" s="6" t="str">
        <f ca="1">IFERROR(__xludf.DUMMYFUNCTION("""COMPUTED_VALUE"""),"7.5 % على المحلى ,5% على المستلزمات الطبية و التجميل")</f>
        <v>7.5 % على المحلى ,5% على المستلزمات الطبية و التجميل</v>
      </c>
    </row>
    <row r="2427" spans="1:11" x14ac:dyDescent="0.25">
      <c r="A2427" s="4" t="str">
        <f ca="1">IFERROR(__xludf.DUMMYFUNCTION("""COMPUTED_VALUE"""),"1683-B")</f>
        <v>1683-B</v>
      </c>
      <c r="B2427" s="5" t="str">
        <f ca="1">IFERROR(__xludf.DUMMYFUNCTION("""COMPUTED_VALUE"""),"جنوب سيناء")</f>
        <v>جنوب سيناء</v>
      </c>
      <c r="C2427" s="5" t="str">
        <f ca="1">IFERROR(__xludf.DUMMYFUNCTION("""COMPUTED_VALUE"""),"شرم الشيخ")</f>
        <v>شرم الشيخ</v>
      </c>
      <c r="D2427" s="5" t="str">
        <f ca="1">IFERROR(__xludf.DUMMYFUNCTION("""COMPUTED_VALUE"""),"صيدلية")</f>
        <v>صيدلية</v>
      </c>
      <c r="E2427" s="5" t="str">
        <f ca="1">IFERROR(__xludf.DUMMYFUNCTION("""COMPUTED_VALUE"""),"صيدلية")</f>
        <v>صيدلية</v>
      </c>
      <c r="F2427" s="5" t="str">
        <f ca="1">IFERROR(__xludf.DUMMYFUNCTION("""COMPUTED_VALUE"""),"صيدلية (أدوية ومستلزمات طبية)")</f>
        <v>صيدلية (أدوية ومستلزمات طبية)</v>
      </c>
      <c r="G242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27" s="5" t="str">
        <f ca="1">IFERROR(__xludf.DUMMYFUNCTION("""COMPUTED_VALUE"""),"""محل رقم 133و132&amp;160سوق سيتى سنتر التجارى -قطعه رقم 100-السوق التجارى القديم -شرم الشيخ
")</f>
        <v xml:space="preserve">"محل رقم 133و132&amp;160سوق سيتى سنتر التجارى -قطعه رقم 100-السوق التجارى القديم -شرم الشيخ
</v>
      </c>
      <c r="I2427" s="6" t="str">
        <f ca="1">IFERROR(__xludf.DUMMYFUNCTION("""COMPUTED_VALUE"""),"01146844740
")</f>
        <v xml:space="preserve">01146844740
</v>
      </c>
      <c r="J2427" s="6" t="str">
        <f ca="1">IFERROR(__xludf.DUMMYFUNCTION("""COMPUTED_VALUE"""),"19600")</f>
        <v>19600</v>
      </c>
      <c r="K2427" s="6" t="str">
        <f ca="1">IFERROR(__xludf.DUMMYFUNCTION("""COMPUTED_VALUE"""),"7.5 % على المحلى ,5% على المستلزمات الطبية و التجميل")</f>
        <v>7.5 % على المحلى ,5% على المستلزمات الطبية و التجميل</v>
      </c>
    </row>
    <row r="2428" spans="1:11" x14ac:dyDescent="0.25">
      <c r="A2428" s="4" t="str">
        <f ca="1">IFERROR(__xludf.DUMMYFUNCTION("""COMPUTED_VALUE"""),"1683-B")</f>
        <v>1683-B</v>
      </c>
      <c r="B2428" s="5" t="str">
        <f ca="1">IFERROR(__xludf.DUMMYFUNCTION("""COMPUTED_VALUE"""),"سوهاج")</f>
        <v>سوهاج</v>
      </c>
      <c r="C2428" s="5" t="str">
        <f ca="1">IFERROR(__xludf.DUMMYFUNCTION("""COMPUTED_VALUE"""),"سوهاج")</f>
        <v>سوهاج</v>
      </c>
      <c r="D2428" s="5" t="str">
        <f ca="1">IFERROR(__xludf.DUMMYFUNCTION("""COMPUTED_VALUE"""),"صيدلية")</f>
        <v>صيدلية</v>
      </c>
      <c r="E2428" s="5" t="str">
        <f ca="1">IFERROR(__xludf.DUMMYFUNCTION("""COMPUTED_VALUE"""),"صيدلية")</f>
        <v>صيدلية</v>
      </c>
      <c r="F2428" s="5" t="str">
        <f ca="1">IFERROR(__xludf.DUMMYFUNCTION("""COMPUTED_VALUE"""),"صيدلية (أدوية ومستلزمات طبية)")</f>
        <v>صيدلية (أدوية ومستلزمات طبية)</v>
      </c>
      <c r="G242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28" s="5" t="str">
        <f ca="1">IFERROR(__xludf.DUMMYFUNCTION("""COMPUTED_VALUE"""),"محل رقم 1و2 ميدان الثقافة -الكائن بشارع التحرير -سوهاج")</f>
        <v>محل رقم 1و2 ميدان الثقافة -الكائن بشارع التحرير -سوهاج</v>
      </c>
      <c r="I2428" s="6" t="str">
        <f ca="1">IFERROR(__xludf.DUMMYFUNCTION("""COMPUTED_VALUE"""),"1142525498")</f>
        <v>1142525498</v>
      </c>
      <c r="J2428" s="6" t="str">
        <f ca="1">IFERROR(__xludf.DUMMYFUNCTION("""COMPUTED_VALUE"""),"19600")</f>
        <v>19600</v>
      </c>
      <c r="K2428" s="6" t="str">
        <f ca="1">IFERROR(__xludf.DUMMYFUNCTION("""COMPUTED_VALUE"""),"7.5 % على المحلى ,5% على المستلزمات الطبية و التجميل")</f>
        <v>7.5 % على المحلى ,5% على المستلزمات الطبية و التجميل</v>
      </c>
    </row>
    <row r="2429" spans="1:11" x14ac:dyDescent="0.25">
      <c r="A2429" s="4" t="str">
        <f ca="1">IFERROR(__xludf.DUMMYFUNCTION("""COMPUTED_VALUE"""),"1683-B")</f>
        <v>1683-B</v>
      </c>
      <c r="B2429" s="5" t="str">
        <f ca="1">IFERROR(__xludf.DUMMYFUNCTION("""COMPUTED_VALUE"""),"بني سويف")</f>
        <v>بني سويف</v>
      </c>
      <c r="C2429" s="5" t="str">
        <f ca="1">IFERROR(__xludf.DUMMYFUNCTION("""COMPUTED_VALUE"""),"بني سويف")</f>
        <v>بني سويف</v>
      </c>
      <c r="D2429" s="5" t="str">
        <f ca="1">IFERROR(__xludf.DUMMYFUNCTION("""COMPUTED_VALUE"""),"صيدلية")</f>
        <v>صيدلية</v>
      </c>
      <c r="E2429" s="5" t="str">
        <f ca="1">IFERROR(__xludf.DUMMYFUNCTION("""COMPUTED_VALUE"""),"صيدلية")</f>
        <v>صيدلية</v>
      </c>
      <c r="F2429" s="5" t="str">
        <f ca="1">IFERROR(__xludf.DUMMYFUNCTION("""COMPUTED_VALUE"""),"صيدلية (أدوية ومستلزمات طبية)")</f>
        <v>صيدلية (أدوية ومستلزمات طبية)</v>
      </c>
      <c r="G242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29" s="5" t="str">
        <f ca="1">IFERROR(__xludf.DUMMYFUNCTION("""COMPUTED_VALUE"""),"شارع بورسعيد-ناصية شارع رجائى -شارع شريف -بنى سويف")</f>
        <v>شارع بورسعيد-ناصية شارع رجائى -شارع شريف -بنى سويف</v>
      </c>
      <c r="I2429" s="6" t="str">
        <f ca="1">IFERROR(__xludf.DUMMYFUNCTION("""COMPUTED_VALUE"""),"1100380488")</f>
        <v>1100380488</v>
      </c>
      <c r="J2429" s="6" t="str">
        <f ca="1">IFERROR(__xludf.DUMMYFUNCTION("""COMPUTED_VALUE"""),"19600")</f>
        <v>19600</v>
      </c>
      <c r="K2429" s="6" t="str">
        <f ca="1">IFERROR(__xludf.DUMMYFUNCTION("""COMPUTED_VALUE"""),"7.5 % على المحلى ,5% على المستلزمات الطبية و التجميل")</f>
        <v>7.5 % على المحلى ,5% على المستلزمات الطبية و التجميل</v>
      </c>
    </row>
    <row r="2430" spans="1:11" x14ac:dyDescent="0.25">
      <c r="A2430" s="4" t="str">
        <f ca="1">IFERROR(__xludf.DUMMYFUNCTION("""COMPUTED_VALUE"""),"1683-B")</f>
        <v>1683-B</v>
      </c>
      <c r="B2430" s="5" t="str">
        <f ca="1">IFERROR(__xludf.DUMMYFUNCTION("""COMPUTED_VALUE"""),"دمياط")</f>
        <v>دمياط</v>
      </c>
      <c r="C2430" s="5" t="str">
        <f ca="1">IFERROR(__xludf.DUMMYFUNCTION("""COMPUTED_VALUE"""),"دمياط الجديدة")</f>
        <v>دمياط الجديدة</v>
      </c>
      <c r="D2430" s="5" t="str">
        <f ca="1">IFERROR(__xludf.DUMMYFUNCTION("""COMPUTED_VALUE"""),"صيدلية")</f>
        <v>صيدلية</v>
      </c>
      <c r="E2430" s="5" t="str">
        <f ca="1">IFERROR(__xludf.DUMMYFUNCTION("""COMPUTED_VALUE"""),"صيدلية")</f>
        <v>صيدلية</v>
      </c>
      <c r="F2430" s="5" t="str">
        <f ca="1">IFERROR(__xludf.DUMMYFUNCTION("""COMPUTED_VALUE"""),"صيدلية (أدوية ومستلزمات طبية)")</f>
        <v>صيدلية (أدوية ومستلزمات طبية)</v>
      </c>
      <c r="G243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30" s="5" t="str">
        <f ca="1">IFERROR(__xludf.DUMMYFUNCTION("""COMPUTED_VALUE"""),"11/34 شارع حسب الله الكفراوى - حى 2 - دمياط الجديدة")</f>
        <v>11/34 شارع حسب الله الكفراوى - حى 2 - دمياط الجديدة</v>
      </c>
      <c r="I2430" s="6" t="str">
        <f ca="1">IFERROR(__xludf.DUMMYFUNCTION("""COMPUTED_VALUE"""),"1143334166")</f>
        <v>1143334166</v>
      </c>
      <c r="J2430" s="6" t="str">
        <f ca="1">IFERROR(__xludf.DUMMYFUNCTION("""COMPUTED_VALUE"""),"19600")</f>
        <v>19600</v>
      </c>
      <c r="K2430" s="6" t="str">
        <f ca="1">IFERROR(__xludf.DUMMYFUNCTION("""COMPUTED_VALUE"""),"7.5 % على المحلى ,5% على المستلزمات الطبية و التجميل")</f>
        <v>7.5 % على المحلى ,5% على المستلزمات الطبية و التجميل</v>
      </c>
    </row>
    <row r="2431" spans="1:11" x14ac:dyDescent="0.25">
      <c r="A2431" s="4" t="str">
        <f ca="1">IFERROR(__xludf.DUMMYFUNCTION("""COMPUTED_VALUE"""),"1683-B")</f>
        <v>1683-B</v>
      </c>
      <c r="B2431" s="5" t="str">
        <f ca="1">IFERROR(__xludf.DUMMYFUNCTION("""COMPUTED_VALUE"""),"دمياط")</f>
        <v>دمياط</v>
      </c>
      <c r="C2431" s="5" t="str">
        <f ca="1">IFERROR(__xludf.DUMMYFUNCTION("""COMPUTED_VALUE"""),"دمياط")</f>
        <v>دمياط</v>
      </c>
      <c r="D2431" s="5" t="str">
        <f ca="1">IFERROR(__xludf.DUMMYFUNCTION("""COMPUTED_VALUE"""),"صيدلية")</f>
        <v>صيدلية</v>
      </c>
      <c r="E2431" s="5" t="str">
        <f ca="1">IFERROR(__xludf.DUMMYFUNCTION("""COMPUTED_VALUE"""),"صيدلية")</f>
        <v>صيدلية</v>
      </c>
      <c r="F2431" s="5" t="str">
        <f ca="1">IFERROR(__xludf.DUMMYFUNCTION("""COMPUTED_VALUE"""),"صيدلية (أدوية ومستلزمات طبية)")</f>
        <v>صيدلية (أدوية ومستلزمات طبية)</v>
      </c>
      <c r="G243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31" s="5" t="str">
        <f ca="1">IFERROR(__xludf.DUMMYFUNCTION("""COMPUTED_VALUE"""),"ش التحرير - ميدان سرور - دمياط")</f>
        <v>ش التحرير - ميدان سرور - دمياط</v>
      </c>
      <c r="I2431" s="6" t="str">
        <f ca="1">IFERROR(__xludf.DUMMYFUNCTION("""COMPUTED_VALUE"""),"1149074477")</f>
        <v>1149074477</v>
      </c>
      <c r="J2431" s="6" t="str">
        <f ca="1">IFERROR(__xludf.DUMMYFUNCTION("""COMPUTED_VALUE"""),"19600")</f>
        <v>19600</v>
      </c>
      <c r="K2431" s="6" t="str">
        <f ca="1">IFERROR(__xludf.DUMMYFUNCTION("""COMPUTED_VALUE"""),"7.5 % على المحلى ,5% على المستلزمات الطبية و التجميل")</f>
        <v>7.5 % على المحلى ,5% على المستلزمات الطبية و التجميل</v>
      </c>
    </row>
    <row r="2432" spans="1:11" x14ac:dyDescent="0.25">
      <c r="A2432" s="4" t="str">
        <f ca="1">IFERROR(__xludf.DUMMYFUNCTION("""COMPUTED_VALUE"""),"1683-B")</f>
        <v>1683-B</v>
      </c>
      <c r="B2432" s="5" t="str">
        <f ca="1">IFERROR(__xludf.DUMMYFUNCTION("""COMPUTED_VALUE"""),"كفر الشيخ")</f>
        <v>كفر الشيخ</v>
      </c>
      <c r="C2432" s="5" t="str">
        <f ca="1">IFERROR(__xludf.DUMMYFUNCTION("""COMPUTED_VALUE"""),"كفر الشيخ")</f>
        <v>كفر الشيخ</v>
      </c>
      <c r="D2432" s="5" t="str">
        <f ca="1">IFERROR(__xludf.DUMMYFUNCTION("""COMPUTED_VALUE"""),"صيدلية")</f>
        <v>صيدلية</v>
      </c>
      <c r="E2432" s="5" t="str">
        <f ca="1">IFERROR(__xludf.DUMMYFUNCTION("""COMPUTED_VALUE"""),"صيدلية")</f>
        <v>صيدلية</v>
      </c>
      <c r="F2432" s="5" t="str">
        <f ca="1">IFERROR(__xludf.DUMMYFUNCTION("""COMPUTED_VALUE"""),"صيدلية (أدوية ومستلزمات طبية)")</f>
        <v>صيدلية (أدوية ومستلزمات طبية)</v>
      </c>
      <c r="G243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32" s="5" t="str">
        <f ca="1">IFERROR(__xludf.DUMMYFUNCTION("""COMPUTED_VALUE"""),"شارع عبد الهادى راضى- عمارة بنك الاسكان عمارة 3 محل 2 -كفر الشيخ")</f>
        <v>شارع عبد الهادى راضى- عمارة بنك الاسكان عمارة 3 محل 2 -كفر الشيخ</v>
      </c>
      <c r="I2432" s="6" t="str">
        <f ca="1">IFERROR(__xludf.DUMMYFUNCTION("""COMPUTED_VALUE"""),"1117355855")</f>
        <v>1117355855</v>
      </c>
      <c r="J2432" s="6" t="str">
        <f ca="1">IFERROR(__xludf.DUMMYFUNCTION("""COMPUTED_VALUE"""),"19600")</f>
        <v>19600</v>
      </c>
      <c r="K2432" s="6" t="str">
        <f ca="1">IFERROR(__xludf.DUMMYFUNCTION("""COMPUTED_VALUE"""),"7.5 % على المحلى ,5% على المستلزمات الطبية و التجميل")</f>
        <v>7.5 % على المحلى ,5% على المستلزمات الطبية و التجميل</v>
      </c>
    </row>
    <row r="2433" spans="1:11" x14ac:dyDescent="0.25">
      <c r="A2433" s="4" t="str">
        <f ca="1">IFERROR(__xludf.DUMMYFUNCTION("""COMPUTED_VALUE"""),"1683-B")</f>
        <v>1683-B</v>
      </c>
      <c r="B2433" s="5" t="str">
        <f ca="1">IFERROR(__xludf.DUMMYFUNCTION("""COMPUTED_VALUE"""),"مرسى مطروح")</f>
        <v>مرسى مطروح</v>
      </c>
      <c r="C2433" s="5" t="str">
        <f ca="1">IFERROR(__xludf.DUMMYFUNCTION("""COMPUTED_VALUE"""),"مرسى مطروح")</f>
        <v>مرسى مطروح</v>
      </c>
      <c r="D2433" s="5" t="str">
        <f ca="1">IFERROR(__xludf.DUMMYFUNCTION("""COMPUTED_VALUE"""),"صيدلية")</f>
        <v>صيدلية</v>
      </c>
      <c r="E2433" s="5" t="str">
        <f ca="1">IFERROR(__xludf.DUMMYFUNCTION("""COMPUTED_VALUE"""),"صيدلية")</f>
        <v>صيدلية</v>
      </c>
      <c r="F2433" s="5" t="str">
        <f ca="1">IFERROR(__xludf.DUMMYFUNCTION("""COMPUTED_VALUE"""),"صيدلية (أدوية ومستلزمات طبية)")</f>
        <v>صيدلية (أدوية ومستلزمات طبية)</v>
      </c>
      <c r="G243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33" s="5" t="str">
        <f ca="1">IFERROR(__xludf.DUMMYFUNCTION("""COMPUTED_VALUE"""),"محل رقم 6 منطقة البوسيت-مول اهل مصر- مرسى مطروح")</f>
        <v>محل رقم 6 منطقة البوسيت-مول اهل مصر- مرسى مطروح</v>
      </c>
      <c r="I2433" s="6" t="str">
        <f ca="1">IFERROR(__xludf.DUMMYFUNCTION("""COMPUTED_VALUE"""),"1103304140")</f>
        <v>1103304140</v>
      </c>
      <c r="J2433" s="6" t="str">
        <f ca="1">IFERROR(__xludf.DUMMYFUNCTION("""COMPUTED_VALUE"""),"19600")</f>
        <v>19600</v>
      </c>
      <c r="K2433" s="6" t="str">
        <f ca="1">IFERROR(__xludf.DUMMYFUNCTION("""COMPUTED_VALUE"""),"7.5 % على المحلى ,5% على المستلزمات الطبية و التجميل")</f>
        <v>7.5 % على المحلى ,5% على المستلزمات الطبية و التجميل</v>
      </c>
    </row>
    <row r="2434" spans="1:11" x14ac:dyDescent="0.25">
      <c r="A2434" s="4" t="str">
        <f ca="1">IFERROR(__xludf.DUMMYFUNCTION("""COMPUTED_VALUE"""),"1683-B")</f>
        <v>1683-B</v>
      </c>
      <c r="B2434" s="5" t="str">
        <f ca="1">IFERROR(__xludf.DUMMYFUNCTION("""COMPUTED_VALUE"""),"مرسى مطروح")</f>
        <v>مرسى مطروح</v>
      </c>
      <c r="C2434" s="5" t="str">
        <f ca="1">IFERROR(__xludf.DUMMYFUNCTION("""COMPUTED_VALUE"""),"مرسى مطروح")</f>
        <v>مرسى مطروح</v>
      </c>
      <c r="D2434" s="5" t="str">
        <f ca="1">IFERROR(__xludf.DUMMYFUNCTION("""COMPUTED_VALUE"""),"صيدلية")</f>
        <v>صيدلية</v>
      </c>
      <c r="E2434" s="5" t="str">
        <f ca="1">IFERROR(__xludf.DUMMYFUNCTION("""COMPUTED_VALUE"""),"صيدلية")</f>
        <v>صيدلية</v>
      </c>
      <c r="F2434" s="5" t="str">
        <f ca="1">IFERROR(__xludf.DUMMYFUNCTION("""COMPUTED_VALUE"""),"صيدلية (أدوية ومستلزمات طبية)")</f>
        <v>صيدلية (أدوية ومستلزمات طبية)</v>
      </c>
      <c r="G243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434" s="5" t="str">
        <f ca="1">IFERROR(__xludf.DUMMYFUNCTION("""COMPUTED_VALUE"""),"محل رقم أ4 -بمول سكاى كورت-بناحية سيدى عبدالرحمن-العلميين-مطروح")</f>
        <v>محل رقم أ4 -بمول سكاى كورت-بناحية سيدى عبدالرحمن-العلميين-مطروح</v>
      </c>
      <c r="I2434" s="6" t="str">
        <f ca="1">IFERROR(__xludf.DUMMYFUNCTION("""COMPUTED_VALUE"""),"01014496999")</f>
        <v>01014496999</v>
      </c>
      <c r="J2434" s="6" t="str">
        <f ca="1">IFERROR(__xludf.DUMMYFUNCTION("""COMPUTED_VALUE"""),"19600")</f>
        <v>19600</v>
      </c>
      <c r="K2434" s="6" t="str">
        <f ca="1">IFERROR(__xludf.DUMMYFUNCTION("""COMPUTED_VALUE"""),"7.5 % على المحلى ,5% على المستلزمات الطبية و التجميل")</f>
        <v>7.5 % على المحلى ,5% على المستلزمات الطبية و التجميل</v>
      </c>
    </row>
    <row r="2435" spans="1:11" x14ac:dyDescent="0.25">
      <c r="A2435" s="4" t="str">
        <f ca="1">IFERROR(__xludf.DUMMYFUNCTION("""COMPUTED_VALUE"""),"106816")</f>
        <v>106816</v>
      </c>
      <c r="B2435" s="5" t="str">
        <f ca="1">IFERROR(__xludf.DUMMYFUNCTION("""COMPUTED_VALUE"""),"الشرقية")</f>
        <v>الشرقية</v>
      </c>
      <c r="C2435" s="5" t="str">
        <f ca="1">IFERROR(__xludf.DUMMYFUNCTION("""COMPUTED_VALUE"""),"مشتول السوق")</f>
        <v>مشتول السوق</v>
      </c>
      <c r="D2435" s="5" t="str">
        <f ca="1">IFERROR(__xludf.DUMMYFUNCTION("""COMPUTED_VALUE"""),"مستشفى")</f>
        <v>مستشفى</v>
      </c>
      <c r="E2435" s="5" t="str">
        <f ca="1">IFERROR(__xludf.DUMMYFUNCTION("""COMPUTED_VALUE"""),"مستشفي طبي متكامل")</f>
        <v>مستشفي طبي متكامل</v>
      </c>
      <c r="F2435" s="5" t="str">
        <f ca="1">IFERROR(__xludf.DUMMYFUNCTION("""COMPUTED_VALUE"""),"جميع التخصصات الطبية")</f>
        <v>جميع التخصصات الطبية</v>
      </c>
      <c r="G2435" s="5" t="str">
        <f ca="1">IFERROR(__xludf.DUMMYFUNCTION("""COMPUTED_VALUE"""),"مستشفي الصفوة التخصصي (الصفوة اسكان للخدمات الطبية)")</f>
        <v>مستشفي الصفوة التخصصي (الصفوة اسكان للخدمات الطبية)</v>
      </c>
      <c r="H2435" s="5" t="str">
        <f ca="1">IFERROR(__xludf.DUMMYFUNCTION("""COMPUTED_VALUE"""),"ش المستشفي المركزي - مشتول السوق - الشرقية")</f>
        <v>ش المستشفي المركزي - مشتول السوق - الشرقية</v>
      </c>
      <c r="I2435" s="6" t="str">
        <f ca="1">IFERROR(__xludf.DUMMYFUNCTION("""COMPUTED_VALUE"""),"0552570135")</f>
        <v>0552570135</v>
      </c>
      <c r="J2435" s="6"/>
      <c r="K2435" s="6" t="str">
        <f ca="1">IFERROR(__xludf.DUMMYFUNCTION("""COMPUTED_VALUE"""),"25% خصم علي الأسعار النقدي ")</f>
        <v xml:space="preserve">25% خصم علي الأسعار النقدي </v>
      </c>
    </row>
    <row r="2436" spans="1:11" x14ac:dyDescent="0.25">
      <c r="A2436" s="4" t="str">
        <f ca="1">IFERROR(__xludf.DUMMYFUNCTION("""COMPUTED_VALUE"""),"106817")</f>
        <v>106817</v>
      </c>
      <c r="B2436" s="5" t="str">
        <f ca="1">IFERROR(__xludf.DUMMYFUNCTION("""COMPUTED_VALUE"""),"كفر الشيخ")</f>
        <v>كفر الشيخ</v>
      </c>
      <c r="C2436" s="5" t="str">
        <f ca="1">IFERROR(__xludf.DUMMYFUNCTION("""COMPUTED_VALUE"""),"كفر الشيخ")</f>
        <v>كفر الشيخ</v>
      </c>
      <c r="D2436" s="5" t="str">
        <f ca="1">IFERROR(__xludf.DUMMYFUNCTION("""COMPUTED_VALUE"""),"هيئة الأطباء")</f>
        <v>هيئة الأطباء</v>
      </c>
      <c r="E2436" s="5" t="str">
        <f ca="1">IFERROR(__xludf.DUMMYFUNCTION("""COMPUTED_VALUE"""),"باطنة")</f>
        <v>باطنة</v>
      </c>
      <c r="F2436" s="5" t="str">
        <f ca="1">IFERROR(__xludf.DUMMYFUNCTION("""COMPUTED_VALUE"""),"كبد وجهاز هضمي")</f>
        <v>كبد وجهاز هضمي</v>
      </c>
      <c r="G2436" s="5" t="str">
        <f ca="1">IFERROR(__xludf.DUMMYFUNCTION("""COMPUTED_VALUE"""),"د. وسام احمد اسماعيل الرويني")</f>
        <v>د. وسام احمد اسماعيل الرويني</v>
      </c>
      <c r="H2436" s="5" t="str">
        <f ca="1">IFERROR(__xludf.DUMMYFUNCTION("""COMPUTED_VALUE"""),"طريق سكه روينه بجوار مستشفي عمر بن الخطاب - كفر الشيخ")</f>
        <v>طريق سكه روينه بجوار مستشفي عمر بن الخطاب - كفر الشيخ</v>
      </c>
      <c r="I2436" s="6" t="str">
        <f ca="1">IFERROR(__xludf.DUMMYFUNCTION("""COMPUTED_VALUE"""),"01005536265")</f>
        <v>01005536265</v>
      </c>
      <c r="J2436" s="6"/>
      <c r="K2436" s="6" t="str">
        <f ca="1">IFERROR(__xludf.DUMMYFUNCTION("""COMPUTED_VALUE"""),"30% خصم علي الأسعار النقدي ")</f>
        <v xml:space="preserve">30% خصم علي الأسعار النقدي </v>
      </c>
    </row>
    <row r="2437" spans="1:11" x14ac:dyDescent="0.25">
      <c r="A2437" s="4" t="str">
        <f ca="1">IFERROR(__xludf.DUMMYFUNCTION("""COMPUTED_VALUE"""),"106818")</f>
        <v>106818</v>
      </c>
      <c r="B2437" s="5" t="str">
        <f ca="1">IFERROR(__xludf.DUMMYFUNCTION("""COMPUTED_VALUE"""),"جنوب سيناء")</f>
        <v>جنوب سيناء</v>
      </c>
      <c r="C2437" s="5" t="str">
        <f ca="1">IFERROR(__xludf.DUMMYFUNCTION("""COMPUTED_VALUE"""),"الطور")</f>
        <v>الطور</v>
      </c>
      <c r="D2437" s="5" t="str">
        <f ca="1">IFERROR(__xludf.DUMMYFUNCTION("""COMPUTED_VALUE"""),"هيئة الأطباء")</f>
        <v>هيئة الأطباء</v>
      </c>
      <c r="E2437" s="5" t="str">
        <f ca="1">IFERROR(__xludf.DUMMYFUNCTION("""COMPUTED_VALUE"""),"نساء وتوليد")</f>
        <v>نساء وتوليد</v>
      </c>
      <c r="F2437" s="5" t="str">
        <f ca="1">IFERROR(__xludf.DUMMYFUNCTION("""COMPUTED_VALUE"""),"نساء وتوليد")</f>
        <v>نساء وتوليد</v>
      </c>
      <c r="G2437" s="5" t="str">
        <f ca="1">IFERROR(__xludf.DUMMYFUNCTION("""COMPUTED_VALUE"""),"د.مها الحسنين حمودة النموري")</f>
        <v>د.مها الحسنين حمودة النموري</v>
      </c>
      <c r="H2437" s="5" t="str">
        <f ca="1">IFERROR(__xludf.DUMMYFUNCTION("""COMPUTED_VALUE""")," طور سيناء مساكن مستشفي الطور العام - الطور - جنوب سيناء")</f>
        <v xml:space="preserve"> طور سيناء مساكن مستشفي الطور العام - الطور - جنوب سيناء</v>
      </c>
      <c r="I2437" s="6" t="str">
        <f ca="1">IFERROR(__xludf.DUMMYFUNCTION("""COMPUTED_VALUE"""),"01001647150")</f>
        <v>01001647150</v>
      </c>
      <c r="J2437" s="6"/>
      <c r="K2437" s="6" t="str">
        <f ca="1">IFERROR(__xludf.DUMMYFUNCTION("""COMPUTED_VALUE"""),"30% خصم علي الأسعار النقدي ")</f>
        <v xml:space="preserve">30% خصم علي الأسعار النقدي </v>
      </c>
    </row>
    <row r="2438" spans="1:11" x14ac:dyDescent="0.25">
      <c r="A2438" s="4" t="str">
        <f ca="1">IFERROR(__xludf.DUMMYFUNCTION("""COMPUTED_VALUE"""),"106144-B")</f>
        <v>106144-B</v>
      </c>
      <c r="B2438" s="5" t="str">
        <f ca="1">IFERROR(__xludf.DUMMYFUNCTION("""COMPUTED_VALUE"""),"بورسعيد")</f>
        <v>بورسعيد</v>
      </c>
      <c r="C2438" s="5" t="str">
        <f ca="1">IFERROR(__xludf.DUMMYFUNCTION("""COMPUTED_VALUE"""),"بورسعيد")</f>
        <v>بورسعيد</v>
      </c>
      <c r="D2438" s="5" t="str">
        <f ca="1">IFERROR(__xludf.DUMMYFUNCTION("""COMPUTED_VALUE"""),"معمل")</f>
        <v>معمل</v>
      </c>
      <c r="E2438" s="5" t="str">
        <f ca="1">IFERROR(__xludf.DUMMYFUNCTION("""COMPUTED_VALUE"""),"معمل")</f>
        <v>معمل</v>
      </c>
      <c r="F2438" s="5" t="str">
        <f ca="1">IFERROR(__xludf.DUMMYFUNCTION("""COMPUTED_VALUE"""),"معمل التحاليل الطبية")</f>
        <v>معمل التحاليل الطبية</v>
      </c>
      <c r="G2438" s="5" t="str">
        <f ca="1">IFERROR(__xludf.DUMMYFUNCTION("""COMPUTED_VALUE"""),"بريميم هيلثكير جروب (معامل سيتي لاب)")</f>
        <v>بريميم هيلثكير جروب (معامل سيتي لاب)</v>
      </c>
      <c r="H2438" s="5" t="str">
        <f ca="1">IFERROR(__xludf.DUMMYFUNCTION("""COMPUTED_VALUE"""),"شارع صلاح سالم برج الاطباء")</f>
        <v>شارع صلاح سالم برج الاطباء</v>
      </c>
      <c r="I2438" s="6" t="str">
        <f ca="1">IFERROR(__xludf.DUMMYFUNCTION("""COMPUTED_VALUE"""),"01200190089")</f>
        <v>01200190089</v>
      </c>
      <c r="J2438" s="6"/>
      <c r="K2438" s="6" t="str">
        <f ca="1">IFERROR(__xludf.DUMMYFUNCTION("""COMPUTED_VALUE"""),"خصم 30% علي الاسعار النقدي ")</f>
        <v xml:space="preserve">خصم 30% علي الاسعار النقدي </v>
      </c>
    </row>
    <row r="2439" spans="1:11" x14ac:dyDescent="0.25">
      <c r="A2439" s="4" t="str">
        <f ca="1">IFERROR(__xludf.DUMMYFUNCTION("""COMPUTED_VALUE"""),"106144-B")</f>
        <v>106144-B</v>
      </c>
      <c r="B2439" s="5" t="str">
        <f ca="1">IFERROR(__xludf.DUMMYFUNCTION("""COMPUTED_VALUE"""),"بورسعيد")</f>
        <v>بورسعيد</v>
      </c>
      <c r="C2439" s="5" t="str">
        <f ca="1">IFERROR(__xludf.DUMMYFUNCTION("""COMPUTED_VALUE"""),"بورسعيد")</f>
        <v>بورسعيد</v>
      </c>
      <c r="D2439" s="5" t="str">
        <f ca="1">IFERROR(__xludf.DUMMYFUNCTION("""COMPUTED_VALUE"""),"معمل")</f>
        <v>معمل</v>
      </c>
      <c r="E2439" s="5" t="str">
        <f ca="1">IFERROR(__xludf.DUMMYFUNCTION("""COMPUTED_VALUE"""),"معمل")</f>
        <v>معمل</v>
      </c>
      <c r="F2439" s="5" t="str">
        <f ca="1">IFERROR(__xludf.DUMMYFUNCTION("""COMPUTED_VALUE"""),"معمل التحاليل الطبية")</f>
        <v>معمل التحاليل الطبية</v>
      </c>
      <c r="G2439" s="5" t="str">
        <f ca="1">IFERROR(__xludf.DUMMYFUNCTION("""COMPUTED_VALUE"""),"بريميم هيلثكير جروب (معامل سيتي لاب)")</f>
        <v>بريميم هيلثكير جروب (معامل سيتي لاب)</v>
      </c>
      <c r="H2439" s="5" t="str">
        <f ca="1">IFERROR(__xludf.DUMMYFUNCTION("""COMPUTED_VALUE"""),"ارض العزب شارع النصر والدقهليه")</f>
        <v>ارض العزب شارع النصر والدقهليه</v>
      </c>
      <c r="I2439" s="6" t="str">
        <f ca="1">IFERROR(__xludf.DUMMYFUNCTION("""COMPUTED_VALUE"""),"01200220834")</f>
        <v>01200220834</v>
      </c>
      <c r="J2439" s="6"/>
      <c r="K2439" s="6" t="str">
        <f ca="1">IFERROR(__xludf.DUMMYFUNCTION("""COMPUTED_VALUE"""),"خصم 30% علي الاسعار النقدي ")</f>
        <v xml:space="preserve">خصم 30% علي الاسعار النقدي </v>
      </c>
    </row>
    <row r="2440" spans="1:11" x14ac:dyDescent="0.25">
      <c r="A2440" s="4" t="str">
        <f ca="1">IFERROR(__xludf.DUMMYFUNCTION("""COMPUTED_VALUE"""),"106144-B")</f>
        <v>106144-B</v>
      </c>
      <c r="B2440" s="5" t="str">
        <f ca="1">IFERROR(__xludf.DUMMYFUNCTION("""COMPUTED_VALUE"""),"بورسعيد")</f>
        <v>بورسعيد</v>
      </c>
      <c r="C2440" s="5" t="str">
        <f ca="1">IFERROR(__xludf.DUMMYFUNCTION("""COMPUTED_VALUE"""),"بورفؤاد")</f>
        <v>بورفؤاد</v>
      </c>
      <c r="D2440" s="5" t="str">
        <f ca="1">IFERROR(__xludf.DUMMYFUNCTION("""COMPUTED_VALUE"""),"معمل")</f>
        <v>معمل</v>
      </c>
      <c r="E2440" s="5" t="str">
        <f ca="1">IFERROR(__xludf.DUMMYFUNCTION("""COMPUTED_VALUE"""),"معمل")</f>
        <v>معمل</v>
      </c>
      <c r="F2440" s="5" t="str">
        <f ca="1">IFERROR(__xludf.DUMMYFUNCTION("""COMPUTED_VALUE"""),"معمل التحاليل الطبية")</f>
        <v>معمل التحاليل الطبية</v>
      </c>
      <c r="G2440" s="5" t="str">
        <f ca="1">IFERROR(__xludf.DUMMYFUNCTION("""COMPUTED_VALUE"""),"بريميم هيلثكير جروب (معامل سيتي لاب)")</f>
        <v>بريميم هيلثكير جروب (معامل سيتي لاب)</v>
      </c>
      <c r="H2440" s="5" t="str">
        <f ca="1">IFERROR(__xludf.DUMMYFUNCTION("""COMPUTED_VALUE"""),"بور فؤاد امام مسجد الشعراوي")</f>
        <v>بور فؤاد امام مسجد الشعراوي</v>
      </c>
      <c r="I2440" s="6" t="str">
        <f ca="1">IFERROR(__xludf.DUMMYFUNCTION("""COMPUTED_VALUE"""),"01200220896")</f>
        <v>01200220896</v>
      </c>
      <c r="J2440" s="6"/>
      <c r="K2440" s="6" t="str">
        <f ca="1">IFERROR(__xludf.DUMMYFUNCTION("""COMPUTED_VALUE"""),"خصم 30% علي الاسعار النقدي ")</f>
        <v xml:space="preserve">خصم 30% علي الاسعار النقدي </v>
      </c>
    </row>
    <row r="2441" spans="1:11" x14ac:dyDescent="0.25">
      <c r="A2441" s="4" t="str">
        <f ca="1">IFERROR(__xludf.DUMMYFUNCTION("""COMPUTED_VALUE"""),"106144-B")</f>
        <v>106144-B</v>
      </c>
      <c r="B2441" s="5" t="str">
        <f ca="1">IFERROR(__xludf.DUMMYFUNCTION("""COMPUTED_VALUE"""),"بورسعيد")</f>
        <v>بورسعيد</v>
      </c>
      <c r="C2441" s="5" t="str">
        <f ca="1">IFERROR(__xludf.DUMMYFUNCTION("""COMPUTED_VALUE"""),"بورفؤاد")</f>
        <v>بورفؤاد</v>
      </c>
      <c r="D2441" s="5" t="str">
        <f ca="1">IFERROR(__xludf.DUMMYFUNCTION("""COMPUTED_VALUE"""),"معمل")</f>
        <v>معمل</v>
      </c>
      <c r="E2441" s="5" t="str">
        <f ca="1">IFERROR(__xludf.DUMMYFUNCTION("""COMPUTED_VALUE"""),"معمل")</f>
        <v>معمل</v>
      </c>
      <c r="F2441" s="5" t="str">
        <f ca="1">IFERROR(__xludf.DUMMYFUNCTION("""COMPUTED_VALUE"""),"معمل التحاليل الطبية")</f>
        <v>معمل التحاليل الطبية</v>
      </c>
      <c r="G2441" s="5" t="str">
        <f ca="1">IFERROR(__xludf.DUMMYFUNCTION("""COMPUTED_VALUE"""),"بريميم هيلثكير جروب (معامل سيتي لاب)")</f>
        <v>بريميم هيلثكير جروب (معامل سيتي لاب)</v>
      </c>
      <c r="H2441" s="5" t="str">
        <f ca="1">IFERROR(__xludf.DUMMYFUNCTION("""COMPUTED_VALUE"""),"بور فؤاد بجوار حلواني سامي سالم")</f>
        <v>بور فؤاد بجوار حلواني سامي سالم</v>
      </c>
      <c r="I2441" s="6" t="str">
        <f ca="1">IFERROR(__xludf.DUMMYFUNCTION("""COMPUTED_VALUE"""),"01272552443")</f>
        <v>01272552443</v>
      </c>
      <c r="J2441" s="6"/>
      <c r="K2441" s="6" t="str">
        <f ca="1">IFERROR(__xludf.DUMMYFUNCTION("""COMPUTED_VALUE"""),"خصم 30% علي الاسعار النقدي ")</f>
        <v xml:space="preserve">خصم 30% علي الاسعار النقدي </v>
      </c>
    </row>
    <row r="2442" spans="1:11" x14ac:dyDescent="0.25">
      <c r="A2442" s="4" t="str">
        <f ca="1">IFERROR(__xludf.DUMMYFUNCTION("""COMPUTED_VALUE"""),"106144-B")</f>
        <v>106144-B</v>
      </c>
      <c r="B2442" s="5" t="str">
        <f ca="1">IFERROR(__xludf.DUMMYFUNCTION("""COMPUTED_VALUE"""),"الإسماعيلية")</f>
        <v>الإسماعيلية</v>
      </c>
      <c r="C2442" s="5" t="str">
        <f ca="1">IFERROR(__xludf.DUMMYFUNCTION("""COMPUTED_VALUE"""),"الإسماعيلية")</f>
        <v>الإسماعيلية</v>
      </c>
      <c r="D2442" s="5" t="str">
        <f ca="1">IFERROR(__xludf.DUMMYFUNCTION("""COMPUTED_VALUE"""),"معمل")</f>
        <v>معمل</v>
      </c>
      <c r="E2442" s="5" t="str">
        <f ca="1">IFERROR(__xludf.DUMMYFUNCTION("""COMPUTED_VALUE"""),"معمل")</f>
        <v>معمل</v>
      </c>
      <c r="F2442" s="5" t="str">
        <f ca="1">IFERROR(__xludf.DUMMYFUNCTION("""COMPUTED_VALUE"""),"معمل التحاليل الطبية")</f>
        <v>معمل التحاليل الطبية</v>
      </c>
      <c r="G2442" s="5" t="str">
        <f ca="1">IFERROR(__xludf.DUMMYFUNCTION("""COMPUTED_VALUE"""),"بريميم هيلثكير جروب (معامل سيتي لاب)")</f>
        <v>بريميم هيلثكير جروب (معامل سيتي لاب)</v>
      </c>
      <c r="H2442" s="5" t="str">
        <f ca="1">IFERROR(__xludf.DUMMYFUNCTION("""COMPUTED_VALUE"""),"الثلاثيني امام البنك العقاري")</f>
        <v>الثلاثيني امام البنك العقاري</v>
      </c>
      <c r="I2442" s="6" t="str">
        <f ca="1">IFERROR(__xludf.DUMMYFUNCTION("""COMPUTED_VALUE"""),"01202218322")</f>
        <v>01202218322</v>
      </c>
      <c r="J2442" s="6"/>
      <c r="K2442" s="6" t="str">
        <f ca="1">IFERROR(__xludf.DUMMYFUNCTION("""COMPUTED_VALUE"""),"خصم 30% علي الاسعار النقدي ")</f>
        <v xml:space="preserve">خصم 30% علي الاسعار النقدي </v>
      </c>
    </row>
    <row r="2443" spans="1:11" x14ac:dyDescent="0.25">
      <c r="A2443" s="4" t="str">
        <f ca="1">IFERROR(__xludf.DUMMYFUNCTION("""COMPUTED_VALUE"""),"106144-B")</f>
        <v>106144-B</v>
      </c>
      <c r="B2443" s="5" t="str">
        <f ca="1">IFERROR(__xludf.DUMMYFUNCTION("""COMPUTED_VALUE"""),"الإسماعيلية")</f>
        <v>الإسماعيلية</v>
      </c>
      <c r="C2443" s="5" t="str">
        <f ca="1">IFERROR(__xludf.DUMMYFUNCTION("""COMPUTED_VALUE"""),"الإسماعيلية")</f>
        <v>الإسماعيلية</v>
      </c>
      <c r="D2443" s="5" t="str">
        <f ca="1">IFERROR(__xludf.DUMMYFUNCTION("""COMPUTED_VALUE"""),"معمل")</f>
        <v>معمل</v>
      </c>
      <c r="E2443" s="5" t="str">
        <f ca="1">IFERROR(__xludf.DUMMYFUNCTION("""COMPUTED_VALUE"""),"معمل")</f>
        <v>معمل</v>
      </c>
      <c r="F2443" s="5" t="str">
        <f ca="1">IFERROR(__xludf.DUMMYFUNCTION("""COMPUTED_VALUE"""),"معمل التحاليل الطبية")</f>
        <v>معمل التحاليل الطبية</v>
      </c>
      <c r="G2443" s="5" t="str">
        <f ca="1">IFERROR(__xludf.DUMMYFUNCTION("""COMPUTED_VALUE"""),"بريميم هيلثكير جروب (معامل سيتي لاب)")</f>
        <v>بريميم هيلثكير جروب (معامل سيتي لاب)</v>
      </c>
      <c r="H2443" s="5" t="str">
        <f ca="1">IFERROR(__xludf.DUMMYFUNCTION("""COMPUTED_VALUE"""),"شارع شربين امام نقابه المعلمين")</f>
        <v>شارع شربين امام نقابه المعلمين</v>
      </c>
      <c r="I2443" s="6" t="str">
        <f ca="1">IFERROR(__xludf.DUMMYFUNCTION("""COMPUTED_VALUE"""),"01286490512")</f>
        <v>01286490512</v>
      </c>
      <c r="J2443" s="6"/>
      <c r="K2443" s="6" t="str">
        <f ca="1">IFERROR(__xludf.DUMMYFUNCTION("""COMPUTED_VALUE"""),"خصم 30% علي الاسعار النقدي ")</f>
        <v xml:space="preserve">خصم 30% علي الاسعار النقدي </v>
      </c>
    </row>
    <row r="2444" spans="1:11" x14ac:dyDescent="0.25">
      <c r="A2444" s="4" t="str">
        <f ca="1">IFERROR(__xludf.DUMMYFUNCTION("""COMPUTED_VALUE"""),"106144-B")</f>
        <v>106144-B</v>
      </c>
      <c r="B2444" s="5" t="str">
        <f ca="1">IFERROR(__xludf.DUMMYFUNCTION("""COMPUTED_VALUE"""),"الإسماعيلية")</f>
        <v>الإسماعيلية</v>
      </c>
      <c r="C2444" s="5" t="str">
        <f ca="1">IFERROR(__xludf.DUMMYFUNCTION("""COMPUTED_VALUE"""),"الإسماعيلية")</f>
        <v>الإسماعيلية</v>
      </c>
      <c r="D2444" s="5" t="str">
        <f ca="1">IFERROR(__xludf.DUMMYFUNCTION("""COMPUTED_VALUE"""),"معمل")</f>
        <v>معمل</v>
      </c>
      <c r="E2444" s="5" t="str">
        <f ca="1">IFERROR(__xludf.DUMMYFUNCTION("""COMPUTED_VALUE"""),"معمل")</f>
        <v>معمل</v>
      </c>
      <c r="F2444" s="5" t="str">
        <f ca="1">IFERROR(__xludf.DUMMYFUNCTION("""COMPUTED_VALUE"""),"معمل التحاليل الطبية")</f>
        <v>معمل التحاليل الطبية</v>
      </c>
      <c r="G2444" s="5" t="str">
        <f ca="1">IFERROR(__xludf.DUMMYFUNCTION("""COMPUTED_VALUE"""),"بريميم هيلثكير جروب (معامل سيتي لاب)")</f>
        <v>بريميم هيلثكير جروب (معامل سيتي لاب)</v>
      </c>
      <c r="H2444" s="5" t="str">
        <f ca="1">IFERROR(__xludf.DUMMYFUNCTION("""COMPUTED_VALUE"""),"القنطره غرب شارع المعاهده")</f>
        <v>القنطره غرب شارع المعاهده</v>
      </c>
      <c r="I2444" s="6" t="str">
        <f ca="1">IFERROR(__xludf.DUMMYFUNCTION("""COMPUTED_VALUE"""),"01200220539")</f>
        <v>01200220539</v>
      </c>
      <c r="J2444" s="6"/>
      <c r="K2444" s="6" t="str">
        <f ca="1">IFERROR(__xludf.DUMMYFUNCTION("""COMPUTED_VALUE"""),"خصم 30% علي الاسعار النقدي ")</f>
        <v xml:space="preserve">خصم 30% علي الاسعار النقدي </v>
      </c>
    </row>
    <row r="2445" spans="1:11" x14ac:dyDescent="0.25">
      <c r="A2445" s="4" t="str">
        <f ca="1">IFERROR(__xludf.DUMMYFUNCTION("""COMPUTED_VALUE"""),"106144-B")</f>
        <v>106144-B</v>
      </c>
      <c r="B2445" s="5" t="str">
        <f ca="1">IFERROR(__xludf.DUMMYFUNCTION("""COMPUTED_VALUE"""),"السويس")</f>
        <v>السويس</v>
      </c>
      <c r="C2445" s="5" t="str">
        <f ca="1">IFERROR(__xludf.DUMMYFUNCTION("""COMPUTED_VALUE"""),"السويس")</f>
        <v>السويس</v>
      </c>
      <c r="D2445" s="5" t="str">
        <f ca="1">IFERROR(__xludf.DUMMYFUNCTION("""COMPUTED_VALUE"""),"معمل")</f>
        <v>معمل</v>
      </c>
      <c r="E2445" s="5" t="str">
        <f ca="1">IFERROR(__xludf.DUMMYFUNCTION("""COMPUTED_VALUE"""),"معمل")</f>
        <v>معمل</v>
      </c>
      <c r="F2445" s="5" t="str">
        <f ca="1">IFERROR(__xludf.DUMMYFUNCTION("""COMPUTED_VALUE"""),"معمل التحاليل الطبية")</f>
        <v>معمل التحاليل الطبية</v>
      </c>
      <c r="G2445" s="5" t="str">
        <f ca="1">IFERROR(__xludf.DUMMYFUNCTION("""COMPUTED_VALUE"""),"بريميم هيلثكير جروب (معامل سيتي لاب)")</f>
        <v>بريميم هيلثكير جروب (معامل سيتي لاب)</v>
      </c>
      <c r="H2445" s="5" t="str">
        <f ca="1">IFERROR(__xludf.DUMMYFUNCTION("""COMPUTED_VALUE"""),"شارع عرابي امام مسجد السيد البدوي")</f>
        <v>شارع عرابي امام مسجد السيد البدوي</v>
      </c>
      <c r="I2445" s="6" t="str">
        <f ca="1">IFERROR(__xludf.DUMMYFUNCTION("""COMPUTED_VALUE"""),"01205893297")</f>
        <v>01205893297</v>
      </c>
      <c r="J2445" s="6"/>
      <c r="K2445" s="6" t="str">
        <f ca="1">IFERROR(__xludf.DUMMYFUNCTION("""COMPUTED_VALUE"""),"خصم 30% علي الاسعار النقدي ")</f>
        <v xml:space="preserve">خصم 30% علي الاسعار النقدي </v>
      </c>
    </row>
    <row r="2446" spans="1:11" x14ac:dyDescent="0.25">
      <c r="A2446" s="4" t="str">
        <f ca="1">IFERROR(__xludf.DUMMYFUNCTION("""COMPUTED_VALUE"""),"106144-B")</f>
        <v>106144-B</v>
      </c>
      <c r="B2446" s="5" t="str">
        <f ca="1">IFERROR(__xludf.DUMMYFUNCTION("""COMPUTED_VALUE"""),"دمياط")</f>
        <v>دمياط</v>
      </c>
      <c r="C2446" s="5" t="str">
        <f ca="1">IFERROR(__xludf.DUMMYFUNCTION("""COMPUTED_VALUE"""),"دمياط")</f>
        <v>دمياط</v>
      </c>
      <c r="D2446" s="5" t="str">
        <f ca="1">IFERROR(__xludf.DUMMYFUNCTION("""COMPUTED_VALUE"""),"معمل")</f>
        <v>معمل</v>
      </c>
      <c r="E2446" s="5" t="str">
        <f ca="1">IFERROR(__xludf.DUMMYFUNCTION("""COMPUTED_VALUE"""),"معمل")</f>
        <v>معمل</v>
      </c>
      <c r="F2446" s="5" t="str">
        <f ca="1">IFERROR(__xludf.DUMMYFUNCTION("""COMPUTED_VALUE"""),"معمل التحاليل الطبية")</f>
        <v>معمل التحاليل الطبية</v>
      </c>
      <c r="G2446" s="5" t="str">
        <f ca="1">IFERROR(__xludf.DUMMYFUNCTION("""COMPUTED_VALUE"""),"بريميم هيلثكير جروب (معامل سيتي لاب)")</f>
        <v>بريميم هيلثكير جروب (معامل سيتي لاب)</v>
      </c>
      <c r="H2446" s="5" t="str">
        <f ca="1">IFERROR(__xludf.DUMMYFUNCTION("""COMPUTED_VALUE"""),"شارع الجلاء ميدان الكباس")</f>
        <v>شارع الجلاء ميدان الكباس</v>
      </c>
      <c r="I2446" s="6" t="str">
        <f ca="1">IFERROR(__xludf.DUMMYFUNCTION("""COMPUTED_VALUE"""),"01200220137")</f>
        <v>01200220137</v>
      </c>
      <c r="J2446" s="6"/>
      <c r="K2446" s="6" t="str">
        <f ca="1">IFERROR(__xludf.DUMMYFUNCTION("""COMPUTED_VALUE"""),"خصم 30% علي الاسعار النقدي ")</f>
        <v xml:space="preserve">خصم 30% علي الاسعار النقدي </v>
      </c>
    </row>
    <row r="2447" spans="1:11" x14ac:dyDescent="0.25">
      <c r="A2447" s="4" t="str">
        <f ca="1">IFERROR(__xludf.DUMMYFUNCTION("""COMPUTED_VALUE"""),"106144-B")</f>
        <v>106144-B</v>
      </c>
      <c r="B2447" s="5" t="str">
        <f ca="1">IFERROR(__xludf.DUMMYFUNCTION("""COMPUTED_VALUE"""),"دمياط")</f>
        <v>دمياط</v>
      </c>
      <c r="C2447" s="5" t="str">
        <f ca="1">IFERROR(__xludf.DUMMYFUNCTION("""COMPUTED_VALUE"""),"دمياط")</f>
        <v>دمياط</v>
      </c>
      <c r="D2447" s="5" t="str">
        <f ca="1">IFERROR(__xludf.DUMMYFUNCTION("""COMPUTED_VALUE"""),"معمل")</f>
        <v>معمل</v>
      </c>
      <c r="E2447" s="5" t="str">
        <f ca="1">IFERROR(__xludf.DUMMYFUNCTION("""COMPUTED_VALUE"""),"معمل")</f>
        <v>معمل</v>
      </c>
      <c r="F2447" s="5" t="str">
        <f ca="1">IFERROR(__xludf.DUMMYFUNCTION("""COMPUTED_VALUE"""),"معمل التحاليل الطبية")</f>
        <v>معمل التحاليل الطبية</v>
      </c>
      <c r="G2447" s="5" t="str">
        <f ca="1">IFERROR(__xludf.DUMMYFUNCTION("""COMPUTED_VALUE"""),"بريميم هيلثكير جروب (معامل سيتي لاب)")</f>
        <v>بريميم هيلثكير جروب (معامل سيتي لاب)</v>
      </c>
      <c r="H2447" s="5" t="str">
        <f ca="1">IFERROR(__xludf.DUMMYFUNCTION("""COMPUTED_VALUE"""),"شارع الحربي بجوار ستوديو مارشال")</f>
        <v>شارع الحربي بجوار ستوديو مارشال</v>
      </c>
      <c r="I2447" s="6" t="str">
        <f ca="1">IFERROR(__xludf.DUMMYFUNCTION("""COMPUTED_VALUE"""),"01200799255")</f>
        <v>01200799255</v>
      </c>
      <c r="J2447" s="6"/>
      <c r="K2447" s="6" t="str">
        <f ca="1">IFERROR(__xludf.DUMMYFUNCTION("""COMPUTED_VALUE"""),"خصم 30% علي الاسعار النقدي ")</f>
        <v xml:space="preserve">خصم 30% علي الاسعار النقدي </v>
      </c>
    </row>
    <row r="2448" spans="1:11" x14ac:dyDescent="0.25">
      <c r="A2448" s="4" t="str">
        <f ca="1">IFERROR(__xludf.DUMMYFUNCTION("""COMPUTED_VALUE"""),"106144-B")</f>
        <v>106144-B</v>
      </c>
      <c r="B2448" s="5" t="str">
        <f ca="1">IFERROR(__xludf.DUMMYFUNCTION("""COMPUTED_VALUE"""),"دمياط")</f>
        <v>دمياط</v>
      </c>
      <c r="C2448" s="5" t="str">
        <f ca="1">IFERROR(__xludf.DUMMYFUNCTION("""COMPUTED_VALUE"""),"دمياط")</f>
        <v>دمياط</v>
      </c>
      <c r="D2448" s="5" t="str">
        <f ca="1">IFERROR(__xludf.DUMMYFUNCTION("""COMPUTED_VALUE"""),"معمل")</f>
        <v>معمل</v>
      </c>
      <c r="E2448" s="5" t="str">
        <f ca="1">IFERROR(__xludf.DUMMYFUNCTION("""COMPUTED_VALUE"""),"معمل")</f>
        <v>معمل</v>
      </c>
      <c r="F2448" s="5" t="str">
        <f ca="1">IFERROR(__xludf.DUMMYFUNCTION("""COMPUTED_VALUE"""),"معمل التحاليل الطبية")</f>
        <v>معمل التحاليل الطبية</v>
      </c>
      <c r="G2448" s="5" t="str">
        <f ca="1">IFERROR(__xludf.DUMMYFUNCTION("""COMPUTED_VALUE"""),"بريميم هيلثكير جروب (معامل سيتي لاب)")</f>
        <v>بريميم هيلثكير جروب (معامل سيتي لاب)</v>
      </c>
      <c r="H2448" s="5" t="str">
        <f ca="1">IFERROR(__xludf.DUMMYFUNCTION("""COMPUTED_VALUE"""),"عزبه البرج شارع الفنار")</f>
        <v>عزبه البرج شارع الفنار</v>
      </c>
      <c r="I2448" s="6" t="str">
        <f ca="1">IFERROR(__xludf.DUMMYFUNCTION("""COMPUTED_VALUE"""),"01286678870")</f>
        <v>01286678870</v>
      </c>
      <c r="J2448" s="6"/>
      <c r="K2448" s="6" t="str">
        <f ca="1">IFERROR(__xludf.DUMMYFUNCTION("""COMPUTED_VALUE"""),"خصم 30% علي الاسعار النقدي ")</f>
        <v xml:space="preserve">خصم 30% علي الاسعار النقدي </v>
      </c>
    </row>
    <row r="2449" spans="1:11" x14ac:dyDescent="0.25">
      <c r="A2449" s="4" t="str">
        <f ca="1">IFERROR(__xludf.DUMMYFUNCTION("""COMPUTED_VALUE"""),"106144-B")</f>
        <v>106144-B</v>
      </c>
      <c r="B2449" s="5" t="str">
        <f ca="1">IFERROR(__xludf.DUMMYFUNCTION("""COMPUTED_VALUE"""),"دمياط")</f>
        <v>دمياط</v>
      </c>
      <c r="C2449" s="5" t="str">
        <f ca="1">IFERROR(__xludf.DUMMYFUNCTION("""COMPUTED_VALUE"""),"دمياط")</f>
        <v>دمياط</v>
      </c>
      <c r="D2449" s="5" t="str">
        <f ca="1">IFERROR(__xludf.DUMMYFUNCTION("""COMPUTED_VALUE"""),"معمل")</f>
        <v>معمل</v>
      </c>
      <c r="E2449" s="5" t="str">
        <f ca="1">IFERROR(__xludf.DUMMYFUNCTION("""COMPUTED_VALUE"""),"معمل")</f>
        <v>معمل</v>
      </c>
      <c r="F2449" s="5" t="str">
        <f ca="1">IFERROR(__xludf.DUMMYFUNCTION("""COMPUTED_VALUE"""),"معمل التحاليل الطبية")</f>
        <v>معمل التحاليل الطبية</v>
      </c>
      <c r="G2449" s="5" t="str">
        <f ca="1">IFERROR(__xludf.DUMMYFUNCTION("""COMPUTED_VALUE"""),"بريميم هيلثكير جروب (معامل سيتي لاب)")</f>
        <v>بريميم هيلثكير جروب (معامل سيتي لاب)</v>
      </c>
      <c r="H2449" s="5" t="str">
        <f ca="1">IFERROR(__xludf.DUMMYFUNCTION("""COMPUTED_VALUE"""),"كفر البطيخ شارع المجلس القديم")</f>
        <v>كفر البطيخ شارع المجلس القديم</v>
      </c>
      <c r="I2449" s="6" t="str">
        <f ca="1">IFERROR(__xludf.DUMMYFUNCTION("""COMPUTED_VALUE"""),"01279910075")</f>
        <v>01279910075</v>
      </c>
      <c r="J2449" s="6"/>
      <c r="K2449" s="6" t="str">
        <f ca="1">IFERROR(__xludf.DUMMYFUNCTION("""COMPUTED_VALUE"""),"خصم 30% علي الاسعار النقدي ")</f>
        <v xml:space="preserve">خصم 30% علي الاسعار النقدي </v>
      </c>
    </row>
    <row r="2450" spans="1:11" x14ac:dyDescent="0.25">
      <c r="A2450" s="4" t="str">
        <f ca="1">IFERROR(__xludf.DUMMYFUNCTION("""COMPUTED_VALUE"""),"106144-B")</f>
        <v>106144-B</v>
      </c>
      <c r="B2450" s="5" t="str">
        <f ca="1">IFERROR(__xludf.DUMMYFUNCTION("""COMPUTED_VALUE"""),"دمياط")</f>
        <v>دمياط</v>
      </c>
      <c r="C2450" s="5" t="str">
        <f ca="1">IFERROR(__xludf.DUMMYFUNCTION("""COMPUTED_VALUE"""),"دمياط")</f>
        <v>دمياط</v>
      </c>
      <c r="D2450" s="5" t="str">
        <f ca="1">IFERROR(__xludf.DUMMYFUNCTION("""COMPUTED_VALUE"""),"معمل")</f>
        <v>معمل</v>
      </c>
      <c r="E2450" s="5" t="str">
        <f ca="1">IFERROR(__xludf.DUMMYFUNCTION("""COMPUTED_VALUE"""),"معمل")</f>
        <v>معمل</v>
      </c>
      <c r="F2450" s="5" t="str">
        <f ca="1">IFERROR(__xludf.DUMMYFUNCTION("""COMPUTED_VALUE"""),"معمل التحاليل الطبية")</f>
        <v>معمل التحاليل الطبية</v>
      </c>
      <c r="G2450" s="5" t="str">
        <f ca="1">IFERROR(__xludf.DUMMYFUNCTION("""COMPUTED_VALUE"""),"بريميم هيلثكير جروب (معامل سيتي لاب)")</f>
        <v>بريميم هيلثكير جروب (معامل سيتي لاب)</v>
      </c>
      <c r="H2450" s="5" t="str">
        <f ca="1">IFERROR(__xludf.DUMMYFUNCTION("""COMPUTED_VALUE"""),"فارسكور برج الجوادي")</f>
        <v>فارسكور برج الجوادي</v>
      </c>
      <c r="I2450" s="6" t="str">
        <f ca="1">IFERROR(__xludf.DUMMYFUNCTION("""COMPUTED_VALUE"""),"01286485233")</f>
        <v>01286485233</v>
      </c>
      <c r="J2450" s="6"/>
      <c r="K2450" s="6" t="str">
        <f ca="1">IFERROR(__xludf.DUMMYFUNCTION("""COMPUTED_VALUE"""),"خصم 30% علي الاسعار النقدي ")</f>
        <v xml:space="preserve">خصم 30% علي الاسعار النقدي </v>
      </c>
    </row>
    <row r="2451" spans="1:11" x14ac:dyDescent="0.25">
      <c r="A2451" s="4" t="str">
        <f ca="1">IFERROR(__xludf.DUMMYFUNCTION("""COMPUTED_VALUE"""),"106213-B")</f>
        <v>106213-B</v>
      </c>
      <c r="B2451" s="5" t="str">
        <f ca="1">IFERROR(__xludf.DUMMYFUNCTION("""COMPUTED_VALUE"""),"الشرقية")</f>
        <v>الشرقية</v>
      </c>
      <c r="C2451" s="5" t="str">
        <f ca="1">IFERROR(__xludf.DUMMYFUNCTION("""COMPUTED_VALUE"""),"الزقازيق")</f>
        <v>الزقازيق</v>
      </c>
      <c r="D2451" s="5" t="str">
        <f ca="1">IFERROR(__xludf.DUMMYFUNCTION("""COMPUTED_VALUE"""),"مجمع عيادات")</f>
        <v>مجمع عيادات</v>
      </c>
      <c r="E2451" s="5" t="str">
        <f ca="1">IFERROR(__xludf.DUMMYFUNCTION("""COMPUTED_VALUE"""),"جميع التخصصات")</f>
        <v>جميع التخصصات</v>
      </c>
      <c r="F2451" s="5" t="str">
        <f ca="1">IFERROR(__xludf.DUMMYFUNCTION("""COMPUTED_VALUE"""),"جميع التخصصات الطبية")</f>
        <v>جميع التخصصات الطبية</v>
      </c>
      <c r="G2451" s="5" t="str">
        <f ca="1">IFERROR(__xludf.DUMMYFUNCTION("""COMPUTED_VALUE"""),"شركة داوي لتجهيز المنشات الطبية")</f>
        <v>شركة داوي لتجهيز المنشات الطبية</v>
      </c>
      <c r="H2451" s="5" t="str">
        <f ca="1">IFERROR(__xludf.DUMMYFUNCTION("""COMPUTED_VALUE"""),"49 ش طلبه عويضه الوحده الاداريه الزقازيق")</f>
        <v>49 ش طلبه عويضه الوحده الاداريه الزقازيق</v>
      </c>
      <c r="I2451" s="6"/>
      <c r="J2451" s="6" t="str">
        <f ca="1">IFERROR(__xludf.DUMMYFUNCTION("""COMPUTED_VALUE"""),"16850")</f>
        <v>16850</v>
      </c>
      <c r="K2451" s="6" t="str">
        <f ca="1">IFERROR(__xludf.DUMMYFUNCTION("""COMPUTED_VALUE"""),"خصم 25% علي جميع الخدمات و20% علي خدمات الاسنان")</f>
        <v>خصم 25% علي جميع الخدمات و20% علي خدمات الاسنان</v>
      </c>
    </row>
    <row r="2452" spans="1:11" x14ac:dyDescent="0.25">
      <c r="A2452" s="4" t="str">
        <f ca="1">IFERROR(__xludf.DUMMYFUNCTION("""COMPUTED_VALUE"""),"106136-B")</f>
        <v>106136-B</v>
      </c>
      <c r="B2452" s="5" t="str">
        <f ca="1">IFERROR(__xludf.DUMMYFUNCTION("""COMPUTED_VALUE"""),"القاهرة")</f>
        <v>القاهرة</v>
      </c>
      <c r="C2452" s="5" t="str">
        <f ca="1">IFERROR(__xludf.DUMMYFUNCTION("""COMPUTED_VALUE"""),"مدينة نصر")</f>
        <v>مدينة نصر</v>
      </c>
      <c r="D2452" s="5" t="str">
        <f ca="1">IFERROR(__xludf.DUMMYFUNCTION("""COMPUTED_VALUE"""),"هيئة الأطباء")</f>
        <v>هيئة الأطباء</v>
      </c>
      <c r="E2452" s="5" t="str">
        <f ca="1">IFERROR(__xludf.DUMMYFUNCTION("""COMPUTED_VALUE"""),"اسنان")</f>
        <v>اسنان</v>
      </c>
      <c r="F2452" s="5" t="str">
        <f ca="1">IFERROR(__xludf.DUMMYFUNCTION("""COMPUTED_VALUE"""),"جراحة الفم والأسنان")</f>
        <v>جراحة الفم والأسنان</v>
      </c>
      <c r="G2452" s="5" t="str">
        <f ca="1">IFERROR(__xludf.DUMMYFUNCTION("""COMPUTED_VALUE"""),"د/عمرو جمال ابراهيم حسن ضيف")</f>
        <v>د/عمرو جمال ابراهيم حسن ضيف</v>
      </c>
      <c r="H2452" s="5" t="str">
        <f ca="1">IFERROR(__xludf.DUMMYFUNCTION("""COMPUTED_VALUE"""),"زهراء مدينه نصر عماره 2007 ")</f>
        <v xml:space="preserve">زهراء مدينه نصر عماره 2007 </v>
      </c>
      <c r="I2452" s="6" t="str">
        <f ca="1">IFERROR(__xludf.DUMMYFUNCTION("""COMPUTED_VALUE"""),"01141722722")</f>
        <v>01141722722</v>
      </c>
      <c r="J2452" s="6"/>
      <c r="K2452" s="6" t="str">
        <f ca="1">IFERROR(__xludf.DUMMYFUNCTION("""COMPUTED_VALUE"""),"خصم 30% علي الاسعار النقدي")</f>
        <v>خصم 30% علي الاسعار النقدي</v>
      </c>
    </row>
    <row r="2453" spans="1:11" x14ac:dyDescent="0.25">
      <c r="A2453" s="4" t="str">
        <f ca="1">IFERROR(__xludf.DUMMYFUNCTION("""COMPUTED_VALUE"""),"106834")</f>
        <v>106834</v>
      </c>
      <c r="B2453" s="5" t="str">
        <f ca="1">IFERROR(__xludf.DUMMYFUNCTION("""COMPUTED_VALUE"""),"قنا")</f>
        <v>قنا</v>
      </c>
      <c r="C2453" s="5" t="str">
        <f ca="1">IFERROR(__xludf.DUMMYFUNCTION("""COMPUTED_VALUE"""),"دشنا")</f>
        <v>دشنا</v>
      </c>
      <c r="D2453" s="5" t="str">
        <f ca="1">IFERROR(__xludf.DUMMYFUNCTION("""COMPUTED_VALUE"""),"صيدلية")</f>
        <v>صيدلية</v>
      </c>
      <c r="E2453" s="5" t="str">
        <f ca="1">IFERROR(__xludf.DUMMYFUNCTION("""COMPUTED_VALUE"""),"صيدلية")</f>
        <v>صيدلية</v>
      </c>
      <c r="F2453" s="5" t="str">
        <f ca="1">IFERROR(__xludf.DUMMYFUNCTION("""COMPUTED_VALUE"""),"صيدلية (أدوية ومستلزمات طبية)")</f>
        <v>صيدلية (أدوية ومستلزمات طبية)</v>
      </c>
      <c r="G2453" s="5" t="str">
        <f ca="1">IFERROR(__xludf.DUMMYFUNCTION("""COMPUTED_VALUE"""),"دكتور حسن خليفة محمد حسن (صيدلية الزهراء)")</f>
        <v>دكتور حسن خليفة محمد حسن (صيدلية الزهراء)</v>
      </c>
      <c r="H2453" s="5" t="str">
        <f ca="1">IFERROR(__xludf.DUMMYFUNCTION("""COMPUTED_VALUE"""),"دشنا - شارع البوسته - قنا")</f>
        <v>دشنا - شارع البوسته - قنا</v>
      </c>
      <c r="I2453" s="6" t="str">
        <f ca="1">IFERROR(__xludf.DUMMYFUNCTION("""COMPUTED_VALUE"""),"01010515246")</f>
        <v>01010515246</v>
      </c>
      <c r="J2453" s="6"/>
      <c r="K2453" s="6" t="str">
        <f ca="1">IFERROR(__xludf.DUMMYFUNCTION("""COMPUTED_VALUE"""),"14 %على المحلى ,7% على المستورد")</f>
        <v>14 %على المحلى ,7% على المستورد</v>
      </c>
    </row>
    <row r="2454" spans="1:11" x14ac:dyDescent="0.25">
      <c r="A2454" s="4" t="str">
        <f ca="1">IFERROR(__xludf.DUMMYFUNCTION("""COMPUTED_VALUE"""),"106835")</f>
        <v>106835</v>
      </c>
      <c r="B2454" s="5" t="str">
        <f ca="1">IFERROR(__xludf.DUMMYFUNCTION("""COMPUTED_VALUE"""),"الأقصر")</f>
        <v>الأقصر</v>
      </c>
      <c r="C2454" s="5" t="str">
        <f ca="1">IFERROR(__xludf.DUMMYFUNCTION("""COMPUTED_VALUE"""),"الأقصر")</f>
        <v>الأقصر</v>
      </c>
      <c r="D2454" s="5" t="str">
        <f ca="1">IFERROR(__xludf.DUMMYFUNCTION("""COMPUTED_VALUE"""),"مستشفى")</f>
        <v>مستشفى</v>
      </c>
      <c r="E2454" s="5" t="str">
        <f ca="1">IFERROR(__xludf.DUMMYFUNCTION("""COMPUTED_VALUE"""),"مستشفي طبي متخصص")</f>
        <v>مستشفي طبي متخصص</v>
      </c>
      <c r="F2454" s="5" t="str">
        <f ca="1">IFERROR(__xludf.DUMMYFUNCTION("""COMPUTED_VALUE"""),"قلب واوعية دموية")</f>
        <v>قلب واوعية دموية</v>
      </c>
      <c r="G2454" s="5" t="str">
        <f ca="1">IFERROR(__xludf.DUMMYFUNCTION("""COMPUTED_VALUE"""),"مركز الرضوانية لقسطرة القلب")</f>
        <v>مركز الرضوانية لقسطرة القلب</v>
      </c>
      <c r="H2454" s="5" t="str">
        <f ca="1">IFERROR(__xludf.DUMMYFUNCTION("""COMPUTED_VALUE"""),"18 ش معبد الكرنك طريق الكباش خلف البنك الأهلي الوطني - الأقصر")</f>
        <v>18 ش معبد الكرنك طريق الكباش خلف البنك الأهلي الوطني - الأقصر</v>
      </c>
      <c r="I2454" s="6" t="str">
        <f ca="1">IFERROR(__xludf.DUMMYFUNCTION("""COMPUTED_VALUE"""),"0952369522")</f>
        <v>0952369522</v>
      </c>
      <c r="J2454" s="6"/>
      <c r="K2454" s="6" t="str">
        <f ca="1">IFERROR(__xludf.DUMMYFUNCTION("""COMPUTED_VALUE"""),"خصم 10% علي الاسعار النقدي")</f>
        <v>خصم 10% علي الاسعار النقدي</v>
      </c>
    </row>
    <row r="2455" spans="1:11" x14ac:dyDescent="0.25">
      <c r="A2455" s="4" t="str">
        <f ca="1">IFERROR(__xludf.DUMMYFUNCTION("""COMPUTED_VALUE"""),"106838")</f>
        <v>106838</v>
      </c>
      <c r="B2455" s="5" t="str">
        <f ca="1">IFERROR(__xludf.DUMMYFUNCTION("""COMPUTED_VALUE"""),"القاهرة")</f>
        <v>القاهرة</v>
      </c>
      <c r="C2455" s="5" t="str">
        <f ca="1">IFERROR(__xludf.DUMMYFUNCTION("""COMPUTED_VALUE"""),"مدينة نصر")</f>
        <v>مدينة نصر</v>
      </c>
      <c r="D2455" s="5" t="str">
        <f ca="1">IFERROR(__xludf.DUMMYFUNCTION("""COMPUTED_VALUE"""),"شركة")</f>
        <v>شركة</v>
      </c>
      <c r="E2455" s="5" t="str">
        <f ca="1">IFERROR(__xludf.DUMMYFUNCTION("""COMPUTED_VALUE"""),"شركة اجهزة طبية")</f>
        <v>شركة اجهزة طبية</v>
      </c>
      <c r="F2455" s="5" t="str">
        <f ca="1">IFERROR(__xludf.DUMMYFUNCTION("""COMPUTED_VALUE"""),"مستلزمات واجهزة طبية")</f>
        <v>مستلزمات واجهزة طبية</v>
      </c>
      <c r="G2455" s="5" t="str">
        <f ca="1">IFERROR(__xludf.DUMMYFUNCTION("""COMPUTED_VALUE"""),"مؤمن سعد عبدالقادر صبح (مؤسسه سوليد تريد للتوريدات العموميه)")</f>
        <v>مؤمن سعد عبدالقادر صبح (مؤسسه سوليد تريد للتوريدات العموميه)</v>
      </c>
      <c r="H2455" s="5" t="str">
        <f ca="1">IFERROR(__xludf.DUMMYFUNCTION("""COMPUTED_VALUE"""),"14 ش أحمد حسني خلف طيبه مول - مدينه نصر - القاهره")</f>
        <v>14 ش أحمد حسني خلف طيبه مول - مدينه نصر - القاهره</v>
      </c>
      <c r="I2455" s="6" t="str">
        <f ca="1">IFERROR(__xludf.DUMMYFUNCTION("""COMPUTED_VALUE"""),"01025059111")</f>
        <v>01025059111</v>
      </c>
      <c r="J2455" s="6"/>
      <c r="K2455" s="6" t="str">
        <f ca="1">IFERROR(__xludf.DUMMYFUNCTION("""COMPUTED_VALUE"""),"خصم 15% علي الاسعار النقدي")</f>
        <v>خصم 15% علي الاسعار النقدي</v>
      </c>
    </row>
    <row r="2456" spans="1:11" x14ac:dyDescent="0.25">
      <c r="A2456" s="4" t="str">
        <f ca="1">IFERROR(__xludf.DUMMYFUNCTION("""COMPUTED_VALUE"""),"1897-B")</f>
        <v>1897-B</v>
      </c>
      <c r="B2456" s="5" t="str">
        <f ca="1">IFERROR(__xludf.DUMMYFUNCTION("""COMPUTED_VALUE"""),"الجيزة")</f>
        <v>الجيزة</v>
      </c>
      <c r="C2456" s="5" t="str">
        <f ca="1">IFERROR(__xludf.DUMMYFUNCTION("""COMPUTED_VALUE"""),"أرض اللواء")</f>
        <v>أرض اللواء</v>
      </c>
      <c r="D2456" s="5" t="str">
        <f ca="1">IFERROR(__xludf.DUMMYFUNCTION("""COMPUTED_VALUE"""),"معمل")</f>
        <v>معمل</v>
      </c>
      <c r="E2456" s="5" t="str">
        <f ca="1">IFERROR(__xludf.DUMMYFUNCTION("""COMPUTED_VALUE"""),"معمل")</f>
        <v>معمل</v>
      </c>
      <c r="F2456" s="5" t="str">
        <f ca="1">IFERROR(__xludf.DUMMYFUNCTION("""COMPUTED_VALUE"""),"معمل التحاليل الطبية")</f>
        <v>معمل التحاليل الطبية</v>
      </c>
      <c r="G2456" s="5" t="str">
        <f ca="1">IFERROR(__xludf.DUMMYFUNCTION("""COMPUTED_VALUE"""),"معمل المختبر (د. مؤمنة كامل)")</f>
        <v>معمل المختبر (د. مؤمنة كامل)</v>
      </c>
      <c r="H2456" s="5" t="str">
        <f ca="1">IFERROR(__xludf.DUMMYFUNCTION("""COMPUTED_VALUE"""),"1 ش المعتمدية اعلى صيدلية ارض اللواء
")</f>
        <v xml:space="preserve">1 ش المعتمدية اعلى صيدلية ارض اللواء
</v>
      </c>
      <c r="I2456" s="6" t="str">
        <f ca="1">IFERROR(__xludf.DUMMYFUNCTION("""COMPUTED_VALUE"""),"01050680662
")</f>
        <v xml:space="preserve">01050680662
</v>
      </c>
      <c r="J2456" s="6" t="str">
        <f ca="1">IFERROR(__xludf.DUMMYFUNCTION("""COMPUTED_VALUE"""),"19014")</f>
        <v>19014</v>
      </c>
      <c r="K2456" s="6" t="str">
        <f ca="1">IFERROR(__xludf.DUMMYFUNCTION("""COMPUTED_VALUE"""),"خصم 20% علي جميع التحاليل")</f>
        <v>خصم 20% علي جميع التحاليل</v>
      </c>
    </row>
    <row r="2457" spans="1:11" x14ac:dyDescent="0.25">
      <c r="A2457" s="4" t="str">
        <f ca="1">IFERROR(__xludf.DUMMYFUNCTION("""COMPUTED_VALUE"""),"1897-B")</f>
        <v>1897-B</v>
      </c>
      <c r="B2457" s="5" t="str">
        <f ca="1">IFERROR(__xludf.DUMMYFUNCTION("""COMPUTED_VALUE"""),"الجيزة")</f>
        <v>الجيزة</v>
      </c>
      <c r="C2457" s="5" t="str">
        <f ca="1">IFERROR(__xludf.DUMMYFUNCTION("""COMPUTED_VALUE"""),"ترسا")</f>
        <v>ترسا</v>
      </c>
      <c r="D2457" s="5" t="str">
        <f ca="1">IFERROR(__xludf.DUMMYFUNCTION("""COMPUTED_VALUE"""),"معمل")</f>
        <v>معمل</v>
      </c>
      <c r="E2457" s="5" t="str">
        <f ca="1">IFERROR(__xludf.DUMMYFUNCTION("""COMPUTED_VALUE"""),"معمل")</f>
        <v>معمل</v>
      </c>
      <c r="F2457" s="5" t="str">
        <f ca="1">IFERROR(__xludf.DUMMYFUNCTION("""COMPUTED_VALUE"""),"معمل التحاليل الطبية")</f>
        <v>معمل التحاليل الطبية</v>
      </c>
      <c r="G2457" s="5" t="str">
        <f ca="1">IFERROR(__xludf.DUMMYFUNCTION("""COMPUTED_VALUE"""),"معمل المختبر (د. مؤمنة كامل)")</f>
        <v>معمل المختبر (د. مؤمنة كامل)</v>
      </c>
      <c r="H2457" s="5" t="str">
        <f ca="1">IFERROR(__xludf.DUMMYFUNCTION("""COMPUTED_VALUE"""),"50 شارع انور السادات - الكوم الاخضر
")</f>
        <v xml:space="preserve">50 شارع انور السادات - الكوم الاخضر
</v>
      </c>
      <c r="I2457" s="6" t="str">
        <f ca="1">IFERROR(__xludf.DUMMYFUNCTION("""COMPUTED_VALUE"""),"01028725037")</f>
        <v>01028725037</v>
      </c>
      <c r="J2457" s="6" t="str">
        <f ca="1">IFERROR(__xludf.DUMMYFUNCTION("""COMPUTED_VALUE"""),"19014")</f>
        <v>19014</v>
      </c>
      <c r="K2457" s="6" t="str">
        <f ca="1">IFERROR(__xludf.DUMMYFUNCTION("""COMPUTED_VALUE"""),"خصم 20% علي جميع التحاليل")</f>
        <v>خصم 20% علي جميع التحاليل</v>
      </c>
    </row>
    <row r="2458" spans="1:11" x14ac:dyDescent="0.25">
      <c r="A2458" s="4" t="str">
        <f ca="1">IFERROR(__xludf.DUMMYFUNCTION("""COMPUTED_VALUE"""),"1897-B")</f>
        <v>1897-B</v>
      </c>
      <c r="B2458" s="5" t="str">
        <f ca="1">IFERROR(__xludf.DUMMYFUNCTION("""COMPUTED_VALUE"""),"الجيزة")</f>
        <v>الجيزة</v>
      </c>
      <c r="C2458" s="5" t="str">
        <f ca="1">IFERROR(__xludf.DUMMYFUNCTION("""COMPUTED_VALUE"""),"ترسا")</f>
        <v>ترسا</v>
      </c>
      <c r="D2458" s="5" t="str">
        <f ca="1">IFERROR(__xludf.DUMMYFUNCTION("""COMPUTED_VALUE"""),"معمل")</f>
        <v>معمل</v>
      </c>
      <c r="E2458" s="5" t="str">
        <f ca="1">IFERROR(__xludf.DUMMYFUNCTION("""COMPUTED_VALUE"""),"معمل")</f>
        <v>معمل</v>
      </c>
      <c r="F2458" s="5" t="str">
        <f ca="1">IFERROR(__xludf.DUMMYFUNCTION("""COMPUTED_VALUE"""),"معمل التحاليل الطبية")</f>
        <v>معمل التحاليل الطبية</v>
      </c>
      <c r="G2458" s="5" t="str">
        <f ca="1">IFERROR(__xludf.DUMMYFUNCTION("""COMPUTED_VALUE"""),"معمل المختبر (د. مؤمنة كامل)")</f>
        <v>معمل المختبر (د. مؤمنة كامل)</v>
      </c>
      <c r="H2458" s="5" t="str">
        <f ca="1">IFERROR(__xludf.DUMMYFUNCTION("""COMPUTED_VALUE"""),"شارع ترسا الكوم الأخضر الطالبية جيزة 
")</f>
        <v xml:space="preserve">شارع ترسا الكوم الأخضر الطالبية جيزة 
</v>
      </c>
      <c r="I2458" s="6" t="str">
        <f ca="1">IFERROR(__xludf.DUMMYFUNCTION("""COMPUTED_VALUE"""),"01092241665")</f>
        <v>01092241665</v>
      </c>
      <c r="J2458" s="6" t="str">
        <f ca="1">IFERROR(__xludf.DUMMYFUNCTION("""COMPUTED_VALUE"""),"19014")</f>
        <v>19014</v>
      </c>
      <c r="K2458" s="6" t="str">
        <f ca="1">IFERROR(__xludf.DUMMYFUNCTION("""COMPUTED_VALUE"""),"خصم 20% علي جميع التحاليل")</f>
        <v>خصم 20% علي جميع التحاليل</v>
      </c>
    </row>
    <row r="2459" spans="1:11" x14ac:dyDescent="0.25">
      <c r="A2459" s="4" t="str">
        <f ca="1">IFERROR(__xludf.DUMMYFUNCTION("""COMPUTED_VALUE"""),"1897-B")</f>
        <v>1897-B</v>
      </c>
      <c r="B2459" s="5" t="str">
        <f ca="1">IFERROR(__xludf.DUMMYFUNCTION("""COMPUTED_VALUE"""),"الجيزة")</f>
        <v>الجيزة</v>
      </c>
      <c r="C2459" s="5" t="str">
        <f ca="1">IFERROR(__xludf.DUMMYFUNCTION("""COMPUTED_VALUE"""),"الصف")</f>
        <v>الصف</v>
      </c>
      <c r="D2459" s="5" t="str">
        <f ca="1">IFERROR(__xludf.DUMMYFUNCTION("""COMPUTED_VALUE"""),"معمل")</f>
        <v>معمل</v>
      </c>
      <c r="E2459" s="5" t="str">
        <f ca="1">IFERROR(__xludf.DUMMYFUNCTION("""COMPUTED_VALUE"""),"معمل")</f>
        <v>معمل</v>
      </c>
      <c r="F2459" s="5" t="str">
        <f ca="1">IFERROR(__xludf.DUMMYFUNCTION("""COMPUTED_VALUE"""),"معمل التحاليل الطبية")</f>
        <v>معمل التحاليل الطبية</v>
      </c>
      <c r="G2459" s="5" t="str">
        <f ca="1">IFERROR(__xludf.DUMMYFUNCTION("""COMPUTED_VALUE"""),"معمل المختبر (د. مؤمنة كامل)")</f>
        <v>معمل المختبر (د. مؤمنة كامل)</v>
      </c>
      <c r="H2459" s="5" t="str">
        <f ca="1">IFERROR(__xludf.DUMMYFUNCTION("""COMPUTED_VALUE"""),"13شارع الجمهورية تقسيم الليثي خلف بنك مصر ")</f>
        <v xml:space="preserve">13شارع الجمهورية تقسيم الليثي خلف بنك مصر </v>
      </c>
      <c r="I2459" s="6" t="str">
        <f ca="1">IFERROR(__xludf.DUMMYFUNCTION("""COMPUTED_VALUE"""),"01092241774")</f>
        <v>01092241774</v>
      </c>
      <c r="J2459" s="6" t="str">
        <f ca="1">IFERROR(__xludf.DUMMYFUNCTION("""COMPUTED_VALUE"""),"19014")</f>
        <v>19014</v>
      </c>
      <c r="K2459" s="6" t="str">
        <f ca="1">IFERROR(__xludf.DUMMYFUNCTION("""COMPUTED_VALUE"""),"خصم 20% علي جميع التحاليل")</f>
        <v>خصم 20% علي جميع التحاليل</v>
      </c>
    </row>
    <row r="2460" spans="1:11" x14ac:dyDescent="0.25">
      <c r="A2460" s="4" t="str">
        <f ca="1">IFERROR(__xludf.DUMMYFUNCTION("""COMPUTED_VALUE"""),"1897-B")</f>
        <v>1897-B</v>
      </c>
      <c r="B2460" s="5" t="str">
        <f ca="1">IFERROR(__xludf.DUMMYFUNCTION("""COMPUTED_VALUE"""),"الجيزة")</f>
        <v>الجيزة</v>
      </c>
      <c r="C2460" s="5" t="str">
        <f ca="1">IFERROR(__xludf.DUMMYFUNCTION("""COMPUTED_VALUE"""),"فيصل")</f>
        <v>فيصل</v>
      </c>
      <c r="D2460" s="5" t="str">
        <f ca="1">IFERROR(__xludf.DUMMYFUNCTION("""COMPUTED_VALUE"""),"معمل")</f>
        <v>معمل</v>
      </c>
      <c r="E2460" s="5" t="str">
        <f ca="1">IFERROR(__xludf.DUMMYFUNCTION("""COMPUTED_VALUE"""),"معمل")</f>
        <v>معمل</v>
      </c>
      <c r="F2460" s="5" t="str">
        <f ca="1">IFERROR(__xludf.DUMMYFUNCTION("""COMPUTED_VALUE"""),"معمل التحاليل الطبية")</f>
        <v>معمل التحاليل الطبية</v>
      </c>
      <c r="G2460" s="5" t="str">
        <f ca="1">IFERROR(__xludf.DUMMYFUNCTION("""COMPUTED_VALUE"""),"معمل المختبر (د. مؤمنة كامل)")</f>
        <v>معمل المختبر (د. مؤمنة كامل)</v>
      </c>
      <c r="H2460" s="5" t="str">
        <f ca="1">IFERROR(__xludf.DUMMYFUNCTION("""COMPUTED_VALUE"""),"19 شارع العشرين اعلى سوبر ماركت الفرجانى
")</f>
        <v xml:space="preserve">19 شارع العشرين اعلى سوبر ماركت الفرجانى
</v>
      </c>
      <c r="I2460" s="6" t="str">
        <f ca="1">IFERROR(__xludf.DUMMYFUNCTION("""COMPUTED_VALUE"""),"01028724984")</f>
        <v>01028724984</v>
      </c>
      <c r="J2460" s="6" t="str">
        <f ca="1">IFERROR(__xludf.DUMMYFUNCTION("""COMPUTED_VALUE"""),"19014")</f>
        <v>19014</v>
      </c>
      <c r="K2460" s="6" t="str">
        <f ca="1">IFERROR(__xludf.DUMMYFUNCTION("""COMPUTED_VALUE"""),"خصم 20% علي جميع التحاليل")</f>
        <v>خصم 20% علي جميع التحاليل</v>
      </c>
    </row>
    <row r="2461" spans="1:11" x14ac:dyDescent="0.25">
      <c r="A2461" s="4" t="str">
        <f ca="1">IFERROR(__xludf.DUMMYFUNCTION("""COMPUTED_VALUE"""),"1897-B")</f>
        <v>1897-B</v>
      </c>
      <c r="B2461" s="5" t="str">
        <f ca="1">IFERROR(__xludf.DUMMYFUNCTION("""COMPUTED_VALUE"""),"الجيزة")</f>
        <v>الجيزة</v>
      </c>
      <c r="C2461" s="5" t="str">
        <f ca="1">IFERROR(__xludf.DUMMYFUNCTION("""COMPUTED_VALUE"""),"فيصل")</f>
        <v>فيصل</v>
      </c>
      <c r="D2461" s="5" t="str">
        <f ca="1">IFERROR(__xludf.DUMMYFUNCTION("""COMPUTED_VALUE"""),"معمل")</f>
        <v>معمل</v>
      </c>
      <c r="E2461" s="5" t="str">
        <f ca="1">IFERROR(__xludf.DUMMYFUNCTION("""COMPUTED_VALUE"""),"معمل")</f>
        <v>معمل</v>
      </c>
      <c r="F2461" s="5" t="str">
        <f ca="1">IFERROR(__xludf.DUMMYFUNCTION("""COMPUTED_VALUE"""),"معمل التحاليل الطبية")</f>
        <v>معمل التحاليل الطبية</v>
      </c>
      <c r="G2461" s="5" t="str">
        <f ca="1">IFERROR(__xludf.DUMMYFUNCTION("""COMPUTED_VALUE"""),"معمل المختبر (د. مؤمنة كامل)")</f>
        <v>معمل المختبر (د. مؤمنة كامل)</v>
      </c>
      <c r="H2461" s="5" t="str">
        <f ca="1">IFERROR(__xludf.DUMMYFUNCTION("""COMPUTED_VALUE"""),"5شارع فيصل الرئيسى بجوار بيت البن البرازيلى (نهايه فيصل ) امام مطعم بازوكا
")</f>
        <v xml:space="preserve">5شارع فيصل الرئيسى بجوار بيت البن البرازيلى (نهايه فيصل ) امام مطعم بازوكا
</v>
      </c>
      <c r="I2461" s="6" t="str">
        <f ca="1">IFERROR(__xludf.DUMMYFUNCTION("""COMPUTED_VALUE"""),"01022003733")</f>
        <v>01022003733</v>
      </c>
      <c r="J2461" s="6" t="str">
        <f ca="1">IFERROR(__xludf.DUMMYFUNCTION("""COMPUTED_VALUE"""),"19014")</f>
        <v>19014</v>
      </c>
      <c r="K2461" s="6" t="str">
        <f ca="1">IFERROR(__xludf.DUMMYFUNCTION("""COMPUTED_VALUE"""),"خصم 20% علي جميع التحاليل")</f>
        <v>خصم 20% علي جميع التحاليل</v>
      </c>
    </row>
    <row r="2462" spans="1:11" x14ac:dyDescent="0.25">
      <c r="A2462" s="4" t="str">
        <f ca="1">IFERROR(__xludf.DUMMYFUNCTION("""COMPUTED_VALUE"""),"1897-B")</f>
        <v>1897-B</v>
      </c>
      <c r="B2462" s="5" t="str">
        <f ca="1">IFERROR(__xludf.DUMMYFUNCTION("""COMPUTED_VALUE"""),"الجيزة")</f>
        <v>الجيزة</v>
      </c>
      <c r="C2462" s="5" t="str">
        <f ca="1">IFERROR(__xludf.DUMMYFUNCTION("""COMPUTED_VALUE"""),"ميدان الجيزة")</f>
        <v>ميدان الجيزة</v>
      </c>
      <c r="D2462" s="5" t="str">
        <f ca="1">IFERROR(__xludf.DUMMYFUNCTION("""COMPUTED_VALUE"""),"معمل")</f>
        <v>معمل</v>
      </c>
      <c r="E2462" s="5" t="str">
        <f ca="1">IFERROR(__xludf.DUMMYFUNCTION("""COMPUTED_VALUE"""),"معمل")</f>
        <v>معمل</v>
      </c>
      <c r="F2462" s="5" t="str">
        <f ca="1">IFERROR(__xludf.DUMMYFUNCTION("""COMPUTED_VALUE"""),"معمل التحاليل الطبية")</f>
        <v>معمل التحاليل الطبية</v>
      </c>
      <c r="G2462" s="5" t="str">
        <f ca="1">IFERROR(__xludf.DUMMYFUNCTION("""COMPUTED_VALUE"""),"معمل المختبر (د. مؤمنة كامل)")</f>
        <v>معمل المختبر (د. مؤمنة كامل)</v>
      </c>
      <c r="H2462" s="5" t="str">
        <f ca="1">IFERROR(__xludf.DUMMYFUNCTION("""COMPUTED_VALUE"""),"509 شارع الاهرام - ميدان الجيزة
")</f>
        <v xml:space="preserve">509 شارع الاهرام - ميدان الجيزة
</v>
      </c>
      <c r="I2462" s="6" t="str">
        <f ca="1">IFERROR(__xludf.DUMMYFUNCTION("""COMPUTED_VALUE"""),"01028725032")</f>
        <v>01028725032</v>
      </c>
      <c r="J2462" s="6" t="str">
        <f ca="1">IFERROR(__xludf.DUMMYFUNCTION("""COMPUTED_VALUE"""),"19014")</f>
        <v>19014</v>
      </c>
      <c r="K2462" s="6" t="str">
        <f ca="1">IFERROR(__xludf.DUMMYFUNCTION("""COMPUTED_VALUE"""),"خصم 20% علي جميع التحاليل")</f>
        <v>خصم 20% علي جميع التحاليل</v>
      </c>
    </row>
    <row r="2463" spans="1:11" x14ac:dyDescent="0.25">
      <c r="A2463" s="4" t="str">
        <f ca="1">IFERROR(__xludf.DUMMYFUNCTION("""COMPUTED_VALUE"""),"1897-B")</f>
        <v>1897-B</v>
      </c>
      <c r="B2463" s="5" t="str">
        <f ca="1">IFERROR(__xludf.DUMMYFUNCTION("""COMPUTED_VALUE"""),"الجيزة")</f>
        <v>الجيزة</v>
      </c>
      <c r="C2463" s="5" t="str">
        <f ca="1">IFERROR(__xludf.DUMMYFUNCTION("""COMPUTED_VALUE"""),"فيصل")</f>
        <v>فيصل</v>
      </c>
      <c r="D2463" s="5" t="str">
        <f ca="1">IFERROR(__xludf.DUMMYFUNCTION("""COMPUTED_VALUE"""),"معمل")</f>
        <v>معمل</v>
      </c>
      <c r="E2463" s="5" t="str">
        <f ca="1">IFERROR(__xludf.DUMMYFUNCTION("""COMPUTED_VALUE"""),"معمل")</f>
        <v>معمل</v>
      </c>
      <c r="F2463" s="5" t="str">
        <f ca="1">IFERROR(__xludf.DUMMYFUNCTION("""COMPUTED_VALUE"""),"معمل التحاليل الطبية")</f>
        <v>معمل التحاليل الطبية</v>
      </c>
      <c r="G2463" s="5" t="str">
        <f ca="1">IFERROR(__xludf.DUMMYFUNCTION("""COMPUTED_VALUE"""),"معمل المختبر (د. مؤمنة كامل)")</f>
        <v>معمل المختبر (د. مؤمنة كامل)</v>
      </c>
      <c r="H2463" s="5" t="str">
        <f ca="1">IFERROR(__xludf.DUMMYFUNCTION("""COMPUTED_VALUE"""),"8ش احمد لطفي -المساحه فيصل - مستشفي صحة الجزيرة
")</f>
        <v xml:space="preserve">8ش احمد لطفي -المساحه فيصل - مستشفي صحة الجزيرة
</v>
      </c>
      <c r="I2463" s="6" t="str">
        <f ca="1">IFERROR(__xludf.DUMMYFUNCTION("""COMPUTED_VALUE"""),"01033360284")</f>
        <v>01033360284</v>
      </c>
      <c r="J2463" s="6" t="str">
        <f ca="1">IFERROR(__xludf.DUMMYFUNCTION("""COMPUTED_VALUE"""),"19014")</f>
        <v>19014</v>
      </c>
      <c r="K2463" s="6" t="str">
        <f ca="1">IFERROR(__xludf.DUMMYFUNCTION("""COMPUTED_VALUE"""),"خصم 20% علي جميع التحاليل")</f>
        <v>خصم 20% علي جميع التحاليل</v>
      </c>
    </row>
    <row r="2464" spans="1:11" x14ac:dyDescent="0.25">
      <c r="A2464" s="4" t="str">
        <f ca="1">IFERROR(__xludf.DUMMYFUNCTION("""COMPUTED_VALUE"""),"1897-B")</f>
        <v>1897-B</v>
      </c>
      <c r="B2464" s="5" t="str">
        <f ca="1">IFERROR(__xludf.DUMMYFUNCTION("""COMPUTED_VALUE"""),"الجيزة")</f>
        <v>الجيزة</v>
      </c>
      <c r="C2464" s="5" t="str">
        <f ca="1">IFERROR(__xludf.DUMMYFUNCTION("""COMPUTED_VALUE"""),"حدائق الاهرام")</f>
        <v>حدائق الاهرام</v>
      </c>
      <c r="D2464" s="5" t="str">
        <f ca="1">IFERROR(__xludf.DUMMYFUNCTION("""COMPUTED_VALUE"""),"معمل")</f>
        <v>معمل</v>
      </c>
      <c r="E2464" s="5" t="str">
        <f ca="1">IFERROR(__xludf.DUMMYFUNCTION("""COMPUTED_VALUE"""),"معمل")</f>
        <v>معمل</v>
      </c>
      <c r="F2464" s="5" t="str">
        <f ca="1">IFERROR(__xludf.DUMMYFUNCTION("""COMPUTED_VALUE"""),"معمل التحاليل الطبية")</f>
        <v>معمل التحاليل الطبية</v>
      </c>
      <c r="G2464" s="5" t="str">
        <f ca="1">IFERROR(__xludf.DUMMYFUNCTION("""COMPUTED_VALUE"""),"معمل المختبر (د. مؤمنة كامل)")</f>
        <v>معمل المختبر (د. مؤمنة كامل)</v>
      </c>
      <c r="H2464" s="5" t="str">
        <f ca="1">IFERROR(__xludf.DUMMYFUNCTION("""COMPUTED_VALUE"""),"البوابة الرابعة- 427 ل – شارع الجيش  
")</f>
        <v xml:space="preserve">البوابة الرابعة- 427 ل – شارع الجيش  
</v>
      </c>
      <c r="I2464" s="6" t="str">
        <f ca="1">IFERROR(__xludf.DUMMYFUNCTION("""COMPUTED_VALUE"""),"01096334474")</f>
        <v>01096334474</v>
      </c>
      <c r="J2464" s="6" t="str">
        <f ca="1">IFERROR(__xludf.DUMMYFUNCTION("""COMPUTED_VALUE"""),"19014")</f>
        <v>19014</v>
      </c>
      <c r="K2464" s="6" t="str">
        <f ca="1">IFERROR(__xludf.DUMMYFUNCTION("""COMPUTED_VALUE"""),"خصم 20% علي جميع التحاليل")</f>
        <v>خصم 20% علي جميع التحاليل</v>
      </c>
    </row>
    <row r="2465" spans="1:11" x14ac:dyDescent="0.25">
      <c r="A2465" s="4" t="str">
        <f ca="1">IFERROR(__xludf.DUMMYFUNCTION("""COMPUTED_VALUE"""),"1897-B")</f>
        <v>1897-B</v>
      </c>
      <c r="B2465" s="5" t="str">
        <f ca="1">IFERROR(__xludf.DUMMYFUNCTION("""COMPUTED_VALUE"""),"الجيزة")</f>
        <v>الجيزة</v>
      </c>
      <c r="C2465" s="5" t="str">
        <f ca="1">IFERROR(__xludf.DUMMYFUNCTION("""COMPUTED_VALUE"""),"الشيخ زايد")</f>
        <v>الشيخ زايد</v>
      </c>
      <c r="D2465" s="5" t="str">
        <f ca="1">IFERROR(__xludf.DUMMYFUNCTION("""COMPUTED_VALUE"""),"معمل")</f>
        <v>معمل</v>
      </c>
      <c r="E2465" s="5" t="str">
        <f ca="1">IFERROR(__xludf.DUMMYFUNCTION("""COMPUTED_VALUE"""),"معمل")</f>
        <v>معمل</v>
      </c>
      <c r="F2465" s="5" t="str">
        <f ca="1">IFERROR(__xludf.DUMMYFUNCTION("""COMPUTED_VALUE"""),"معمل التحاليل الطبية")</f>
        <v>معمل التحاليل الطبية</v>
      </c>
      <c r="G2465" s="5" t="str">
        <f ca="1">IFERROR(__xludf.DUMMYFUNCTION("""COMPUTED_VALUE"""),"معمل المختبر (د. مؤمنة كامل)")</f>
        <v>معمل المختبر (د. مؤمنة كامل)</v>
      </c>
      <c r="H2465" s="5" t="str">
        <f ca="1">IFERROR(__xludf.DUMMYFUNCTION("""COMPUTED_VALUE"""),"الوحدة الادارية رقم ( G8) بالدور الارضي – المول الطبي كايرو ميدكال بجوار الصالة المغطاة بالشيخ زايد
")</f>
        <v xml:space="preserve">الوحدة الادارية رقم ( G8) بالدور الارضي – المول الطبي كايرو ميدكال بجوار الصالة المغطاة بالشيخ زايد
</v>
      </c>
      <c r="I2465" s="6" t="str">
        <f ca="1">IFERROR(__xludf.DUMMYFUNCTION("""COMPUTED_VALUE"""),"01050680566")</f>
        <v>01050680566</v>
      </c>
      <c r="J2465" s="6" t="str">
        <f ca="1">IFERROR(__xludf.DUMMYFUNCTION("""COMPUTED_VALUE"""),"19014")</f>
        <v>19014</v>
      </c>
      <c r="K2465" s="6" t="str">
        <f ca="1">IFERROR(__xludf.DUMMYFUNCTION("""COMPUTED_VALUE"""),"خصم 20% علي جميع التحاليل")</f>
        <v>خصم 20% علي جميع التحاليل</v>
      </c>
    </row>
    <row r="2466" spans="1:11" x14ac:dyDescent="0.25">
      <c r="A2466" s="4" t="str">
        <f ca="1">IFERROR(__xludf.DUMMYFUNCTION("""COMPUTED_VALUE"""),"1897-B")</f>
        <v>1897-B</v>
      </c>
      <c r="B2466" s="5" t="str">
        <f ca="1">IFERROR(__xludf.DUMMYFUNCTION("""COMPUTED_VALUE"""),"الجيزة")</f>
        <v>الجيزة</v>
      </c>
      <c r="C2466" s="5" t="str">
        <f ca="1">IFERROR(__xludf.DUMMYFUNCTION("""COMPUTED_VALUE"""),"السادس من اكتوبر")</f>
        <v>السادس من اكتوبر</v>
      </c>
      <c r="D2466" s="5" t="str">
        <f ca="1">IFERROR(__xludf.DUMMYFUNCTION("""COMPUTED_VALUE"""),"معمل")</f>
        <v>معمل</v>
      </c>
      <c r="E2466" s="5" t="str">
        <f ca="1">IFERROR(__xludf.DUMMYFUNCTION("""COMPUTED_VALUE"""),"معمل")</f>
        <v>معمل</v>
      </c>
      <c r="F2466" s="5" t="str">
        <f ca="1">IFERROR(__xludf.DUMMYFUNCTION("""COMPUTED_VALUE"""),"معمل التحاليل الطبية")</f>
        <v>معمل التحاليل الطبية</v>
      </c>
      <c r="G2466" s="5" t="str">
        <f ca="1">IFERROR(__xludf.DUMMYFUNCTION("""COMPUTED_VALUE"""),"معمل المختبر (د. مؤمنة كامل)")</f>
        <v>معمل المختبر (د. مؤمنة كامل)</v>
      </c>
      <c r="H2466" s="5" t="str">
        <f ca="1">IFERROR(__xludf.DUMMYFUNCTION("""COMPUTED_VALUE"""),"مدينة دريم لاند - 6اكتوبر
")</f>
        <v xml:space="preserve">مدينة دريم لاند - 6اكتوبر
</v>
      </c>
      <c r="I2466" s="6" t="str">
        <f ca="1">IFERROR(__xludf.DUMMYFUNCTION("""COMPUTED_VALUE"""),"01033360372")</f>
        <v>01033360372</v>
      </c>
      <c r="J2466" s="6" t="str">
        <f ca="1">IFERROR(__xludf.DUMMYFUNCTION("""COMPUTED_VALUE"""),"19014")</f>
        <v>19014</v>
      </c>
      <c r="K2466" s="6" t="str">
        <f ca="1">IFERROR(__xludf.DUMMYFUNCTION("""COMPUTED_VALUE"""),"خصم 20% علي جميع التحاليل")</f>
        <v>خصم 20% علي جميع التحاليل</v>
      </c>
    </row>
    <row r="2467" spans="1:11" x14ac:dyDescent="0.25">
      <c r="A2467" s="4" t="str">
        <f ca="1">IFERROR(__xludf.DUMMYFUNCTION("""COMPUTED_VALUE"""),"1897-B")</f>
        <v>1897-B</v>
      </c>
      <c r="B2467" s="5" t="str">
        <f ca="1">IFERROR(__xludf.DUMMYFUNCTION("""COMPUTED_VALUE"""),"الجيزة")</f>
        <v>الجيزة</v>
      </c>
      <c r="C2467" s="5" t="str">
        <f ca="1">IFERROR(__xludf.DUMMYFUNCTION("""COMPUTED_VALUE"""),"السادس من اكتوبر")</f>
        <v>السادس من اكتوبر</v>
      </c>
      <c r="D2467" s="5" t="str">
        <f ca="1">IFERROR(__xludf.DUMMYFUNCTION("""COMPUTED_VALUE"""),"معمل")</f>
        <v>معمل</v>
      </c>
      <c r="E2467" s="5" t="str">
        <f ca="1">IFERROR(__xludf.DUMMYFUNCTION("""COMPUTED_VALUE"""),"معمل")</f>
        <v>معمل</v>
      </c>
      <c r="F2467" s="5" t="str">
        <f ca="1">IFERROR(__xludf.DUMMYFUNCTION("""COMPUTED_VALUE"""),"معمل التحاليل الطبية")</f>
        <v>معمل التحاليل الطبية</v>
      </c>
      <c r="G2467" s="5" t="str">
        <f ca="1">IFERROR(__xludf.DUMMYFUNCTION("""COMPUTED_VALUE"""),"معمل المختبر (د. مؤمنة كامل)")</f>
        <v>معمل المختبر (د. مؤمنة كامل)</v>
      </c>
      <c r="H2467" s="5" t="str">
        <f ca="1">IFERROR(__xludf.DUMMYFUNCTION("""COMPUTED_VALUE"""),"2x25+89 اول اكتوبر الجيزة -اكاسيا مول
")</f>
        <v xml:space="preserve">2x25+89 اول اكتوبر الجيزة -اكاسيا مول
</v>
      </c>
      <c r="I2467" s="6" t="str">
        <f ca="1">IFERROR(__xludf.DUMMYFUNCTION("""COMPUTED_VALUE"""),"01066210771")</f>
        <v>01066210771</v>
      </c>
      <c r="J2467" s="6" t="str">
        <f ca="1">IFERROR(__xludf.DUMMYFUNCTION("""COMPUTED_VALUE"""),"19014")</f>
        <v>19014</v>
      </c>
      <c r="K2467" s="6" t="str">
        <f ca="1">IFERROR(__xludf.DUMMYFUNCTION("""COMPUTED_VALUE"""),"خصم 20% علي جميع التحاليل")</f>
        <v>خصم 20% علي جميع التحاليل</v>
      </c>
    </row>
    <row r="2468" spans="1:11" x14ac:dyDescent="0.25">
      <c r="A2468" s="4" t="str">
        <f ca="1">IFERROR(__xludf.DUMMYFUNCTION("""COMPUTED_VALUE"""),"1897-B")</f>
        <v>1897-B</v>
      </c>
      <c r="B2468" s="5" t="str">
        <f ca="1">IFERROR(__xludf.DUMMYFUNCTION("""COMPUTED_VALUE"""),"الجيزة")</f>
        <v>الجيزة</v>
      </c>
      <c r="C2468" s="5" t="str">
        <f ca="1">IFERROR(__xludf.DUMMYFUNCTION("""COMPUTED_VALUE"""),"حدائق الاهرام")</f>
        <v>حدائق الاهرام</v>
      </c>
      <c r="D2468" s="5" t="str">
        <f ca="1">IFERROR(__xludf.DUMMYFUNCTION("""COMPUTED_VALUE"""),"معمل")</f>
        <v>معمل</v>
      </c>
      <c r="E2468" s="5" t="str">
        <f ca="1">IFERROR(__xludf.DUMMYFUNCTION("""COMPUTED_VALUE"""),"معمل")</f>
        <v>معمل</v>
      </c>
      <c r="F2468" s="5" t="str">
        <f ca="1">IFERROR(__xludf.DUMMYFUNCTION("""COMPUTED_VALUE"""),"معمل التحاليل الطبية")</f>
        <v>معمل التحاليل الطبية</v>
      </c>
      <c r="G2468" s="5" t="str">
        <f ca="1">IFERROR(__xludf.DUMMYFUNCTION("""COMPUTED_VALUE"""),"معمل المختبر (د. مؤمنة كامل)")</f>
        <v>معمل المختبر (د. مؤمنة كامل)</v>
      </c>
      <c r="H2468" s="5" t="str">
        <f ca="1">IFERROR(__xludf.DUMMYFUNCTION("""COMPUTED_VALUE"""),"427طريق الجيش ستي كلينيك حدائق الاهرام
شارع 9 متفرع من شارع الجيش بجوار صيدلية الفار، الهرم، قسم الجيزة")</f>
        <v>427طريق الجيش ستي كلينيك حدائق الاهرام
شارع 9 متفرع من شارع الجيش بجوار صيدلية الفار، الهرم، قسم الجيزة</v>
      </c>
      <c r="I2468" s="6" t="str">
        <f ca="1">IFERROR(__xludf.DUMMYFUNCTION("""COMPUTED_VALUE"""),"01096335584")</f>
        <v>01096335584</v>
      </c>
      <c r="J2468" s="6" t="str">
        <f ca="1">IFERROR(__xludf.DUMMYFUNCTION("""COMPUTED_VALUE"""),"19014")</f>
        <v>19014</v>
      </c>
      <c r="K2468" s="6" t="str">
        <f ca="1">IFERROR(__xludf.DUMMYFUNCTION("""COMPUTED_VALUE"""),"خصم 20% علي جميع التحاليل")</f>
        <v>خصم 20% علي جميع التحاليل</v>
      </c>
    </row>
    <row r="2469" spans="1:11" x14ac:dyDescent="0.25">
      <c r="A2469" s="4" t="str">
        <f ca="1">IFERROR(__xludf.DUMMYFUNCTION("""COMPUTED_VALUE"""),"1897-B")</f>
        <v>1897-B</v>
      </c>
      <c r="B2469" s="5" t="str">
        <f ca="1">IFERROR(__xludf.DUMMYFUNCTION("""COMPUTED_VALUE"""),"الجيزة")</f>
        <v>الجيزة</v>
      </c>
      <c r="C2469" s="5" t="str">
        <f ca="1">IFERROR(__xludf.DUMMYFUNCTION("""COMPUTED_VALUE"""),"حدائق الاهرام")</f>
        <v>حدائق الاهرام</v>
      </c>
      <c r="D2469" s="5" t="str">
        <f ca="1">IFERROR(__xludf.DUMMYFUNCTION("""COMPUTED_VALUE"""),"معمل")</f>
        <v>معمل</v>
      </c>
      <c r="E2469" s="5" t="str">
        <f ca="1">IFERROR(__xludf.DUMMYFUNCTION("""COMPUTED_VALUE"""),"معمل")</f>
        <v>معمل</v>
      </c>
      <c r="F2469" s="5" t="str">
        <f ca="1">IFERROR(__xludf.DUMMYFUNCTION("""COMPUTED_VALUE"""),"معمل التحاليل الطبية")</f>
        <v>معمل التحاليل الطبية</v>
      </c>
      <c r="G2469" s="5" t="str">
        <f ca="1">IFERROR(__xludf.DUMMYFUNCTION("""COMPUTED_VALUE"""),"معمل المختبر (د. مؤمنة كامل)")</f>
        <v>معمل المختبر (د. مؤمنة كامل)</v>
      </c>
      <c r="H2469" s="5" t="str">
        <f ca="1">IFERROR(__xludf.DUMMYFUNCTION("""COMPUTED_VALUE"""),"عمارة ١٣٥ ج شارع د. عمر متفرع من شارع جاردينيا، البوابة الأولى حدائق الأهرام.
")</f>
        <v xml:space="preserve">عمارة ١٣٥ ج شارع د. عمر متفرع من شارع جاردينيا، البوابة الأولى حدائق الأهرام.
</v>
      </c>
      <c r="I2469" s="6" t="str">
        <f ca="1">IFERROR(__xludf.DUMMYFUNCTION("""COMPUTED_VALUE"""),"01068726582")</f>
        <v>01068726582</v>
      </c>
      <c r="J2469" s="6" t="str">
        <f ca="1">IFERROR(__xludf.DUMMYFUNCTION("""COMPUTED_VALUE"""),"19014")</f>
        <v>19014</v>
      </c>
      <c r="K2469" s="6" t="str">
        <f ca="1">IFERROR(__xludf.DUMMYFUNCTION("""COMPUTED_VALUE"""),"خصم 20% علي جميع التحاليل")</f>
        <v>خصم 20% علي جميع التحاليل</v>
      </c>
    </row>
    <row r="2470" spans="1:11" x14ac:dyDescent="0.25">
      <c r="A2470" s="4" t="str">
        <f ca="1">IFERROR(__xludf.DUMMYFUNCTION("""COMPUTED_VALUE"""),"1897-B")</f>
        <v>1897-B</v>
      </c>
      <c r="B2470" s="5" t="str">
        <f ca="1">IFERROR(__xludf.DUMMYFUNCTION("""COMPUTED_VALUE"""),"الجيزة")</f>
        <v>الجيزة</v>
      </c>
      <c r="C2470" s="5" t="str">
        <f ca="1">IFERROR(__xludf.DUMMYFUNCTION("""COMPUTED_VALUE"""),"الشيخ زايد")</f>
        <v>الشيخ زايد</v>
      </c>
      <c r="D2470" s="5" t="str">
        <f ca="1">IFERROR(__xludf.DUMMYFUNCTION("""COMPUTED_VALUE"""),"معمل")</f>
        <v>معمل</v>
      </c>
      <c r="E2470" s="5" t="str">
        <f ca="1">IFERROR(__xludf.DUMMYFUNCTION("""COMPUTED_VALUE"""),"معمل")</f>
        <v>معمل</v>
      </c>
      <c r="F2470" s="5" t="str">
        <f ca="1">IFERROR(__xludf.DUMMYFUNCTION("""COMPUTED_VALUE"""),"معمل التحاليل الطبية")</f>
        <v>معمل التحاليل الطبية</v>
      </c>
      <c r="G2470" s="5" t="str">
        <f ca="1">IFERROR(__xludf.DUMMYFUNCTION("""COMPUTED_VALUE"""),"معمل المختبر (د. مؤمنة كامل)")</f>
        <v>معمل المختبر (د. مؤمنة كامل)</v>
      </c>
      <c r="H2470" s="5" t="str">
        <f ca="1">IFERROR(__xludf.DUMMYFUNCTION("""COMPUTED_VALUE"""),"المنطقة 17 عيادات الندي - بيفرلي هيلز الشيخ زايد
")</f>
        <v xml:space="preserve">المنطقة 17 عيادات الندي - بيفرلي هيلز الشيخ زايد
</v>
      </c>
      <c r="I2470" s="6" t="str">
        <f ca="1">IFERROR(__xludf.DUMMYFUNCTION("""COMPUTED_VALUE"""),"1028255545")</f>
        <v>1028255545</v>
      </c>
      <c r="J2470" s="6" t="str">
        <f ca="1">IFERROR(__xludf.DUMMYFUNCTION("""COMPUTED_VALUE"""),"19014")</f>
        <v>19014</v>
      </c>
      <c r="K2470" s="6" t="str">
        <f ca="1">IFERROR(__xludf.DUMMYFUNCTION("""COMPUTED_VALUE"""),"خصم 20% علي جميع التحاليل")</f>
        <v>خصم 20% علي جميع التحاليل</v>
      </c>
    </row>
    <row r="2471" spans="1:11" x14ac:dyDescent="0.25">
      <c r="A2471" s="4" t="str">
        <f ca="1">IFERROR(__xludf.DUMMYFUNCTION("""COMPUTED_VALUE"""),"1897-B")</f>
        <v>1897-B</v>
      </c>
      <c r="B2471" s="5" t="str">
        <f ca="1">IFERROR(__xludf.DUMMYFUNCTION("""COMPUTED_VALUE"""),"الجيزة")</f>
        <v>الجيزة</v>
      </c>
      <c r="C2471" s="5" t="str">
        <f ca="1">IFERROR(__xludf.DUMMYFUNCTION("""COMPUTED_VALUE"""),"الشيخ زايد")</f>
        <v>الشيخ زايد</v>
      </c>
      <c r="D2471" s="5" t="str">
        <f ca="1">IFERROR(__xludf.DUMMYFUNCTION("""COMPUTED_VALUE"""),"معمل")</f>
        <v>معمل</v>
      </c>
      <c r="E2471" s="5" t="str">
        <f ca="1">IFERROR(__xludf.DUMMYFUNCTION("""COMPUTED_VALUE"""),"معمل")</f>
        <v>معمل</v>
      </c>
      <c r="F2471" s="5" t="str">
        <f ca="1">IFERROR(__xludf.DUMMYFUNCTION("""COMPUTED_VALUE"""),"معمل التحاليل الطبية")</f>
        <v>معمل التحاليل الطبية</v>
      </c>
      <c r="G2471" s="5" t="str">
        <f ca="1">IFERROR(__xludf.DUMMYFUNCTION("""COMPUTED_VALUE"""),"معمل المختبر (د. مؤمنة كامل)")</f>
        <v>معمل المختبر (د. مؤمنة كامل)</v>
      </c>
      <c r="H2471" s="5" t="str">
        <f ca="1">IFERROR(__xludf.DUMMYFUNCTION("""COMPUTED_VALUE"""),"منطقة البنوك - القرية الذكية B 216""
الشيخ زايد")</f>
        <v>منطقة البنوك - القرية الذكية B 216"
الشيخ زايد</v>
      </c>
      <c r="I2471" s="6" t="str">
        <f ca="1">IFERROR(__xludf.DUMMYFUNCTION("""COMPUTED_VALUE"""),"01050220739")</f>
        <v>01050220739</v>
      </c>
      <c r="J2471" s="6" t="str">
        <f ca="1">IFERROR(__xludf.DUMMYFUNCTION("""COMPUTED_VALUE"""),"19014")</f>
        <v>19014</v>
      </c>
      <c r="K2471" s="6" t="str">
        <f ca="1">IFERROR(__xludf.DUMMYFUNCTION("""COMPUTED_VALUE"""),"خصم 20% علي جميع التحاليل")</f>
        <v>خصم 20% علي جميع التحاليل</v>
      </c>
    </row>
    <row r="2472" spans="1:11" x14ac:dyDescent="0.25">
      <c r="A2472" s="4" t="str">
        <f ca="1">IFERROR(__xludf.DUMMYFUNCTION("""COMPUTED_VALUE"""),"1897-B")</f>
        <v>1897-B</v>
      </c>
      <c r="B2472" s="5" t="str">
        <f ca="1">IFERROR(__xludf.DUMMYFUNCTION("""COMPUTED_VALUE"""),"الجيزة")</f>
        <v>الجيزة</v>
      </c>
      <c r="C2472" s="5" t="str">
        <f ca="1">IFERROR(__xludf.DUMMYFUNCTION("""COMPUTED_VALUE"""),"الشيخ زايد")</f>
        <v>الشيخ زايد</v>
      </c>
      <c r="D2472" s="5" t="str">
        <f ca="1">IFERROR(__xludf.DUMMYFUNCTION("""COMPUTED_VALUE"""),"معمل")</f>
        <v>معمل</v>
      </c>
      <c r="E2472" s="5" t="str">
        <f ca="1">IFERROR(__xludf.DUMMYFUNCTION("""COMPUTED_VALUE"""),"معمل")</f>
        <v>معمل</v>
      </c>
      <c r="F2472" s="5" t="str">
        <f ca="1">IFERROR(__xludf.DUMMYFUNCTION("""COMPUTED_VALUE"""),"معمل التحاليل الطبية")</f>
        <v>معمل التحاليل الطبية</v>
      </c>
      <c r="G2472" s="5" t="str">
        <f ca="1">IFERROR(__xludf.DUMMYFUNCTION("""COMPUTED_VALUE"""),"معمل المختبر (د. مؤمنة كامل)")</f>
        <v>معمل المختبر (د. مؤمنة كامل)</v>
      </c>
      <c r="H2472" s="5" t="str">
        <f ca="1">IFERROR(__xludf.DUMMYFUNCTION("""COMPUTED_VALUE"""),"مول اركان الجديد .المحور المركزي ، المبني الطبي أعلي ماكدونالدز - الدور الرابع 
")</f>
        <v xml:space="preserve">مول اركان الجديد .المحور المركزي ، المبني الطبي أعلي ماكدونالدز - الدور الرابع 
</v>
      </c>
      <c r="I2472" s="6" t="str">
        <f ca="1">IFERROR(__xludf.DUMMYFUNCTION("""COMPUTED_VALUE"""),"1050692336")</f>
        <v>1050692336</v>
      </c>
      <c r="J2472" s="6" t="str">
        <f ca="1">IFERROR(__xludf.DUMMYFUNCTION("""COMPUTED_VALUE"""),"19014")</f>
        <v>19014</v>
      </c>
      <c r="K2472" s="6" t="str">
        <f ca="1">IFERROR(__xludf.DUMMYFUNCTION("""COMPUTED_VALUE"""),"خصم 20% علي جميع التحاليل")</f>
        <v>خصم 20% علي جميع التحاليل</v>
      </c>
    </row>
    <row r="2473" spans="1:11" x14ac:dyDescent="0.25">
      <c r="A2473" s="4" t="str">
        <f ca="1">IFERROR(__xludf.DUMMYFUNCTION("""COMPUTED_VALUE"""),"1897-B")</f>
        <v>1897-B</v>
      </c>
      <c r="B2473" s="5" t="str">
        <f ca="1">IFERROR(__xludf.DUMMYFUNCTION("""COMPUTED_VALUE"""),"الجيزة")</f>
        <v>الجيزة</v>
      </c>
      <c r="C2473" s="5" t="str">
        <f ca="1">IFERROR(__xludf.DUMMYFUNCTION("""COMPUTED_VALUE"""),"الشيخ زايد")</f>
        <v>الشيخ زايد</v>
      </c>
      <c r="D2473" s="5" t="str">
        <f ca="1">IFERROR(__xludf.DUMMYFUNCTION("""COMPUTED_VALUE"""),"معمل")</f>
        <v>معمل</v>
      </c>
      <c r="E2473" s="5" t="str">
        <f ca="1">IFERROR(__xludf.DUMMYFUNCTION("""COMPUTED_VALUE"""),"معمل")</f>
        <v>معمل</v>
      </c>
      <c r="F2473" s="5" t="str">
        <f ca="1">IFERROR(__xludf.DUMMYFUNCTION("""COMPUTED_VALUE"""),"معمل التحاليل الطبية")</f>
        <v>معمل التحاليل الطبية</v>
      </c>
      <c r="G2473" s="5" t="str">
        <f ca="1">IFERROR(__xludf.DUMMYFUNCTION("""COMPUTED_VALUE"""),"معمل المختبر (د. مؤمنة كامل)")</f>
        <v>معمل المختبر (د. مؤمنة كامل)</v>
      </c>
      <c r="H2473" s="5" t="str">
        <f ca="1">IFERROR(__xludf.DUMMYFUNCTION("""COMPUTED_VALUE"""),"17 شارع البستان محور 26 يوليو - الشيخ زايد -بارك ستريت مول
")</f>
        <v xml:space="preserve">17 شارع البستان محور 26 يوليو - الشيخ زايد -بارك ستريت مول
</v>
      </c>
      <c r="I2473" s="6" t="str">
        <f ca="1">IFERROR(__xludf.DUMMYFUNCTION("""COMPUTED_VALUE"""),"1050692335")</f>
        <v>1050692335</v>
      </c>
      <c r="J2473" s="6" t="str">
        <f ca="1">IFERROR(__xludf.DUMMYFUNCTION("""COMPUTED_VALUE"""),"19014")</f>
        <v>19014</v>
      </c>
      <c r="K2473" s="6" t="str">
        <f ca="1">IFERROR(__xludf.DUMMYFUNCTION("""COMPUTED_VALUE"""),"خصم 20% علي جميع التحاليل")</f>
        <v>خصم 20% علي جميع التحاليل</v>
      </c>
    </row>
    <row r="2474" spans="1:11" x14ac:dyDescent="0.25">
      <c r="A2474" s="4" t="str">
        <f ca="1">IFERROR(__xludf.DUMMYFUNCTION("""COMPUTED_VALUE"""),"1897-B")</f>
        <v>1897-B</v>
      </c>
      <c r="B2474" s="5" t="str">
        <f ca="1">IFERROR(__xludf.DUMMYFUNCTION("""COMPUTED_VALUE"""),"الجيزة")</f>
        <v>الجيزة</v>
      </c>
      <c r="C2474" s="5" t="str">
        <f ca="1">IFERROR(__xludf.DUMMYFUNCTION("""COMPUTED_VALUE"""),"الشيخ زايد")</f>
        <v>الشيخ زايد</v>
      </c>
      <c r="D2474" s="5" t="str">
        <f ca="1">IFERROR(__xludf.DUMMYFUNCTION("""COMPUTED_VALUE"""),"معمل")</f>
        <v>معمل</v>
      </c>
      <c r="E2474" s="5" t="str">
        <f ca="1">IFERROR(__xludf.DUMMYFUNCTION("""COMPUTED_VALUE"""),"معمل")</f>
        <v>معمل</v>
      </c>
      <c r="F2474" s="5" t="str">
        <f ca="1">IFERROR(__xludf.DUMMYFUNCTION("""COMPUTED_VALUE"""),"معمل التحاليل الطبية")</f>
        <v>معمل التحاليل الطبية</v>
      </c>
      <c r="G2474" s="5" t="str">
        <f ca="1">IFERROR(__xludf.DUMMYFUNCTION("""COMPUTED_VALUE"""),"معمل المختبر (د. مؤمنة كامل)")</f>
        <v>معمل المختبر (د. مؤمنة كامل)</v>
      </c>
      <c r="H2474" s="5" t="str">
        <f ca="1">IFERROR(__xludf.DUMMYFUNCTION("""COMPUTED_VALUE"""),"الجزيرة بلازا تاور ٢ الشيخ زايد بجوار أركان مول الدور التاني 
")</f>
        <v xml:space="preserve">الجزيرة بلازا تاور ٢ الشيخ زايد بجوار أركان مول الدور التاني 
</v>
      </c>
      <c r="I2474" s="6" t="str">
        <f ca="1">IFERROR(__xludf.DUMMYFUNCTION("""COMPUTED_VALUE"""),"1096335592")</f>
        <v>1096335592</v>
      </c>
      <c r="J2474" s="6" t="str">
        <f ca="1">IFERROR(__xludf.DUMMYFUNCTION("""COMPUTED_VALUE"""),"19014")</f>
        <v>19014</v>
      </c>
      <c r="K2474" s="6" t="str">
        <f ca="1">IFERROR(__xludf.DUMMYFUNCTION("""COMPUTED_VALUE"""),"خصم 20% علي جميع التحاليل")</f>
        <v>خصم 20% علي جميع التحاليل</v>
      </c>
    </row>
    <row r="2475" spans="1:11" x14ac:dyDescent="0.25">
      <c r="A2475" s="4" t="str">
        <f ca="1">IFERROR(__xludf.DUMMYFUNCTION("""COMPUTED_VALUE"""),"1897-B")</f>
        <v>1897-B</v>
      </c>
      <c r="B2475" s="5" t="str">
        <f ca="1">IFERROR(__xludf.DUMMYFUNCTION("""COMPUTED_VALUE"""),"الشرقية")</f>
        <v>الشرقية</v>
      </c>
      <c r="C2475" s="5" t="str">
        <f ca="1">IFERROR(__xludf.DUMMYFUNCTION("""COMPUTED_VALUE"""),"العاشر من رمضان")</f>
        <v>العاشر من رمضان</v>
      </c>
      <c r="D2475" s="5" t="str">
        <f ca="1">IFERROR(__xludf.DUMMYFUNCTION("""COMPUTED_VALUE"""),"معمل")</f>
        <v>معمل</v>
      </c>
      <c r="E2475" s="5" t="str">
        <f ca="1">IFERROR(__xludf.DUMMYFUNCTION("""COMPUTED_VALUE"""),"معمل")</f>
        <v>معمل</v>
      </c>
      <c r="F2475" s="5" t="str">
        <f ca="1">IFERROR(__xludf.DUMMYFUNCTION("""COMPUTED_VALUE"""),"معمل التحاليل الطبية")</f>
        <v>معمل التحاليل الطبية</v>
      </c>
      <c r="G2475" s="5" t="str">
        <f ca="1">IFERROR(__xludf.DUMMYFUNCTION("""COMPUTED_VALUE"""),"معمل المختبر (د. مؤمنة كامل)")</f>
        <v>معمل المختبر (د. مؤمنة كامل)</v>
      </c>
      <c r="H2475" s="5" t="str">
        <f ca="1">IFERROR(__xludf.DUMMYFUNCTION("""COMPUTED_VALUE"""),"ارض المستشفيات قطعه واحد بين الحي الاول والثاني العاشر من رمضان
")</f>
        <v xml:space="preserve">ارض المستشفيات قطعه واحد بين الحي الاول والثاني العاشر من رمضان
</v>
      </c>
      <c r="I2475" s="6" t="str">
        <f ca="1">IFERROR(__xludf.DUMMYFUNCTION("""COMPUTED_VALUE"""),"01066169982")</f>
        <v>01066169982</v>
      </c>
      <c r="J2475" s="6" t="str">
        <f ca="1">IFERROR(__xludf.DUMMYFUNCTION("""COMPUTED_VALUE"""),"19014")</f>
        <v>19014</v>
      </c>
      <c r="K2475" s="6" t="str">
        <f ca="1">IFERROR(__xludf.DUMMYFUNCTION("""COMPUTED_VALUE"""),"خصم 20% علي جميع التحاليل")</f>
        <v>خصم 20% علي جميع التحاليل</v>
      </c>
    </row>
    <row r="2476" spans="1:11" x14ac:dyDescent="0.25">
      <c r="A2476" s="4" t="str">
        <f ca="1">IFERROR(__xludf.DUMMYFUNCTION("""COMPUTED_VALUE"""),"1897-B")</f>
        <v>1897-B</v>
      </c>
      <c r="B2476" s="5" t="str">
        <f ca="1">IFERROR(__xludf.DUMMYFUNCTION("""COMPUTED_VALUE"""),"البحيرة")</f>
        <v>البحيرة</v>
      </c>
      <c r="C2476" s="5" t="str">
        <f ca="1">IFERROR(__xludf.DUMMYFUNCTION("""COMPUTED_VALUE"""),"ابو المطامير")</f>
        <v>ابو المطامير</v>
      </c>
      <c r="D2476" s="5" t="str">
        <f ca="1">IFERROR(__xludf.DUMMYFUNCTION("""COMPUTED_VALUE"""),"معمل")</f>
        <v>معمل</v>
      </c>
      <c r="E2476" s="5" t="str">
        <f ca="1">IFERROR(__xludf.DUMMYFUNCTION("""COMPUTED_VALUE"""),"معمل")</f>
        <v>معمل</v>
      </c>
      <c r="F2476" s="5" t="str">
        <f ca="1">IFERROR(__xludf.DUMMYFUNCTION("""COMPUTED_VALUE"""),"معمل التحاليل الطبية")</f>
        <v>معمل التحاليل الطبية</v>
      </c>
      <c r="G2476" s="5" t="str">
        <f ca="1">IFERROR(__xludf.DUMMYFUNCTION("""COMPUTED_VALUE"""),"معمل المختبر (د. مؤمنة كامل)")</f>
        <v>معمل المختبر (د. مؤمنة كامل)</v>
      </c>
      <c r="H2476" s="5" t="str">
        <f ca="1">IFERROR(__xludf.DUMMYFUNCTION("""COMPUTED_VALUE"""),"شارع الشيخ شعراوى عمارة بنك مصر
")</f>
        <v xml:space="preserve">شارع الشيخ شعراوى عمارة بنك مصر
</v>
      </c>
      <c r="I2476" s="6" t="str">
        <f ca="1">IFERROR(__xludf.DUMMYFUNCTION("""COMPUTED_VALUE"""),"01022004485")</f>
        <v>01022004485</v>
      </c>
      <c r="J2476" s="6" t="str">
        <f ca="1">IFERROR(__xludf.DUMMYFUNCTION("""COMPUTED_VALUE"""),"19014")</f>
        <v>19014</v>
      </c>
      <c r="K2476" s="6" t="str">
        <f ca="1">IFERROR(__xludf.DUMMYFUNCTION("""COMPUTED_VALUE"""),"خصم 20% علي جميع التحاليل")</f>
        <v>خصم 20% علي جميع التحاليل</v>
      </c>
    </row>
    <row r="2477" spans="1:11" x14ac:dyDescent="0.25">
      <c r="A2477" s="4" t="str">
        <f ca="1">IFERROR(__xludf.DUMMYFUNCTION("""COMPUTED_VALUE"""),"1897-B")</f>
        <v>1897-B</v>
      </c>
      <c r="B2477" s="5" t="str">
        <f ca="1">IFERROR(__xludf.DUMMYFUNCTION("""COMPUTED_VALUE"""),"القاهرة")</f>
        <v>القاهرة</v>
      </c>
      <c r="C2477" s="5" t="str">
        <f ca="1">IFERROR(__xludf.DUMMYFUNCTION("""COMPUTED_VALUE"""),"حلوان")</f>
        <v>حلوان</v>
      </c>
      <c r="D2477" s="5" t="str">
        <f ca="1">IFERROR(__xludf.DUMMYFUNCTION("""COMPUTED_VALUE"""),"معمل")</f>
        <v>معمل</v>
      </c>
      <c r="E2477" s="5" t="str">
        <f ca="1">IFERROR(__xludf.DUMMYFUNCTION("""COMPUTED_VALUE"""),"معمل")</f>
        <v>معمل</v>
      </c>
      <c r="F2477" s="5" t="str">
        <f ca="1">IFERROR(__xludf.DUMMYFUNCTION("""COMPUTED_VALUE"""),"معمل التحاليل الطبية")</f>
        <v>معمل التحاليل الطبية</v>
      </c>
      <c r="G2477" s="5" t="str">
        <f ca="1">IFERROR(__xludf.DUMMYFUNCTION("""COMPUTED_VALUE"""),"معمل المختبر (د. مؤمنة كامل)")</f>
        <v>معمل المختبر (د. مؤمنة كامل)</v>
      </c>
      <c r="H2477" s="5" t="str">
        <f ca="1">IFERROR(__xludf.DUMMYFUNCTION("""COMPUTED_VALUE"""),"ش منصور الدور 2 تقاطع ش المراغي ميدان محطة مترو انفاق حلوان 44 
")</f>
        <v xml:space="preserve">ش منصور الدور 2 تقاطع ش المراغي ميدان محطة مترو انفاق حلوان 44 
</v>
      </c>
      <c r="I2477" s="6" t="str">
        <f ca="1">IFERROR(__xludf.DUMMYFUNCTION("""COMPUTED_VALUE"""),"19014")</f>
        <v>19014</v>
      </c>
      <c r="J2477" s="6" t="str">
        <f ca="1">IFERROR(__xludf.DUMMYFUNCTION("""COMPUTED_VALUE"""),"19014")</f>
        <v>19014</v>
      </c>
      <c r="K2477" s="6" t="str">
        <f ca="1">IFERROR(__xludf.DUMMYFUNCTION("""COMPUTED_VALUE"""),"خصم 20% علي جميع التحاليل")</f>
        <v>خصم 20% علي جميع التحاليل</v>
      </c>
    </row>
    <row r="2478" spans="1:11" x14ac:dyDescent="0.25">
      <c r="A2478" s="4" t="str">
        <f ca="1">IFERROR(__xludf.DUMMYFUNCTION("""COMPUTED_VALUE"""),"1897-B")</f>
        <v>1897-B</v>
      </c>
      <c r="B2478" s="5" t="str">
        <f ca="1">IFERROR(__xludf.DUMMYFUNCTION("""COMPUTED_VALUE"""),"القاهرة")</f>
        <v>القاهرة</v>
      </c>
      <c r="C2478" s="5" t="str">
        <f ca="1">IFERROR(__xludf.DUMMYFUNCTION("""COMPUTED_VALUE"""),"حلمية الزيتون")</f>
        <v>حلمية الزيتون</v>
      </c>
      <c r="D2478" s="5" t="str">
        <f ca="1">IFERROR(__xludf.DUMMYFUNCTION("""COMPUTED_VALUE"""),"معمل")</f>
        <v>معمل</v>
      </c>
      <c r="E2478" s="5" t="str">
        <f ca="1">IFERROR(__xludf.DUMMYFUNCTION("""COMPUTED_VALUE"""),"معمل")</f>
        <v>معمل</v>
      </c>
      <c r="F2478" s="5" t="str">
        <f ca="1">IFERROR(__xludf.DUMMYFUNCTION("""COMPUTED_VALUE"""),"معمل التحاليل الطبية")</f>
        <v>معمل التحاليل الطبية</v>
      </c>
      <c r="G2478" s="5" t="str">
        <f ca="1">IFERROR(__xludf.DUMMYFUNCTION("""COMPUTED_VALUE"""),"معمل المختبر (د. مؤمنة كامل)")</f>
        <v>معمل المختبر (د. مؤمنة كامل)</v>
      </c>
      <c r="H2478" s="5" t="str">
        <f ca="1">IFERROR(__xludf.DUMMYFUNCTION("""COMPUTED_VALUE"""),"2 شارع عين شمش   - امام مستشفى بخيت
")</f>
        <v xml:space="preserve">2 شارع عين شمش   - امام مستشفى بخيت
</v>
      </c>
      <c r="I2478" s="6" t="str">
        <f ca="1">IFERROR(__xludf.DUMMYFUNCTION("""COMPUTED_VALUE"""),"01090011216")</f>
        <v>01090011216</v>
      </c>
      <c r="J2478" s="6" t="str">
        <f ca="1">IFERROR(__xludf.DUMMYFUNCTION("""COMPUTED_VALUE"""),"19014")</f>
        <v>19014</v>
      </c>
      <c r="K2478" s="6" t="str">
        <f ca="1">IFERROR(__xludf.DUMMYFUNCTION("""COMPUTED_VALUE"""),"خصم 20% علي جميع التحاليل")</f>
        <v>خصم 20% علي جميع التحاليل</v>
      </c>
    </row>
    <row r="2479" spans="1:11" x14ac:dyDescent="0.25">
      <c r="A2479" s="4" t="str">
        <f ca="1">IFERROR(__xludf.DUMMYFUNCTION("""COMPUTED_VALUE"""),"1897-B")</f>
        <v>1897-B</v>
      </c>
      <c r="B2479" s="5" t="str">
        <f ca="1">IFERROR(__xludf.DUMMYFUNCTION("""COMPUTED_VALUE"""),"القاهرة")</f>
        <v>القاهرة</v>
      </c>
      <c r="C2479" s="5" t="str">
        <f ca="1">IFERROR(__xludf.DUMMYFUNCTION("""COMPUTED_VALUE"""),"المنيل")</f>
        <v>المنيل</v>
      </c>
      <c r="D2479" s="5" t="str">
        <f ca="1">IFERROR(__xludf.DUMMYFUNCTION("""COMPUTED_VALUE"""),"معمل")</f>
        <v>معمل</v>
      </c>
      <c r="E2479" s="5" t="str">
        <f ca="1">IFERROR(__xludf.DUMMYFUNCTION("""COMPUTED_VALUE"""),"معمل")</f>
        <v>معمل</v>
      </c>
      <c r="F2479" s="5" t="str">
        <f ca="1">IFERROR(__xludf.DUMMYFUNCTION("""COMPUTED_VALUE"""),"معمل التحاليل الطبية")</f>
        <v>معمل التحاليل الطبية</v>
      </c>
      <c r="G2479" s="5" t="str">
        <f ca="1">IFERROR(__xludf.DUMMYFUNCTION("""COMPUTED_VALUE"""),"معمل المختبر (د. مؤمنة كامل)")</f>
        <v>معمل المختبر (د. مؤمنة كامل)</v>
      </c>
      <c r="H2479" s="5" t="str">
        <f ca="1">IFERROR(__xludf.DUMMYFUNCTION("""COMPUTED_VALUE"""),"9شارع ثراي المنيل أمام كليه- طب اسنان-  المنيل
")</f>
        <v xml:space="preserve">9شارع ثراي المنيل أمام كليه- طب اسنان-  المنيل
</v>
      </c>
      <c r="I2479" s="6" t="str">
        <f ca="1">IFERROR(__xludf.DUMMYFUNCTION("""COMPUTED_VALUE"""),"1012224976")</f>
        <v>1012224976</v>
      </c>
      <c r="J2479" s="6" t="str">
        <f ca="1">IFERROR(__xludf.DUMMYFUNCTION("""COMPUTED_VALUE"""),"19014")</f>
        <v>19014</v>
      </c>
      <c r="K2479" s="6" t="str">
        <f ca="1">IFERROR(__xludf.DUMMYFUNCTION("""COMPUTED_VALUE"""),"خصم 20% علي جميع التحاليل")</f>
        <v>خصم 20% علي جميع التحاليل</v>
      </c>
    </row>
    <row r="2480" spans="1:11" x14ac:dyDescent="0.25">
      <c r="A2480" s="4" t="str">
        <f ca="1">IFERROR(__xludf.DUMMYFUNCTION("""COMPUTED_VALUE"""),"1897-B")</f>
        <v>1897-B</v>
      </c>
      <c r="B2480" s="5" t="str">
        <f ca="1">IFERROR(__xludf.DUMMYFUNCTION("""COMPUTED_VALUE"""),"القاهرة")</f>
        <v>القاهرة</v>
      </c>
      <c r="C2480" s="5" t="str">
        <f ca="1">IFERROR(__xludf.DUMMYFUNCTION("""COMPUTED_VALUE"""),"مدينة نصر")</f>
        <v>مدينة نصر</v>
      </c>
      <c r="D2480" s="5" t="str">
        <f ca="1">IFERROR(__xludf.DUMMYFUNCTION("""COMPUTED_VALUE"""),"معمل")</f>
        <v>معمل</v>
      </c>
      <c r="E2480" s="5" t="str">
        <f ca="1">IFERROR(__xludf.DUMMYFUNCTION("""COMPUTED_VALUE"""),"معمل")</f>
        <v>معمل</v>
      </c>
      <c r="F2480" s="5" t="str">
        <f ca="1">IFERROR(__xludf.DUMMYFUNCTION("""COMPUTED_VALUE"""),"معمل التحاليل الطبية")</f>
        <v>معمل التحاليل الطبية</v>
      </c>
      <c r="G2480" s="5" t="str">
        <f ca="1">IFERROR(__xludf.DUMMYFUNCTION("""COMPUTED_VALUE"""),"معمل المختبر (د. مؤمنة كامل)")</f>
        <v>معمل المختبر (د. مؤمنة كامل)</v>
      </c>
      <c r="H2480" s="5" t="str">
        <f ca="1">IFERROR(__xludf.DUMMYFUNCTION("""COMPUTED_VALUE"""),"شارع مكرم عبيدعمارة 1 بلوك 17 - امام سيتى سنتر مول 
")</f>
        <v xml:space="preserve">شارع مكرم عبيدعمارة 1 بلوك 17 - امام سيتى سنتر مول 
</v>
      </c>
      <c r="I2480" s="6" t="str">
        <f ca="1">IFERROR(__xludf.DUMMYFUNCTION("""COMPUTED_VALUE"""),"01022004489")</f>
        <v>01022004489</v>
      </c>
      <c r="J2480" s="6" t="str">
        <f ca="1">IFERROR(__xludf.DUMMYFUNCTION("""COMPUTED_VALUE"""),"19014")</f>
        <v>19014</v>
      </c>
      <c r="K2480" s="6" t="str">
        <f ca="1">IFERROR(__xludf.DUMMYFUNCTION("""COMPUTED_VALUE"""),"خصم 20% علي جميع التحاليل")</f>
        <v>خصم 20% علي جميع التحاليل</v>
      </c>
    </row>
    <row r="2481" spans="1:11" x14ac:dyDescent="0.25">
      <c r="A2481" s="4" t="str">
        <f ca="1">IFERROR(__xludf.DUMMYFUNCTION("""COMPUTED_VALUE"""),"1897-B")</f>
        <v>1897-B</v>
      </c>
      <c r="B2481" s="5" t="str">
        <f ca="1">IFERROR(__xludf.DUMMYFUNCTION("""COMPUTED_VALUE"""),"القاهرة")</f>
        <v>القاهرة</v>
      </c>
      <c r="C2481" s="5" t="str">
        <f ca="1">IFERROR(__xludf.DUMMYFUNCTION("""COMPUTED_VALUE"""),"مدينة نصر")</f>
        <v>مدينة نصر</v>
      </c>
      <c r="D2481" s="5" t="str">
        <f ca="1">IFERROR(__xludf.DUMMYFUNCTION("""COMPUTED_VALUE"""),"معمل")</f>
        <v>معمل</v>
      </c>
      <c r="E2481" s="5" t="str">
        <f ca="1">IFERROR(__xludf.DUMMYFUNCTION("""COMPUTED_VALUE"""),"معمل")</f>
        <v>معمل</v>
      </c>
      <c r="F2481" s="5" t="str">
        <f ca="1">IFERROR(__xludf.DUMMYFUNCTION("""COMPUTED_VALUE"""),"معمل التحاليل الطبية")</f>
        <v>معمل التحاليل الطبية</v>
      </c>
      <c r="G2481" s="5" t="str">
        <f ca="1">IFERROR(__xludf.DUMMYFUNCTION("""COMPUTED_VALUE"""),"معمل المختبر (د. مؤمنة كامل)")</f>
        <v>معمل المختبر (د. مؤمنة كامل)</v>
      </c>
      <c r="H2481" s="5" t="str">
        <f ca="1">IFERROR(__xludf.DUMMYFUNCTION("""COMPUTED_VALUE"""),"1 شارع الدكتور ابراهيم ابوالنجا - اعلى حلويات اكسبشن - بلوك 109-المنطقة السابعة 
")</f>
        <v xml:space="preserve">1 شارع الدكتور ابراهيم ابوالنجا - اعلى حلويات اكسبشن - بلوك 109-المنطقة السابعة 
</v>
      </c>
      <c r="I2481" s="6" t="str">
        <f ca="1">IFERROR(__xludf.DUMMYFUNCTION("""COMPUTED_VALUE"""),"01007754955")</f>
        <v>01007754955</v>
      </c>
      <c r="J2481" s="6" t="str">
        <f ca="1">IFERROR(__xludf.DUMMYFUNCTION("""COMPUTED_VALUE"""),"19014")</f>
        <v>19014</v>
      </c>
      <c r="K2481" s="6" t="str">
        <f ca="1">IFERROR(__xludf.DUMMYFUNCTION("""COMPUTED_VALUE"""),"خصم 20% علي جميع التحاليل")</f>
        <v>خصم 20% علي جميع التحاليل</v>
      </c>
    </row>
    <row r="2482" spans="1:11" x14ac:dyDescent="0.25">
      <c r="A2482" s="4" t="str">
        <f ca="1">IFERROR(__xludf.DUMMYFUNCTION("""COMPUTED_VALUE"""),"1897-B")</f>
        <v>1897-B</v>
      </c>
      <c r="B2482" s="5" t="str">
        <f ca="1">IFERROR(__xludf.DUMMYFUNCTION("""COMPUTED_VALUE"""),"القاهرة")</f>
        <v>القاهرة</v>
      </c>
      <c r="C2482" s="5" t="str">
        <f ca="1">IFERROR(__xludf.DUMMYFUNCTION("""COMPUTED_VALUE"""),"مدينة نصر")</f>
        <v>مدينة نصر</v>
      </c>
      <c r="D2482" s="5" t="str">
        <f ca="1">IFERROR(__xludf.DUMMYFUNCTION("""COMPUTED_VALUE"""),"معمل")</f>
        <v>معمل</v>
      </c>
      <c r="E2482" s="5" t="str">
        <f ca="1">IFERROR(__xludf.DUMMYFUNCTION("""COMPUTED_VALUE"""),"معمل")</f>
        <v>معمل</v>
      </c>
      <c r="F2482" s="5" t="str">
        <f ca="1">IFERROR(__xludf.DUMMYFUNCTION("""COMPUTED_VALUE"""),"معمل التحاليل الطبية")</f>
        <v>معمل التحاليل الطبية</v>
      </c>
      <c r="G2482" s="5" t="str">
        <f ca="1">IFERROR(__xludf.DUMMYFUNCTION("""COMPUTED_VALUE"""),"معمل المختبر (د. مؤمنة كامل)")</f>
        <v>معمل المختبر (د. مؤمنة كامل)</v>
      </c>
      <c r="H2482" s="5" t="str">
        <f ca="1">IFERROR(__xludf.DUMMYFUNCTION("""COMPUTED_VALUE"""),"12 ش مصطفي حمام متفرع من عباس العقاد 
")</f>
        <v xml:space="preserve">12 ش مصطفي حمام متفرع من عباس العقاد 
</v>
      </c>
      <c r="I2482" s="6" t="str">
        <f ca="1">IFERROR(__xludf.DUMMYFUNCTION("""COMPUTED_VALUE"""),"01092241198")</f>
        <v>01092241198</v>
      </c>
      <c r="J2482" s="6" t="str">
        <f ca="1">IFERROR(__xludf.DUMMYFUNCTION("""COMPUTED_VALUE"""),"19014")</f>
        <v>19014</v>
      </c>
      <c r="K2482" s="6" t="str">
        <f ca="1">IFERROR(__xludf.DUMMYFUNCTION("""COMPUTED_VALUE"""),"خصم 20% علي جميع التحاليل")</f>
        <v>خصم 20% علي جميع التحاليل</v>
      </c>
    </row>
    <row r="2483" spans="1:11" x14ac:dyDescent="0.25">
      <c r="A2483" s="4" t="str">
        <f ca="1">IFERROR(__xludf.DUMMYFUNCTION("""COMPUTED_VALUE"""),"1897-B")</f>
        <v>1897-B</v>
      </c>
      <c r="B2483" s="5" t="str">
        <f ca="1">IFERROR(__xludf.DUMMYFUNCTION("""COMPUTED_VALUE"""),"القاهرة")</f>
        <v>القاهرة</v>
      </c>
      <c r="C2483" s="5" t="str">
        <f ca="1">IFERROR(__xludf.DUMMYFUNCTION("""COMPUTED_VALUE"""),"مدينة نصر")</f>
        <v>مدينة نصر</v>
      </c>
      <c r="D2483" s="5" t="str">
        <f ca="1">IFERROR(__xludf.DUMMYFUNCTION("""COMPUTED_VALUE"""),"معمل")</f>
        <v>معمل</v>
      </c>
      <c r="E2483" s="5" t="str">
        <f ca="1">IFERROR(__xludf.DUMMYFUNCTION("""COMPUTED_VALUE"""),"معمل")</f>
        <v>معمل</v>
      </c>
      <c r="F2483" s="5" t="str">
        <f ca="1">IFERROR(__xludf.DUMMYFUNCTION("""COMPUTED_VALUE"""),"معمل التحاليل الطبية")</f>
        <v>معمل التحاليل الطبية</v>
      </c>
      <c r="G2483" s="5" t="str">
        <f ca="1">IFERROR(__xludf.DUMMYFUNCTION("""COMPUTED_VALUE"""),"معمل المختبر (د. مؤمنة كامل)")</f>
        <v>معمل المختبر (د. مؤمنة كامل)</v>
      </c>
      <c r="H2483" s="5" t="str">
        <f ca="1">IFERROR(__xludf.DUMMYFUNCTION("""COMPUTED_VALUE"""),"3 ش صفوة الميثاق بجوار بنك مصر زهراء مدينة نصر
")</f>
        <v xml:space="preserve">3 ش صفوة الميثاق بجوار بنك مصر زهراء مدينة نصر
</v>
      </c>
      <c r="I2483" s="6" t="str">
        <f ca="1">IFERROR(__xludf.DUMMYFUNCTION("""COMPUTED_VALUE"""),"01062999215  ")</f>
        <v>01062999215  </v>
      </c>
      <c r="J2483" s="6" t="str">
        <f ca="1">IFERROR(__xludf.DUMMYFUNCTION("""COMPUTED_VALUE"""),"19014")</f>
        <v>19014</v>
      </c>
      <c r="K2483" s="6" t="str">
        <f ca="1">IFERROR(__xludf.DUMMYFUNCTION("""COMPUTED_VALUE"""),"خصم 20% علي جميع التحاليل")</f>
        <v>خصم 20% علي جميع التحاليل</v>
      </c>
    </row>
    <row r="2484" spans="1:11" x14ac:dyDescent="0.25">
      <c r="A2484" s="4" t="str">
        <f ca="1">IFERROR(__xludf.DUMMYFUNCTION("""COMPUTED_VALUE"""),"1897-B")</f>
        <v>1897-B</v>
      </c>
      <c r="B2484" s="5" t="str">
        <f ca="1">IFERROR(__xludf.DUMMYFUNCTION("""COMPUTED_VALUE"""),"القاهرة")</f>
        <v>القاهرة</v>
      </c>
      <c r="C2484" s="5" t="str">
        <f ca="1">IFERROR(__xludf.DUMMYFUNCTION("""COMPUTED_VALUE"""),"مدينة نصر")</f>
        <v>مدينة نصر</v>
      </c>
      <c r="D2484" s="5" t="str">
        <f ca="1">IFERROR(__xludf.DUMMYFUNCTION("""COMPUTED_VALUE"""),"معمل")</f>
        <v>معمل</v>
      </c>
      <c r="E2484" s="5" t="str">
        <f ca="1">IFERROR(__xludf.DUMMYFUNCTION("""COMPUTED_VALUE"""),"معمل")</f>
        <v>معمل</v>
      </c>
      <c r="F2484" s="5" t="str">
        <f ca="1">IFERROR(__xludf.DUMMYFUNCTION("""COMPUTED_VALUE"""),"معمل التحاليل الطبية")</f>
        <v>معمل التحاليل الطبية</v>
      </c>
      <c r="G2484" s="5" t="str">
        <f ca="1">IFERROR(__xludf.DUMMYFUNCTION("""COMPUTED_VALUE"""),"معمل المختبر (د. مؤمنة كامل)")</f>
        <v>معمل المختبر (د. مؤمنة كامل)</v>
      </c>
      <c r="H2484" s="5" t="str">
        <f ca="1">IFERROR(__xludf.DUMMYFUNCTION("""COMPUTED_VALUE"""),"17 عمارات المدفعية أمام سيتي ستارز – مدينة نصر 
")</f>
        <v xml:space="preserve">17 عمارات المدفعية أمام سيتي ستارز – مدينة نصر 
</v>
      </c>
      <c r="I2484" s="6" t="str">
        <f ca="1">IFERROR(__xludf.DUMMYFUNCTION("""COMPUTED_VALUE"""),"01091987519")</f>
        <v>01091987519</v>
      </c>
      <c r="J2484" s="6" t="str">
        <f ca="1">IFERROR(__xludf.DUMMYFUNCTION("""COMPUTED_VALUE"""),"19014")</f>
        <v>19014</v>
      </c>
      <c r="K2484" s="6" t="str">
        <f ca="1">IFERROR(__xludf.DUMMYFUNCTION("""COMPUTED_VALUE"""),"خصم 20% علي جميع التحاليل")</f>
        <v>خصم 20% علي جميع التحاليل</v>
      </c>
    </row>
    <row r="2485" spans="1:11" x14ac:dyDescent="0.25">
      <c r="A2485" s="4" t="str">
        <f ca="1">IFERROR(__xludf.DUMMYFUNCTION("""COMPUTED_VALUE"""),"1897-B")</f>
        <v>1897-B</v>
      </c>
      <c r="B2485" s="5" t="str">
        <f ca="1">IFERROR(__xludf.DUMMYFUNCTION("""COMPUTED_VALUE"""),"القاهرة")</f>
        <v>القاهرة</v>
      </c>
      <c r="C2485" s="5" t="str">
        <f ca="1">IFERROR(__xludf.DUMMYFUNCTION("""COMPUTED_VALUE"""),"مصر الجديدة")</f>
        <v>مصر الجديدة</v>
      </c>
      <c r="D2485" s="5" t="str">
        <f ca="1">IFERROR(__xludf.DUMMYFUNCTION("""COMPUTED_VALUE"""),"معمل")</f>
        <v>معمل</v>
      </c>
      <c r="E2485" s="5" t="str">
        <f ca="1">IFERROR(__xludf.DUMMYFUNCTION("""COMPUTED_VALUE"""),"معمل")</f>
        <v>معمل</v>
      </c>
      <c r="F2485" s="5" t="str">
        <f ca="1">IFERROR(__xludf.DUMMYFUNCTION("""COMPUTED_VALUE"""),"معمل التحاليل الطبية")</f>
        <v>معمل التحاليل الطبية</v>
      </c>
      <c r="G2485" s="5" t="str">
        <f ca="1">IFERROR(__xludf.DUMMYFUNCTION("""COMPUTED_VALUE"""),"معمل المختبر (د. مؤمنة كامل)")</f>
        <v>معمل المختبر (د. مؤمنة كامل)</v>
      </c>
      <c r="H2485" s="5" t="str">
        <f ca="1">IFERROR(__xludf.DUMMYFUNCTION("""COMPUTED_VALUE"""),"10 شارع بغداد الكوربة امام كافية سوبر سوبريم 
")</f>
        <v xml:space="preserve">10 شارع بغداد الكوربة امام كافية سوبر سوبريم 
</v>
      </c>
      <c r="I2485" s="6" t="str">
        <f ca="1">IFERROR(__xludf.DUMMYFUNCTION("""COMPUTED_VALUE"""),"01067409990")</f>
        <v>01067409990</v>
      </c>
      <c r="J2485" s="6" t="str">
        <f ca="1">IFERROR(__xludf.DUMMYFUNCTION("""COMPUTED_VALUE"""),"19014")</f>
        <v>19014</v>
      </c>
      <c r="K2485" s="6" t="str">
        <f ca="1">IFERROR(__xludf.DUMMYFUNCTION("""COMPUTED_VALUE"""),"خصم 20% علي جميع التحاليل")</f>
        <v>خصم 20% علي جميع التحاليل</v>
      </c>
    </row>
    <row r="2486" spans="1:11" x14ac:dyDescent="0.25">
      <c r="A2486" s="4" t="str">
        <f ca="1">IFERROR(__xludf.DUMMYFUNCTION("""COMPUTED_VALUE"""),"1897-B")</f>
        <v>1897-B</v>
      </c>
      <c r="B2486" s="5" t="str">
        <f ca="1">IFERROR(__xludf.DUMMYFUNCTION("""COMPUTED_VALUE"""),"القاهرة")</f>
        <v>القاهرة</v>
      </c>
      <c r="C2486" s="5" t="str">
        <f ca="1">IFERROR(__xludf.DUMMYFUNCTION("""COMPUTED_VALUE"""),"مصر الجديدة")</f>
        <v>مصر الجديدة</v>
      </c>
      <c r="D2486" s="5" t="str">
        <f ca="1">IFERROR(__xludf.DUMMYFUNCTION("""COMPUTED_VALUE"""),"معمل")</f>
        <v>معمل</v>
      </c>
      <c r="E2486" s="5" t="str">
        <f ca="1">IFERROR(__xludf.DUMMYFUNCTION("""COMPUTED_VALUE"""),"معمل")</f>
        <v>معمل</v>
      </c>
      <c r="F2486" s="5" t="str">
        <f ca="1">IFERROR(__xludf.DUMMYFUNCTION("""COMPUTED_VALUE"""),"معمل التحاليل الطبية")</f>
        <v>معمل التحاليل الطبية</v>
      </c>
      <c r="G2486" s="5" t="str">
        <f ca="1">IFERROR(__xludf.DUMMYFUNCTION("""COMPUTED_VALUE"""),"معمل المختبر (د. مؤمنة كامل)")</f>
        <v>معمل المختبر (د. مؤمنة كامل)</v>
      </c>
      <c r="H2486" s="5" t="str">
        <f ca="1">IFERROR(__xludf.DUMMYFUNCTION("""COMPUTED_VALUE"""),"5 شارع محمد محمود عزت ميدان الحجاز - مصر الجديدة القاهرة 
")</f>
        <v xml:space="preserve">5 شارع محمد محمود عزت ميدان الحجاز - مصر الجديدة القاهرة 
</v>
      </c>
      <c r="I2486" s="6" t="str">
        <f ca="1">IFERROR(__xludf.DUMMYFUNCTION("""COMPUTED_VALUE"""),"01030531666")</f>
        <v>01030531666</v>
      </c>
      <c r="J2486" s="6" t="str">
        <f ca="1">IFERROR(__xludf.DUMMYFUNCTION("""COMPUTED_VALUE"""),"19014")</f>
        <v>19014</v>
      </c>
      <c r="K2486" s="6" t="str">
        <f ca="1">IFERROR(__xludf.DUMMYFUNCTION("""COMPUTED_VALUE"""),"خصم 20% علي جميع التحاليل")</f>
        <v>خصم 20% علي جميع التحاليل</v>
      </c>
    </row>
    <row r="2487" spans="1:11" x14ac:dyDescent="0.25">
      <c r="A2487" s="4" t="str">
        <f ca="1">IFERROR(__xludf.DUMMYFUNCTION("""COMPUTED_VALUE"""),"1897-B")</f>
        <v>1897-B</v>
      </c>
      <c r="B2487" s="5" t="str">
        <f ca="1">IFERROR(__xludf.DUMMYFUNCTION("""COMPUTED_VALUE"""),"القاهرة")</f>
        <v>القاهرة</v>
      </c>
      <c r="C2487" s="5" t="str">
        <f ca="1">IFERROR(__xludf.DUMMYFUNCTION("""COMPUTED_VALUE"""),"مصر الجديدة")</f>
        <v>مصر الجديدة</v>
      </c>
      <c r="D2487" s="5" t="str">
        <f ca="1">IFERROR(__xludf.DUMMYFUNCTION("""COMPUTED_VALUE"""),"معمل")</f>
        <v>معمل</v>
      </c>
      <c r="E2487" s="5" t="str">
        <f ca="1">IFERROR(__xludf.DUMMYFUNCTION("""COMPUTED_VALUE"""),"معمل")</f>
        <v>معمل</v>
      </c>
      <c r="F2487" s="5" t="str">
        <f ca="1">IFERROR(__xludf.DUMMYFUNCTION("""COMPUTED_VALUE"""),"معمل التحاليل الطبية")</f>
        <v>معمل التحاليل الطبية</v>
      </c>
      <c r="G2487" s="5" t="str">
        <f ca="1">IFERROR(__xludf.DUMMYFUNCTION("""COMPUTED_VALUE"""),"معمل المختبر (د. مؤمنة كامل)")</f>
        <v>معمل المختبر (د. مؤمنة كامل)</v>
      </c>
      <c r="H2487" s="5" t="str">
        <f ca="1">IFERROR(__xludf.DUMMYFUNCTION("""COMPUTED_VALUE"""),"19 محمد فريد الحجاز مصر الجديده
")</f>
        <v xml:space="preserve">19 محمد فريد الحجاز مصر الجديده
</v>
      </c>
      <c r="I2487" s="6" t="str">
        <f ca="1">IFERROR(__xludf.DUMMYFUNCTION("""COMPUTED_VALUE"""),"01050692377")</f>
        <v>01050692377</v>
      </c>
      <c r="J2487" s="6" t="str">
        <f ca="1">IFERROR(__xludf.DUMMYFUNCTION("""COMPUTED_VALUE"""),"19014")</f>
        <v>19014</v>
      </c>
      <c r="K2487" s="6" t="str">
        <f ca="1">IFERROR(__xludf.DUMMYFUNCTION("""COMPUTED_VALUE"""),"خصم 20% علي جميع التحاليل")</f>
        <v>خصم 20% علي جميع التحاليل</v>
      </c>
    </row>
    <row r="2488" spans="1:11" x14ac:dyDescent="0.25">
      <c r="A2488" s="4" t="str">
        <f ca="1">IFERROR(__xludf.DUMMYFUNCTION("""COMPUTED_VALUE"""),"1897-B")</f>
        <v>1897-B</v>
      </c>
      <c r="B2488" s="5" t="str">
        <f ca="1">IFERROR(__xludf.DUMMYFUNCTION("""COMPUTED_VALUE"""),"القاهرة")</f>
        <v>القاهرة</v>
      </c>
      <c r="C2488" s="5" t="str">
        <f ca="1">IFERROR(__xludf.DUMMYFUNCTION("""COMPUTED_VALUE"""),"مصر الجديدة")</f>
        <v>مصر الجديدة</v>
      </c>
      <c r="D2488" s="5" t="str">
        <f ca="1">IFERROR(__xludf.DUMMYFUNCTION("""COMPUTED_VALUE"""),"معمل")</f>
        <v>معمل</v>
      </c>
      <c r="E2488" s="5" t="str">
        <f ca="1">IFERROR(__xludf.DUMMYFUNCTION("""COMPUTED_VALUE"""),"معمل")</f>
        <v>معمل</v>
      </c>
      <c r="F2488" s="5" t="str">
        <f ca="1">IFERROR(__xludf.DUMMYFUNCTION("""COMPUTED_VALUE"""),"معمل التحاليل الطبية")</f>
        <v>معمل التحاليل الطبية</v>
      </c>
      <c r="G2488" s="5" t="str">
        <f ca="1">IFERROR(__xludf.DUMMYFUNCTION("""COMPUTED_VALUE"""),"معمل المختبر (د. مؤمنة كامل)")</f>
        <v>معمل المختبر (د. مؤمنة كامل)</v>
      </c>
      <c r="H2488" s="5" t="str">
        <f ca="1">IFERROR(__xludf.DUMMYFUNCTION("""COMPUTED_VALUE"""),"35 ش مراد -الماظه ميدان هيليوبس مصر الجديده
")</f>
        <v xml:space="preserve">35 ش مراد -الماظه ميدان هيليوبس مصر الجديده
</v>
      </c>
      <c r="I2488" s="6" t="str">
        <f ca="1">IFERROR(__xludf.DUMMYFUNCTION("""COMPUTED_VALUE"""),"01050692344")</f>
        <v>01050692344</v>
      </c>
      <c r="J2488" s="6" t="str">
        <f ca="1">IFERROR(__xludf.DUMMYFUNCTION("""COMPUTED_VALUE"""),"19014")</f>
        <v>19014</v>
      </c>
      <c r="K2488" s="6" t="str">
        <f ca="1">IFERROR(__xludf.DUMMYFUNCTION("""COMPUTED_VALUE"""),"خصم 20% علي جميع التحاليل")</f>
        <v>خصم 20% علي جميع التحاليل</v>
      </c>
    </row>
    <row r="2489" spans="1:11" x14ac:dyDescent="0.25">
      <c r="A2489" s="4" t="str">
        <f ca="1">IFERROR(__xludf.DUMMYFUNCTION("""COMPUTED_VALUE"""),"1897-B")</f>
        <v>1897-B</v>
      </c>
      <c r="B2489" s="5" t="str">
        <f ca="1">IFERROR(__xludf.DUMMYFUNCTION("""COMPUTED_VALUE"""),"القاهرة")</f>
        <v>القاهرة</v>
      </c>
      <c r="C2489" s="5" t="str">
        <f ca="1">IFERROR(__xludf.DUMMYFUNCTION("""COMPUTED_VALUE"""),"مصر الجديدة")</f>
        <v>مصر الجديدة</v>
      </c>
      <c r="D2489" s="5" t="str">
        <f ca="1">IFERROR(__xludf.DUMMYFUNCTION("""COMPUTED_VALUE"""),"معمل")</f>
        <v>معمل</v>
      </c>
      <c r="E2489" s="5" t="str">
        <f ca="1">IFERROR(__xludf.DUMMYFUNCTION("""COMPUTED_VALUE"""),"معمل")</f>
        <v>معمل</v>
      </c>
      <c r="F2489" s="5" t="str">
        <f ca="1">IFERROR(__xludf.DUMMYFUNCTION("""COMPUTED_VALUE"""),"معمل التحاليل الطبية")</f>
        <v>معمل التحاليل الطبية</v>
      </c>
      <c r="G2489" s="5" t="str">
        <f ca="1">IFERROR(__xludf.DUMMYFUNCTION("""COMPUTED_VALUE"""),"معمل المختبر (د. مؤمنة كامل)")</f>
        <v>معمل المختبر (د. مؤمنة كامل)</v>
      </c>
      <c r="H2489" s="5" t="str">
        <f ca="1">IFERROR(__xludf.DUMMYFUNCTION("""COMPUTED_VALUE"""),"عمارة ٣٨ الكوربة بجوار بيتزا هت - مركز د حسام منصور
")</f>
        <v xml:space="preserve">عمارة ٣٨ الكوربة بجوار بيتزا هت - مركز د حسام منصور
</v>
      </c>
      <c r="I2489" s="6" t="str">
        <f ca="1">IFERROR(__xludf.DUMMYFUNCTION("""COMPUTED_VALUE"""),"01060032122")</f>
        <v>01060032122</v>
      </c>
      <c r="J2489" s="6" t="str">
        <f ca="1">IFERROR(__xludf.DUMMYFUNCTION("""COMPUTED_VALUE"""),"19014")</f>
        <v>19014</v>
      </c>
      <c r="K2489" s="6" t="str">
        <f ca="1">IFERROR(__xludf.DUMMYFUNCTION("""COMPUTED_VALUE"""),"خصم 20% علي جميع التحاليل")</f>
        <v>خصم 20% علي جميع التحاليل</v>
      </c>
    </row>
    <row r="2490" spans="1:11" x14ac:dyDescent="0.25">
      <c r="A2490" s="4" t="str">
        <f ca="1">IFERROR(__xludf.DUMMYFUNCTION("""COMPUTED_VALUE"""),"1897-B")</f>
        <v>1897-B</v>
      </c>
      <c r="B2490" s="5" t="str">
        <f ca="1">IFERROR(__xludf.DUMMYFUNCTION("""COMPUTED_VALUE"""),"القاهرة")</f>
        <v>القاهرة</v>
      </c>
      <c r="C2490" s="5" t="str">
        <f ca="1">IFERROR(__xludf.DUMMYFUNCTION("""COMPUTED_VALUE"""),"القاهرة الجديدة")</f>
        <v>القاهرة الجديدة</v>
      </c>
      <c r="D2490" s="5" t="str">
        <f ca="1">IFERROR(__xludf.DUMMYFUNCTION("""COMPUTED_VALUE"""),"معمل")</f>
        <v>معمل</v>
      </c>
      <c r="E2490" s="5" t="str">
        <f ca="1">IFERROR(__xludf.DUMMYFUNCTION("""COMPUTED_VALUE"""),"معمل")</f>
        <v>معمل</v>
      </c>
      <c r="F2490" s="5" t="str">
        <f ca="1">IFERROR(__xludf.DUMMYFUNCTION("""COMPUTED_VALUE"""),"معمل التحاليل الطبية")</f>
        <v>معمل التحاليل الطبية</v>
      </c>
      <c r="G2490" s="5" t="str">
        <f ca="1">IFERROR(__xludf.DUMMYFUNCTION("""COMPUTED_VALUE"""),"معمل المختبر (د. مؤمنة كامل)")</f>
        <v>معمل المختبر (د. مؤمنة كامل)</v>
      </c>
      <c r="H2490" s="5" t="str">
        <f ca="1">IFERROR(__xludf.DUMMYFUNCTION("""COMPUTED_VALUE"""),"كايرو كير مول محور مصطفي كامل التجمع الاول  بجوار معرض الجندى للسيارات 
")</f>
        <v xml:space="preserve">كايرو كير مول محور مصطفي كامل التجمع الاول  بجوار معرض الجندى للسيارات 
</v>
      </c>
      <c r="I2490" s="6" t="str">
        <f ca="1">IFERROR(__xludf.DUMMYFUNCTION("""COMPUTED_VALUE"""),"010 5069 6652")</f>
        <v>010 5069 6652</v>
      </c>
      <c r="J2490" s="6" t="str">
        <f ca="1">IFERROR(__xludf.DUMMYFUNCTION("""COMPUTED_VALUE"""),"19014")</f>
        <v>19014</v>
      </c>
      <c r="K2490" s="6" t="str">
        <f ca="1">IFERROR(__xludf.DUMMYFUNCTION("""COMPUTED_VALUE"""),"خصم 20% علي جميع التحاليل")</f>
        <v>خصم 20% علي جميع التحاليل</v>
      </c>
    </row>
    <row r="2491" spans="1:11" x14ac:dyDescent="0.25">
      <c r="A2491" s="4" t="str">
        <f ca="1">IFERROR(__xludf.DUMMYFUNCTION("""COMPUTED_VALUE"""),"1897-B")</f>
        <v>1897-B</v>
      </c>
      <c r="B2491" s="5" t="str">
        <f ca="1">IFERROR(__xludf.DUMMYFUNCTION("""COMPUTED_VALUE"""),"القاهرة")</f>
        <v>القاهرة</v>
      </c>
      <c r="C2491" s="5" t="str">
        <f ca="1">IFERROR(__xludf.DUMMYFUNCTION("""COMPUTED_VALUE"""),"القاهرة الجديدة")</f>
        <v>القاهرة الجديدة</v>
      </c>
      <c r="D2491" s="5" t="str">
        <f ca="1">IFERROR(__xludf.DUMMYFUNCTION("""COMPUTED_VALUE"""),"معمل")</f>
        <v>معمل</v>
      </c>
      <c r="E2491" s="5" t="str">
        <f ca="1">IFERROR(__xludf.DUMMYFUNCTION("""COMPUTED_VALUE"""),"معمل")</f>
        <v>معمل</v>
      </c>
      <c r="F2491" s="5" t="str">
        <f ca="1">IFERROR(__xludf.DUMMYFUNCTION("""COMPUTED_VALUE"""),"معمل التحاليل الطبية")</f>
        <v>معمل التحاليل الطبية</v>
      </c>
      <c r="G2491" s="5" t="str">
        <f ca="1">IFERROR(__xludf.DUMMYFUNCTION("""COMPUTED_VALUE"""),"معمل المختبر (د. مؤمنة كامل)")</f>
        <v>معمل المختبر (د. مؤمنة كامل)</v>
      </c>
      <c r="H2491" s="5" t="str">
        <f ca="1">IFERROR(__xludf.DUMMYFUNCTION("""COMPUTED_VALUE"""),"الفود  كورت الجديد بجوار بوابة 22 وحدة  ف 15 منطقة الرحاب 2 
")</f>
        <v xml:space="preserve">الفود  كورت الجديد بجوار بوابة 22 وحدة  ف 15 منطقة الرحاب 2 
</v>
      </c>
      <c r="I2491" s="6" t="str">
        <f ca="1">IFERROR(__xludf.DUMMYFUNCTION("""COMPUTED_VALUE"""),"01029666423")</f>
        <v>01029666423</v>
      </c>
      <c r="J2491" s="6" t="str">
        <f ca="1">IFERROR(__xludf.DUMMYFUNCTION("""COMPUTED_VALUE"""),"19014")</f>
        <v>19014</v>
      </c>
      <c r="K2491" s="6" t="str">
        <f ca="1">IFERROR(__xludf.DUMMYFUNCTION("""COMPUTED_VALUE"""),"خصم 20% علي جميع التحاليل")</f>
        <v>خصم 20% علي جميع التحاليل</v>
      </c>
    </row>
    <row r="2492" spans="1:11" x14ac:dyDescent="0.25">
      <c r="A2492" s="4" t="str">
        <f ca="1">IFERROR(__xludf.DUMMYFUNCTION("""COMPUTED_VALUE"""),"1897-B")</f>
        <v>1897-B</v>
      </c>
      <c r="B2492" s="5" t="str">
        <f ca="1">IFERROR(__xludf.DUMMYFUNCTION("""COMPUTED_VALUE"""),"القاهرة")</f>
        <v>القاهرة</v>
      </c>
      <c r="C2492" s="5" t="str">
        <f ca="1">IFERROR(__xludf.DUMMYFUNCTION("""COMPUTED_VALUE"""),"القاهرة الجديدة")</f>
        <v>القاهرة الجديدة</v>
      </c>
      <c r="D2492" s="5" t="str">
        <f ca="1">IFERROR(__xludf.DUMMYFUNCTION("""COMPUTED_VALUE"""),"معمل")</f>
        <v>معمل</v>
      </c>
      <c r="E2492" s="5" t="str">
        <f ca="1">IFERROR(__xludf.DUMMYFUNCTION("""COMPUTED_VALUE"""),"معمل")</f>
        <v>معمل</v>
      </c>
      <c r="F2492" s="5" t="str">
        <f ca="1">IFERROR(__xludf.DUMMYFUNCTION("""COMPUTED_VALUE"""),"معمل التحاليل الطبية")</f>
        <v>معمل التحاليل الطبية</v>
      </c>
      <c r="G2492" s="5" t="str">
        <f ca="1">IFERROR(__xludf.DUMMYFUNCTION("""COMPUTED_VALUE"""),"معمل المختبر (د. مؤمنة كامل)")</f>
        <v>معمل المختبر (د. مؤمنة كامل)</v>
      </c>
      <c r="H2492" s="5" t="str">
        <f ca="1">IFERROR(__xludf.DUMMYFUNCTION("""COMPUTED_VALUE"""),"بوابة ١٣ الرحاب -بجوار نقطة شرطة الرحاب -الدور الأول-عيادة CS1 
")</f>
        <v xml:space="preserve">بوابة ١٣ الرحاب -بجوار نقطة شرطة الرحاب -الدور الأول-عيادة CS1 
</v>
      </c>
      <c r="I2492" s="6" t="str">
        <f ca="1">IFERROR(__xludf.DUMMYFUNCTION("""COMPUTED_VALUE"""),"010 5069 6658")</f>
        <v>010 5069 6658</v>
      </c>
      <c r="J2492" s="6" t="str">
        <f ca="1">IFERROR(__xludf.DUMMYFUNCTION("""COMPUTED_VALUE"""),"19014")</f>
        <v>19014</v>
      </c>
      <c r="K2492" s="6" t="str">
        <f ca="1">IFERROR(__xludf.DUMMYFUNCTION("""COMPUTED_VALUE"""),"خصم 20% علي جميع التحاليل")</f>
        <v>خصم 20% علي جميع التحاليل</v>
      </c>
    </row>
    <row r="2493" spans="1:11" x14ac:dyDescent="0.25">
      <c r="A2493" s="4" t="str">
        <f ca="1">IFERROR(__xludf.DUMMYFUNCTION("""COMPUTED_VALUE"""),"1897-B")</f>
        <v>1897-B</v>
      </c>
      <c r="B2493" s="5" t="str">
        <f ca="1">IFERROR(__xludf.DUMMYFUNCTION("""COMPUTED_VALUE"""),"القاهرة")</f>
        <v>القاهرة</v>
      </c>
      <c r="C2493" s="5" t="str">
        <f ca="1">IFERROR(__xludf.DUMMYFUNCTION("""COMPUTED_VALUE"""),"القاهرة الجديدة")</f>
        <v>القاهرة الجديدة</v>
      </c>
      <c r="D2493" s="5" t="str">
        <f ca="1">IFERROR(__xludf.DUMMYFUNCTION("""COMPUTED_VALUE"""),"معمل")</f>
        <v>معمل</v>
      </c>
      <c r="E2493" s="5" t="str">
        <f ca="1">IFERROR(__xludf.DUMMYFUNCTION("""COMPUTED_VALUE"""),"معمل")</f>
        <v>معمل</v>
      </c>
      <c r="F2493" s="5" t="str">
        <f ca="1">IFERROR(__xludf.DUMMYFUNCTION("""COMPUTED_VALUE"""),"معمل التحاليل الطبية")</f>
        <v>معمل التحاليل الطبية</v>
      </c>
      <c r="G2493" s="5" t="str">
        <f ca="1">IFERROR(__xludf.DUMMYFUNCTION("""COMPUTED_VALUE"""),"معمل المختبر (د. مؤمنة كامل)")</f>
        <v>معمل المختبر (د. مؤمنة كامل)</v>
      </c>
      <c r="H2493" s="5" t="str">
        <f ca="1">IFERROR(__xludf.DUMMYFUNCTION("""COMPUTED_VALUE"""),"كورنر مول امام بوابة 6  الدور الثاني 
")</f>
        <v xml:space="preserve">كورنر مول امام بوابة 6  الدور الثاني 
</v>
      </c>
      <c r="I2493" s="6" t="str">
        <f ca="1">IFERROR(__xludf.DUMMYFUNCTION("""COMPUTED_VALUE"""),"1050680448")</f>
        <v>1050680448</v>
      </c>
      <c r="J2493" s="6" t="str">
        <f ca="1">IFERROR(__xludf.DUMMYFUNCTION("""COMPUTED_VALUE"""),"19014")</f>
        <v>19014</v>
      </c>
      <c r="K2493" s="6" t="str">
        <f ca="1">IFERROR(__xludf.DUMMYFUNCTION("""COMPUTED_VALUE"""),"خصم 20% علي جميع التحاليل")</f>
        <v>خصم 20% علي جميع التحاليل</v>
      </c>
    </row>
    <row r="2494" spans="1:11" x14ac:dyDescent="0.25">
      <c r="A2494" s="4" t="str">
        <f ca="1">IFERROR(__xludf.DUMMYFUNCTION("""COMPUTED_VALUE"""),"1897-B")</f>
        <v>1897-B</v>
      </c>
      <c r="B2494" s="5" t="str">
        <f ca="1">IFERROR(__xludf.DUMMYFUNCTION("""COMPUTED_VALUE"""),"القاهرة")</f>
        <v>القاهرة</v>
      </c>
      <c r="C2494" s="5" t="str">
        <f ca="1">IFERROR(__xludf.DUMMYFUNCTION("""COMPUTED_VALUE"""),"القاهرة الجديدة")</f>
        <v>القاهرة الجديدة</v>
      </c>
      <c r="D2494" s="5" t="str">
        <f ca="1">IFERROR(__xludf.DUMMYFUNCTION("""COMPUTED_VALUE"""),"معمل")</f>
        <v>معمل</v>
      </c>
      <c r="E2494" s="5" t="str">
        <f ca="1">IFERROR(__xludf.DUMMYFUNCTION("""COMPUTED_VALUE"""),"معمل")</f>
        <v>معمل</v>
      </c>
      <c r="F2494" s="5" t="str">
        <f ca="1">IFERROR(__xludf.DUMMYFUNCTION("""COMPUTED_VALUE"""),"معمل التحاليل الطبية")</f>
        <v>معمل التحاليل الطبية</v>
      </c>
      <c r="G2494" s="5" t="str">
        <f ca="1">IFERROR(__xludf.DUMMYFUNCTION("""COMPUTED_VALUE"""),"معمل المختبر (د. مؤمنة كامل)")</f>
        <v>معمل المختبر (د. مؤمنة كامل)</v>
      </c>
      <c r="H2494" s="5" t="str">
        <f ca="1">IFERROR(__xludf.DUMMYFUNCTION("""COMPUTED_VALUE"""),"مول ميد تاون – أمام بوابة 4 لجامعة الامريكية – التجمع الخامس  ")</f>
        <v>مول ميد تاون – أمام بوابة 4 لجامعة الامريكية – التجمع الخامس  </v>
      </c>
      <c r="I2494" s="6" t="str">
        <f ca="1">IFERROR(__xludf.DUMMYFUNCTION("""COMPUTED_VALUE"""),"19014")</f>
        <v>19014</v>
      </c>
      <c r="J2494" s="6" t="str">
        <f ca="1">IFERROR(__xludf.DUMMYFUNCTION("""COMPUTED_VALUE"""),"19014")</f>
        <v>19014</v>
      </c>
      <c r="K2494" s="6" t="str">
        <f ca="1">IFERROR(__xludf.DUMMYFUNCTION("""COMPUTED_VALUE"""),"خصم 20% علي جميع التحاليل")</f>
        <v>خصم 20% علي جميع التحاليل</v>
      </c>
    </row>
    <row r="2495" spans="1:11" x14ac:dyDescent="0.25">
      <c r="A2495" s="4" t="str">
        <f ca="1">IFERROR(__xludf.DUMMYFUNCTION("""COMPUTED_VALUE"""),"1897-B")</f>
        <v>1897-B</v>
      </c>
      <c r="B2495" s="5" t="str">
        <f ca="1">IFERROR(__xludf.DUMMYFUNCTION("""COMPUTED_VALUE"""),"القاهرة")</f>
        <v>القاهرة</v>
      </c>
      <c r="C2495" s="5" t="str">
        <f ca="1">IFERROR(__xludf.DUMMYFUNCTION("""COMPUTED_VALUE"""),"القاهرة الجديدة")</f>
        <v>القاهرة الجديدة</v>
      </c>
      <c r="D2495" s="5" t="str">
        <f ca="1">IFERROR(__xludf.DUMMYFUNCTION("""COMPUTED_VALUE"""),"معمل")</f>
        <v>معمل</v>
      </c>
      <c r="E2495" s="5" t="str">
        <f ca="1">IFERROR(__xludf.DUMMYFUNCTION("""COMPUTED_VALUE"""),"معمل")</f>
        <v>معمل</v>
      </c>
      <c r="F2495" s="5" t="str">
        <f ca="1">IFERROR(__xludf.DUMMYFUNCTION("""COMPUTED_VALUE"""),"معمل التحاليل الطبية")</f>
        <v>معمل التحاليل الطبية</v>
      </c>
      <c r="G2495" s="5" t="str">
        <f ca="1">IFERROR(__xludf.DUMMYFUNCTION("""COMPUTED_VALUE"""),"معمل المختبر (د. مؤمنة كامل)")</f>
        <v>معمل المختبر (د. مؤمنة كامل)</v>
      </c>
      <c r="H2495" s="5" t="str">
        <f ca="1">IFERROR(__xludf.DUMMYFUNCTION("""COMPUTED_VALUE"""),"التسعين الشمالي - بجوار مستشفي الشفا - مول ١٦٤ -الدور الأول وحدة ٨،٩
")</f>
        <v xml:space="preserve">التسعين الشمالي - بجوار مستشفي الشفا - مول ١٦٤ -الدور الأول وحدة ٨،٩
</v>
      </c>
      <c r="I2495" s="6" t="str">
        <f ca="1">IFERROR(__xludf.DUMMYFUNCTION("""COMPUTED_VALUE"""),"19014")</f>
        <v>19014</v>
      </c>
      <c r="J2495" s="6" t="str">
        <f ca="1">IFERROR(__xludf.DUMMYFUNCTION("""COMPUTED_VALUE"""),"19014")</f>
        <v>19014</v>
      </c>
      <c r="K2495" s="6" t="str">
        <f ca="1">IFERROR(__xludf.DUMMYFUNCTION("""COMPUTED_VALUE"""),"خصم 20% علي جميع التحاليل")</f>
        <v>خصم 20% علي جميع التحاليل</v>
      </c>
    </row>
    <row r="2496" spans="1:11" x14ac:dyDescent="0.25">
      <c r="A2496" s="4" t="str">
        <f ca="1">IFERROR(__xludf.DUMMYFUNCTION("""COMPUTED_VALUE"""),"1897-B")</f>
        <v>1897-B</v>
      </c>
      <c r="B2496" s="5" t="str">
        <f ca="1">IFERROR(__xludf.DUMMYFUNCTION("""COMPUTED_VALUE"""),"القاهرة")</f>
        <v>القاهرة</v>
      </c>
      <c r="C2496" s="5" t="str">
        <f ca="1">IFERROR(__xludf.DUMMYFUNCTION("""COMPUTED_VALUE"""),"مدينة الشروق")</f>
        <v>مدينة الشروق</v>
      </c>
      <c r="D2496" s="5" t="str">
        <f ca="1">IFERROR(__xludf.DUMMYFUNCTION("""COMPUTED_VALUE"""),"معمل")</f>
        <v>معمل</v>
      </c>
      <c r="E2496" s="5" t="str">
        <f ca="1">IFERROR(__xludf.DUMMYFUNCTION("""COMPUTED_VALUE"""),"معمل")</f>
        <v>معمل</v>
      </c>
      <c r="F2496" s="5" t="str">
        <f ca="1">IFERROR(__xludf.DUMMYFUNCTION("""COMPUTED_VALUE"""),"معمل التحاليل الطبية")</f>
        <v>معمل التحاليل الطبية</v>
      </c>
      <c r="G2496" s="5" t="str">
        <f ca="1">IFERROR(__xludf.DUMMYFUNCTION("""COMPUTED_VALUE"""),"معمل المختبر (د. مؤمنة كامل)")</f>
        <v>معمل المختبر (د. مؤمنة كامل)</v>
      </c>
      <c r="H2496" s="5" t="str">
        <f ca="1">IFERROR(__xludf.DUMMYFUNCTION("""COMPUTED_VALUE"""),"مدينة الشروق - التعاونيات -الرابط الثالث 
")</f>
        <v xml:space="preserve">مدينة الشروق - التعاونيات -الرابط الثالث 
</v>
      </c>
      <c r="I2496" s="6" t="str">
        <f ca="1">IFERROR(__xludf.DUMMYFUNCTION("""COMPUTED_VALUE"""),"01033360362")</f>
        <v>01033360362</v>
      </c>
      <c r="J2496" s="6" t="str">
        <f ca="1">IFERROR(__xludf.DUMMYFUNCTION("""COMPUTED_VALUE"""),"19014")</f>
        <v>19014</v>
      </c>
      <c r="K2496" s="6" t="str">
        <f ca="1">IFERROR(__xludf.DUMMYFUNCTION("""COMPUTED_VALUE"""),"خصم 20% علي جميع التحاليل")</f>
        <v>خصم 20% علي جميع التحاليل</v>
      </c>
    </row>
    <row r="2497" spans="1:11" x14ac:dyDescent="0.25">
      <c r="A2497" s="4" t="str">
        <f ca="1">IFERROR(__xludf.DUMMYFUNCTION("""COMPUTED_VALUE"""),"1897-B")</f>
        <v>1897-B</v>
      </c>
      <c r="B2497" s="5" t="str">
        <f ca="1">IFERROR(__xludf.DUMMYFUNCTION("""COMPUTED_VALUE"""),"القاهرة")</f>
        <v>القاهرة</v>
      </c>
      <c r="C2497" s="5" t="str">
        <f ca="1">IFERROR(__xludf.DUMMYFUNCTION("""COMPUTED_VALUE"""),"مدينة الشروق")</f>
        <v>مدينة الشروق</v>
      </c>
      <c r="D2497" s="5" t="str">
        <f ca="1">IFERROR(__xludf.DUMMYFUNCTION("""COMPUTED_VALUE"""),"معمل")</f>
        <v>معمل</v>
      </c>
      <c r="E2497" s="5" t="str">
        <f ca="1">IFERROR(__xludf.DUMMYFUNCTION("""COMPUTED_VALUE"""),"معمل")</f>
        <v>معمل</v>
      </c>
      <c r="F2497" s="5" t="str">
        <f ca="1">IFERROR(__xludf.DUMMYFUNCTION("""COMPUTED_VALUE"""),"معمل التحاليل الطبية")</f>
        <v>معمل التحاليل الطبية</v>
      </c>
      <c r="G2497" s="5" t="str">
        <f ca="1">IFERROR(__xludf.DUMMYFUNCTION("""COMPUTED_VALUE"""),"معمل المختبر (د. مؤمنة كامل)")</f>
        <v>معمل المختبر (د. مؤمنة كامل)</v>
      </c>
      <c r="H2497" s="5" t="str">
        <f ca="1">IFERROR(__xludf.DUMMYFUNCTION("""COMPUTED_VALUE"""),"تاون سنتر الشروق– الدور الثاني – وحدة رقم 222
")</f>
        <v xml:space="preserve">تاون سنتر الشروق– الدور الثاني – وحدة رقم 222
</v>
      </c>
      <c r="I2497" s="6" t="str">
        <f ca="1">IFERROR(__xludf.DUMMYFUNCTION("""COMPUTED_VALUE"""),"01091987486")</f>
        <v>01091987486</v>
      </c>
      <c r="J2497" s="6" t="str">
        <f ca="1">IFERROR(__xludf.DUMMYFUNCTION("""COMPUTED_VALUE"""),"19014")</f>
        <v>19014</v>
      </c>
      <c r="K2497" s="6" t="str">
        <f ca="1">IFERROR(__xludf.DUMMYFUNCTION("""COMPUTED_VALUE"""),"خصم 20% علي جميع التحاليل")</f>
        <v>خصم 20% علي جميع التحاليل</v>
      </c>
    </row>
    <row r="2498" spans="1:11" x14ac:dyDescent="0.25">
      <c r="A2498" s="4" t="str">
        <f ca="1">IFERROR(__xludf.DUMMYFUNCTION("""COMPUTED_VALUE"""),"1897-B")</f>
        <v>1897-B</v>
      </c>
      <c r="B2498" s="5" t="str">
        <f ca="1">IFERROR(__xludf.DUMMYFUNCTION("""COMPUTED_VALUE"""),"الاسكندرية")</f>
        <v>الاسكندرية</v>
      </c>
      <c r="C2498" s="5" t="str">
        <f ca="1">IFERROR(__xludf.DUMMYFUNCTION("""COMPUTED_VALUE"""),"رشدي")</f>
        <v>رشدي</v>
      </c>
      <c r="D2498" s="5" t="str">
        <f ca="1">IFERROR(__xludf.DUMMYFUNCTION("""COMPUTED_VALUE"""),"معمل")</f>
        <v>معمل</v>
      </c>
      <c r="E2498" s="5" t="str">
        <f ca="1">IFERROR(__xludf.DUMMYFUNCTION("""COMPUTED_VALUE"""),"معمل")</f>
        <v>معمل</v>
      </c>
      <c r="F2498" s="5" t="str">
        <f ca="1">IFERROR(__xludf.DUMMYFUNCTION("""COMPUTED_VALUE"""),"معمل التحاليل الطبية")</f>
        <v>معمل التحاليل الطبية</v>
      </c>
      <c r="G2498" s="5" t="str">
        <f ca="1">IFERROR(__xludf.DUMMYFUNCTION("""COMPUTED_VALUE"""),"معمل المختبر (د. مؤمنة كامل)")</f>
        <v>معمل المختبر (د. مؤمنة كامل)</v>
      </c>
      <c r="H2498" s="5" t="str">
        <f ca="1">IFERROR(__xludf.DUMMYFUNCTION("""COMPUTED_VALUE"""),"2ش الفريد ليان  رشدي الاسكندريه
")</f>
        <v xml:space="preserve">2ش الفريد ليان  رشدي الاسكندريه
</v>
      </c>
      <c r="I2498" s="6" t="str">
        <f ca="1">IFERROR(__xludf.DUMMYFUNCTION("""COMPUTED_VALUE"""),"01033360296")</f>
        <v>01033360296</v>
      </c>
      <c r="J2498" s="6" t="str">
        <f ca="1">IFERROR(__xludf.DUMMYFUNCTION("""COMPUTED_VALUE"""),"19014")</f>
        <v>19014</v>
      </c>
      <c r="K2498" s="6" t="str">
        <f ca="1">IFERROR(__xludf.DUMMYFUNCTION("""COMPUTED_VALUE"""),"خصم 20% علي جميع التحاليل")</f>
        <v>خصم 20% علي جميع التحاليل</v>
      </c>
    </row>
    <row r="2499" spans="1:11" x14ac:dyDescent="0.25">
      <c r="A2499" s="4" t="str">
        <f ca="1">IFERROR(__xludf.DUMMYFUNCTION("""COMPUTED_VALUE"""),"1897-B")</f>
        <v>1897-B</v>
      </c>
      <c r="B2499" s="5" t="str">
        <f ca="1">IFERROR(__xludf.DUMMYFUNCTION("""COMPUTED_VALUE"""),"مرسى مطروح")</f>
        <v>مرسى مطروح</v>
      </c>
      <c r="C2499" s="5" t="str">
        <f ca="1">IFERROR(__xludf.DUMMYFUNCTION("""COMPUTED_VALUE"""),"الساحل الشمالي")</f>
        <v>الساحل الشمالي</v>
      </c>
      <c r="D2499" s="5" t="str">
        <f ca="1">IFERROR(__xludf.DUMMYFUNCTION("""COMPUTED_VALUE"""),"معمل")</f>
        <v>معمل</v>
      </c>
      <c r="E2499" s="5" t="str">
        <f ca="1">IFERROR(__xludf.DUMMYFUNCTION("""COMPUTED_VALUE"""),"معمل")</f>
        <v>معمل</v>
      </c>
      <c r="F2499" s="5" t="str">
        <f ca="1">IFERROR(__xludf.DUMMYFUNCTION("""COMPUTED_VALUE"""),"معمل التحاليل الطبية")</f>
        <v>معمل التحاليل الطبية</v>
      </c>
      <c r="G2499" s="5" t="str">
        <f ca="1">IFERROR(__xludf.DUMMYFUNCTION("""COMPUTED_VALUE"""),"معمل المختبر (د. مؤمنة كامل)")</f>
        <v>معمل المختبر (د. مؤمنة كامل)</v>
      </c>
      <c r="H2499" s="5" t="str">
        <f ca="1">IFERROR(__xludf.DUMMYFUNCTION("""COMPUTED_VALUE""")," الكيلو 135 على طريق الإسكندرية - مطروح الصحراوي - مقابل قرية امواج - مول سكاي كورت - الدور الاول
")</f>
        <v xml:space="preserve"> الكيلو 135 على طريق الإسكندرية - مطروح الصحراوي - مقابل قرية امواج - مول سكاي كورت - الدور الاول
</v>
      </c>
      <c r="I2499" s="6" t="str">
        <f ca="1">IFERROR(__xludf.DUMMYFUNCTION("""COMPUTED_VALUE"""),"01050692466")</f>
        <v>01050692466</v>
      </c>
      <c r="J2499" s="6" t="str">
        <f ca="1">IFERROR(__xludf.DUMMYFUNCTION("""COMPUTED_VALUE"""),"19014")</f>
        <v>19014</v>
      </c>
      <c r="K2499" s="6" t="str">
        <f ca="1">IFERROR(__xludf.DUMMYFUNCTION("""COMPUTED_VALUE"""),"خصم 20% علي جميع التحاليل")</f>
        <v>خصم 20% علي جميع التحاليل</v>
      </c>
    </row>
    <row r="2500" spans="1:11" x14ac:dyDescent="0.25">
      <c r="A2500" s="4" t="str">
        <f ca="1">IFERROR(__xludf.DUMMYFUNCTION("""COMPUTED_VALUE"""),"1897-B")</f>
        <v>1897-B</v>
      </c>
      <c r="B2500" s="5" t="str">
        <f ca="1">IFERROR(__xludf.DUMMYFUNCTION("""COMPUTED_VALUE"""),"مرسى مطروح")</f>
        <v>مرسى مطروح</v>
      </c>
      <c r="C2500" s="5" t="str">
        <f ca="1">IFERROR(__xludf.DUMMYFUNCTION("""COMPUTED_VALUE"""),"الساحل الشمالي")</f>
        <v>الساحل الشمالي</v>
      </c>
      <c r="D2500" s="5" t="str">
        <f ca="1">IFERROR(__xludf.DUMMYFUNCTION("""COMPUTED_VALUE"""),"معمل")</f>
        <v>معمل</v>
      </c>
      <c r="E2500" s="5" t="str">
        <f ca="1">IFERROR(__xludf.DUMMYFUNCTION("""COMPUTED_VALUE"""),"معمل")</f>
        <v>معمل</v>
      </c>
      <c r="F2500" s="5" t="str">
        <f ca="1">IFERROR(__xludf.DUMMYFUNCTION("""COMPUTED_VALUE"""),"معمل التحاليل الطبية")</f>
        <v>معمل التحاليل الطبية</v>
      </c>
      <c r="G2500" s="5" t="str">
        <f ca="1">IFERROR(__xludf.DUMMYFUNCTION("""COMPUTED_VALUE"""),"معمل المختبر (د. مؤمنة كامل)")</f>
        <v>معمل المختبر (د. مؤمنة كامل)</v>
      </c>
      <c r="H2500" s="5" t="str">
        <f ca="1">IFERROR(__xludf.DUMMYFUNCTION("""COMPUTED_VALUE"""),"هاسيندة وايت - بوابة ٣ - ك ١٣٧ 
")</f>
        <v xml:space="preserve">هاسيندة وايت - بوابة ٣ - ك ١٣٧ 
</v>
      </c>
      <c r="I2500" s="6" t="str">
        <f ca="1">IFERROR(__xludf.DUMMYFUNCTION("""COMPUTED_VALUE"""),"01091515092")</f>
        <v>01091515092</v>
      </c>
      <c r="J2500" s="6" t="str">
        <f ca="1">IFERROR(__xludf.DUMMYFUNCTION("""COMPUTED_VALUE"""),"19014")</f>
        <v>19014</v>
      </c>
      <c r="K2500" s="6" t="str">
        <f ca="1">IFERROR(__xludf.DUMMYFUNCTION("""COMPUTED_VALUE"""),"خصم 20% علي جميع التحاليل")</f>
        <v>خصم 20% علي جميع التحاليل</v>
      </c>
    </row>
    <row r="2501" spans="1:11" x14ac:dyDescent="0.25">
      <c r="A2501" s="4" t="str">
        <f ca="1">IFERROR(__xludf.DUMMYFUNCTION("""COMPUTED_VALUE"""),"106073-B")</f>
        <v>106073-B</v>
      </c>
      <c r="B2501" s="5" t="str">
        <f ca="1">IFERROR(__xludf.DUMMYFUNCTION("""COMPUTED_VALUE"""),"القاهرة")</f>
        <v>القاهرة</v>
      </c>
      <c r="C2501" s="5" t="str">
        <f ca="1">IFERROR(__xludf.DUMMYFUNCTION("""COMPUTED_VALUE"""),"مدينة نصر")</f>
        <v>مدينة نصر</v>
      </c>
      <c r="D2501" s="5" t="str">
        <f ca="1">IFERROR(__xludf.DUMMYFUNCTION("""COMPUTED_VALUE"""),"معمل")</f>
        <v>معمل</v>
      </c>
      <c r="E2501" s="5" t="str">
        <f ca="1">IFERROR(__xludf.DUMMYFUNCTION("""COMPUTED_VALUE"""),"معمل")</f>
        <v>معمل</v>
      </c>
      <c r="F2501" s="5" t="str">
        <f ca="1">IFERROR(__xludf.DUMMYFUNCTION("""COMPUTED_VALUE"""),"معمل التحاليل الطبية")</f>
        <v>معمل التحاليل الطبية</v>
      </c>
      <c r="G2501" s="5" t="str">
        <f ca="1">IFERROR(__xludf.DUMMYFUNCTION("""COMPUTED_VALUE"""),"شركة ابن حيان معامل اكيو لاب")</f>
        <v>شركة ابن حيان معامل اكيو لاب</v>
      </c>
      <c r="H2501" s="5" t="str">
        <f ca="1">IFERROR(__xludf.DUMMYFUNCTION("""COMPUTED_VALUE"""),"عباس العقاد 90 ")</f>
        <v xml:space="preserve">عباس العقاد 90 </v>
      </c>
      <c r="I2501" s="6"/>
      <c r="J2501" s="6" t="str">
        <f ca="1">IFERROR(__xludf.DUMMYFUNCTION("""COMPUTED_VALUE"""),"19868")</f>
        <v>19868</v>
      </c>
      <c r="K2501" s="6" t="str">
        <f ca="1">IFERROR(__xludf.DUMMYFUNCTION("""COMPUTED_VALUE"""),"35% نسبة خصم")</f>
        <v>35% نسبة خصم</v>
      </c>
    </row>
    <row r="2502" spans="1:11" x14ac:dyDescent="0.25">
      <c r="A2502" s="4" t="str">
        <f ca="1">IFERROR(__xludf.DUMMYFUNCTION("""COMPUTED_VALUE"""),"106073-B")</f>
        <v>106073-B</v>
      </c>
      <c r="B2502" s="5" t="str">
        <f ca="1">IFERROR(__xludf.DUMMYFUNCTION("""COMPUTED_VALUE"""),"الجيزة")</f>
        <v>الجيزة</v>
      </c>
      <c r="C2502" s="5" t="str">
        <f ca="1">IFERROR(__xludf.DUMMYFUNCTION("""COMPUTED_VALUE"""),"الشيخ زايد")</f>
        <v>الشيخ زايد</v>
      </c>
      <c r="D2502" s="5" t="str">
        <f ca="1">IFERROR(__xludf.DUMMYFUNCTION("""COMPUTED_VALUE"""),"معمل")</f>
        <v>معمل</v>
      </c>
      <c r="E2502" s="5" t="str">
        <f ca="1">IFERROR(__xludf.DUMMYFUNCTION("""COMPUTED_VALUE"""),"معمل")</f>
        <v>معمل</v>
      </c>
      <c r="F2502" s="5" t="str">
        <f ca="1">IFERROR(__xludf.DUMMYFUNCTION("""COMPUTED_VALUE"""),"معمل التحاليل الطبية")</f>
        <v>معمل التحاليل الطبية</v>
      </c>
      <c r="G2502" s="5" t="str">
        <f ca="1">IFERROR(__xludf.DUMMYFUNCTION("""COMPUTED_VALUE"""),"شركة ابن حيان معامل اكيو لاب")</f>
        <v>شركة ابن حيان معامل اكيو لاب</v>
      </c>
      <c r="H2502" s="5" t="str">
        <f ca="1">IFERROR(__xludf.DUMMYFUNCTION("""COMPUTED_VALUE"""),"مول اركان بلازا - مبنى رقم 5-الدور2 .
")</f>
        <v xml:space="preserve">مول اركان بلازا - مبنى رقم 5-الدور2 .
</v>
      </c>
      <c r="I2502" s="6"/>
      <c r="J2502" s="6" t="str">
        <f ca="1">IFERROR(__xludf.DUMMYFUNCTION("""COMPUTED_VALUE"""),"19868")</f>
        <v>19868</v>
      </c>
      <c r="K2502" s="6" t="str">
        <f ca="1">IFERROR(__xludf.DUMMYFUNCTION("""COMPUTED_VALUE"""),"35% نسبة خصم")</f>
        <v>35% نسبة خصم</v>
      </c>
    </row>
    <row r="2503" spans="1:11" x14ac:dyDescent="0.25">
      <c r="A2503" s="4" t="str">
        <f ca="1">IFERROR(__xludf.DUMMYFUNCTION("""COMPUTED_VALUE"""),"105392-B")</f>
        <v>105392-B</v>
      </c>
      <c r="B2503" s="5" t="str">
        <f ca="1">IFERROR(__xludf.DUMMYFUNCTION("""COMPUTED_VALUE"""),"قنا")</f>
        <v>قنا</v>
      </c>
      <c r="C2503" s="5" t="str">
        <f ca="1">IFERROR(__xludf.DUMMYFUNCTION("""COMPUTED_VALUE"""),"قنا")</f>
        <v>قنا</v>
      </c>
      <c r="D2503" s="5" t="str">
        <f ca="1">IFERROR(__xludf.DUMMYFUNCTION("""COMPUTED_VALUE"""),"مستشفى")</f>
        <v>مستشفى</v>
      </c>
      <c r="E2503" s="5" t="str">
        <f ca="1">IFERROR(__xludf.DUMMYFUNCTION("""COMPUTED_VALUE"""),"مستشفي طبي متخصص")</f>
        <v>مستشفي طبي متخصص</v>
      </c>
      <c r="F2503" s="5" t="str">
        <f ca="1">IFERROR(__xludf.DUMMYFUNCTION("""COMPUTED_VALUE"""),"رمد (جراحة عيون)")</f>
        <v>رمد (جراحة عيون)</v>
      </c>
      <c r="G2503" s="5" t="str">
        <f ca="1">IFERROR(__xludf.DUMMYFUNCTION("""COMPUTED_VALUE"""),"مركز سمايل للعيون و الليزك")</f>
        <v>مركز سمايل للعيون و الليزك</v>
      </c>
      <c r="H2503" s="5" t="str">
        <f ca="1">IFERROR(__xludf.DUMMYFUNCTION("""COMPUTED_VALUE"""),"شارع إمتداد كبري دندرة- برج  الزهراء (البنزينة سابقاً ) - أمام المدخل الرئيسي لمستشفى قنا العام- الدور الثالث -  قنا محافظة قنا")</f>
        <v>شارع إمتداد كبري دندرة- برج  الزهراء (البنزينة سابقاً ) - أمام المدخل الرئيسي لمستشفى قنا العام- الدور الثالث -  قنا محافظة قنا</v>
      </c>
      <c r="I2503" s="6" t="str">
        <f ca="1">IFERROR(__xludf.DUMMYFUNCTION("""COMPUTED_VALUE"""),"01028856480")</f>
        <v>01028856480</v>
      </c>
      <c r="J2503" s="6"/>
      <c r="K2503" s="6" t="str">
        <f ca="1">IFERROR(__xludf.DUMMYFUNCTION("""COMPUTED_VALUE"""),"30% على جميع الخدمات")</f>
        <v>30% على جميع الخدمات</v>
      </c>
    </row>
    <row r="2504" spans="1:11" x14ac:dyDescent="0.25">
      <c r="A2504" s="4" t="str">
        <f ca="1">IFERROR(__xludf.DUMMYFUNCTION("""COMPUTED_VALUE"""),"106840")</f>
        <v>106840</v>
      </c>
      <c r="B2504" s="5" t="str">
        <f ca="1">IFERROR(__xludf.DUMMYFUNCTION("""COMPUTED_VALUE"""),"الجيزة")</f>
        <v>الجيزة</v>
      </c>
      <c r="C2504" s="5" t="str">
        <f ca="1">IFERROR(__xludf.DUMMYFUNCTION("""COMPUTED_VALUE"""),"الهرم")</f>
        <v>الهرم</v>
      </c>
      <c r="D2504" s="5" t="str">
        <f ca="1">IFERROR(__xludf.DUMMYFUNCTION("""COMPUTED_VALUE"""),"مركز علاج طبيعي")</f>
        <v>مركز علاج طبيعي</v>
      </c>
      <c r="E2504" s="5" t="str">
        <f ca="1">IFERROR(__xludf.DUMMYFUNCTION("""COMPUTED_VALUE"""),"علاج طبيعي")</f>
        <v>علاج طبيعي</v>
      </c>
      <c r="F2504" s="5" t="str">
        <f ca="1">IFERROR(__xludf.DUMMYFUNCTION("""COMPUTED_VALUE"""),"جلسات العلاج الطبيعي")</f>
        <v>جلسات العلاج الطبيعي</v>
      </c>
      <c r="G2504" s="5" t="str">
        <f ca="1">IFERROR(__xludf.DUMMYFUNCTION("""COMPUTED_VALUE"""),"مركزالأندلس للعلاج الطبيعي")</f>
        <v>مركزالأندلس للعلاج الطبيعي</v>
      </c>
      <c r="H2504" s="5" t="str">
        <f ca="1">IFERROR(__xludf.DUMMYFUNCTION("""COMPUTED_VALUE"""),"103 خاتم المرسلين - هرم")</f>
        <v>103 خاتم المرسلين - هرم</v>
      </c>
      <c r="I2504" s="6" t="str">
        <f ca="1">IFERROR(__xludf.DUMMYFUNCTION("""COMPUTED_VALUE"""),"01551105938")</f>
        <v>01551105938</v>
      </c>
      <c r="J2504" s="6"/>
      <c r="K2504" s="6" t="str">
        <f ca="1">IFERROR(__xludf.DUMMYFUNCTION("""COMPUTED_VALUE"""),"25% على الأسعار النقدي المعلنه")</f>
        <v>25% على الأسعار النقدي المعلنه</v>
      </c>
    </row>
    <row r="2505" spans="1:11" x14ac:dyDescent="0.25">
      <c r="A2505" s="4" t="str">
        <f ca="1">IFERROR(__xludf.DUMMYFUNCTION("""COMPUTED_VALUE"""),"106840-B")</f>
        <v>106840-B</v>
      </c>
      <c r="B2505" s="5" t="str">
        <f ca="1">IFERROR(__xludf.DUMMYFUNCTION("""COMPUTED_VALUE"""),"الجيزة")</f>
        <v>الجيزة</v>
      </c>
      <c r="C2505" s="5" t="str">
        <f ca="1">IFERROR(__xludf.DUMMYFUNCTION("""COMPUTED_VALUE"""),"الشيخ زايد")</f>
        <v>الشيخ زايد</v>
      </c>
      <c r="D2505" s="5" t="str">
        <f ca="1">IFERROR(__xludf.DUMMYFUNCTION("""COMPUTED_VALUE"""),"مركز علاج طبيعي")</f>
        <v>مركز علاج طبيعي</v>
      </c>
      <c r="E2505" s="5" t="str">
        <f ca="1">IFERROR(__xludf.DUMMYFUNCTION("""COMPUTED_VALUE"""),"علاج طبيعي")</f>
        <v>علاج طبيعي</v>
      </c>
      <c r="F2505" s="5" t="str">
        <f ca="1">IFERROR(__xludf.DUMMYFUNCTION("""COMPUTED_VALUE"""),"جلسات العلاج الطبيعي")</f>
        <v>جلسات العلاج الطبيعي</v>
      </c>
      <c r="G2505" s="5" t="str">
        <f ca="1">IFERROR(__xludf.DUMMYFUNCTION("""COMPUTED_VALUE"""),"مركزالأندلس للعلاج الطبيعي")</f>
        <v>مركزالأندلس للعلاج الطبيعي</v>
      </c>
      <c r="H2505" s="5" t="str">
        <f ca="1">IFERROR(__xludf.DUMMYFUNCTION("""COMPUTED_VALUE"""),"الجزيرة بلازا خلف المرشدى - الدور الثانى")</f>
        <v>الجزيرة بلازا خلف المرشدى - الدور الثانى</v>
      </c>
      <c r="I2505" s="6" t="str">
        <f ca="1">IFERROR(__xludf.DUMMYFUNCTION("""COMPUTED_VALUE"""),"01551105938")</f>
        <v>01551105938</v>
      </c>
      <c r="J2505" s="6"/>
      <c r="K2505" s="6" t="str">
        <f ca="1">IFERROR(__xludf.DUMMYFUNCTION("""COMPUTED_VALUE"""),"25% على الأسعار النقدي المعلنه")</f>
        <v>25% على الأسعار النقدي المعلنه</v>
      </c>
    </row>
    <row r="2506" spans="1:11" x14ac:dyDescent="0.25">
      <c r="A2506" s="4" t="str">
        <f ca="1">IFERROR(__xludf.DUMMYFUNCTION("""COMPUTED_VALUE"""),"106840-B")</f>
        <v>106840-B</v>
      </c>
      <c r="B2506" s="5" t="str">
        <f ca="1">IFERROR(__xludf.DUMMYFUNCTION("""COMPUTED_VALUE"""),"الجيزة")</f>
        <v>الجيزة</v>
      </c>
      <c r="C2506" s="5" t="str">
        <f ca="1">IFERROR(__xludf.DUMMYFUNCTION("""COMPUTED_VALUE"""),"الدقي")</f>
        <v>الدقي</v>
      </c>
      <c r="D2506" s="5" t="str">
        <f ca="1">IFERROR(__xludf.DUMMYFUNCTION("""COMPUTED_VALUE"""),"مركز علاج طبيعي")</f>
        <v>مركز علاج طبيعي</v>
      </c>
      <c r="E2506" s="5" t="str">
        <f ca="1">IFERROR(__xludf.DUMMYFUNCTION("""COMPUTED_VALUE"""),"علاج طبيعي")</f>
        <v>علاج طبيعي</v>
      </c>
      <c r="F2506" s="5" t="str">
        <f ca="1">IFERROR(__xludf.DUMMYFUNCTION("""COMPUTED_VALUE"""),"جلسات العلاج الطبيعي")</f>
        <v>جلسات العلاج الطبيعي</v>
      </c>
      <c r="G2506" s="5" t="str">
        <f ca="1">IFERROR(__xludf.DUMMYFUNCTION("""COMPUTED_VALUE"""),"مركزالأندلس للعلاج الطبيعي")</f>
        <v>مركزالأندلس للعلاج الطبيعي</v>
      </c>
      <c r="H2506" s="5" t="str">
        <f ca="1">IFERROR(__xludf.DUMMYFUNCTION("""COMPUTED_VALUE"""),"1 ميدان فينى امام مستشفى الشبراويشي")</f>
        <v>1 ميدان فينى امام مستشفى الشبراويشي</v>
      </c>
      <c r="I2506" s="6" t="str">
        <f ca="1">IFERROR(__xludf.DUMMYFUNCTION("""COMPUTED_VALUE"""),"01551105938")</f>
        <v>01551105938</v>
      </c>
      <c r="J2506" s="6"/>
      <c r="K2506" s="6" t="str">
        <f ca="1">IFERROR(__xludf.DUMMYFUNCTION("""COMPUTED_VALUE"""),"25% على الأسعار النقدي المعلنه")</f>
        <v>25% على الأسعار النقدي المعلنه</v>
      </c>
    </row>
    <row r="2507" spans="1:11" x14ac:dyDescent="0.25">
      <c r="A2507" s="4" t="str">
        <f ca="1">IFERROR(__xludf.DUMMYFUNCTION("""COMPUTED_VALUE"""),"106841")</f>
        <v>106841</v>
      </c>
      <c r="B2507" s="5" t="str">
        <f ca="1">IFERROR(__xludf.DUMMYFUNCTION("""COMPUTED_VALUE"""),"كفر الشيخ")</f>
        <v>كفر الشيخ</v>
      </c>
      <c r="C2507" s="5" t="str">
        <f ca="1">IFERROR(__xludf.DUMMYFUNCTION("""COMPUTED_VALUE"""),"قلين")</f>
        <v>قلين</v>
      </c>
      <c r="D2507" s="5" t="str">
        <f ca="1">IFERROR(__xludf.DUMMYFUNCTION("""COMPUTED_VALUE"""),"مركز علاج طبيعي")</f>
        <v>مركز علاج طبيعي</v>
      </c>
      <c r="E2507" s="5" t="str">
        <f ca="1">IFERROR(__xludf.DUMMYFUNCTION("""COMPUTED_VALUE"""),"علاج طبيعي")</f>
        <v>علاج طبيعي</v>
      </c>
      <c r="F2507" s="5" t="str">
        <f ca="1">IFERROR(__xludf.DUMMYFUNCTION("""COMPUTED_VALUE"""),"جلسات العلاج الطبيعي")</f>
        <v>جلسات العلاج الطبيعي</v>
      </c>
      <c r="G2507" s="5" t="str">
        <f ca="1">IFERROR(__xludf.DUMMYFUNCTION("""COMPUTED_VALUE"""),"د. محمد عادل محمد عوض")</f>
        <v>د. محمد عادل محمد عوض</v>
      </c>
      <c r="H2507" s="5" t="str">
        <f ca="1">IFERROR(__xludf.DUMMYFUNCTION("""COMPUTED_VALUE"""),"قلين المحطه - مركز قلين - كفرالشيخ")</f>
        <v>قلين المحطه - مركز قلين - كفرالشيخ</v>
      </c>
      <c r="I2507" s="6" t="str">
        <f ca="1">IFERROR(__xludf.DUMMYFUNCTION("""COMPUTED_VALUE"""),"0473144429")</f>
        <v>0473144429</v>
      </c>
      <c r="J2507" s="6"/>
      <c r="K2507" s="6" t="str">
        <f ca="1">IFERROR(__xludf.DUMMYFUNCTION("""COMPUTED_VALUE"""),"25% على الأسعار النقدي المعلنه")</f>
        <v>25% على الأسعار النقدي المعلنه</v>
      </c>
    </row>
    <row r="2508" spans="1:11" x14ac:dyDescent="0.25">
      <c r="A2508" s="4" t="str">
        <f ca="1">IFERROR(__xludf.DUMMYFUNCTION("""COMPUTED_VALUE"""),"106841-B")</f>
        <v>106841-B</v>
      </c>
      <c r="B2508" s="5" t="str">
        <f ca="1">IFERROR(__xludf.DUMMYFUNCTION("""COMPUTED_VALUE"""),"كفر الشيخ")</f>
        <v>كفر الشيخ</v>
      </c>
      <c r="C2508" s="5" t="str">
        <f ca="1">IFERROR(__xludf.DUMMYFUNCTION("""COMPUTED_VALUE"""),"كفر الشيخ")</f>
        <v>كفر الشيخ</v>
      </c>
      <c r="D2508" s="5" t="str">
        <f ca="1">IFERROR(__xludf.DUMMYFUNCTION("""COMPUTED_VALUE"""),"مركز علاج طبيعي")</f>
        <v>مركز علاج طبيعي</v>
      </c>
      <c r="E2508" s="5" t="str">
        <f ca="1">IFERROR(__xludf.DUMMYFUNCTION("""COMPUTED_VALUE"""),"علاج طبيعي")</f>
        <v>علاج طبيعي</v>
      </c>
      <c r="F2508" s="5" t="str">
        <f ca="1">IFERROR(__xludf.DUMMYFUNCTION("""COMPUTED_VALUE"""),"جلسات العلاج الطبيعي")</f>
        <v>جلسات العلاج الطبيعي</v>
      </c>
      <c r="G2508" s="5" t="str">
        <f ca="1">IFERROR(__xludf.DUMMYFUNCTION("""COMPUTED_VALUE"""),"د. محمد عادل محمد عوض")</f>
        <v>د. محمد عادل محمد عوض</v>
      </c>
      <c r="H2508" s="5" t="str">
        <f ca="1">IFERROR(__xludf.DUMMYFUNCTION("""COMPUTED_VALUE"""),"المحاربين الجديده أعلي هايبريو - كفرالشيخ")</f>
        <v>المحاربين الجديده أعلي هايبريو - كفرالشيخ</v>
      </c>
      <c r="I2508" s="6" t="str">
        <f ca="1">IFERROR(__xludf.DUMMYFUNCTION("""COMPUTED_VALUE"""),"0473144429")</f>
        <v>0473144429</v>
      </c>
      <c r="J2508" s="6"/>
      <c r="K2508" s="6" t="str">
        <f ca="1">IFERROR(__xludf.DUMMYFUNCTION("""COMPUTED_VALUE"""),"25% على الأسعار النقدي المعلنه")</f>
        <v>25% على الأسعار النقدي المعلنه</v>
      </c>
    </row>
    <row r="2509" spans="1:11" x14ac:dyDescent="0.25">
      <c r="A2509" s="4" t="str">
        <f ca="1">IFERROR(__xludf.DUMMYFUNCTION("""COMPUTED_VALUE"""),"106842")</f>
        <v>106842</v>
      </c>
      <c r="B2509" s="5" t="str">
        <f ca="1">IFERROR(__xludf.DUMMYFUNCTION("""COMPUTED_VALUE"""),"الجيزة")</f>
        <v>الجيزة</v>
      </c>
      <c r="C2509" s="5" t="str">
        <f ca="1">IFERROR(__xludf.DUMMYFUNCTION("""COMPUTED_VALUE"""),"أوسيم")</f>
        <v>أوسيم</v>
      </c>
      <c r="D2509" s="5" t="str">
        <f ca="1">IFERROR(__xludf.DUMMYFUNCTION("""COMPUTED_VALUE"""),"صيدلية")</f>
        <v>صيدلية</v>
      </c>
      <c r="E2509" s="5" t="str">
        <f ca="1">IFERROR(__xludf.DUMMYFUNCTION("""COMPUTED_VALUE"""),"صيدلية")</f>
        <v>صيدلية</v>
      </c>
      <c r="F2509" s="5" t="str">
        <f ca="1">IFERROR(__xludf.DUMMYFUNCTION("""COMPUTED_VALUE"""),"صيدلية (أدوية ومستلزمات طبية)")</f>
        <v>صيدلية (أدوية ومستلزمات طبية)</v>
      </c>
      <c r="G2509" s="5" t="str">
        <f ca="1">IFERROR(__xludf.DUMMYFUNCTION("""COMPUTED_VALUE"""),"صيدليه الجارحي فارما")</f>
        <v>صيدليه الجارحي فارما</v>
      </c>
      <c r="H2509" s="5" t="str">
        <f ca="1">IFERROR(__xludf.DUMMYFUNCTION("""COMPUTED_VALUE"""),"3 ش الجمهوريه بجوار محطه مياه اوسيم - الجيزة")</f>
        <v>3 ش الجمهوريه بجوار محطه مياه اوسيم - الجيزة</v>
      </c>
      <c r="I2509" s="6" t="str">
        <f ca="1">IFERROR(__xludf.DUMMYFUNCTION("""COMPUTED_VALUE"""),"36758023")</f>
        <v>36758023</v>
      </c>
      <c r="J2509" s="6"/>
      <c r="K2509" s="6" t="str">
        <f ca="1">IFERROR(__xludf.DUMMYFUNCTION("""COMPUTED_VALUE"""),"خصم 12% علي الأدويه المحليه و 6% علي الأدويه المستورده")</f>
        <v>خصم 12% علي الأدويه المحليه و 6% علي الأدويه المستورده</v>
      </c>
    </row>
    <row r="2510" spans="1:11" x14ac:dyDescent="0.25">
      <c r="A2510" s="4" t="str">
        <f ca="1">IFERROR(__xludf.DUMMYFUNCTION("""COMPUTED_VALUE"""),"106842-B")</f>
        <v>106842-B</v>
      </c>
      <c r="B2510" s="5" t="str">
        <f ca="1">IFERROR(__xludf.DUMMYFUNCTION("""COMPUTED_VALUE"""),"الجيزة")</f>
        <v>الجيزة</v>
      </c>
      <c r="C2510" s="5" t="str">
        <f ca="1">IFERROR(__xludf.DUMMYFUNCTION("""COMPUTED_VALUE"""),"أوسيم")</f>
        <v>أوسيم</v>
      </c>
      <c r="D2510" s="5" t="str">
        <f ca="1">IFERROR(__xludf.DUMMYFUNCTION("""COMPUTED_VALUE"""),"صيدلية")</f>
        <v>صيدلية</v>
      </c>
      <c r="E2510" s="5" t="str">
        <f ca="1">IFERROR(__xludf.DUMMYFUNCTION("""COMPUTED_VALUE"""),"صيدلية")</f>
        <v>صيدلية</v>
      </c>
      <c r="F2510" s="5" t="str">
        <f ca="1">IFERROR(__xludf.DUMMYFUNCTION("""COMPUTED_VALUE"""),"صيدلية (أدوية ومستلزمات طبية)")</f>
        <v>صيدلية (أدوية ومستلزمات طبية)</v>
      </c>
      <c r="G2510" s="5" t="str">
        <f ca="1">IFERROR(__xludf.DUMMYFUNCTION("""COMPUTED_VALUE"""),"صيدليه الجارحي فارما")</f>
        <v>صيدليه الجارحي فارما</v>
      </c>
      <c r="H2510" s="5" t="str">
        <f ca="1">IFERROR(__xludf.DUMMYFUNCTION("""COMPUTED_VALUE"""),"شارع القاضى - مركز اوسيم - اوسيم - جيزة")</f>
        <v>شارع القاضى - مركز اوسيم - اوسيم - جيزة</v>
      </c>
      <c r="I2510" s="6" t="str">
        <f ca="1">IFERROR(__xludf.DUMMYFUNCTION("""COMPUTED_VALUE"""),"36758023")</f>
        <v>36758023</v>
      </c>
      <c r="J2510" s="6"/>
      <c r="K2510" s="6" t="str">
        <f ca="1">IFERROR(__xludf.DUMMYFUNCTION("""COMPUTED_VALUE"""),"خصم 12% علي الأدويه المحليه و 6% علي الأدويه المستورده")</f>
        <v>خصم 12% علي الأدويه المحليه و 6% علي الأدويه المستورده</v>
      </c>
    </row>
    <row r="2511" spans="1:11" x14ac:dyDescent="0.25">
      <c r="A2511" s="4" t="str">
        <f ca="1">IFERROR(__xludf.DUMMYFUNCTION("""COMPUTED_VALUE"""),"106842-B")</f>
        <v>106842-B</v>
      </c>
      <c r="B2511" s="5" t="str">
        <f ca="1">IFERROR(__xludf.DUMMYFUNCTION("""COMPUTED_VALUE"""),"الجيزة")</f>
        <v>الجيزة</v>
      </c>
      <c r="C2511" s="5" t="str">
        <f ca="1">IFERROR(__xludf.DUMMYFUNCTION("""COMPUTED_VALUE"""),"الوراق")</f>
        <v>الوراق</v>
      </c>
      <c r="D2511" s="5" t="str">
        <f ca="1">IFERROR(__xludf.DUMMYFUNCTION("""COMPUTED_VALUE"""),"صيدلية")</f>
        <v>صيدلية</v>
      </c>
      <c r="E2511" s="5" t="str">
        <f ca="1">IFERROR(__xludf.DUMMYFUNCTION("""COMPUTED_VALUE"""),"صيدلية")</f>
        <v>صيدلية</v>
      </c>
      <c r="F2511" s="5" t="str">
        <f ca="1">IFERROR(__xludf.DUMMYFUNCTION("""COMPUTED_VALUE"""),"صيدلية (أدوية ومستلزمات طبية)")</f>
        <v>صيدلية (أدوية ومستلزمات طبية)</v>
      </c>
      <c r="G2511" s="5" t="str">
        <f ca="1">IFERROR(__xludf.DUMMYFUNCTION("""COMPUTED_VALUE"""),"صيدليه الجارحي فارما")</f>
        <v>صيدليه الجارحي فارما</v>
      </c>
      <c r="H2511" s="5" t="str">
        <f ca="1">IFERROR(__xludf.DUMMYFUNCTION("""COMPUTED_VALUE"""),"شارع ترعة السواحل جزيرة محمد الوراق")</f>
        <v>شارع ترعة السواحل جزيرة محمد الوراق</v>
      </c>
      <c r="I2511" s="6" t="str">
        <f ca="1">IFERROR(__xludf.DUMMYFUNCTION("""COMPUTED_VALUE"""),"36758023")</f>
        <v>36758023</v>
      </c>
      <c r="J2511" s="6"/>
      <c r="K2511" s="6" t="str">
        <f ca="1">IFERROR(__xludf.DUMMYFUNCTION("""COMPUTED_VALUE"""),"خصم 12% علي الأدويه المحليه و 6% علي الأدويه المستورده")</f>
        <v>خصم 12% علي الأدويه المحليه و 6% علي الأدويه المستورده</v>
      </c>
    </row>
    <row r="2512" spans="1:11" x14ac:dyDescent="0.25">
      <c r="A2512" s="4" t="str">
        <f ca="1">IFERROR(__xludf.DUMMYFUNCTION("""COMPUTED_VALUE"""),"106842-B")</f>
        <v>106842-B</v>
      </c>
      <c r="B2512" s="5" t="str">
        <f ca="1">IFERROR(__xludf.DUMMYFUNCTION("""COMPUTED_VALUE"""),"الجيزة")</f>
        <v>الجيزة</v>
      </c>
      <c r="C2512" s="5" t="str">
        <f ca="1">IFERROR(__xludf.DUMMYFUNCTION("""COMPUTED_VALUE"""),"الجيزة")</f>
        <v>الجيزة</v>
      </c>
      <c r="D2512" s="5" t="str">
        <f ca="1">IFERROR(__xludf.DUMMYFUNCTION("""COMPUTED_VALUE"""),"صيدلية")</f>
        <v>صيدلية</v>
      </c>
      <c r="E2512" s="5" t="str">
        <f ca="1">IFERROR(__xludf.DUMMYFUNCTION("""COMPUTED_VALUE"""),"صيدلية")</f>
        <v>صيدلية</v>
      </c>
      <c r="F2512" s="5" t="str">
        <f ca="1">IFERROR(__xludf.DUMMYFUNCTION("""COMPUTED_VALUE"""),"صيدلية (أدوية ومستلزمات طبية)")</f>
        <v>صيدلية (أدوية ومستلزمات طبية)</v>
      </c>
      <c r="G2512" s="5" t="str">
        <f ca="1">IFERROR(__xludf.DUMMYFUNCTION("""COMPUTED_VALUE"""),"صيدليه الجارحي فارما")</f>
        <v>صيدليه الجارحي فارما</v>
      </c>
      <c r="H2512" s="5" t="str">
        <f ca="1">IFERROR(__xludf.DUMMYFUNCTION("""COMPUTED_VALUE"""),"4من ش ربيع الجيزى - جيزة")</f>
        <v>4من ش ربيع الجيزى - جيزة</v>
      </c>
      <c r="I2512" s="6" t="str">
        <f ca="1">IFERROR(__xludf.DUMMYFUNCTION("""COMPUTED_VALUE"""),"36758023")</f>
        <v>36758023</v>
      </c>
      <c r="J2512" s="6"/>
      <c r="K2512" s="6" t="str">
        <f ca="1">IFERROR(__xludf.DUMMYFUNCTION("""COMPUTED_VALUE"""),"خصم 12% علي الأدويه المحليه و 6% علي الأدويه المستورده")</f>
        <v>خصم 12% علي الأدويه المحليه و 6% علي الأدويه المستورده</v>
      </c>
    </row>
    <row r="2513" spans="1:11" x14ac:dyDescent="0.25">
      <c r="A2513" s="4" t="str">
        <f ca="1">IFERROR(__xludf.DUMMYFUNCTION("""COMPUTED_VALUE"""),"106842-B")</f>
        <v>106842-B</v>
      </c>
      <c r="B2513" s="5" t="str">
        <f ca="1">IFERROR(__xludf.DUMMYFUNCTION("""COMPUTED_VALUE"""),"الجيزة")</f>
        <v>الجيزة</v>
      </c>
      <c r="C2513" s="5" t="str">
        <f ca="1">IFERROR(__xludf.DUMMYFUNCTION("""COMPUTED_VALUE"""),"أوسيم")</f>
        <v>أوسيم</v>
      </c>
      <c r="D2513" s="5" t="str">
        <f ca="1">IFERROR(__xludf.DUMMYFUNCTION("""COMPUTED_VALUE"""),"صيدلية")</f>
        <v>صيدلية</v>
      </c>
      <c r="E2513" s="5" t="str">
        <f ca="1">IFERROR(__xludf.DUMMYFUNCTION("""COMPUTED_VALUE"""),"صيدلية")</f>
        <v>صيدلية</v>
      </c>
      <c r="F2513" s="5" t="str">
        <f ca="1">IFERROR(__xludf.DUMMYFUNCTION("""COMPUTED_VALUE"""),"صيدلية (أدوية ومستلزمات طبية)")</f>
        <v>صيدلية (أدوية ومستلزمات طبية)</v>
      </c>
      <c r="G2513" s="5" t="str">
        <f ca="1">IFERROR(__xludf.DUMMYFUNCTION("""COMPUTED_VALUE"""),"صيدليه الجارحي فارما")</f>
        <v>صيدليه الجارحي فارما</v>
      </c>
      <c r="H2513" s="5" t="str">
        <f ca="1">IFERROR(__xludf.DUMMYFUNCTION("""COMPUTED_VALUE"""),"شارع الحرية - اوسيم")</f>
        <v>شارع الحرية - اوسيم</v>
      </c>
      <c r="I2513" s="6" t="str">
        <f ca="1">IFERROR(__xludf.DUMMYFUNCTION("""COMPUTED_VALUE"""),"36758023")</f>
        <v>36758023</v>
      </c>
      <c r="J2513" s="6"/>
      <c r="K2513" s="6" t="str">
        <f ca="1">IFERROR(__xludf.DUMMYFUNCTION("""COMPUTED_VALUE"""),"خصم 12% علي الأدويه المحليه و 6% علي الأدويه المستورده")</f>
        <v>خصم 12% علي الأدويه المحليه و 6% علي الأدويه المستورده</v>
      </c>
    </row>
    <row r="2514" spans="1:11" x14ac:dyDescent="0.25">
      <c r="A2514" s="4" t="str">
        <f ca="1">IFERROR(__xludf.DUMMYFUNCTION("""COMPUTED_VALUE"""),"106843")</f>
        <v>106843</v>
      </c>
      <c r="B2514" s="5" t="str">
        <f ca="1">IFERROR(__xludf.DUMMYFUNCTION("""COMPUTED_VALUE"""),"بني سويف")</f>
        <v>بني سويف</v>
      </c>
      <c r="C2514" s="5" t="str">
        <f ca="1">IFERROR(__xludf.DUMMYFUNCTION("""COMPUTED_VALUE"""),"بني سويف")</f>
        <v>بني سويف</v>
      </c>
      <c r="D2514" s="5" t="str">
        <f ca="1">IFERROR(__xludf.DUMMYFUNCTION("""COMPUTED_VALUE"""),"مجمع عيادات")</f>
        <v>مجمع عيادات</v>
      </c>
      <c r="E2514" s="5" t="str">
        <f ca="1">IFERROR(__xludf.DUMMYFUNCTION("""COMPUTED_VALUE"""),"جميع التخصصات")</f>
        <v>جميع التخصصات</v>
      </c>
      <c r="F2514" s="5" t="str">
        <f ca="1">IFERROR(__xludf.DUMMYFUNCTION("""COMPUTED_VALUE"""),"جميع التخصصات الطبية")</f>
        <v>جميع التخصصات الطبية</v>
      </c>
      <c r="G2514" s="5" t="str">
        <f ca="1">IFERROR(__xludf.DUMMYFUNCTION("""COMPUTED_VALUE"""),"مركز حسين التخصصي للخدمات الطبية")</f>
        <v>مركز حسين التخصصي للخدمات الطبية</v>
      </c>
      <c r="H2514" s="5" t="str">
        <f ca="1">IFERROR(__xludf.DUMMYFUNCTION("""COMPUTED_VALUE"""),"طريق الفيوم الجديد محافظه بني سويف")</f>
        <v>طريق الفيوم الجديد محافظه بني سويف</v>
      </c>
      <c r="I2514" s="6" t="str">
        <f ca="1">IFERROR(__xludf.DUMMYFUNCTION("""COMPUTED_VALUE"""),"01032629202")</f>
        <v>01032629202</v>
      </c>
      <c r="J2514" s="6"/>
      <c r="K2514" s="6" t="str">
        <f ca="1">IFERROR(__xludf.DUMMYFUNCTION("""COMPUTED_VALUE"""),"30% على الأسعار النقدي المعلنه")</f>
        <v>30% على الأسعار النقدي المعلنه</v>
      </c>
    </row>
    <row r="2515" spans="1:11" x14ac:dyDescent="0.25">
      <c r="A2515" s="4" t="str">
        <f ca="1">IFERROR(__xludf.DUMMYFUNCTION("""COMPUTED_VALUE"""),"106844")</f>
        <v>106844</v>
      </c>
      <c r="B2515" s="5" t="str">
        <f ca="1">IFERROR(__xludf.DUMMYFUNCTION("""COMPUTED_VALUE"""),"الجيزة")</f>
        <v>الجيزة</v>
      </c>
      <c r="C2515" s="5" t="str">
        <f ca="1">IFERROR(__xludf.DUMMYFUNCTION("""COMPUTED_VALUE"""),"البدرشين")</f>
        <v>البدرشين</v>
      </c>
      <c r="D2515" s="5" t="str">
        <f ca="1">IFERROR(__xludf.DUMMYFUNCTION("""COMPUTED_VALUE"""),"مستشفى")</f>
        <v>مستشفى</v>
      </c>
      <c r="E2515" s="5" t="str">
        <f ca="1">IFERROR(__xludf.DUMMYFUNCTION("""COMPUTED_VALUE"""),"مستشفي طبي متكامل")</f>
        <v>مستشفي طبي متكامل</v>
      </c>
      <c r="F2515" s="5" t="str">
        <f ca="1">IFERROR(__xludf.DUMMYFUNCTION("""COMPUTED_VALUE"""),"جميع التخصصات الطبية")</f>
        <v>جميع التخصصات الطبية</v>
      </c>
      <c r="G2515" s="5" t="str">
        <f ca="1">IFERROR(__xludf.DUMMYFUNCTION("""COMPUTED_VALUE"""),"وادي النيل الدوليه للخدمات الطبية المتكاملة")</f>
        <v>وادي النيل الدوليه للخدمات الطبية المتكاملة</v>
      </c>
      <c r="H2515" s="5" t="str">
        <f ca="1">IFERROR(__xludf.DUMMYFUNCTION("""COMPUTED_VALUE"""),"شارع مصر أسيوط البطئ بعد بنك مصر البدرشين - الجيزة")</f>
        <v>شارع مصر أسيوط البطئ بعد بنك مصر البدرشين - الجيزة</v>
      </c>
      <c r="I2515" s="6" t="str">
        <f ca="1">IFERROR(__xludf.DUMMYFUNCTION("""COMPUTED_VALUE"""),"01100840022")</f>
        <v>01100840022</v>
      </c>
      <c r="J2515" s="6"/>
      <c r="K2515" s="6" t="str">
        <f ca="1">IFERROR(__xludf.DUMMYFUNCTION("""COMPUTED_VALUE"""),"30% على الأسعار النقدي المعلنه")</f>
        <v>30% على الأسعار النقدي المعلنه</v>
      </c>
    </row>
    <row r="2516" spans="1:11" x14ac:dyDescent="0.25">
      <c r="A2516" s="4" t="str">
        <f ca="1">IFERROR(__xludf.DUMMYFUNCTION("""COMPUTED_VALUE"""),"106845")</f>
        <v>106845</v>
      </c>
      <c r="B2516" s="5" t="str">
        <f ca="1">IFERROR(__xludf.DUMMYFUNCTION("""COMPUTED_VALUE"""),"القاهرة")</f>
        <v>القاهرة</v>
      </c>
      <c r="C2516" s="5" t="str">
        <f ca="1">IFERROR(__xludf.DUMMYFUNCTION("""COMPUTED_VALUE"""),"المقطم")</f>
        <v>المقطم</v>
      </c>
      <c r="D2516" s="5" t="str">
        <f ca="1">IFERROR(__xludf.DUMMYFUNCTION("""COMPUTED_VALUE"""),"مركز علاج طبيعي")</f>
        <v>مركز علاج طبيعي</v>
      </c>
      <c r="E2516" s="5" t="str">
        <f ca="1">IFERROR(__xludf.DUMMYFUNCTION("""COMPUTED_VALUE"""),"علاج طبيعي")</f>
        <v>علاج طبيعي</v>
      </c>
      <c r="F2516" s="5" t="str">
        <f ca="1">IFERROR(__xludf.DUMMYFUNCTION("""COMPUTED_VALUE"""),"جلسات العلاج الطبيعي")</f>
        <v>جلسات العلاج الطبيعي</v>
      </c>
      <c r="G2516" s="5" t="str">
        <f ca="1">IFERROR(__xludf.DUMMYFUNCTION("""COMPUTED_VALUE"""),"بشوي جورجي يوسف خير (مركز الجولف للعلاج الطبيعي و التأهيل)")</f>
        <v>بشوي جورجي يوسف خير (مركز الجولف للعلاج الطبيعي و التأهيل)</v>
      </c>
      <c r="H2516" s="5" t="str">
        <f ca="1">IFERROR(__xludf.DUMMYFUNCTION("""COMPUTED_VALUE"""),"مجمع عيادات شارع 9 - قطعه رقم 1/610 عيادة (B25/1) - المقطم - القاهرة")</f>
        <v>مجمع عيادات شارع 9 - قطعه رقم 1/610 عيادة (B25/1) - المقطم - القاهرة</v>
      </c>
      <c r="I2516" s="6" t="str">
        <f ca="1">IFERROR(__xludf.DUMMYFUNCTION("""COMPUTED_VALUE"""),"022903777")</f>
        <v>022903777</v>
      </c>
      <c r="J2516" s="6"/>
      <c r="K2516" s="6" t="str">
        <f ca="1">IFERROR(__xludf.DUMMYFUNCTION("""COMPUTED_VALUE"""),"30% على الأسعار النقدي المعلنه")</f>
        <v>30% على الأسعار النقدي المعلنه</v>
      </c>
    </row>
    <row r="2517" spans="1:11" x14ac:dyDescent="0.25">
      <c r="A2517" s="4" t="str">
        <f ca="1">IFERROR(__xludf.DUMMYFUNCTION("""COMPUTED_VALUE"""),"106846")</f>
        <v>106846</v>
      </c>
      <c r="B2517" s="5" t="str">
        <f ca="1">IFERROR(__xludf.DUMMYFUNCTION("""COMPUTED_VALUE"""),"الاسكندرية")</f>
        <v>الاسكندرية</v>
      </c>
      <c r="C2517" s="5" t="str">
        <f ca="1">IFERROR(__xludf.DUMMYFUNCTION("""COMPUTED_VALUE"""),"سيدي بشر")</f>
        <v>سيدي بشر</v>
      </c>
      <c r="D2517" s="5" t="str">
        <f ca="1">IFERROR(__xludf.DUMMYFUNCTION("""COMPUTED_VALUE"""),"صيدلية")</f>
        <v>صيدلية</v>
      </c>
      <c r="E2517" s="5" t="str">
        <f ca="1">IFERROR(__xludf.DUMMYFUNCTION("""COMPUTED_VALUE"""),"صيدلية")</f>
        <v>صيدلية</v>
      </c>
      <c r="F2517" s="5" t="str">
        <f ca="1">IFERROR(__xludf.DUMMYFUNCTION("""COMPUTED_VALUE"""),"صيدلية (أدوية ومستلزمات طبية)")</f>
        <v>صيدلية (أدوية ومستلزمات طبية)</v>
      </c>
      <c r="G2517" s="5" t="str">
        <f ca="1">IFERROR(__xludf.DUMMYFUNCTION("""COMPUTED_VALUE"""),"صيدليه الياسمين")</f>
        <v>صيدليه الياسمين</v>
      </c>
      <c r="H2517" s="5" t="str">
        <f ca="1">IFERROR(__xludf.DUMMYFUNCTION("""COMPUTED_VALUE"""),"شارع مسجد السلام حي منتزه - سيدي بشر")</f>
        <v>شارع مسجد السلام حي منتزه - سيدي بشر</v>
      </c>
      <c r="I2517" s="6" t="str">
        <f ca="1">IFERROR(__xludf.DUMMYFUNCTION("""COMPUTED_VALUE"""),"5490739")</f>
        <v>5490739</v>
      </c>
      <c r="J2517" s="6"/>
      <c r="K2517" s="6" t="str">
        <f ca="1">IFERROR(__xludf.DUMMYFUNCTION("""COMPUTED_VALUE"""),"خصم 15% علي الأدويه المحليه و 7% علي الأدويه المستورده")</f>
        <v>خصم 15% علي الأدويه المحليه و 7% علي الأدويه المستورده</v>
      </c>
    </row>
    <row r="2518" spans="1:11" x14ac:dyDescent="0.25">
      <c r="A2518" s="4" t="str">
        <f ca="1">IFERROR(__xludf.DUMMYFUNCTION("""COMPUTED_VALUE"""),"106846-B")</f>
        <v>106846-B</v>
      </c>
      <c r="B2518" s="5" t="str">
        <f ca="1">IFERROR(__xludf.DUMMYFUNCTION("""COMPUTED_VALUE"""),"الاسكندرية")</f>
        <v>الاسكندرية</v>
      </c>
      <c r="C2518" s="5" t="str">
        <f ca="1">IFERROR(__xludf.DUMMYFUNCTION("""COMPUTED_VALUE"""),"الشاطبي")</f>
        <v>الشاطبي</v>
      </c>
      <c r="D2518" s="5" t="str">
        <f ca="1">IFERROR(__xludf.DUMMYFUNCTION("""COMPUTED_VALUE"""),"صيدلية")</f>
        <v>صيدلية</v>
      </c>
      <c r="E2518" s="5" t="str">
        <f ca="1">IFERROR(__xludf.DUMMYFUNCTION("""COMPUTED_VALUE"""),"صيدلية")</f>
        <v>صيدلية</v>
      </c>
      <c r="F2518" s="5" t="str">
        <f ca="1">IFERROR(__xludf.DUMMYFUNCTION("""COMPUTED_VALUE"""),"صيدلية (أدوية ومستلزمات طبية)")</f>
        <v>صيدلية (أدوية ومستلزمات طبية)</v>
      </c>
      <c r="G2518" s="5" t="str">
        <f ca="1">IFERROR(__xludf.DUMMYFUNCTION("""COMPUTED_VALUE"""),"صيدليه الياسمين")</f>
        <v>صيدليه الياسمين</v>
      </c>
      <c r="H2518" s="5" t="str">
        <f ca="1">IFERROR(__xludf.DUMMYFUNCTION("""COMPUTED_VALUE"""),"محل رقم 1 العقار 93 شارع احمد قمحه ناصيه شارع الأمير بجوار كوبري الجامعه - الشطبي")</f>
        <v>محل رقم 1 العقار 93 شارع احمد قمحه ناصيه شارع الأمير بجوار كوبري الجامعه - الشطبي</v>
      </c>
      <c r="I2518" s="6" t="str">
        <f ca="1">IFERROR(__xludf.DUMMYFUNCTION("""COMPUTED_VALUE"""),"5490739")</f>
        <v>5490739</v>
      </c>
      <c r="J2518" s="6"/>
      <c r="K2518" s="6" t="str">
        <f ca="1">IFERROR(__xludf.DUMMYFUNCTION("""COMPUTED_VALUE"""),"خصم 15% علي الأدويه المحليه و 7% علي الأدويه المستورده")</f>
        <v>خصم 15% علي الأدويه المحليه و 7% علي الأدويه المستورده</v>
      </c>
    </row>
    <row r="2519" spans="1:11" x14ac:dyDescent="0.25">
      <c r="A2519" s="4" t="str">
        <f ca="1">IFERROR(__xludf.DUMMYFUNCTION("""COMPUTED_VALUE"""),"105523-B")</f>
        <v>105523-B</v>
      </c>
      <c r="B2519" s="5" t="str">
        <f ca="1">IFERROR(__xludf.DUMMYFUNCTION("""COMPUTED_VALUE"""),"القاهرة")</f>
        <v>القاهرة</v>
      </c>
      <c r="C2519" s="5" t="str">
        <f ca="1">IFERROR(__xludf.DUMMYFUNCTION("""COMPUTED_VALUE"""),"المعادى")</f>
        <v>المعادى</v>
      </c>
      <c r="D2519" s="5" t="str">
        <f ca="1">IFERROR(__xludf.DUMMYFUNCTION("""COMPUTED_VALUE"""),"معمل")</f>
        <v>معمل</v>
      </c>
      <c r="E2519" s="5" t="str">
        <f ca="1">IFERROR(__xludf.DUMMYFUNCTION("""COMPUTED_VALUE"""),"معمل")</f>
        <v>معمل</v>
      </c>
      <c r="F2519" s="5" t="str">
        <f ca="1">IFERROR(__xludf.DUMMYFUNCTION("""COMPUTED_VALUE"""),"معمل التحاليل الطبية")</f>
        <v>معمل التحاليل الطبية</v>
      </c>
      <c r="G2519" s="5" t="str">
        <f ca="1">IFERROR(__xludf.DUMMYFUNCTION("""COMPUTED_VALUE"""),"تاون لاب للتحاليل الطبيه")</f>
        <v>تاون لاب للتحاليل الطبيه</v>
      </c>
      <c r="H2519" s="5" t="str">
        <f ca="1">IFERROR(__xludf.DUMMYFUNCTION("""COMPUTED_VALUE"""),"المعادى (الزهراء) : إليت تاور - شرق الأوتوستراد - مدخل زهراء المعادي")</f>
        <v>المعادى (الزهراء) : إليت تاور - شرق الأوتوستراد - مدخل زهراء المعادي</v>
      </c>
      <c r="I2519" s="6" t="str">
        <f ca="1">IFERROR(__xludf.DUMMYFUNCTION("""COMPUTED_VALUE"""),"01221219337")</f>
        <v>01221219337</v>
      </c>
      <c r="J2519" s="6"/>
      <c r="K2519" s="6" t="str">
        <f ca="1">IFERROR(__xludf.DUMMYFUNCTION("""COMPUTED_VALUE"""),"خصم 35% علي الأسعار النقدي المعلنة")</f>
        <v>خصم 35% علي الأسعار النقدي المعلنة</v>
      </c>
    </row>
    <row r="2520" spans="1:11" x14ac:dyDescent="0.25">
      <c r="A2520" s="4" t="str">
        <f ca="1">IFERROR(__xludf.DUMMYFUNCTION("""COMPUTED_VALUE"""),"105523-B")</f>
        <v>105523-B</v>
      </c>
      <c r="B2520" s="5" t="str">
        <f ca="1">IFERROR(__xludf.DUMMYFUNCTION("""COMPUTED_VALUE"""),"الجيزة")</f>
        <v>الجيزة</v>
      </c>
      <c r="C2520" s="5" t="str">
        <f ca="1">IFERROR(__xludf.DUMMYFUNCTION("""COMPUTED_VALUE"""),"الدقي")</f>
        <v>الدقي</v>
      </c>
      <c r="D2520" s="5" t="str">
        <f ca="1">IFERROR(__xludf.DUMMYFUNCTION("""COMPUTED_VALUE"""),"معمل")</f>
        <v>معمل</v>
      </c>
      <c r="E2520" s="5" t="str">
        <f ca="1">IFERROR(__xludf.DUMMYFUNCTION("""COMPUTED_VALUE"""),"معمل")</f>
        <v>معمل</v>
      </c>
      <c r="F2520" s="5" t="str">
        <f ca="1">IFERROR(__xludf.DUMMYFUNCTION("""COMPUTED_VALUE"""),"معمل التحاليل الطبية")</f>
        <v>معمل التحاليل الطبية</v>
      </c>
      <c r="G2520" s="5" t="str">
        <f ca="1">IFERROR(__xludf.DUMMYFUNCTION("""COMPUTED_VALUE"""),"تاون لاب للتحاليل الطبيه")</f>
        <v>تاون لاب للتحاليل الطبيه</v>
      </c>
      <c r="H2520" s="5" t="str">
        <f ca="1">IFERROR(__xludf.DUMMYFUNCTION("""COMPUTED_VALUE"""),"45 ميدان الدقي - عمارة فرغلي - الدور الثالث")</f>
        <v>45 ميدان الدقي - عمارة فرغلي - الدور الثالث</v>
      </c>
      <c r="I2520" s="6" t="str">
        <f ca="1">IFERROR(__xludf.DUMMYFUNCTION("""COMPUTED_VALUE"""),"01271338137")</f>
        <v>01271338137</v>
      </c>
      <c r="J2520" s="6"/>
      <c r="K2520" s="6" t="str">
        <f ca="1">IFERROR(__xludf.DUMMYFUNCTION("""COMPUTED_VALUE"""),"خصم 35% علي الأسعار النقدي المعلنة")</f>
        <v>خصم 35% علي الأسعار النقدي المعلنة</v>
      </c>
    </row>
    <row r="2521" spans="1:11" x14ac:dyDescent="0.25">
      <c r="A2521" s="4" t="str">
        <f ca="1">IFERROR(__xludf.DUMMYFUNCTION("""COMPUTED_VALUE"""),"106849")</f>
        <v>106849</v>
      </c>
      <c r="B2521" s="5" t="str">
        <f ca="1">IFERROR(__xludf.DUMMYFUNCTION("""COMPUTED_VALUE"""),"القاهرة")</f>
        <v>القاهرة</v>
      </c>
      <c r="C2521" s="5" t="str">
        <f ca="1">IFERROR(__xludf.DUMMYFUNCTION("""COMPUTED_VALUE"""),"القاهرة الجديدة")</f>
        <v>القاهرة الجديدة</v>
      </c>
      <c r="D2521" s="5" t="str">
        <f ca="1">IFERROR(__xludf.DUMMYFUNCTION("""COMPUTED_VALUE"""),"مستشفى")</f>
        <v>مستشفى</v>
      </c>
      <c r="E2521" s="5" t="str">
        <f ca="1">IFERROR(__xludf.DUMMYFUNCTION("""COMPUTED_VALUE"""),"مستشفي طبي متكامل")</f>
        <v>مستشفي طبي متكامل</v>
      </c>
      <c r="F2521" s="5" t="str">
        <f ca="1">IFERROR(__xludf.DUMMYFUNCTION("""COMPUTED_VALUE"""),"جميع التخصصات الطبية")</f>
        <v>جميع التخصصات الطبية</v>
      </c>
      <c r="G2521" s="5" t="str">
        <f ca="1">IFERROR(__xludf.DUMMYFUNCTION("""COMPUTED_VALUE"""),"مستشفي تاون")</f>
        <v>مستشفي تاون</v>
      </c>
      <c r="H2521" s="5" t="str">
        <f ca="1">IFERROR(__xludf.DUMMYFUNCTION("""COMPUTED_VALUE"""),"حي 2 منطقة 3 التجمع الخامس - مدينة القاهرة الجديدة - القاهرة")</f>
        <v>حي 2 منطقة 3 التجمع الخامس - مدينة القاهرة الجديدة - القاهرة</v>
      </c>
      <c r="I2521" s="6" t="str">
        <f ca="1">IFERROR(__xludf.DUMMYFUNCTION("""COMPUTED_VALUE"""),"01027786969")</f>
        <v>01027786969</v>
      </c>
      <c r="J2521" s="6"/>
      <c r="K2521" s="6" t="str">
        <f ca="1">IFERROR(__xludf.DUMMYFUNCTION("""COMPUTED_VALUE"""),"50%علي الكشوفات و 15%علي الطوارئ وخدمات العيادات الخارجيه و 20%علي الاشعه و15%علي التحاليل و20%علي الاقامة علما أن الأدوية و المستلزمات و خدمات بنك الدم و رسم استخدام الأجهزة و الغازات الطبية و تحليل عينات الباثولوجي لا تخضع للخصم
")</f>
        <v xml:space="preserve">50%علي الكشوفات و 15%علي الطوارئ وخدمات العيادات الخارجيه و 20%علي الاشعه و15%علي التحاليل و20%علي الاقامة علما أن الأدوية و المستلزمات و خدمات بنك الدم و رسم استخدام الأجهزة و الغازات الطبية و تحليل عينات الباثولوجي لا تخضع للخصم
</v>
      </c>
    </row>
    <row r="2522" spans="1:11" x14ac:dyDescent="0.25">
      <c r="A2522" s="4" t="str">
        <f ca="1">IFERROR(__xludf.DUMMYFUNCTION("""COMPUTED_VALUE"""),"106850")</f>
        <v>106850</v>
      </c>
      <c r="B2522" s="5" t="str">
        <f ca="1">IFERROR(__xludf.DUMMYFUNCTION("""COMPUTED_VALUE"""),"البحيرة")</f>
        <v>البحيرة</v>
      </c>
      <c r="C2522" s="5" t="str">
        <f ca="1">IFERROR(__xludf.DUMMYFUNCTION("""COMPUTED_VALUE"""),"رشيد")</f>
        <v>رشيد</v>
      </c>
      <c r="D2522" s="5" t="str">
        <f ca="1">IFERROR(__xludf.DUMMYFUNCTION("""COMPUTED_VALUE"""),"مستشفى")</f>
        <v>مستشفى</v>
      </c>
      <c r="E2522" s="5" t="str">
        <f ca="1">IFERROR(__xludf.DUMMYFUNCTION("""COMPUTED_VALUE"""),"مستشفي طبي متكامل")</f>
        <v>مستشفي طبي متكامل</v>
      </c>
      <c r="F2522" s="5" t="str">
        <f ca="1">IFERROR(__xludf.DUMMYFUNCTION("""COMPUTED_VALUE"""),"جميع التخصصات الطبية")</f>
        <v>جميع التخصصات الطبية</v>
      </c>
      <c r="G2522" s="5" t="str">
        <f ca="1">IFERROR(__xludf.DUMMYFUNCTION("""COMPUTED_VALUE"""),"شركة مستشفي نبض الحياة رشيد التخصصي")</f>
        <v>شركة مستشفي نبض الحياة رشيد التخصصي</v>
      </c>
      <c r="H2522" s="5" t="str">
        <f ca="1">IFERROR(__xludf.DUMMYFUNCTION("""COMPUTED_VALUE"""),"10 شارع السكه الجديده امام محولات - رشيد - البحيرة")</f>
        <v>10 شارع السكه الجديده امام محولات - رشيد - البحيرة</v>
      </c>
      <c r="I2522" s="6" t="str">
        <f ca="1">IFERROR(__xludf.DUMMYFUNCTION("""COMPUTED_VALUE"""),"01094400947")</f>
        <v>01094400947</v>
      </c>
      <c r="J2522" s="6"/>
      <c r="K2522" s="6" t="str">
        <f ca="1">IFERROR(__xludf.DUMMYFUNCTION("""COMPUTED_VALUE"""),"30% على الأسعار النقدي المعلنه")</f>
        <v>30% على الأسعار النقدي المعلنه</v>
      </c>
    </row>
    <row r="2523" spans="1:11" x14ac:dyDescent="0.25">
      <c r="A2523" s="4" t="str">
        <f ca="1">IFERROR(__xludf.DUMMYFUNCTION("""COMPUTED_VALUE"""),"106851")</f>
        <v>106851</v>
      </c>
      <c r="B2523" s="5" t="str">
        <f ca="1">IFERROR(__xludf.DUMMYFUNCTION("""COMPUTED_VALUE"""),"الشرقية")</f>
        <v>الشرقية</v>
      </c>
      <c r="C2523" s="5" t="str">
        <f ca="1">IFERROR(__xludf.DUMMYFUNCTION("""COMPUTED_VALUE"""),"منيا القمح")</f>
        <v>منيا القمح</v>
      </c>
      <c r="D2523" s="5" t="str">
        <f ca="1">IFERROR(__xludf.DUMMYFUNCTION("""COMPUTED_VALUE"""),"مستشفى")</f>
        <v>مستشفى</v>
      </c>
      <c r="E2523" s="5" t="str">
        <f ca="1">IFERROR(__xludf.DUMMYFUNCTION("""COMPUTED_VALUE"""),"مستشفي طبي متكامل")</f>
        <v>مستشفي طبي متكامل</v>
      </c>
      <c r="F2523" s="5" t="str">
        <f ca="1">IFERROR(__xludf.DUMMYFUNCTION("""COMPUTED_VALUE"""),"جميع التخصصات الطبية")</f>
        <v>جميع التخصصات الطبية</v>
      </c>
      <c r="G2523" s="5" t="str">
        <f ca="1">IFERROR(__xludf.DUMMYFUNCTION("""COMPUTED_VALUE"""),"مستشفي العاصمة التخصصي بمنيا القمح")</f>
        <v>مستشفي العاصمة التخصصي بمنيا القمح</v>
      </c>
      <c r="H2523" s="5" t="str">
        <f ca="1">IFERROR(__xludf.DUMMYFUNCTION("""COMPUTED_VALUE"""),"منزل عادل حسانين حسن ش سعد زغلول - منيا القمح - الشرقيه")</f>
        <v>منزل عادل حسانين حسن ش سعد زغلول - منيا القمح - الشرقيه</v>
      </c>
      <c r="I2523" s="6" t="str">
        <f ca="1">IFERROR(__xludf.DUMMYFUNCTION("""COMPUTED_VALUE"""),"01127917847")</f>
        <v>01127917847</v>
      </c>
      <c r="J2523" s="6"/>
      <c r="K2523" s="6" t="str">
        <f ca="1">IFERROR(__xludf.DUMMYFUNCTION("""COMPUTED_VALUE"""),"خصم 30% علي الاسعار النقدي")</f>
        <v>خصم 30% علي الاسعار النقدي</v>
      </c>
    </row>
    <row r="2524" spans="1:11" x14ac:dyDescent="0.25">
      <c r="A2524" s="4" t="str">
        <f ca="1">IFERROR(__xludf.DUMMYFUNCTION("""COMPUTED_VALUE"""),"106852")</f>
        <v>106852</v>
      </c>
      <c r="B2524" s="5" t="str">
        <f ca="1">IFERROR(__xludf.DUMMYFUNCTION("""COMPUTED_VALUE"""),"سوهاج")</f>
        <v>سوهاج</v>
      </c>
      <c r="C2524" s="5" t="str">
        <f ca="1">IFERROR(__xludf.DUMMYFUNCTION("""COMPUTED_VALUE"""),"سوهاج")</f>
        <v>سوهاج</v>
      </c>
      <c r="D2524" s="5" t="str">
        <f ca="1">IFERROR(__xludf.DUMMYFUNCTION("""COMPUTED_VALUE"""),"مركز علاج طبيعي")</f>
        <v>مركز علاج طبيعي</v>
      </c>
      <c r="E2524" s="5" t="str">
        <f ca="1">IFERROR(__xludf.DUMMYFUNCTION("""COMPUTED_VALUE"""),"علاج طبيعي")</f>
        <v>علاج طبيعي</v>
      </c>
      <c r="F2524" s="5" t="str">
        <f ca="1">IFERROR(__xludf.DUMMYFUNCTION("""COMPUTED_VALUE"""),"جلسات العلاج الطبيعي")</f>
        <v>جلسات العلاج الطبيعي</v>
      </c>
      <c r="G2524" s="5" t="str">
        <f ca="1">IFERROR(__xludf.DUMMYFUNCTION("""COMPUTED_VALUE"""),"د.حمدى السيد محمد حسن ( مركز الهوارى للعلاج الطبيعي )")</f>
        <v>د.حمدى السيد محمد حسن ( مركز الهوارى للعلاج الطبيعي )</v>
      </c>
      <c r="H2524" s="5" t="str">
        <f ca="1">IFERROR(__xludf.DUMMYFUNCTION("""COMPUTED_VALUE"""),"امام مدرسة عرب الاطاولة - مركز أخميم - سوهاج")</f>
        <v>امام مدرسة عرب الاطاولة - مركز أخميم - سوهاج</v>
      </c>
      <c r="I2524" s="6" t="str">
        <f ca="1">IFERROR(__xludf.DUMMYFUNCTION("""COMPUTED_VALUE"""),"01111026868")</f>
        <v>01111026868</v>
      </c>
      <c r="J2524" s="6"/>
      <c r="K2524" s="6" t="str">
        <f ca="1">IFERROR(__xludf.DUMMYFUNCTION("""COMPUTED_VALUE"""),"خصم 30% علي الاسعار النقدي")</f>
        <v>خصم 30% علي الاسعار النقدي</v>
      </c>
    </row>
    <row r="2525" spans="1:11" x14ac:dyDescent="0.25">
      <c r="A2525" s="4" t="str">
        <f ca="1">IFERROR(__xludf.DUMMYFUNCTION("""COMPUTED_VALUE"""),"106854")</f>
        <v>106854</v>
      </c>
      <c r="B2525" s="5" t="str">
        <f ca="1">IFERROR(__xludf.DUMMYFUNCTION("""COMPUTED_VALUE"""),"القاهرة")</f>
        <v>القاهرة</v>
      </c>
      <c r="C2525" s="5" t="str">
        <f ca="1">IFERROR(__xludf.DUMMYFUNCTION("""COMPUTED_VALUE"""),"حلوان")</f>
        <v>حلوان</v>
      </c>
      <c r="D2525" s="5" t="str">
        <f ca="1">IFERROR(__xludf.DUMMYFUNCTION("""COMPUTED_VALUE"""),"مستشفى")</f>
        <v>مستشفى</v>
      </c>
      <c r="E2525" s="5" t="str">
        <f ca="1">IFERROR(__xludf.DUMMYFUNCTION("""COMPUTED_VALUE"""),"مستشفي طبي متكامل")</f>
        <v>مستشفي طبي متكامل</v>
      </c>
      <c r="F2525" s="5" t="str">
        <f ca="1">IFERROR(__xludf.DUMMYFUNCTION("""COMPUTED_VALUE"""),"جميع التخصصات الطبية")</f>
        <v>جميع التخصصات الطبية</v>
      </c>
      <c r="G2525" s="5" t="str">
        <f ca="1">IFERROR(__xludf.DUMMYFUNCTION("""COMPUTED_VALUE"""),"لايف ديفيز لاداره المشروعات (مستشفي الوفاء التخصصي)")</f>
        <v>لايف ديفيز لاداره المشروعات (مستشفي الوفاء التخصصي)</v>
      </c>
      <c r="H2525" s="5" t="str">
        <f ca="1">IFERROR(__xludf.DUMMYFUNCTION("""COMPUTED_VALUE"""),"برج الروضه شارع عمر عبد العزيز - منشية جمال عبدالناصر ارض الذهبية - حلوان - القاهرة")</f>
        <v>برج الروضه شارع عمر عبد العزيز - منشية جمال عبدالناصر ارض الذهبية - حلوان - القاهرة</v>
      </c>
      <c r="I2525" s="6" t="str">
        <f ca="1">IFERROR(__xludf.DUMMYFUNCTION("""COMPUTED_VALUE"""),"01008347868")</f>
        <v>01008347868</v>
      </c>
      <c r="J2525" s="6"/>
      <c r="K2525" s="6" t="str">
        <f ca="1">IFERROR(__xludf.DUMMYFUNCTION("""COMPUTED_VALUE"""),"خصم 20% علي كل الخدمات ما عدا الأدويه و المستلزمات الطبيه و اتعاب الأطباء ")</f>
        <v xml:space="preserve">خصم 20% علي كل الخدمات ما عدا الأدويه و المستلزمات الطبيه و اتعاب الأطباء </v>
      </c>
    </row>
    <row r="2526" spans="1:11" x14ac:dyDescent="0.25">
      <c r="A2526" s="4" t="str">
        <f ca="1">IFERROR(__xludf.DUMMYFUNCTION("""COMPUTED_VALUE"""),"106855")</f>
        <v>106855</v>
      </c>
      <c r="B2526" s="5" t="str">
        <f ca="1">IFERROR(__xludf.DUMMYFUNCTION("""COMPUTED_VALUE"""),"بني سويف")</f>
        <v>بني سويف</v>
      </c>
      <c r="C2526" s="5" t="str">
        <f ca="1">IFERROR(__xludf.DUMMYFUNCTION("""COMPUTED_VALUE"""),"الواسطى")</f>
        <v>الواسطى</v>
      </c>
      <c r="D2526" s="5" t="str">
        <f ca="1">IFERROR(__xludf.DUMMYFUNCTION("""COMPUTED_VALUE"""),"مركز أشعة")</f>
        <v>مركز أشعة</v>
      </c>
      <c r="E2526" s="5" t="str">
        <f ca="1">IFERROR(__xludf.DUMMYFUNCTION("""COMPUTED_VALUE"""),"مركز أشعة")</f>
        <v>مركز أشعة</v>
      </c>
      <c r="F2526" s="5" t="str">
        <f ca="1">IFERROR(__xludf.DUMMYFUNCTION("""COMPUTED_VALUE"""),"أشعة تشخيصية")</f>
        <v>أشعة تشخيصية</v>
      </c>
      <c r="G2526" s="5" t="str">
        <f ca="1">IFERROR(__xludf.DUMMYFUNCTION("""COMPUTED_VALUE"""),"مركز الوادي للأشعه")</f>
        <v>مركز الوادي للأشعه</v>
      </c>
      <c r="H2526" s="5" t="str">
        <f ca="1">IFERROR(__xludf.DUMMYFUNCTION("""COMPUTED_VALUE"""),"شارع أحمد عرابي بجوار محكمه الواسطي - الواسطي - بني سويف")</f>
        <v>شارع أحمد عرابي بجوار محكمه الواسطي - الواسطي - بني سويف</v>
      </c>
      <c r="I2526" s="6" t="str">
        <f ca="1">IFERROR(__xludf.DUMMYFUNCTION("""COMPUTED_VALUE"""),"01124287113")</f>
        <v>01124287113</v>
      </c>
      <c r="J2526" s="6"/>
      <c r="K2526" s="6" t="str">
        <f ca="1">IFERROR(__xludf.DUMMYFUNCTION("""COMPUTED_VALUE"""),"خصم 30% علي الاسعار النقدي")</f>
        <v>خصم 30% علي الاسعار النقدي</v>
      </c>
    </row>
    <row r="2527" spans="1:11" x14ac:dyDescent="0.25">
      <c r="A2527" s="4" t="str">
        <f ca="1">IFERROR(__xludf.DUMMYFUNCTION("""COMPUTED_VALUE"""),"105624-B")</f>
        <v>105624-B</v>
      </c>
      <c r="B2527" s="5" t="str">
        <f ca="1">IFERROR(__xludf.DUMMYFUNCTION("""COMPUTED_VALUE"""),"القاهرة")</f>
        <v>القاهرة</v>
      </c>
      <c r="C2527" s="5" t="str">
        <f ca="1">IFERROR(__xludf.DUMMYFUNCTION("""COMPUTED_VALUE"""),"مدينة نصر")</f>
        <v>مدينة نصر</v>
      </c>
      <c r="D2527" s="5" t="str">
        <f ca="1">IFERROR(__xludf.DUMMYFUNCTION("""COMPUTED_VALUE"""),"هيئة الأطباء")</f>
        <v>هيئة الأطباء</v>
      </c>
      <c r="E2527" s="5" t="str">
        <f ca="1">IFERROR(__xludf.DUMMYFUNCTION("""COMPUTED_VALUE"""),"اسنان")</f>
        <v>اسنان</v>
      </c>
      <c r="F2527" s="5" t="str">
        <f ca="1">IFERROR(__xludf.DUMMYFUNCTION("""COMPUTED_VALUE"""),"جراحة الفم والأسنان")</f>
        <v>جراحة الفم والأسنان</v>
      </c>
      <c r="G2527" s="5" t="str">
        <f ca="1">IFERROR(__xludf.DUMMYFUNCTION("""COMPUTED_VALUE"""),"د.باسم إبراهيم يوسف لاشين")</f>
        <v>د.باسم إبراهيم يوسف لاشين</v>
      </c>
      <c r="H2527" s="5" t="str">
        <f ca="1">IFERROR(__xludf.DUMMYFUNCTION("""COMPUTED_VALUE"""),"48 شارع عباس العقاد مدينه نصر الدور الرابع لعلى انس الدمشقى ")</f>
        <v xml:space="preserve">48 شارع عباس العقاد مدينه نصر الدور الرابع لعلى انس الدمشقى </v>
      </c>
      <c r="I2527" s="6" t="str">
        <f ca="1">IFERROR(__xludf.DUMMYFUNCTION("""COMPUTED_VALUE"""),"01030431166")</f>
        <v>01030431166</v>
      </c>
      <c r="J2527" s="6"/>
      <c r="K2527" s="6" t="str">
        <f ca="1">IFERROR(__xludf.DUMMYFUNCTION("""COMPUTED_VALUE"""),"50%خصم علي الكشوفات وخصم 25% علي باقي الخدمات المعلنة")</f>
        <v>50%خصم علي الكشوفات وخصم 25% علي باقي الخدمات المعلنة</v>
      </c>
    </row>
    <row r="2528" spans="1:11" x14ac:dyDescent="0.25">
      <c r="A2528" s="4" t="str">
        <f ca="1">IFERROR(__xludf.DUMMYFUNCTION("""COMPUTED_VALUE"""),"106213-B")</f>
        <v>106213-B</v>
      </c>
      <c r="B2528" s="5" t="str">
        <f ca="1">IFERROR(__xludf.DUMMYFUNCTION("""COMPUTED_VALUE"""),"أسيوط")</f>
        <v>أسيوط</v>
      </c>
      <c r="C2528" s="5" t="str">
        <f ca="1">IFERROR(__xludf.DUMMYFUNCTION("""COMPUTED_VALUE"""),"أسيوط")</f>
        <v>أسيوط</v>
      </c>
      <c r="D2528" s="5" t="str">
        <f ca="1">IFERROR(__xludf.DUMMYFUNCTION("""COMPUTED_VALUE"""),"مجمع عيادات")</f>
        <v>مجمع عيادات</v>
      </c>
      <c r="E2528" s="5" t="str">
        <f ca="1">IFERROR(__xludf.DUMMYFUNCTION("""COMPUTED_VALUE"""),"جميع التخصصات")</f>
        <v>جميع التخصصات</v>
      </c>
      <c r="F2528" s="5" t="str">
        <f ca="1">IFERROR(__xludf.DUMMYFUNCTION("""COMPUTED_VALUE"""),"جميع التخصصات الطبية")</f>
        <v>جميع التخصصات الطبية</v>
      </c>
      <c r="G2528" s="5" t="str">
        <f ca="1">IFERROR(__xludf.DUMMYFUNCTION("""COMPUTED_VALUE"""),"شركة داوي لتجهيز المنشات الطبية")</f>
        <v>شركة داوي لتجهيز المنشات الطبية</v>
      </c>
      <c r="H2528" s="5" t="str">
        <f ca="1">IFERROR(__xludf.DUMMYFUNCTION("""COMPUTED_VALUE"""),"47 ش الجمهورية - الوحدة الإدارية - الدور الأول - مدخل 2 من شارع نزيه خليفة.")</f>
        <v>47 ش الجمهورية - الوحدة الإدارية - الدور الأول - مدخل 2 من شارع نزيه خليفة.</v>
      </c>
      <c r="I2528" s="6"/>
      <c r="J2528" s="6" t="str">
        <f ca="1">IFERROR(__xludf.DUMMYFUNCTION("""COMPUTED_VALUE"""),"16850")</f>
        <v>16850</v>
      </c>
      <c r="K2528" s="6" t="str">
        <f ca="1">IFERROR(__xludf.DUMMYFUNCTION("""COMPUTED_VALUE"""),"خصم 25% علي جميع الخدمات و20% علي خدمات الاسنان")</f>
        <v>خصم 25% علي جميع الخدمات و20% علي خدمات الاسنان</v>
      </c>
    </row>
    <row r="2529" spans="1:11" x14ac:dyDescent="0.25">
      <c r="A2529" s="4" t="str">
        <f ca="1">IFERROR(__xludf.DUMMYFUNCTION("""COMPUTED_VALUE"""),"106874")</f>
        <v>106874</v>
      </c>
      <c r="B2529" s="5" t="str">
        <f ca="1">IFERROR(__xludf.DUMMYFUNCTION("""COMPUTED_VALUE"""),"الاسكندرية")</f>
        <v>الاسكندرية</v>
      </c>
      <c r="C2529" s="5" t="str">
        <f ca="1">IFERROR(__xludf.DUMMYFUNCTION("""COMPUTED_VALUE"""),"بولكي")</f>
        <v>بولكي</v>
      </c>
      <c r="D2529" s="5" t="str">
        <f ca="1">IFERROR(__xludf.DUMMYFUNCTION("""COMPUTED_VALUE"""),"مستشفى")</f>
        <v>مستشفى</v>
      </c>
      <c r="E2529" s="5" t="str">
        <f ca="1">IFERROR(__xludf.DUMMYFUNCTION("""COMPUTED_VALUE"""),"مستشفي طبي متكامل")</f>
        <v>مستشفي طبي متكامل</v>
      </c>
      <c r="F2529" s="5" t="str">
        <f ca="1">IFERROR(__xludf.DUMMYFUNCTION("""COMPUTED_VALUE"""),"جميع التخصصات الطبية")</f>
        <v>جميع التخصصات الطبية</v>
      </c>
      <c r="G2529" s="5" t="str">
        <f ca="1">IFERROR(__xludf.DUMMYFUNCTION("""COMPUTED_VALUE"""),"شركة مستشفي وينجت الملكي (مستشفي وينجت الملكي)")</f>
        <v>شركة مستشفي وينجت الملكي (مستشفي وينجت الملكي)</v>
      </c>
      <c r="H2529" s="5" t="str">
        <f ca="1">IFERROR(__xludf.DUMMYFUNCTION("""COMPUTED_VALUE"""),"8 شارع محمد فريد - بولكي - الاسكندريه")</f>
        <v>8 شارع محمد فريد - بولكي - الاسكندريه</v>
      </c>
      <c r="I2529" s="6" t="str">
        <f ca="1">IFERROR(__xludf.DUMMYFUNCTION("""COMPUTED_VALUE"""),"035463111")</f>
        <v>035463111</v>
      </c>
      <c r="J2529" s="6"/>
      <c r="K2529" s="6" t="str">
        <f ca="1">IFERROR(__xludf.DUMMYFUNCTION("""COMPUTED_VALUE"""),"خصم 25% علي الاسعار النقدي")</f>
        <v>خصم 25% علي الاسعار النقدي</v>
      </c>
    </row>
    <row r="2530" spans="1:11" x14ac:dyDescent="0.25">
      <c r="A2530" s="4" t="str">
        <f ca="1">IFERROR(__xludf.DUMMYFUNCTION("""COMPUTED_VALUE"""),"106875-B")</f>
        <v>106875-B</v>
      </c>
      <c r="B2530" s="5" t="str">
        <f ca="1">IFERROR(__xludf.DUMMYFUNCTION("""COMPUTED_VALUE"""),"كفر الشيخ")</f>
        <v>كفر الشيخ</v>
      </c>
      <c r="C2530" s="5" t="str">
        <f ca="1">IFERROR(__xludf.DUMMYFUNCTION("""COMPUTED_VALUE"""),"قلين")</f>
        <v>قلين</v>
      </c>
      <c r="D2530" s="5" t="str">
        <f ca="1">IFERROR(__xludf.DUMMYFUNCTION("""COMPUTED_VALUE"""),"معمل")</f>
        <v>معمل</v>
      </c>
      <c r="E2530" s="5" t="str">
        <f ca="1">IFERROR(__xludf.DUMMYFUNCTION("""COMPUTED_VALUE"""),"معمل")</f>
        <v>معمل</v>
      </c>
      <c r="F2530" s="5" t="str">
        <f ca="1">IFERROR(__xludf.DUMMYFUNCTION("""COMPUTED_VALUE"""),"معمل التحاليل الطبية")</f>
        <v>معمل التحاليل الطبية</v>
      </c>
      <c r="G2530" s="5" t="str">
        <f ca="1">IFERROR(__xludf.DUMMYFUNCTION("""COMPUTED_VALUE"""),"أحمد كمال محمد مطر (معامل مطر)")</f>
        <v>أحمد كمال محمد مطر (معامل مطر)</v>
      </c>
      <c r="H2530" s="5" t="str">
        <f ca="1">IFERROR(__xludf.DUMMYFUNCTION("""COMPUTED_VALUE"""),"قلين شارع جمال عبد الناصر - برج التوحيد أول شارع السوق")</f>
        <v>قلين شارع جمال عبد الناصر - برج التوحيد أول شارع السوق</v>
      </c>
      <c r="I2530" s="6" t="str">
        <f ca="1">IFERROR(__xludf.DUMMYFUNCTION("""COMPUTED_VALUE"""),"0473144950")</f>
        <v>0473144950</v>
      </c>
      <c r="J2530" s="6"/>
      <c r="K2530" s="6" t="str">
        <f ca="1">IFERROR(__xludf.DUMMYFUNCTION("""COMPUTED_VALUE"""),"خصم 20% علي الاسعار النقدي")</f>
        <v>خصم 20% علي الاسعار النقدي</v>
      </c>
    </row>
    <row r="2531" spans="1:11" x14ac:dyDescent="0.25">
      <c r="A2531" s="4" t="str">
        <f ca="1">IFERROR(__xludf.DUMMYFUNCTION("""COMPUTED_VALUE"""),"106875")</f>
        <v>106875</v>
      </c>
      <c r="B2531" s="5" t="str">
        <f ca="1">IFERROR(__xludf.DUMMYFUNCTION("""COMPUTED_VALUE"""),"كفر الشيخ")</f>
        <v>كفر الشيخ</v>
      </c>
      <c r="C2531" s="5" t="str">
        <f ca="1">IFERROR(__xludf.DUMMYFUNCTION("""COMPUTED_VALUE"""),"كفر الشيخ")</f>
        <v>كفر الشيخ</v>
      </c>
      <c r="D2531" s="5" t="str">
        <f ca="1">IFERROR(__xludf.DUMMYFUNCTION("""COMPUTED_VALUE"""),"معمل")</f>
        <v>معمل</v>
      </c>
      <c r="E2531" s="5" t="str">
        <f ca="1">IFERROR(__xludf.DUMMYFUNCTION("""COMPUTED_VALUE"""),"معمل")</f>
        <v>معمل</v>
      </c>
      <c r="F2531" s="5" t="str">
        <f ca="1">IFERROR(__xludf.DUMMYFUNCTION("""COMPUTED_VALUE"""),"معمل التحاليل الطبية")</f>
        <v>معمل التحاليل الطبية</v>
      </c>
      <c r="G2531" s="5" t="str">
        <f ca="1">IFERROR(__xludf.DUMMYFUNCTION("""COMPUTED_VALUE"""),"أحمد كمال محمد مطر (معامل مطر)")</f>
        <v>أحمد كمال محمد مطر (معامل مطر)</v>
      </c>
      <c r="H2531" s="5" t="str">
        <f ca="1">IFERROR(__xludf.DUMMYFUNCTION("""COMPUTED_VALUE"""),"برج السلام - المحاربين الجديده - كفرالشيخ")</f>
        <v>برج السلام - المحاربين الجديده - كفرالشيخ</v>
      </c>
      <c r="I2531" s="6" t="str">
        <f ca="1">IFERROR(__xludf.DUMMYFUNCTION("""COMPUTED_VALUE"""),"0473144950")</f>
        <v>0473144950</v>
      </c>
      <c r="J2531" s="6"/>
      <c r="K2531" s="6" t="str">
        <f ca="1">IFERROR(__xludf.DUMMYFUNCTION("""COMPUTED_VALUE"""),"خصم 20% علي الاسعار النقدي")</f>
        <v>خصم 20% علي الاسعار النقدي</v>
      </c>
    </row>
    <row r="2532" spans="1:11" x14ac:dyDescent="0.25">
      <c r="A2532" s="4" t="str">
        <f ca="1">IFERROR(__xludf.DUMMYFUNCTION("""COMPUTED_VALUE"""),"106481-B")</f>
        <v>106481-B</v>
      </c>
      <c r="B2532" s="5" t="str">
        <f ca="1">IFERROR(__xludf.DUMMYFUNCTION("""COMPUTED_VALUE"""),"الغربية")</f>
        <v>الغربية</v>
      </c>
      <c r="C2532" s="5" t="str">
        <f ca="1">IFERROR(__xludf.DUMMYFUNCTION("""COMPUTED_VALUE"""),"السنطة")</f>
        <v>السنطة</v>
      </c>
      <c r="D2532" s="5" t="str">
        <f ca="1">IFERROR(__xludf.DUMMYFUNCTION("""COMPUTED_VALUE"""),"صيدلية")</f>
        <v>صيدلية</v>
      </c>
      <c r="E2532" s="5" t="str">
        <f ca="1">IFERROR(__xludf.DUMMYFUNCTION("""COMPUTED_VALUE"""),"صيدلية")</f>
        <v>صيدلية</v>
      </c>
      <c r="F2532" s="5" t="str">
        <f ca="1">IFERROR(__xludf.DUMMYFUNCTION("""COMPUTED_VALUE"""),"صيدلية (أدوية ومستلزمات طبية)")</f>
        <v>صيدلية (أدوية ومستلزمات طبية)</v>
      </c>
      <c r="G2532" s="5" t="str">
        <f ca="1">IFERROR(__xludf.DUMMYFUNCTION("""COMPUTED_VALUE"""),"صيدلية محمد فهمي علي شهاب")</f>
        <v>صيدلية محمد فهمي علي شهاب</v>
      </c>
      <c r="H2532" s="5" t="str">
        <f ca="1">IFERROR(__xludf.DUMMYFUNCTION("""COMPUTED_VALUE"""),"السنطه شارع بورسعيد عمارات الاسكان عماره رقم ١ محل رقم ٤")</f>
        <v>السنطه شارع بورسعيد عمارات الاسكان عماره رقم ١ محل رقم ٤</v>
      </c>
      <c r="I2532" s="6" t="str">
        <f ca="1">IFERROR(__xludf.DUMMYFUNCTION("""COMPUTED_VALUE"""),"01093112254")</f>
        <v>01093112254</v>
      </c>
      <c r="J2532" s="6"/>
      <c r="K2532" s="6" t="str">
        <f ca="1">IFERROR(__xludf.DUMMYFUNCTION("""COMPUTED_VALUE"""),"خصم 14% علي المحلي و 7% علي المستورد")</f>
        <v>خصم 14% علي المحلي و 7% علي المستورد</v>
      </c>
    </row>
    <row r="2533" spans="1:11" x14ac:dyDescent="0.25">
      <c r="A2533" s="4" t="str">
        <f ca="1">IFERROR(__xludf.DUMMYFUNCTION("""COMPUTED_VALUE"""),"106879")</f>
        <v>106879</v>
      </c>
      <c r="B2533" s="5" t="str">
        <f ca="1">IFERROR(__xludf.DUMMYFUNCTION("""COMPUTED_VALUE"""),"الغربية")</f>
        <v>الغربية</v>
      </c>
      <c r="C2533" s="5" t="str">
        <f ca="1">IFERROR(__xludf.DUMMYFUNCTION("""COMPUTED_VALUE"""),"طنطا")</f>
        <v>طنطا</v>
      </c>
      <c r="D2533" s="5" t="str">
        <f ca="1">IFERROR(__xludf.DUMMYFUNCTION("""COMPUTED_VALUE"""),"مستشفى")</f>
        <v>مستشفى</v>
      </c>
      <c r="E2533" s="5" t="str">
        <f ca="1">IFERROR(__xludf.DUMMYFUNCTION("""COMPUTED_VALUE"""),"مستشفي طبي متكامل")</f>
        <v>مستشفي طبي متكامل</v>
      </c>
      <c r="F2533" s="5" t="str">
        <f ca="1">IFERROR(__xludf.DUMMYFUNCTION("""COMPUTED_VALUE"""),"جميع التخصصات الطبية")</f>
        <v>جميع التخصصات الطبية</v>
      </c>
      <c r="G2533" s="5" t="str">
        <f ca="1">IFERROR(__xludf.DUMMYFUNCTION("""COMPUTED_VALUE"""),"مستشفي ابن سينا التخصصي بطنطا")</f>
        <v>مستشفي ابن سينا التخصصي بطنطا</v>
      </c>
      <c r="H2533" s="5" t="str">
        <f ca="1">IFERROR(__xludf.DUMMYFUNCTION("""COMPUTED_VALUE"""),"ش الجيش بجوار مبني القوي العاملة - طنطا - الغربية")</f>
        <v>ش الجيش بجوار مبني القوي العاملة - طنطا - الغربية</v>
      </c>
      <c r="I2533" s="6" t="str">
        <f ca="1">IFERROR(__xludf.DUMMYFUNCTION("""COMPUTED_VALUE"""),"0403577002")</f>
        <v>0403577002</v>
      </c>
      <c r="J2533" s="6"/>
      <c r="K2533" s="6" t="str">
        <f ca="1">IFERROR(__xludf.DUMMYFUNCTION("""COMPUTED_VALUE"""),"خصم 20% علي الاسعار النقدي")</f>
        <v>خصم 20% علي الاسعار النقدي</v>
      </c>
    </row>
    <row r="2534" spans="1:11" x14ac:dyDescent="0.25">
      <c r="A2534" s="4" t="str">
        <f ca="1">IFERROR(__xludf.DUMMYFUNCTION("""COMPUTED_VALUE"""),"104686-B")</f>
        <v>104686-B</v>
      </c>
      <c r="B2534" s="5" t="str">
        <f ca="1">IFERROR(__xludf.DUMMYFUNCTION("""COMPUTED_VALUE"""),"القاهرة")</f>
        <v>القاهرة</v>
      </c>
      <c r="C2534" s="5" t="str">
        <f ca="1">IFERROR(__xludf.DUMMYFUNCTION("""COMPUTED_VALUE"""),"المعادى")</f>
        <v>المعادى</v>
      </c>
      <c r="D2534" s="5" t="str">
        <f ca="1">IFERROR(__xludf.DUMMYFUNCTION("""COMPUTED_VALUE"""),"هيئة الأطباء")</f>
        <v>هيئة الأطباء</v>
      </c>
      <c r="E2534" s="5" t="str">
        <f ca="1">IFERROR(__xludf.DUMMYFUNCTION("""COMPUTED_VALUE"""),"اسنان")</f>
        <v>اسنان</v>
      </c>
      <c r="F2534" s="5" t="str">
        <f ca="1">IFERROR(__xludf.DUMMYFUNCTION("""COMPUTED_VALUE"""),"جراحة الفم والأسنان")</f>
        <v>جراحة الفم والأسنان</v>
      </c>
      <c r="G2534" s="5" t="str">
        <f ca="1">IFERROR(__xludf.DUMMYFUNCTION("""COMPUTED_VALUE"""),"سمارت دنتال كلينيك")</f>
        <v>سمارت دنتال كلينيك</v>
      </c>
      <c r="H2534" s="5" t="str">
        <f ca="1">IFERROR(__xludf.DUMMYFUNCTION("""COMPUTED_VALUE"""),"٢٠ شارع ٩ ثكنات المعادي -سرايات المعادي")</f>
        <v>٢٠ شارع ٩ ثكنات المعادي -سرايات المعادي</v>
      </c>
      <c r="I2534" s="6" t="str">
        <f ca="1">IFERROR(__xludf.DUMMYFUNCTION("""COMPUTED_VALUE"""),"01208585853")</f>
        <v>01208585853</v>
      </c>
      <c r="J2534" s="6"/>
      <c r="K2534" s="6" t="str">
        <f ca="1">IFERROR(__xludf.DUMMYFUNCTION("""COMPUTED_VALUE"""),"50% على الكشوفات ,10% على باقى الإجراءات")</f>
        <v>50% على الكشوفات ,10% على باقى الإجراءات</v>
      </c>
    </row>
    <row r="2535" spans="1:11" x14ac:dyDescent="0.25">
      <c r="A2535" s="4" t="str">
        <f ca="1">IFERROR(__xludf.DUMMYFUNCTION("""COMPUTED_VALUE"""),"106884")</f>
        <v>106884</v>
      </c>
      <c r="B2535" s="5" t="str">
        <f ca="1">IFERROR(__xludf.DUMMYFUNCTION("""COMPUTED_VALUE"""),"القاهرة")</f>
        <v>القاهرة</v>
      </c>
      <c r="C2535" s="5" t="str">
        <f ca="1">IFERROR(__xludf.DUMMYFUNCTION("""COMPUTED_VALUE"""),"مصر الجديدة")</f>
        <v>مصر الجديدة</v>
      </c>
      <c r="D2535" s="5" t="str">
        <f ca="1">IFERROR(__xludf.DUMMYFUNCTION("""COMPUTED_VALUE"""),"شركة")</f>
        <v>شركة</v>
      </c>
      <c r="E2535" s="5" t="str">
        <f ca="1">IFERROR(__xludf.DUMMYFUNCTION("""COMPUTED_VALUE"""),"شركة اجهزة طبية")</f>
        <v>شركة اجهزة طبية</v>
      </c>
      <c r="F2535" s="5" t="str">
        <f ca="1">IFERROR(__xludf.DUMMYFUNCTION("""COMPUTED_VALUE"""),"مستلزمات واجهزة طبية")</f>
        <v>مستلزمات واجهزة طبية</v>
      </c>
      <c r="G2535" s="5" t="str">
        <f ca="1">IFERROR(__xludf.DUMMYFUNCTION("""COMPUTED_VALUE"""),"الشركه العربية للسمعيات عرب تون")</f>
        <v>الشركه العربية للسمعيات عرب تون</v>
      </c>
      <c r="H2535" s="5" t="str">
        <f ca="1">IFERROR(__xludf.DUMMYFUNCTION("""COMPUTED_VALUE"""),"45 ش الحجاز - مصر الجديده - القاهرة")</f>
        <v>45 ش الحجاز - مصر الجديده - القاهرة</v>
      </c>
      <c r="I2535" s="6" t="str">
        <f ca="1">IFERROR(__xludf.DUMMYFUNCTION("""COMPUTED_VALUE"""),"01021177179")</f>
        <v>01021177179</v>
      </c>
      <c r="J2535" s="6"/>
      <c r="K2535" s="6" t="str">
        <f ca="1">IFERROR(__xludf.DUMMYFUNCTION("""COMPUTED_VALUE"""),"خصم 30% علي الاسعار النقدي")</f>
        <v>خصم 30% علي الاسعار النقدي</v>
      </c>
    </row>
    <row r="2536" spans="1:11" x14ac:dyDescent="0.25">
      <c r="A2536" s="4" t="str">
        <f ca="1">IFERROR(__xludf.DUMMYFUNCTION("""COMPUTED_VALUE"""),"106885")</f>
        <v>106885</v>
      </c>
      <c r="B2536" s="5" t="str">
        <f ca="1">IFERROR(__xludf.DUMMYFUNCTION("""COMPUTED_VALUE"""),"القاهرة")</f>
        <v>القاهرة</v>
      </c>
      <c r="C2536" s="5" t="str">
        <f ca="1">IFERROR(__xludf.DUMMYFUNCTION("""COMPUTED_VALUE"""),"عين شمس")</f>
        <v>عين شمس</v>
      </c>
      <c r="D2536" s="5" t="str">
        <f ca="1">IFERROR(__xludf.DUMMYFUNCTION("""COMPUTED_VALUE"""),"مستشفى")</f>
        <v>مستشفى</v>
      </c>
      <c r="E2536" s="5" t="str">
        <f ca="1">IFERROR(__xludf.DUMMYFUNCTION("""COMPUTED_VALUE"""),"مستشفي طبي متكامل")</f>
        <v>مستشفي طبي متكامل</v>
      </c>
      <c r="F2536" s="5" t="str">
        <f ca="1">IFERROR(__xludf.DUMMYFUNCTION("""COMPUTED_VALUE"""),"جميع التخصصات الطبية")</f>
        <v>جميع التخصصات الطبية</v>
      </c>
      <c r="G2536" s="5" t="str">
        <f ca="1">IFERROR(__xludf.DUMMYFUNCTION("""COMPUTED_VALUE"""),"مستشفي أبو الدهب التخصصي")</f>
        <v>مستشفي أبو الدهب التخصصي</v>
      </c>
      <c r="H2536" s="5" t="str">
        <f ca="1">IFERROR(__xludf.DUMMYFUNCTION("""COMPUTED_VALUE"""),"228 شارع جسر السويس - عين شمس - القاهرة")</f>
        <v>228 شارع جسر السويس - عين شمس - القاهرة</v>
      </c>
      <c r="I2536" s="6" t="str">
        <f ca="1">IFERROR(__xludf.DUMMYFUNCTION("""COMPUTED_VALUE"""),"01019266641")</f>
        <v>01019266641</v>
      </c>
      <c r="J2536" s="6"/>
      <c r="K2536" s="6" t="str">
        <f ca="1">IFERROR(__xludf.DUMMYFUNCTION("""COMPUTED_VALUE"""),"خصم 35% علي الاسعار النقدي")</f>
        <v>خصم 35% علي الاسعار النقدي</v>
      </c>
    </row>
    <row r="2537" spans="1:11" x14ac:dyDescent="0.25">
      <c r="A2537" s="4" t="str">
        <f ca="1">IFERROR(__xludf.DUMMYFUNCTION("""COMPUTED_VALUE"""),"106886")</f>
        <v>106886</v>
      </c>
      <c r="B2537" s="5" t="str">
        <f ca="1">IFERROR(__xludf.DUMMYFUNCTION("""COMPUTED_VALUE"""),"الجيزة")</f>
        <v>الجيزة</v>
      </c>
      <c r="C2537" s="5" t="str">
        <f ca="1">IFERROR(__xludf.DUMMYFUNCTION("""COMPUTED_VALUE"""),"أرض اللواء")</f>
        <v>أرض اللواء</v>
      </c>
      <c r="D2537" s="5" t="str">
        <f ca="1">IFERROR(__xludf.DUMMYFUNCTION("""COMPUTED_VALUE"""),"مركز علاج طبيعي")</f>
        <v>مركز علاج طبيعي</v>
      </c>
      <c r="E2537" s="5" t="str">
        <f ca="1">IFERROR(__xludf.DUMMYFUNCTION("""COMPUTED_VALUE"""),"علاج طبيعي")</f>
        <v>علاج طبيعي</v>
      </c>
      <c r="F2537" s="5" t="str">
        <f ca="1">IFERROR(__xludf.DUMMYFUNCTION("""COMPUTED_VALUE"""),"جلسات العلاج الطبيعي")</f>
        <v>جلسات العلاج الطبيعي</v>
      </c>
      <c r="G2537" s="5" t="str">
        <f ca="1">IFERROR(__xludf.DUMMYFUNCTION("""COMPUTED_VALUE"""),"مركز المني للعلاج الطبيعي")</f>
        <v>مركز المني للعلاج الطبيعي</v>
      </c>
      <c r="H2537" s="5" t="str">
        <f ca="1">IFERROR(__xludf.DUMMYFUNCTION("""COMPUTED_VALUE"""),"أ4 ترعة الزمر أرض اللواء - الجيزة")</f>
        <v>أ4 ترعة الزمر أرض اللواء - الجيزة</v>
      </c>
      <c r="I2537" s="6" t="str">
        <f ca="1">IFERROR(__xludf.DUMMYFUNCTION("""COMPUTED_VALUE"""),"01285438499")</f>
        <v>01285438499</v>
      </c>
      <c r="J2537" s="6"/>
      <c r="K2537" s="6" t="str">
        <f ca="1">IFERROR(__xludf.DUMMYFUNCTION("""COMPUTED_VALUE"""),"خصم 25% علي الاسعار النقدي")</f>
        <v>خصم 25% علي الاسعار النقدي</v>
      </c>
    </row>
    <row r="2538" spans="1:11" x14ac:dyDescent="0.25">
      <c r="A2538" s="4" t="str">
        <f ca="1">IFERROR(__xludf.DUMMYFUNCTION("""COMPUTED_VALUE"""),"106887")</f>
        <v>106887</v>
      </c>
      <c r="B2538" s="5" t="str">
        <f ca="1">IFERROR(__xludf.DUMMYFUNCTION("""COMPUTED_VALUE"""),"الشرقية")</f>
        <v>الشرقية</v>
      </c>
      <c r="C2538" s="5" t="str">
        <f ca="1">IFERROR(__xludf.DUMMYFUNCTION("""COMPUTED_VALUE"""),"مشتول السوق")</f>
        <v>مشتول السوق</v>
      </c>
      <c r="D2538" s="5" t="str">
        <f ca="1">IFERROR(__xludf.DUMMYFUNCTION("""COMPUTED_VALUE"""),"مستشفى")</f>
        <v>مستشفى</v>
      </c>
      <c r="E2538" s="5" t="str">
        <f ca="1">IFERROR(__xludf.DUMMYFUNCTION("""COMPUTED_VALUE"""),"مستشفي طبي متكامل")</f>
        <v>مستشفي طبي متكامل</v>
      </c>
      <c r="F2538" s="5" t="str">
        <f ca="1">IFERROR(__xludf.DUMMYFUNCTION("""COMPUTED_VALUE"""),"جميع التخصصات الطبية")</f>
        <v>جميع التخصصات الطبية</v>
      </c>
      <c r="G2538" s="5" t="str">
        <f ca="1">IFERROR(__xludf.DUMMYFUNCTION("""COMPUTED_VALUE"""),"واحه الحكمه للطب الحديث")</f>
        <v>واحه الحكمه للطب الحديث</v>
      </c>
      <c r="H2538" s="5" t="str">
        <f ca="1">IFERROR(__xludf.DUMMYFUNCTION("""COMPUTED_VALUE"""),"دور أول علوي و شقه 3 برج الحكمه ش عمر بن الخطاب مشتول السوق - الشرقيه")</f>
        <v>دور أول علوي و شقه 3 برج الحكمه ش عمر بن الخطاب مشتول السوق - الشرقيه</v>
      </c>
      <c r="I2538" s="6" t="str">
        <f ca="1">IFERROR(__xludf.DUMMYFUNCTION("""COMPUTED_VALUE"""),"01069007720")</f>
        <v>01069007720</v>
      </c>
      <c r="J2538" s="6"/>
      <c r="K2538" s="6" t="str">
        <f ca="1">IFERROR(__xludf.DUMMYFUNCTION("""COMPUTED_VALUE"""),"خصم 30% علي الاسعار النقدي")</f>
        <v>خصم 30% علي الاسعار النقدي</v>
      </c>
    </row>
    <row r="2539" spans="1:11" x14ac:dyDescent="0.25">
      <c r="A2539" s="4" t="str">
        <f ca="1">IFERROR(__xludf.DUMMYFUNCTION("""COMPUTED_VALUE"""),"106888")</f>
        <v>106888</v>
      </c>
      <c r="B2539" s="5" t="str">
        <f ca="1">IFERROR(__xludf.DUMMYFUNCTION("""COMPUTED_VALUE"""),"الاسكندرية")</f>
        <v>الاسكندرية</v>
      </c>
      <c r="C2539" s="5" t="str">
        <f ca="1">IFERROR(__xludf.DUMMYFUNCTION("""COMPUTED_VALUE"""),"الدخيلة")</f>
        <v>الدخيلة</v>
      </c>
      <c r="D2539" s="5" t="str">
        <f ca="1">IFERROR(__xludf.DUMMYFUNCTION("""COMPUTED_VALUE"""),"هيئة الأطباء")</f>
        <v>هيئة الأطباء</v>
      </c>
      <c r="E2539" s="5" t="str">
        <f ca="1">IFERROR(__xludf.DUMMYFUNCTION("""COMPUTED_VALUE"""),"باطنة")</f>
        <v>باطنة</v>
      </c>
      <c r="F2539" s="5" t="str">
        <f ca="1">IFERROR(__xludf.DUMMYFUNCTION("""COMPUTED_VALUE"""),"قلب واوعية دموية")</f>
        <v>قلب واوعية دموية</v>
      </c>
      <c r="G2539" s="5" t="str">
        <f ca="1">IFERROR(__xludf.DUMMYFUNCTION("""COMPUTED_VALUE"""),"دار الحياة التخصصيه")</f>
        <v>دار الحياة التخصصيه</v>
      </c>
      <c r="H2539" s="5" t="str">
        <f ca="1">IFERROR(__xludf.DUMMYFUNCTION("""COMPUTED_VALUE"""),"2طريق اسكندريه مطروح امام مدخل الهانوفيل بجوار ابورا - الدخيله - اسكندرية")</f>
        <v>2طريق اسكندريه مطروح امام مدخل الهانوفيل بجوار ابورا - الدخيله - اسكندرية</v>
      </c>
      <c r="I2539" s="6" t="str">
        <f ca="1">IFERROR(__xludf.DUMMYFUNCTION("""COMPUTED_VALUE"""),"01010449060")</f>
        <v>01010449060</v>
      </c>
      <c r="J2539" s="6"/>
      <c r="K2539" s="6" t="str">
        <f ca="1">IFERROR(__xludf.DUMMYFUNCTION("""COMPUTED_VALUE"""),"خصم 30% علي الاسعار النقدي")</f>
        <v>خصم 30% علي الاسعار النقدي</v>
      </c>
    </row>
    <row r="2540" spans="1:11" x14ac:dyDescent="0.25">
      <c r="A2540" s="4" t="str">
        <f ca="1">IFERROR(__xludf.DUMMYFUNCTION("""COMPUTED_VALUE"""),"106889")</f>
        <v>106889</v>
      </c>
      <c r="B2540" s="5" t="str">
        <f ca="1">IFERROR(__xludf.DUMMYFUNCTION("""COMPUTED_VALUE"""),"الاسكندرية")</f>
        <v>الاسكندرية</v>
      </c>
      <c r="C2540" s="5" t="str">
        <f ca="1">IFERROR(__xludf.DUMMYFUNCTION("""COMPUTED_VALUE"""),"الدخيلة")</f>
        <v>الدخيلة</v>
      </c>
      <c r="D2540" s="5" t="str">
        <f ca="1">IFERROR(__xludf.DUMMYFUNCTION("""COMPUTED_VALUE"""),"هيئة الأطباء")</f>
        <v>هيئة الأطباء</v>
      </c>
      <c r="E2540" s="5" t="str">
        <f ca="1">IFERROR(__xludf.DUMMYFUNCTION("""COMPUTED_VALUE"""),"اسنان")</f>
        <v>اسنان</v>
      </c>
      <c r="F2540" s="5" t="str">
        <f ca="1">IFERROR(__xludf.DUMMYFUNCTION("""COMPUTED_VALUE"""),"جراحة الفم والأسنان")</f>
        <v>جراحة الفم والأسنان</v>
      </c>
      <c r="G2540" s="5" t="str">
        <f ca="1">IFERROR(__xludf.DUMMYFUNCTION("""COMPUTED_VALUE"""),"سمايل دينتال كير")</f>
        <v>سمايل دينتال كير</v>
      </c>
      <c r="H2540" s="5" t="str">
        <f ca="1">IFERROR(__xludf.DUMMYFUNCTION("""COMPUTED_VALUE"""),"2طريق اسكندريه مطروح امام مدخل الهانوفيل بجوار ابورا - الدخيله - اسكندرية")</f>
        <v>2طريق اسكندريه مطروح امام مدخل الهانوفيل بجوار ابورا - الدخيله - اسكندرية</v>
      </c>
      <c r="I2540" s="6" t="str">
        <f ca="1">IFERROR(__xludf.DUMMYFUNCTION("""COMPUTED_VALUE"""),"01097555897")</f>
        <v>01097555897</v>
      </c>
      <c r="J2540" s="6"/>
      <c r="K2540" s="6" t="str">
        <f ca="1">IFERROR(__xludf.DUMMYFUNCTION("""COMPUTED_VALUE"""),"خصم 30% علي الاسعار النقدي")</f>
        <v>خصم 30% علي الاسعار النقدي</v>
      </c>
    </row>
    <row r="2541" spans="1:11" x14ac:dyDescent="0.25">
      <c r="A2541" s="4" t="str">
        <f ca="1">IFERROR(__xludf.DUMMYFUNCTION("""COMPUTED_VALUE"""),"106890")</f>
        <v>106890</v>
      </c>
      <c r="B2541" s="5" t="str">
        <f ca="1">IFERROR(__xludf.DUMMYFUNCTION("""COMPUTED_VALUE"""),"الاسكندرية")</f>
        <v>الاسكندرية</v>
      </c>
      <c r="C2541" s="5" t="str">
        <f ca="1">IFERROR(__xludf.DUMMYFUNCTION("""COMPUTED_VALUE"""),"سيدي بشر")</f>
        <v>سيدي بشر</v>
      </c>
      <c r="D2541" s="5" t="str">
        <f ca="1">IFERROR(__xludf.DUMMYFUNCTION("""COMPUTED_VALUE"""),"مركز علاج طبيعي")</f>
        <v>مركز علاج طبيعي</v>
      </c>
      <c r="E2541" s="5" t="str">
        <f ca="1">IFERROR(__xludf.DUMMYFUNCTION("""COMPUTED_VALUE"""),"علاج طبيعي")</f>
        <v>علاج طبيعي</v>
      </c>
      <c r="F2541" s="5" t="str">
        <f ca="1">IFERROR(__xludf.DUMMYFUNCTION("""COMPUTED_VALUE"""),"جلسات العلاج الطبيعي")</f>
        <v>جلسات العلاج الطبيعي</v>
      </c>
      <c r="G2541" s="5" t="str">
        <f ca="1">IFERROR(__xludf.DUMMYFUNCTION("""COMPUTED_VALUE"""),"مركز ميامي للعلاج الطبيعي")</f>
        <v>مركز ميامي للعلاج الطبيعي</v>
      </c>
      <c r="H2541" s="5" t="str">
        <f ca="1">IFERROR(__xludf.DUMMYFUNCTION("""COMPUTED_VALUE"""),"248 ش جمال عبدالناصر - سيدي بشر - الاسكندريه")</f>
        <v>248 ش جمال عبدالناصر - سيدي بشر - الاسكندريه</v>
      </c>
      <c r="I2541" s="6" t="str">
        <f ca="1">IFERROR(__xludf.DUMMYFUNCTION("""COMPUTED_VALUE"""),"01552541151 ")</f>
        <v xml:space="preserve">01552541151 </v>
      </c>
      <c r="J2541" s="6"/>
      <c r="K2541" s="6" t="str">
        <f ca="1">IFERROR(__xludf.DUMMYFUNCTION("""COMPUTED_VALUE"""),"خصم 30% علي الاسعار النقدي")</f>
        <v>خصم 30% علي الاسعار النقدي</v>
      </c>
    </row>
    <row r="2542" spans="1:11" x14ac:dyDescent="0.25">
      <c r="A2542" s="4" t="str">
        <f ca="1">IFERROR(__xludf.DUMMYFUNCTION("""COMPUTED_VALUE"""),"106891")</f>
        <v>106891</v>
      </c>
      <c r="B2542" s="5" t="str">
        <f ca="1">IFERROR(__xludf.DUMMYFUNCTION("""COMPUTED_VALUE"""),"المنوفية")</f>
        <v>المنوفية</v>
      </c>
      <c r="C2542" s="5" t="str">
        <f ca="1">IFERROR(__xludf.DUMMYFUNCTION("""COMPUTED_VALUE"""),"شبين الكوم")</f>
        <v>شبين الكوم</v>
      </c>
      <c r="D2542" s="5" t="str">
        <f ca="1">IFERROR(__xludf.DUMMYFUNCTION("""COMPUTED_VALUE"""),"شركة")</f>
        <v>شركة</v>
      </c>
      <c r="E2542" s="5" t="str">
        <f ca="1">IFERROR(__xludf.DUMMYFUNCTION("""COMPUTED_VALUE"""),"شركة اجهزة طبية")</f>
        <v>شركة اجهزة طبية</v>
      </c>
      <c r="F2542" s="5" t="str">
        <f ca="1">IFERROR(__xludf.DUMMYFUNCTION("""COMPUTED_VALUE"""),"مركز بصريات")</f>
        <v>مركز بصريات</v>
      </c>
      <c r="G2542" s="5" t="str">
        <f ca="1">IFERROR(__xludf.DUMMYFUNCTION("""COMPUTED_VALUE"""),"الفا للبصريات")</f>
        <v>الفا للبصريات</v>
      </c>
      <c r="H2542" s="5" t="str">
        <f ca="1">IFERROR(__xludf.DUMMYFUNCTION("""COMPUTED_VALUE"""),"47 ش زكي شبانه البر الشرقي - شبين الكوم - المنوفيه")</f>
        <v>47 ش زكي شبانه البر الشرقي - شبين الكوم - المنوفيه</v>
      </c>
      <c r="I2542" s="6" t="str">
        <f ca="1">IFERROR(__xludf.DUMMYFUNCTION("""COMPUTED_VALUE"""),"01001175768")</f>
        <v>01001175768</v>
      </c>
      <c r="J2542" s="6"/>
      <c r="K2542" s="6" t="str">
        <f ca="1">IFERROR(__xludf.DUMMYFUNCTION("""COMPUTED_VALUE"""),"خصم 30% علي الاسعار النقدي")</f>
        <v>خصم 30% علي الاسعار النقدي</v>
      </c>
    </row>
    <row r="2543" spans="1:11" x14ac:dyDescent="0.25">
      <c r="A2543" s="4" t="str">
        <f ca="1">IFERROR(__xludf.DUMMYFUNCTION("""COMPUTED_VALUE"""),"106883")</f>
        <v>106883</v>
      </c>
      <c r="B2543" s="5" t="str">
        <f ca="1">IFERROR(__xludf.DUMMYFUNCTION("""COMPUTED_VALUE"""),"الاسكندرية")</f>
        <v>الاسكندرية</v>
      </c>
      <c r="C2543" s="5" t="str">
        <f ca="1">IFERROR(__xludf.DUMMYFUNCTION("""COMPUTED_VALUE"""),"سموحة")</f>
        <v>سموحة</v>
      </c>
      <c r="D2543" s="5" t="str">
        <f ca="1">IFERROR(__xludf.DUMMYFUNCTION("""COMPUTED_VALUE"""),"مستشفى")</f>
        <v>مستشفى</v>
      </c>
      <c r="E2543" s="5" t="str">
        <f ca="1">IFERROR(__xludf.DUMMYFUNCTION("""COMPUTED_VALUE"""),"مستشفي طبي متخصص")</f>
        <v>مستشفي طبي متخصص</v>
      </c>
      <c r="F2543" s="5" t="str">
        <f ca="1">IFERROR(__xludf.DUMMYFUNCTION("""COMPUTED_VALUE"""),"رمد (جراحة عيون)")</f>
        <v>رمد (جراحة عيون)</v>
      </c>
      <c r="G2543" s="5" t="str">
        <f ca="1">IFERROR(__xludf.DUMMYFUNCTION("""COMPUTED_VALUE"""),"اليكس اي كير للخدمات الطبية")</f>
        <v>اليكس اي كير للخدمات الطبية</v>
      </c>
      <c r="H2543" s="5" t="str">
        <f ca="1">IFERROR(__xludf.DUMMYFUNCTION("""COMPUTED_VALUE"""),"عمارات سوميد سموحه 3 المجمع السكني ب - الاسكندرية")</f>
        <v>عمارات سوميد سموحه 3 المجمع السكني ب - الاسكندرية</v>
      </c>
      <c r="I2543" s="6"/>
      <c r="J2543" s="6" t="str">
        <f ca="1">IFERROR(__xludf.DUMMYFUNCTION("""COMPUTED_VALUE"""),"19732")</f>
        <v>19732</v>
      </c>
      <c r="K2543" s="6" t="str">
        <f ca="1">IFERROR(__xludf.DUMMYFUNCTION("""COMPUTED_VALUE"""),"20% خصم علي قائمة الاسعار و 15% علي العمليات الكبري")</f>
        <v>20% خصم علي قائمة الاسعار و 15% علي العمليات الكبري</v>
      </c>
    </row>
    <row r="2544" spans="1:11" x14ac:dyDescent="0.25">
      <c r="A2544" s="4" t="str">
        <f ca="1">IFERROR(__xludf.DUMMYFUNCTION("""COMPUTED_VALUE"""),"106022-B")</f>
        <v>106022-B</v>
      </c>
      <c r="B2544" s="5" t="str">
        <f ca="1">IFERROR(__xludf.DUMMYFUNCTION("""COMPUTED_VALUE"""),"الجيزة")</f>
        <v>الجيزة</v>
      </c>
      <c r="C2544" s="5" t="str">
        <f ca="1">IFERROR(__xludf.DUMMYFUNCTION("""COMPUTED_VALUE"""),"الشيخ زايد")</f>
        <v>الشيخ زايد</v>
      </c>
      <c r="D2544" s="5" t="str">
        <f ca="1">IFERROR(__xludf.DUMMYFUNCTION("""COMPUTED_VALUE"""),"هيئة الأطباء")</f>
        <v>هيئة الأطباء</v>
      </c>
      <c r="E2544" s="5" t="str">
        <f ca="1">IFERROR(__xludf.DUMMYFUNCTION("""COMPUTED_VALUE"""),"أنف وأذن وحنجرة")</f>
        <v>أنف وأذن وحنجرة</v>
      </c>
      <c r="F2544" s="5" t="str">
        <f ca="1">IFERROR(__xludf.DUMMYFUNCTION("""COMPUTED_VALUE"""),"أنف وأذن وحنجرة")</f>
        <v>أنف وأذن وحنجرة</v>
      </c>
      <c r="G2544" s="5" t="str">
        <f ca="1">IFERROR(__xludf.DUMMYFUNCTION("""COMPUTED_VALUE"""),"دكتور هشام محمد نجم")</f>
        <v>دكتور هشام محمد نجم</v>
      </c>
      <c r="H2544" s="5" t="str">
        <f ca="1">IFERROR(__xludf.DUMMYFUNCTION("""COMPUTED_VALUE""")," وحدة ٦٠٣ مبني b6 كابيتال بيزنس المحور المركزي الشيخ زايد الجيزة")</f>
        <v xml:space="preserve"> وحدة ٦٠٣ مبني b6 كابيتال بيزنس المحور المركزي الشيخ زايد الجيزة</v>
      </c>
      <c r="I2544" s="6" t="str">
        <f ca="1">IFERROR(__xludf.DUMMYFUNCTION("""COMPUTED_VALUE"""),"33380813")</f>
        <v>33380813</v>
      </c>
      <c r="J2544" s="6"/>
      <c r="K2544" s="6" t="str">
        <f ca="1">IFERROR(__xludf.DUMMYFUNCTION("""COMPUTED_VALUE"""),"كشف 150ج ونقابة 2019")</f>
        <v>كشف 150ج ونقابة 2019</v>
      </c>
    </row>
    <row r="2545" spans="1:11" x14ac:dyDescent="0.25">
      <c r="A2545" s="4" t="str">
        <f ca="1">IFERROR(__xludf.DUMMYFUNCTION("""COMPUTED_VALUE"""),"106896")</f>
        <v>106896</v>
      </c>
      <c r="B2545" s="5" t="str">
        <f ca="1">IFERROR(__xludf.DUMMYFUNCTION("""COMPUTED_VALUE"""),"الدقهلية")</f>
        <v>الدقهلية</v>
      </c>
      <c r="C2545" s="5" t="str">
        <f ca="1">IFERROR(__xludf.DUMMYFUNCTION("""COMPUTED_VALUE"""),"طلخا")</f>
        <v>طلخا</v>
      </c>
      <c r="D2545" s="5" t="str">
        <f ca="1">IFERROR(__xludf.DUMMYFUNCTION("""COMPUTED_VALUE"""),"مستشفى")</f>
        <v>مستشفى</v>
      </c>
      <c r="E2545" s="5" t="str">
        <f ca="1">IFERROR(__xludf.DUMMYFUNCTION("""COMPUTED_VALUE"""),"مستشفي طبي متكامل")</f>
        <v>مستشفي طبي متكامل</v>
      </c>
      <c r="F2545" s="5" t="str">
        <f ca="1">IFERROR(__xludf.DUMMYFUNCTION("""COMPUTED_VALUE"""),"جميع التخصصات الطبية")</f>
        <v>جميع التخصصات الطبية</v>
      </c>
      <c r="G2545" s="5" t="str">
        <f ca="1">IFERROR(__xludf.DUMMYFUNCTION("""COMPUTED_VALUE"""),"مستشفي السماد")</f>
        <v>مستشفي السماد</v>
      </c>
      <c r="H2545" s="5" t="str">
        <f ca="1">IFERROR(__xludf.DUMMYFUNCTION("""COMPUTED_VALUE"""),"المنصوره - طلخا - الدقهليه")</f>
        <v>المنصوره - طلخا - الدقهليه</v>
      </c>
      <c r="I2545" s="6" t="str">
        <f ca="1">IFERROR(__xludf.DUMMYFUNCTION("""COMPUTED_VALUE"""),"0502524505")</f>
        <v>0502524505</v>
      </c>
      <c r="J2545" s="6"/>
      <c r="K2545" s="6" t="str">
        <f ca="1">IFERROR(__xludf.DUMMYFUNCTION("""COMPUTED_VALUE"""),"خصم 30% علي الاسعار النقدي")</f>
        <v>خصم 30% علي الاسعار النقدي</v>
      </c>
    </row>
    <row r="2546" spans="1:11" x14ac:dyDescent="0.25">
      <c r="A2546" s="4" t="str">
        <f ca="1">IFERROR(__xludf.DUMMYFUNCTION("""COMPUTED_VALUE"""),"106897")</f>
        <v>106897</v>
      </c>
      <c r="B2546" s="5" t="str">
        <f ca="1">IFERROR(__xludf.DUMMYFUNCTION("""COMPUTED_VALUE"""),"القاهرة")</f>
        <v>القاهرة</v>
      </c>
      <c r="C2546" s="5" t="str">
        <f ca="1">IFERROR(__xludf.DUMMYFUNCTION("""COMPUTED_VALUE"""),"المعادى")</f>
        <v>المعادى</v>
      </c>
      <c r="D2546" s="5" t="str">
        <f ca="1">IFERROR(__xludf.DUMMYFUNCTION("""COMPUTED_VALUE"""),"هيئة الأطباء")</f>
        <v>هيئة الأطباء</v>
      </c>
      <c r="E2546" s="5" t="str">
        <f ca="1">IFERROR(__xludf.DUMMYFUNCTION("""COMPUTED_VALUE"""),"باطنة")</f>
        <v>باطنة</v>
      </c>
      <c r="F2546" s="5" t="str">
        <f ca="1">IFERROR(__xludf.DUMMYFUNCTION("""COMPUTED_VALUE"""),"أورام وعلاج كميائى")</f>
        <v>أورام وعلاج كميائى</v>
      </c>
      <c r="G2546" s="5" t="str">
        <f ca="1">IFERROR(__xludf.DUMMYFUNCTION("""COMPUTED_VALUE"""),"د/ يسري واصف كامل ندا جرجس")</f>
        <v>د/ يسري واصف كامل ندا جرجس</v>
      </c>
      <c r="H2546" s="5" t="str">
        <f ca="1">IFERROR(__xludf.DUMMYFUNCTION("""COMPUTED_VALUE"""),"11/20 ش 162 ب حدائق المعادي - القاهرة")</f>
        <v>11/20 ش 162 ب حدائق المعادي - القاهرة</v>
      </c>
      <c r="I2546" s="6" t="str">
        <f ca="1">IFERROR(__xludf.DUMMYFUNCTION("""COMPUTED_VALUE"""),"01270804225")</f>
        <v>01270804225</v>
      </c>
      <c r="J2546" s="6"/>
      <c r="K2546" s="6" t="str">
        <f ca="1">IFERROR(__xludf.DUMMYFUNCTION("""COMPUTED_VALUE"""),"خصم 30% علي الاسعار النقدي")</f>
        <v>خصم 30% علي الاسعار النقدي</v>
      </c>
    </row>
    <row r="2547" spans="1:11" x14ac:dyDescent="0.25">
      <c r="A2547" s="4" t="str">
        <f ca="1">IFERROR(__xludf.DUMMYFUNCTION("""COMPUTED_VALUE"""),"106899")</f>
        <v>106899</v>
      </c>
      <c r="B2547" s="5" t="str">
        <f ca="1">IFERROR(__xludf.DUMMYFUNCTION("""COMPUTED_VALUE"""),"البحيرة")</f>
        <v>البحيرة</v>
      </c>
      <c r="C2547" s="5" t="str">
        <f ca="1">IFERROR(__xludf.DUMMYFUNCTION("""COMPUTED_VALUE"""),"كوم حمادة")</f>
        <v>كوم حمادة</v>
      </c>
      <c r="D2547" s="5" t="str">
        <f ca="1">IFERROR(__xludf.DUMMYFUNCTION("""COMPUTED_VALUE"""),"مجمع عيادات")</f>
        <v>مجمع عيادات</v>
      </c>
      <c r="E2547" s="5" t="str">
        <f ca="1">IFERROR(__xludf.DUMMYFUNCTION("""COMPUTED_VALUE"""),"جميع التخصصات")</f>
        <v>جميع التخصصات</v>
      </c>
      <c r="F2547" s="5" t="str">
        <f ca="1">IFERROR(__xludf.DUMMYFUNCTION("""COMPUTED_VALUE"""),"جميع التخصصات الطبية")</f>
        <v>جميع التخصصات الطبية</v>
      </c>
      <c r="G2547" s="5" t="str">
        <f ca="1">IFERROR(__xludf.DUMMYFUNCTION("""COMPUTED_VALUE"""),"نيورو هيلث")</f>
        <v>نيورو هيلث</v>
      </c>
      <c r="H2547" s="5" t="str">
        <f ca="1">IFERROR(__xludf.DUMMYFUNCTION("""COMPUTED_VALUE"""),"ش مستشفي الحجاز بملك محمود عبدالمنعم شعبان - كوم حمادة - البحيرة")</f>
        <v>ش مستشفي الحجاز بملك محمود عبدالمنعم شعبان - كوم حمادة - البحيرة</v>
      </c>
      <c r="I2547" s="6" t="str">
        <f ca="1">IFERROR(__xludf.DUMMYFUNCTION("""COMPUTED_VALUE"""),"01001691221")</f>
        <v>01001691221</v>
      </c>
      <c r="J2547" s="6"/>
      <c r="K2547" s="6" t="str">
        <f ca="1">IFERROR(__xludf.DUMMYFUNCTION("""COMPUTED_VALUE"""),"خصم 30% علي الاسعار النقدي")</f>
        <v>خصم 30% علي الاسعار النقدي</v>
      </c>
    </row>
    <row r="2548" spans="1:11" x14ac:dyDescent="0.25">
      <c r="A2548" s="4" t="str">
        <f ca="1">IFERROR(__xludf.DUMMYFUNCTION("""COMPUTED_VALUE"""),"106900")</f>
        <v>106900</v>
      </c>
      <c r="B2548" s="5" t="str">
        <f ca="1">IFERROR(__xludf.DUMMYFUNCTION("""COMPUTED_VALUE"""),"القاهرة")</f>
        <v>القاهرة</v>
      </c>
      <c r="C2548" s="5" t="str">
        <f ca="1">IFERROR(__xludf.DUMMYFUNCTION("""COMPUTED_VALUE"""),"القاهرة الجديدة")</f>
        <v>القاهرة الجديدة</v>
      </c>
      <c r="D2548" s="5" t="str">
        <f ca="1">IFERROR(__xludf.DUMMYFUNCTION("""COMPUTED_VALUE"""),"هيئة الأطباء")</f>
        <v>هيئة الأطباء</v>
      </c>
      <c r="E2548" s="5" t="str">
        <f ca="1">IFERROR(__xludf.DUMMYFUNCTION("""COMPUTED_VALUE"""),"اسنان")</f>
        <v>اسنان</v>
      </c>
      <c r="F2548" s="5" t="str">
        <f ca="1">IFERROR(__xludf.DUMMYFUNCTION("""COMPUTED_VALUE"""),"جراحة الفم والأسنان")</f>
        <v>جراحة الفم والأسنان</v>
      </c>
      <c r="G2548" s="5" t="str">
        <f ca="1">IFERROR(__xludf.DUMMYFUNCTION("""COMPUTED_VALUE"""),"د/ طارق ابراهيم محمود معوض")</f>
        <v>د/ طارق ابراهيم محمود معوض</v>
      </c>
      <c r="H2548" s="5" t="str">
        <f ca="1">IFERROR(__xludf.DUMMYFUNCTION("""COMPUTED_VALUE"""),"وحدة 295 كود 100 الدور الثاني - all seasons park - مدينتي")</f>
        <v>وحدة 295 كود 100 الدور الثاني - all seasons park - مدينتي</v>
      </c>
      <c r="I2548" s="6" t="str">
        <f ca="1">IFERROR(__xludf.DUMMYFUNCTION("""COMPUTED_VALUE"""),"01000074962")</f>
        <v>01000074962</v>
      </c>
      <c r="J2548" s="6"/>
      <c r="K2548" s="6" t="str">
        <f ca="1">IFERROR(__xludf.DUMMYFUNCTION("""COMPUTED_VALUE"""),"خصم 50% علي الكشوفات و20% علي باقي الخدمات")</f>
        <v>خصم 50% علي الكشوفات و20% علي باقي الخدمات</v>
      </c>
    </row>
    <row r="2549" spans="1:11" x14ac:dyDescent="0.25">
      <c r="A2549" s="4" t="str">
        <f ca="1">IFERROR(__xludf.DUMMYFUNCTION("""COMPUTED_VALUE"""),"106901")</f>
        <v>106901</v>
      </c>
      <c r="B2549" s="5" t="str">
        <f ca="1">IFERROR(__xludf.DUMMYFUNCTION("""COMPUTED_VALUE"""),"القاهرة")</f>
        <v>القاهرة</v>
      </c>
      <c r="C2549" s="5" t="str">
        <f ca="1">IFERROR(__xludf.DUMMYFUNCTION("""COMPUTED_VALUE"""),"القاهرة الجديدة")</f>
        <v>القاهرة الجديدة</v>
      </c>
      <c r="D2549" s="5" t="str">
        <f ca="1">IFERROR(__xludf.DUMMYFUNCTION("""COMPUTED_VALUE"""),"هيئة الأطباء")</f>
        <v>هيئة الأطباء</v>
      </c>
      <c r="E2549" s="5" t="str">
        <f ca="1">IFERROR(__xludf.DUMMYFUNCTION("""COMPUTED_VALUE"""),"اسنان")</f>
        <v>اسنان</v>
      </c>
      <c r="F2549" s="5" t="str">
        <f ca="1">IFERROR(__xludf.DUMMYFUNCTION("""COMPUTED_VALUE"""),"جراحة الفم والأسنان")</f>
        <v>جراحة الفم والأسنان</v>
      </c>
      <c r="G2549" s="5" t="str">
        <f ca="1">IFERROR(__xludf.DUMMYFUNCTION("""COMPUTED_VALUE"""),"د/ وائل محمود سامي عبدالرحمن درويش (بروكير)")</f>
        <v>د/ وائل محمود سامي عبدالرحمن درويش (بروكير)</v>
      </c>
      <c r="H2549" s="5" t="str">
        <f ca="1">IFERROR(__xludf.DUMMYFUNCTION("""COMPUTED_VALUE"""),"فيلا 87 منطقه 5 الحي الخامس - التجمع الخامس - القاهرة")</f>
        <v>فيلا 87 منطقه 5 الحي الخامس - التجمع الخامس - القاهرة</v>
      </c>
      <c r="I2549" s="6" t="str">
        <f ca="1">IFERROR(__xludf.DUMMYFUNCTION("""COMPUTED_VALUE"""),"01111889839")</f>
        <v>01111889839</v>
      </c>
      <c r="J2549" s="6"/>
      <c r="K2549" s="6" t="str">
        <f ca="1">IFERROR(__xludf.DUMMYFUNCTION("""COMPUTED_VALUE"""),"خصم 25% علي الاسعار النقدي")</f>
        <v>خصم 25% علي الاسعار النقدي</v>
      </c>
    </row>
    <row r="2550" spans="1:11" x14ac:dyDescent="0.25">
      <c r="A2550" s="4" t="str">
        <f ca="1">IFERROR(__xludf.DUMMYFUNCTION("""COMPUTED_VALUE"""),"106904")</f>
        <v>106904</v>
      </c>
      <c r="B2550" s="5" t="str">
        <f ca="1">IFERROR(__xludf.DUMMYFUNCTION("""COMPUTED_VALUE"""),"قنا")</f>
        <v>قنا</v>
      </c>
      <c r="C2550" s="5" t="str">
        <f ca="1">IFERROR(__xludf.DUMMYFUNCTION("""COMPUTED_VALUE"""),"قوص")</f>
        <v>قوص</v>
      </c>
      <c r="D2550" s="5" t="str">
        <f ca="1">IFERROR(__xludf.DUMMYFUNCTION("""COMPUTED_VALUE"""),"مركز أشعة و تحاليل")</f>
        <v>مركز أشعة و تحاليل</v>
      </c>
      <c r="E2550" s="5" t="str">
        <f ca="1">IFERROR(__xludf.DUMMYFUNCTION("""COMPUTED_VALUE""")," أشعة و تحاليل")</f>
        <v xml:space="preserve"> أشعة و تحاليل</v>
      </c>
      <c r="F2550" s="5" t="str">
        <f ca="1">IFERROR(__xludf.DUMMYFUNCTION("""COMPUTED_VALUE""")," أشعة و تحاليل")</f>
        <v xml:space="preserve"> أشعة و تحاليل</v>
      </c>
      <c r="G2550" s="5" t="str">
        <f ca="1">IFERROR(__xludf.DUMMYFUNCTION("""COMPUTED_VALUE"""),"مركز قوص سكان للأشعه")</f>
        <v>مركز قوص سكان للأشعه</v>
      </c>
      <c r="H2550" s="5" t="str">
        <f ca="1">IFERROR(__xludf.DUMMYFUNCTION("""COMPUTED_VALUE"""),"شارع الجمهوريه بجوار البنك الأهلي مركز قوص - قنا")</f>
        <v>شارع الجمهوريه بجوار البنك الأهلي مركز قوص - قنا</v>
      </c>
      <c r="I2550" s="6" t="str">
        <f ca="1">IFERROR(__xludf.DUMMYFUNCTION("""COMPUTED_VALUE"""),"01120101025")</f>
        <v>01120101025</v>
      </c>
      <c r="J2550" s="6"/>
      <c r="K2550" s="6" t="str">
        <f ca="1">IFERROR(__xludf.DUMMYFUNCTION("""COMPUTED_VALUE"""),"خصم 25% علي الاسعار النقدي")</f>
        <v>خصم 25% علي الاسعار النقدي</v>
      </c>
    </row>
    <row r="2551" spans="1:11" x14ac:dyDescent="0.25">
      <c r="A2551" s="4" t="str">
        <f ca="1">IFERROR(__xludf.DUMMYFUNCTION("""COMPUTED_VALUE"""),"106905")</f>
        <v>106905</v>
      </c>
      <c r="B2551" s="5" t="str">
        <f ca="1">IFERROR(__xludf.DUMMYFUNCTION("""COMPUTED_VALUE"""),"الشرقية")</f>
        <v>الشرقية</v>
      </c>
      <c r="C2551" s="5" t="str">
        <f ca="1">IFERROR(__xludf.DUMMYFUNCTION("""COMPUTED_VALUE"""),"أبو حماد")</f>
        <v>أبو حماد</v>
      </c>
      <c r="D2551" s="5" t="str">
        <f ca="1">IFERROR(__xludf.DUMMYFUNCTION("""COMPUTED_VALUE"""),"مجمع عيادات")</f>
        <v>مجمع عيادات</v>
      </c>
      <c r="E2551" s="5" t="str">
        <f ca="1">IFERROR(__xludf.DUMMYFUNCTION("""COMPUTED_VALUE"""),"جميع التخصصات")</f>
        <v>جميع التخصصات</v>
      </c>
      <c r="F2551" s="5" t="str">
        <f ca="1">IFERROR(__xludf.DUMMYFUNCTION("""COMPUTED_VALUE"""),"جميع التخصصات الطبية")</f>
        <v>جميع التخصصات الطبية</v>
      </c>
      <c r="G2551" s="5" t="str">
        <f ca="1">IFERROR(__xludf.DUMMYFUNCTION("""COMPUTED_VALUE"""),"شريف سلامه أحمد الشحات (عيادات نورين التخصصيه)")</f>
        <v>شريف سلامه أحمد الشحات (عيادات نورين التخصصيه)</v>
      </c>
      <c r="H2551" s="5" t="str">
        <f ca="1">IFERROR(__xludf.DUMMYFUNCTION("""COMPUTED_VALUE"""),"ش الجيش أبو حماد - الشرقيه")</f>
        <v>ش الجيش أبو حماد - الشرقيه</v>
      </c>
      <c r="I2551" s="6" t="str">
        <f ca="1">IFERROR(__xludf.DUMMYFUNCTION("""COMPUTED_VALUE"""),"01002595930")</f>
        <v>01002595930</v>
      </c>
      <c r="J2551" s="6"/>
      <c r="K2551" s="6" t="str">
        <f ca="1">IFERROR(__xludf.DUMMYFUNCTION("""COMPUTED_VALUE"""),"خصم 25% علي الاسعار النقدي")</f>
        <v>خصم 25% علي الاسعار النقدي</v>
      </c>
    </row>
    <row r="2552" spans="1:11" x14ac:dyDescent="0.25">
      <c r="A2552" s="4" t="str">
        <f ca="1">IFERROR(__xludf.DUMMYFUNCTION("""COMPUTED_VALUE"""),"106906")</f>
        <v>106906</v>
      </c>
      <c r="B2552" s="5" t="str">
        <f ca="1">IFERROR(__xludf.DUMMYFUNCTION("""COMPUTED_VALUE"""),"المنيا")</f>
        <v>المنيا</v>
      </c>
      <c r="C2552" s="5" t="str">
        <f ca="1">IFERROR(__xludf.DUMMYFUNCTION("""COMPUTED_VALUE"""),"المنيا")</f>
        <v>المنيا</v>
      </c>
      <c r="D2552" s="5" t="str">
        <f ca="1">IFERROR(__xludf.DUMMYFUNCTION("""COMPUTED_VALUE"""),"هيئة الأطباء")</f>
        <v>هيئة الأطباء</v>
      </c>
      <c r="E2552" s="5" t="str">
        <f ca="1">IFERROR(__xludf.DUMMYFUNCTION("""COMPUTED_VALUE"""),"أنف وأذن وحنجرة")</f>
        <v>أنف وأذن وحنجرة</v>
      </c>
      <c r="F2552" s="5" t="str">
        <f ca="1">IFERROR(__xludf.DUMMYFUNCTION("""COMPUTED_VALUE"""),"أنف وأذن وحنجرة")</f>
        <v>أنف وأذن وحنجرة</v>
      </c>
      <c r="G2552" s="5" t="str">
        <f ca="1">IFERROR(__xludf.DUMMYFUNCTION("""COMPUTED_VALUE"""),"د/ عماد جميل انيس فهمي")</f>
        <v>د/ عماد جميل انيس فهمي</v>
      </c>
      <c r="H2552" s="5" t="str">
        <f ca="1">IFERROR(__xludf.DUMMYFUNCTION("""COMPUTED_VALUE"""),"5 شارع الجمهوريه - المنيا")</f>
        <v>5 شارع الجمهوريه - المنيا</v>
      </c>
      <c r="I2552" s="6" t="str">
        <f ca="1">IFERROR(__xludf.DUMMYFUNCTION("""COMPUTED_VALUE"""),"01228385393")</f>
        <v>01228385393</v>
      </c>
      <c r="J2552" s="6"/>
      <c r="K2552" s="6" t="str">
        <f ca="1">IFERROR(__xludf.DUMMYFUNCTION("""COMPUTED_VALUE"""),"خصم 30% علي الاسعار النقدي")</f>
        <v>خصم 30% علي الاسعار النقدي</v>
      </c>
    </row>
    <row r="2553" spans="1:11" x14ac:dyDescent="0.25">
      <c r="A2553" s="4" t="str">
        <f ca="1">IFERROR(__xludf.DUMMYFUNCTION("""COMPUTED_VALUE"""),"106907")</f>
        <v>106907</v>
      </c>
      <c r="B2553" s="5" t="str">
        <f ca="1">IFERROR(__xludf.DUMMYFUNCTION("""COMPUTED_VALUE"""),"الجيزة")</f>
        <v>الجيزة</v>
      </c>
      <c r="C2553" s="5" t="str">
        <f ca="1">IFERROR(__xludf.DUMMYFUNCTION("""COMPUTED_VALUE"""),"الدقي")</f>
        <v>الدقي</v>
      </c>
      <c r="D2553" s="5" t="str">
        <f ca="1">IFERROR(__xludf.DUMMYFUNCTION("""COMPUTED_VALUE"""),"مستشفى")</f>
        <v>مستشفى</v>
      </c>
      <c r="E2553" s="5" t="str">
        <f ca="1">IFERROR(__xludf.DUMMYFUNCTION("""COMPUTED_VALUE"""),"مستشفي طبي متكامل")</f>
        <v>مستشفي طبي متكامل</v>
      </c>
      <c r="F2553" s="5" t="str">
        <f ca="1">IFERROR(__xludf.DUMMYFUNCTION("""COMPUTED_VALUE"""),"جميع التخصصات الطبية")</f>
        <v>جميع التخصصات الطبية</v>
      </c>
      <c r="G2553" s="5" t="str">
        <f ca="1">IFERROR(__xludf.DUMMYFUNCTION("""COMPUTED_VALUE"""),"مستشفي ميلينيوم للرعاية الطبيه")</f>
        <v>مستشفي ميلينيوم للرعاية الطبيه</v>
      </c>
      <c r="H2553" s="5" t="str">
        <f ca="1">IFERROR(__xludf.DUMMYFUNCTION("""COMPUTED_VALUE"""),"23 ش احمد الشاطوري - الدقي - الجيزة")</f>
        <v>23 ش احمد الشاطوري - الدقي - الجيزة</v>
      </c>
      <c r="I2553" s="6" t="str">
        <f ca="1">IFERROR(__xludf.DUMMYFUNCTION("""COMPUTED_VALUE"""),"01000017082")</f>
        <v>01000017082</v>
      </c>
      <c r="J2553" s="6"/>
      <c r="K2553" s="6" t="str">
        <f ca="1">IFERROR(__xludf.DUMMYFUNCTION("""COMPUTED_VALUE"""),"خصم 15% علي الاسعار النقدي عدا كشف د/ حسام موافي")</f>
        <v>خصم 15% علي الاسعار النقدي عدا كشف د/ حسام موافي</v>
      </c>
    </row>
    <row r="2554" spans="1:11" x14ac:dyDescent="0.25">
      <c r="A2554" s="4" t="str">
        <f ca="1">IFERROR(__xludf.DUMMYFUNCTION("""COMPUTED_VALUE"""),"106909")</f>
        <v>106909</v>
      </c>
      <c r="B2554" s="5" t="str">
        <f ca="1">IFERROR(__xludf.DUMMYFUNCTION("""COMPUTED_VALUE"""),"الجيزة")</f>
        <v>الجيزة</v>
      </c>
      <c r="C2554" s="5" t="str">
        <f ca="1">IFERROR(__xludf.DUMMYFUNCTION("""COMPUTED_VALUE"""),"السادس من اكتوبر")</f>
        <v>السادس من اكتوبر</v>
      </c>
      <c r="D2554" s="5" t="str">
        <f ca="1">IFERROR(__xludf.DUMMYFUNCTION("""COMPUTED_VALUE"""),"مجمع عيادات")</f>
        <v>مجمع عيادات</v>
      </c>
      <c r="E2554" s="5" t="str">
        <f ca="1">IFERROR(__xludf.DUMMYFUNCTION("""COMPUTED_VALUE"""),"جميع التخصصات")</f>
        <v>جميع التخصصات</v>
      </c>
      <c r="F2554" s="5" t="str">
        <f ca="1">IFERROR(__xludf.DUMMYFUNCTION("""COMPUTED_VALUE"""),"جميع التخصصات الطبية")</f>
        <v>جميع التخصصات الطبية</v>
      </c>
      <c r="G2554" s="5" t="str">
        <f ca="1">IFERROR(__xludf.DUMMYFUNCTION("""COMPUTED_VALUE"""),"د/ احمد مهدي توفيق شحاته (مركز جو كلينيك)")</f>
        <v>د/ احمد مهدي توفيق شحاته (مركز جو كلينيك)</v>
      </c>
      <c r="H2554" s="5" t="str">
        <f ca="1">IFERROR(__xludf.DUMMYFUNCTION("""COMPUTED_VALUE"""),"ك 28 طريق مصر اسكندريه الصحراوي - داندي مول - الجيزة")</f>
        <v>ك 28 طريق مصر اسكندريه الصحراوي - داندي مول - الجيزة</v>
      </c>
      <c r="I2554" s="6" t="str">
        <f ca="1">IFERROR(__xludf.DUMMYFUNCTION("""COMPUTED_VALUE"""),"01211332332")</f>
        <v>01211332332</v>
      </c>
      <c r="J2554" s="6"/>
      <c r="K2554" s="6" t="str">
        <f ca="1">IFERROR(__xludf.DUMMYFUNCTION("""COMPUTED_VALUE"""),"خصم 20% علي الاسعار النقدي")</f>
        <v>خصم 20% علي الاسعار النقدي</v>
      </c>
    </row>
    <row r="2555" spans="1:11" x14ac:dyDescent="0.25">
      <c r="A2555" s="4" t="str">
        <f ca="1">IFERROR(__xludf.DUMMYFUNCTION("""COMPUTED_VALUE"""),"106911")</f>
        <v>106911</v>
      </c>
      <c r="B2555" s="5" t="str">
        <f ca="1">IFERROR(__xludf.DUMMYFUNCTION("""COMPUTED_VALUE"""),"الأقصر")</f>
        <v>الأقصر</v>
      </c>
      <c r="C2555" s="5" t="str">
        <f ca="1">IFERROR(__xludf.DUMMYFUNCTION("""COMPUTED_VALUE"""),"الأقصر")</f>
        <v>الأقصر</v>
      </c>
      <c r="D2555" s="5" t="str">
        <f ca="1">IFERROR(__xludf.DUMMYFUNCTION("""COMPUTED_VALUE"""),"مستشفى")</f>
        <v>مستشفى</v>
      </c>
      <c r="E2555" s="5" t="str">
        <f ca="1">IFERROR(__xludf.DUMMYFUNCTION("""COMPUTED_VALUE"""),"مستشفي طبي متكامل")</f>
        <v>مستشفي طبي متكامل</v>
      </c>
      <c r="F2555" s="5" t="str">
        <f ca="1">IFERROR(__xludf.DUMMYFUNCTION("""COMPUTED_VALUE"""),"جميع التخصصات الطبية")</f>
        <v>جميع التخصصات الطبية</v>
      </c>
      <c r="G2555" s="5" t="str">
        <f ca="1">IFERROR(__xludf.DUMMYFUNCTION("""COMPUTED_VALUE"""),"مستشفي الكمال (كمال زكي محمود علي و شريكه)")</f>
        <v>مستشفي الكمال (كمال زكي محمود علي و شريكه)</v>
      </c>
      <c r="H2555" s="5" t="str">
        <f ca="1">IFERROR(__xludf.DUMMYFUNCTION("""COMPUTED_VALUE"""),"ش السياله بدران - الأقصر")</f>
        <v>ش السياله بدران - الأقصر</v>
      </c>
      <c r="I2555" s="6" t="str">
        <f ca="1">IFERROR(__xludf.DUMMYFUNCTION("""COMPUTED_VALUE"""),"0952357116")</f>
        <v>0952357116</v>
      </c>
      <c r="J2555" s="6"/>
      <c r="K2555" s="6" t="str">
        <f ca="1">IFERROR(__xludf.DUMMYFUNCTION("""COMPUTED_VALUE"""),"خصم 45% علي الاسعار النقدي")</f>
        <v>خصم 45% علي الاسعار النقدي</v>
      </c>
    </row>
    <row r="2556" spans="1:11" x14ac:dyDescent="0.25">
      <c r="A2556" s="4" t="str">
        <f ca="1">IFERROR(__xludf.DUMMYFUNCTION("""COMPUTED_VALUE"""),"106912")</f>
        <v>106912</v>
      </c>
      <c r="B2556" s="5" t="str">
        <f ca="1">IFERROR(__xludf.DUMMYFUNCTION("""COMPUTED_VALUE"""),"القاهرة")</f>
        <v>القاهرة</v>
      </c>
      <c r="C2556" s="5" t="str">
        <f ca="1">IFERROR(__xludf.DUMMYFUNCTION("""COMPUTED_VALUE"""),"مدينة الشروق")</f>
        <v>مدينة الشروق</v>
      </c>
      <c r="D2556" s="5" t="str">
        <f ca="1">IFERROR(__xludf.DUMMYFUNCTION("""COMPUTED_VALUE"""),"هيئة الأطباء")</f>
        <v>هيئة الأطباء</v>
      </c>
      <c r="E2556" s="5" t="str">
        <f ca="1">IFERROR(__xludf.DUMMYFUNCTION("""COMPUTED_VALUE"""),"أطفال")</f>
        <v>أطفال</v>
      </c>
      <c r="F2556" s="5" t="str">
        <f ca="1">IFERROR(__xludf.DUMMYFUNCTION("""COMPUTED_VALUE"""),"طب أطفال")</f>
        <v>طب أطفال</v>
      </c>
      <c r="G2556" s="5" t="str">
        <f ca="1">IFERROR(__xludf.DUMMYFUNCTION("""COMPUTED_VALUE"""),"د. صفاء بسيوني عرفة")</f>
        <v>د. صفاء بسيوني عرفة</v>
      </c>
      <c r="H2556" s="5" t="str">
        <f ca="1">IFERROR(__xludf.DUMMYFUNCTION("""COMPUTED_VALUE"""),"2 ش طه حسين الحي الأول المجاوره الأولي - مدينه الشروق - القاهرة")</f>
        <v>2 ش طه حسين الحي الأول المجاوره الأولي - مدينه الشروق - القاهرة</v>
      </c>
      <c r="I2556" s="6" t="str">
        <f ca="1">IFERROR(__xludf.DUMMYFUNCTION("""COMPUTED_VALUE"""),"01002263957")</f>
        <v>01002263957</v>
      </c>
      <c r="J2556" s="6"/>
      <c r="K2556" s="6" t="str">
        <f ca="1">IFERROR(__xludf.DUMMYFUNCTION("""COMPUTED_VALUE"""),"خصم 30% علي الاسعار النقدي")</f>
        <v>خصم 30% علي الاسعار النقدي</v>
      </c>
    </row>
    <row r="2557" spans="1:11" x14ac:dyDescent="0.25">
      <c r="A2557" s="4" t="str">
        <f ca="1">IFERROR(__xludf.DUMMYFUNCTION("""COMPUTED_VALUE"""),"106917")</f>
        <v>106917</v>
      </c>
      <c r="B2557" s="5" t="str">
        <f ca="1">IFERROR(__xludf.DUMMYFUNCTION("""COMPUTED_VALUE"""),"قنا")</f>
        <v>قنا</v>
      </c>
      <c r="C2557" s="5" t="str">
        <f ca="1">IFERROR(__xludf.DUMMYFUNCTION("""COMPUTED_VALUE"""),"قنا")</f>
        <v>قنا</v>
      </c>
      <c r="D2557" s="5" t="str">
        <f ca="1">IFERROR(__xludf.DUMMYFUNCTION("""COMPUTED_VALUE"""),"هيئة الأطباء")</f>
        <v>هيئة الأطباء</v>
      </c>
      <c r="E2557" s="5" t="str">
        <f ca="1">IFERROR(__xludf.DUMMYFUNCTION("""COMPUTED_VALUE"""),"اسنان")</f>
        <v>اسنان</v>
      </c>
      <c r="F2557" s="5" t="str">
        <f ca="1">IFERROR(__xludf.DUMMYFUNCTION("""COMPUTED_VALUE"""),"جراحة الفم والأسنان")</f>
        <v>جراحة الفم والأسنان</v>
      </c>
      <c r="G2557" s="5" t="str">
        <f ca="1">IFERROR(__xludf.DUMMYFUNCTION("""COMPUTED_VALUE"""),"د. عبد العظيم مصطفى عبد العظيم أبو جبل (دنتال بلازا)")</f>
        <v>د. عبد العظيم مصطفى عبد العظيم أبو جبل (دنتال بلازا)</v>
      </c>
      <c r="H2557" s="5" t="str">
        <f ca="1">IFERROR(__xludf.DUMMYFUNCTION("""COMPUTED_VALUE"""),"83079 بندر قنا امام الاحوال المدنية - قنا")</f>
        <v>83079 بندر قنا امام الاحوال المدنية - قنا</v>
      </c>
      <c r="I2557" s="6" t="str">
        <f ca="1">IFERROR(__xludf.DUMMYFUNCTION("""COMPUTED_VALUE"""),"01100051533")</f>
        <v>01100051533</v>
      </c>
      <c r="J2557" s="6"/>
      <c r="K2557" s="6" t="str">
        <f ca="1">IFERROR(__xludf.DUMMYFUNCTION("""COMPUTED_VALUE"""),"خصم 30% علي الاسعار النقدي")</f>
        <v>خصم 30% علي الاسعار النقدي</v>
      </c>
    </row>
    <row r="2558" spans="1:11" x14ac:dyDescent="0.25">
      <c r="A2558" s="4" t="str">
        <f ca="1">IFERROR(__xludf.DUMMYFUNCTION("""COMPUTED_VALUE"""),"106918")</f>
        <v>106918</v>
      </c>
      <c r="B2558" s="5" t="str">
        <f ca="1">IFERROR(__xludf.DUMMYFUNCTION("""COMPUTED_VALUE"""),"كفر الشيخ")</f>
        <v>كفر الشيخ</v>
      </c>
      <c r="C2558" s="5" t="str">
        <f ca="1">IFERROR(__xludf.DUMMYFUNCTION("""COMPUTED_VALUE"""),"الحامول")</f>
        <v>الحامول</v>
      </c>
      <c r="D2558" s="5" t="str">
        <f ca="1">IFERROR(__xludf.DUMMYFUNCTION("""COMPUTED_VALUE"""),"مركز أشعة")</f>
        <v>مركز أشعة</v>
      </c>
      <c r="E2558" s="5" t="str">
        <f ca="1">IFERROR(__xludf.DUMMYFUNCTION("""COMPUTED_VALUE"""),"مركز أشعة")</f>
        <v>مركز أشعة</v>
      </c>
      <c r="F2558" s="5" t="str">
        <f ca="1">IFERROR(__xludf.DUMMYFUNCTION("""COMPUTED_VALUE"""),"أشعة تشخيصية")</f>
        <v>أشعة تشخيصية</v>
      </c>
      <c r="G2558" s="5" t="str">
        <f ca="1">IFERROR(__xludf.DUMMYFUNCTION("""COMPUTED_VALUE"""),"أحمد السعيد الطحاوي غازي (كفر الشيخ سكان)")</f>
        <v>أحمد السعيد الطحاوي غازي (كفر الشيخ سكان)</v>
      </c>
      <c r="H2558" s="5" t="str">
        <f ca="1">IFERROR(__xludf.DUMMYFUNCTION("""COMPUTED_VALUE"""),"الحامول - ش أبو بكر الصديق")</f>
        <v>الحامول - ش أبو بكر الصديق</v>
      </c>
      <c r="I2558" s="6" t="str">
        <f ca="1">IFERROR(__xludf.DUMMYFUNCTION("""COMPUTED_VALUE"""),"01023594580")</f>
        <v>01023594580</v>
      </c>
      <c r="J2558" s="6"/>
      <c r="K2558" s="6" t="str">
        <f ca="1">IFERROR(__xludf.DUMMYFUNCTION("""COMPUTED_VALUE"""),"خصم 25% علي الاسعار النقدي")</f>
        <v>خصم 25% علي الاسعار النقدي</v>
      </c>
    </row>
    <row r="2559" spans="1:11" x14ac:dyDescent="0.25">
      <c r="A2559" s="4" t="str">
        <f ca="1">IFERROR(__xludf.DUMMYFUNCTION("""COMPUTED_VALUE"""),"106918-B")</f>
        <v>106918-B</v>
      </c>
      <c r="B2559" s="5" t="str">
        <f ca="1">IFERROR(__xludf.DUMMYFUNCTION("""COMPUTED_VALUE"""),"كفر الشيخ")</f>
        <v>كفر الشيخ</v>
      </c>
      <c r="C2559" s="5" t="str">
        <f ca="1">IFERROR(__xludf.DUMMYFUNCTION("""COMPUTED_VALUE"""),"كفر الشيخ")</f>
        <v>كفر الشيخ</v>
      </c>
      <c r="D2559" s="5" t="str">
        <f ca="1">IFERROR(__xludf.DUMMYFUNCTION("""COMPUTED_VALUE"""),"مركز أشعة")</f>
        <v>مركز أشعة</v>
      </c>
      <c r="E2559" s="5" t="str">
        <f ca="1">IFERROR(__xludf.DUMMYFUNCTION("""COMPUTED_VALUE"""),"مركز أشعة")</f>
        <v>مركز أشعة</v>
      </c>
      <c r="F2559" s="5" t="str">
        <f ca="1">IFERROR(__xludf.DUMMYFUNCTION("""COMPUTED_VALUE"""),"أشعة تشخيصية")</f>
        <v>أشعة تشخيصية</v>
      </c>
      <c r="G2559" s="5" t="str">
        <f ca="1">IFERROR(__xludf.DUMMYFUNCTION("""COMPUTED_VALUE"""),"أحمد السعيد الطحاوي غازي (كفر الشيخ سكان)")</f>
        <v>أحمد السعيد الطحاوي غازي (كفر الشيخ سكان)</v>
      </c>
      <c r="H2559" s="5" t="str">
        <f ca="1">IFERROR(__xludf.DUMMYFUNCTION("""COMPUTED_VALUE"""),"عمارات المحاربين الجديده - كفر الشيخ")</f>
        <v>عمارات المحاربين الجديده - كفر الشيخ</v>
      </c>
      <c r="I2559" s="6" t="str">
        <f ca="1">IFERROR(__xludf.DUMMYFUNCTION("""COMPUTED_VALUE"""),"01023594580 ")</f>
        <v xml:space="preserve">01023594580 </v>
      </c>
      <c r="J2559" s="6"/>
      <c r="K2559" s="6" t="str">
        <f ca="1">IFERROR(__xludf.DUMMYFUNCTION("""COMPUTED_VALUE"""),"خصم 25% علي الاسعار النقدي")</f>
        <v>خصم 25% علي الاسعار النقدي</v>
      </c>
    </row>
    <row r="2560" spans="1:11" x14ac:dyDescent="0.25">
      <c r="A2560" s="4" t="str">
        <f ca="1">IFERROR(__xludf.DUMMYFUNCTION("""COMPUTED_VALUE"""),"106919")</f>
        <v>106919</v>
      </c>
      <c r="B2560" s="5" t="str">
        <f ca="1">IFERROR(__xludf.DUMMYFUNCTION("""COMPUTED_VALUE"""),"دمياط")</f>
        <v>دمياط</v>
      </c>
      <c r="C2560" s="5" t="str">
        <f ca="1">IFERROR(__xludf.DUMMYFUNCTION("""COMPUTED_VALUE"""),"دمياط الجديدة")</f>
        <v>دمياط الجديدة</v>
      </c>
      <c r="D2560" s="5" t="str">
        <f ca="1">IFERROR(__xludf.DUMMYFUNCTION("""COMPUTED_VALUE"""),"مركز علاج طبيعي")</f>
        <v>مركز علاج طبيعي</v>
      </c>
      <c r="E2560" s="5" t="str">
        <f ca="1">IFERROR(__xludf.DUMMYFUNCTION("""COMPUTED_VALUE"""),"علاج طبيعي")</f>
        <v>علاج طبيعي</v>
      </c>
      <c r="F2560" s="5" t="str">
        <f ca="1">IFERROR(__xludf.DUMMYFUNCTION("""COMPUTED_VALUE"""),"جلسات العلاج الطبيعي")</f>
        <v>جلسات العلاج الطبيعي</v>
      </c>
      <c r="G2560" s="5" t="str">
        <f ca="1">IFERROR(__xludf.DUMMYFUNCTION("""COMPUTED_VALUE"""),"د/ ايمن عدلي عبدالرحمن علي البطه (مركز دمياط للعلاج الطبيعي)")</f>
        <v>د/ ايمن عدلي عبدالرحمن علي البطه (مركز دمياط للعلاج الطبيعي)</v>
      </c>
      <c r="H2560" s="5" t="str">
        <f ca="1">IFERROR(__xludf.DUMMYFUNCTION("""COMPUTED_VALUE"""),"دمياط الجديده - الحي الرابع - المجاورة الأولي")</f>
        <v>دمياط الجديده - الحي الرابع - المجاورة الأولي</v>
      </c>
      <c r="I2560" s="6" t="str">
        <f ca="1">IFERROR(__xludf.DUMMYFUNCTION("""COMPUTED_VALUE"""),"01141504902")</f>
        <v>01141504902</v>
      </c>
      <c r="J2560" s="6"/>
      <c r="K2560" s="6" t="str">
        <f ca="1">IFERROR(__xludf.DUMMYFUNCTION("""COMPUTED_VALUE"""),"خصم 30% علي الاسعار النقدي")</f>
        <v>خصم 30% علي الاسعار النقدي</v>
      </c>
    </row>
    <row r="2561" spans="1:11" x14ac:dyDescent="0.25">
      <c r="A2561" s="4" t="str">
        <f ca="1">IFERROR(__xludf.DUMMYFUNCTION("""COMPUTED_VALUE"""),"106919-B")</f>
        <v>106919-B</v>
      </c>
      <c r="B2561" s="5" t="str">
        <f ca="1">IFERROR(__xludf.DUMMYFUNCTION("""COMPUTED_VALUE"""),"دمياط")</f>
        <v>دمياط</v>
      </c>
      <c r="C2561" s="5" t="str">
        <f ca="1">IFERROR(__xludf.DUMMYFUNCTION("""COMPUTED_VALUE"""),"دمياط")</f>
        <v>دمياط</v>
      </c>
      <c r="D2561" s="5" t="str">
        <f ca="1">IFERROR(__xludf.DUMMYFUNCTION("""COMPUTED_VALUE"""),"مركز علاج طبيعي")</f>
        <v>مركز علاج طبيعي</v>
      </c>
      <c r="E2561" s="5" t="str">
        <f ca="1">IFERROR(__xludf.DUMMYFUNCTION("""COMPUTED_VALUE"""),"علاج طبيعي")</f>
        <v>علاج طبيعي</v>
      </c>
      <c r="F2561" s="5" t="str">
        <f ca="1">IFERROR(__xludf.DUMMYFUNCTION("""COMPUTED_VALUE"""),"جلسات العلاج الطبيعي")</f>
        <v>جلسات العلاج الطبيعي</v>
      </c>
      <c r="G2561" s="5" t="str">
        <f ca="1">IFERROR(__xludf.DUMMYFUNCTION("""COMPUTED_VALUE"""),"د/ ايمن عدلي عبدالرحمن علي البطه (مركز دمياط للعلاج الطبيعي)")</f>
        <v>د/ ايمن عدلي عبدالرحمن علي البطه (مركز دمياط للعلاج الطبيعي)</v>
      </c>
      <c r="H2561" s="5" t="str">
        <f ca="1">IFERROR(__xludf.DUMMYFUNCTION("""COMPUTED_VALUE"""),"بندر كفر سعد ش مجلس المدينة")</f>
        <v>بندر كفر سعد ش مجلس المدينة</v>
      </c>
      <c r="I2561" s="6" t="str">
        <f ca="1">IFERROR(__xludf.DUMMYFUNCTION("""COMPUTED_VALUE"""),"01141504902")</f>
        <v>01141504902</v>
      </c>
      <c r="J2561" s="6"/>
      <c r="K2561" s="6" t="str">
        <f ca="1">IFERROR(__xludf.DUMMYFUNCTION("""COMPUTED_VALUE"""),"خصم 30% علي الاسعار النقدي")</f>
        <v>خصم 30% علي الاسعار النقدي</v>
      </c>
    </row>
    <row r="2562" spans="1:11" x14ac:dyDescent="0.25">
      <c r="A2562" s="4" t="str">
        <f ca="1">IFERROR(__xludf.DUMMYFUNCTION("""COMPUTED_VALUE"""),"2822-B")</f>
        <v>2822-B</v>
      </c>
      <c r="B2562" s="5" t="str">
        <f ca="1">IFERROR(__xludf.DUMMYFUNCTION("""COMPUTED_VALUE"""),"القاهرة")</f>
        <v>القاهرة</v>
      </c>
      <c r="C2562" s="5" t="str">
        <f ca="1">IFERROR(__xludf.DUMMYFUNCTION("""COMPUTED_VALUE"""),"القاهرة الجديدة")</f>
        <v>القاهرة الجديدة</v>
      </c>
      <c r="D2562" s="5" t="str">
        <f ca="1">IFERROR(__xludf.DUMMYFUNCTION("""COMPUTED_VALUE"""),"صيدلية")</f>
        <v>صيدلية</v>
      </c>
      <c r="E2562" s="5" t="str">
        <f ca="1">IFERROR(__xludf.DUMMYFUNCTION("""COMPUTED_VALUE"""),"صيدلية")</f>
        <v>صيدلية</v>
      </c>
      <c r="F2562" s="5" t="str">
        <f ca="1">IFERROR(__xludf.DUMMYFUNCTION("""COMPUTED_VALUE"""),"صيدلية (أدوية ومستلزمات طبية)")</f>
        <v>صيدلية (أدوية ومستلزمات طبية)</v>
      </c>
      <c r="G2562" s="5" t="str">
        <f ca="1">IFERROR(__xludf.DUMMYFUNCTION("""COMPUTED_VALUE"""),"صيدليات سيف")</f>
        <v>صيدليات سيف</v>
      </c>
      <c r="H2562" s="5" t="str">
        <f ca="1">IFERROR(__xludf.DUMMYFUNCTION("""COMPUTED_VALUE"""),"مول ذا بارك شارع التسعين شمالي")</f>
        <v>مول ذا بارك شارع التسعين شمالي</v>
      </c>
      <c r="I2562" s="6" t="str">
        <f ca="1">IFERROR(__xludf.DUMMYFUNCTION("""COMPUTED_VALUE"""),"01200666626")</f>
        <v>01200666626</v>
      </c>
      <c r="J2562" s="6" t="str">
        <f ca="1">IFERROR(__xludf.DUMMYFUNCTION("""COMPUTED_VALUE"""),"19199")</f>
        <v>19199</v>
      </c>
      <c r="K2562"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2563" spans="1:11" x14ac:dyDescent="0.25">
      <c r="A2563" s="4" t="str">
        <f ca="1">IFERROR(__xludf.DUMMYFUNCTION("""COMPUTED_VALUE"""),"106920")</f>
        <v>106920</v>
      </c>
      <c r="B2563" s="5" t="str">
        <f ca="1">IFERROR(__xludf.DUMMYFUNCTION("""COMPUTED_VALUE"""),"سوهاج")</f>
        <v>سوهاج</v>
      </c>
      <c r="C2563" s="5" t="str">
        <f ca="1">IFERROR(__xludf.DUMMYFUNCTION("""COMPUTED_VALUE"""),"طهطا")</f>
        <v>طهطا</v>
      </c>
      <c r="D2563" s="5" t="str">
        <f ca="1">IFERROR(__xludf.DUMMYFUNCTION("""COMPUTED_VALUE"""),"هيئة الأطباء")</f>
        <v>هيئة الأطباء</v>
      </c>
      <c r="E2563" s="5" t="str">
        <f ca="1">IFERROR(__xludf.DUMMYFUNCTION("""COMPUTED_VALUE"""),"جراحة")</f>
        <v>جراحة</v>
      </c>
      <c r="F2563" s="5" t="str">
        <f ca="1">IFERROR(__xludf.DUMMYFUNCTION("""COMPUTED_VALUE"""),"جراحة عامة")</f>
        <v>جراحة عامة</v>
      </c>
      <c r="G2563" s="5" t="str">
        <f ca="1">IFERROR(__xludf.DUMMYFUNCTION("""COMPUTED_VALUE"""),"د/ ايهاب محمد منير عبدالعزيز محمد")</f>
        <v>د/ ايهاب محمد منير عبدالعزيز محمد</v>
      </c>
      <c r="H2563" s="5" t="str">
        <f ca="1">IFERROR(__xludf.DUMMYFUNCTION("""COMPUTED_VALUE"""),"جهينه الغربيه شارع البساتين من شارع الشهداء - طهطا - سوهاج")</f>
        <v>جهينه الغربيه شارع البساتين من شارع الشهداء - طهطا - سوهاج</v>
      </c>
      <c r="I2563" s="6" t="str">
        <f ca="1">IFERROR(__xludf.DUMMYFUNCTION("""COMPUTED_VALUE"""),"01018474498")</f>
        <v>01018474498</v>
      </c>
      <c r="J2563" s="6"/>
      <c r="K2563" s="6" t="str">
        <f ca="1">IFERROR(__xludf.DUMMYFUNCTION("""COMPUTED_VALUE"""),"خصم 30% علي الاسعار النقدي")</f>
        <v>خصم 30% علي الاسعار النقدي</v>
      </c>
    </row>
    <row r="2564" spans="1:11" x14ac:dyDescent="0.25">
      <c r="A2564" s="4" t="str">
        <f ca="1">IFERROR(__xludf.DUMMYFUNCTION("""COMPUTED_VALUE"""),"106920-B")</f>
        <v>106920-B</v>
      </c>
      <c r="B2564" s="5" t="str">
        <f ca="1">IFERROR(__xludf.DUMMYFUNCTION("""COMPUTED_VALUE"""),"سوهاج")</f>
        <v>سوهاج</v>
      </c>
      <c r="C2564" s="5" t="str">
        <f ca="1">IFERROR(__xludf.DUMMYFUNCTION("""COMPUTED_VALUE"""),"سوهاج")</f>
        <v>سوهاج</v>
      </c>
      <c r="D2564" s="5" t="str">
        <f ca="1">IFERROR(__xludf.DUMMYFUNCTION("""COMPUTED_VALUE"""),"هيئة الأطباء")</f>
        <v>هيئة الأطباء</v>
      </c>
      <c r="E2564" s="5" t="str">
        <f ca="1">IFERROR(__xludf.DUMMYFUNCTION("""COMPUTED_VALUE"""),"جراحة")</f>
        <v>جراحة</v>
      </c>
      <c r="F2564" s="5" t="str">
        <f ca="1">IFERROR(__xludf.DUMMYFUNCTION("""COMPUTED_VALUE"""),"جراحة عامة")</f>
        <v>جراحة عامة</v>
      </c>
      <c r="G2564" s="5" t="str">
        <f ca="1">IFERROR(__xludf.DUMMYFUNCTION("""COMPUTED_VALUE"""),"د/ ايهاب محمد منير عبدالعزيز محمد")</f>
        <v>د/ ايهاب محمد منير عبدالعزيز محمد</v>
      </c>
      <c r="H2564" s="5" t="str">
        <f ca="1">IFERROR(__xludf.DUMMYFUNCTION("""COMPUTED_VALUE"""),"ش المحطه برج أبو غريب الدور الثاني - سوهاج")</f>
        <v>ش المحطه برج أبو غريب الدور الثاني - سوهاج</v>
      </c>
      <c r="I2564" s="6" t="str">
        <f ca="1">IFERROR(__xludf.DUMMYFUNCTION("""COMPUTED_VALUE"""),"01018474498")</f>
        <v>01018474498</v>
      </c>
      <c r="J2564" s="6"/>
      <c r="K2564" s="6" t="str">
        <f ca="1">IFERROR(__xludf.DUMMYFUNCTION("""COMPUTED_VALUE"""),"خصم 30% علي الاسعار النقدي")</f>
        <v>خصم 30% علي الاسعار النقدي</v>
      </c>
    </row>
    <row r="2565" spans="1:11" x14ac:dyDescent="0.25">
      <c r="A2565" s="4" t="str">
        <f ca="1">IFERROR(__xludf.DUMMYFUNCTION("""COMPUTED_VALUE"""),"106922")</f>
        <v>106922</v>
      </c>
      <c r="B2565" s="5" t="str">
        <f ca="1">IFERROR(__xludf.DUMMYFUNCTION("""COMPUTED_VALUE"""),"الاسكندرية")</f>
        <v>الاسكندرية</v>
      </c>
      <c r="C2565" s="5" t="str">
        <f ca="1">IFERROR(__xludf.DUMMYFUNCTION("""COMPUTED_VALUE"""),"البيطاش")</f>
        <v>البيطاش</v>
      </c>
      <c r="D2565" s="5" t="str">
        <f ca="1">IFERROR(__xludf.DUMMYFUNCTION("""COMPUTED_VALUE"""),"هيئة الأطباء")</f>
        <v>هيئة الأطباء</v>
      </c>
      <c r="E2565" s="5" t="str">
        <f ca="1">IFERROR(__xludf.DUMMYFUNCTION("""COMPUTED_VALUE"""),"اسنان")</f>
        <v>اسنان</v>
      </c>
      <c r="F2565" s="5" t="str">
        <f ca="1">IFERROR(__xludf.DUMMYFUNCTION("""COMPUTED_VALUE"""),"جراحة الفم والأسنان")</f>
        <v>جراحة الفم والأسنان</v>
      </c>
      <c r="G2565" s="5" t="str">
        <f ca="1">IFERROR(__xludf.DUMMYFUNCTION("""COMPUTED_VALUE"""),"محمد نصر محمد السيد ابو السعود ( نصر دنتال كلينيك)")</f>
        <v>محمد نصر محمد السيد ابو السعود ( نصر دنتال كلينيك)</v>
      </c>
      <c r="H2565" s="5" t="str">
        <f ca="1">IFERROR(__xludf.DUMMYFUNCTION("""COMPUTED_VALUE"""),"55 شارع البيطاش الرئيسي عمارة اللولؤه- البيطاش -  الاسكندرية")</f>
        <v>55 شارع البيطاش الرئيسي عمارة اللولؤه- البيطاش -  الاسكندرية</v>
      </c>
      <c r="I2565" s="6" t="str">
        <f ca="1">IFERROR(__xludf.DUMMYFUNCTION("""COMPUTED_VALUE"""),"01023212308")</f>
        <v>01023212308</v>
      </c>
      <c r="J2565" s="6"/>
      <c r="K2565" s="6" t="str">
        <f ca="1">IFERROR(__xludf.DUMMYFUNCTION("""COMPUTED_VALUE"""),"خصم 30% علي الاسعار النقدي")</f>
        <v>خصم 30% علي الاسعار النقدي</v>
      </c>
    </row>
    <row r="2566" spans="1:11" x14ac:dyDescent="0.25">
      <c r="A2566" s="4" t="str">
        <f ca="1">IFERROR(__xludf.DUMMYFUNCTION("""COMPUTED_VALUE"""),"1926-B")</f>
        <v>1926-B</v>
      </c>
      <c r="B2566" s="5" t="str">
        <f ca="1">IFERROR(__xludf.DUMMYFUNCTION("""COMPUTED_VALUE"""),"أسيوط")</f>
        <v>أسيوط</v>
      </c>
      <c r="C2566" s="5" t="str">
        <f ca="1">IFERROR(__xludf.DUMMYFUNCTION("""COMPUTED_VALUE"""),"أسيوط")</f>
        <v>أسيوط</v>
      </c>
      <c r="D2566" s="5" t="str">
        <f ca="1">IFERROR(__xludf.DUMMYFUNCTION("""COMPUTED_VALUE"""),"معمل")</f>
        <v>معمل</v>
      </c>
      <c r="E2566" s="5" t="str">
        <f ca="1">IFERROR(__xludf.DUMMYFUNCTION("""COMPUTED_VALUE"""),"معمل")</f>
        <v>معمل</v>
      </c>
      <c r="F2566" s="5" t="str">
        <f ca="1">IFERROR(__xludf.DUMMYFUNCTION("""COMPUTED_VALUE"""),"معمل التحاليل الطبية")</f>
        <v>معمل التحاليل الطبية</v>
      </c>
      <c r="G2566" s="5" t="str">
        <f ca="1">IFERROR(__xludf.DUMMYFUNCTION("""COMPUTED_VALUE"""),"معمل رويال لاب")</f>
        <v>معمل رويال لاب</v>
      </c>
      <c r="H2566" s="5" t="str">
        <f ca="1">IFERROR(__xludf.DUMMYFUNCTION("""COMPUTED_VALUE"""),"شقه 1 ادارى بالدور الخامس برج النحال الطبى امتداد شارع يسرى راغب ")</f>
        <v xml:space="preserve">شقه 1 ادارى بالدور الخامس برج النحال الطبى امتداد شارع يسرى راغب </v>
      </c>
      <c r="I2566" s="6" t="str">
        <f ca="1">IFERROR(__xludf.DUMMYFUNCTION("""COMPUTED_VALUE"""),"01144495452")</f>
        <v>01144495452</v>
      </c>
      <c r="J2566" s="6" t="str">
        <f ca="1">IFERROR(__xludf.DUMMYFUNCTION("""COMPUTED_VALUE"""),"16064")</f>
        <v>16064</v>
      </c>
      <c r="K2566" s="6" t="str">
        <f ca="1">IFERROR(__xludf.DUMMYFUNCTION("""COMPUTED_VALUE"""),"نسبة خصم 40%")</f>
        <v>نسبة خصم 40%</v>
      </c>
    </row>
    <row r="2567" spans="1:11" x14ac:dyDescent="0.25">
      <c r="A2567" s="4" t="str">
        <f ca="1">IFERROR(__xludf.DUMMYFUNCTION("""COMPUTED_VALUE"""),"1926-B")</f>
        <v>1926-B</v>
      </c>
      <c r="B2567" s="5" t="str">
        <f ca="1">IFERROR(__xludf.DUMMYFUNCTION("""COMPUTED_VALUE"""),"البحر الاحمر")</f>
        <v>البحر الاحمر</v>
      </c>
      <c r="C2567" s="5" t="str">
        <f ca="1">IFERROR(__xludf.DUMMYFUNCTION("""COMPUTED_VALUE"""),"الغردقة")</f>
        <v>الغردقة</v>
      </c>
      <c r="D2567" s="5" t="str">
        <f ca="1">IFERROR(__xludf.DUMMYFUNCTION("""COMPUTED_VALUE"""),"معمل")</f>
        <v>معمل</v>
      </c>
      <c r="E2567" s="5" t="str">
        <f ca="1">IFERROR(__xludf.DUMMYFUNCTION("""COMPUTED_VALUE"""),"معمل")</f>
        <v>معمل</v>
      </c>
      <c r="F2567" s="5" t="str">
        <f ca="1">IFERROR(__xludf.DUMMYFUNCTION("""COMPUTED_VALUE"""),"معمل التحاليل الطبية")</f>
        <v>معمل التحاليل الطبية</v>
      </c>
      <c r="G2567" s="5" t="str">
        <f ca="1">IFERROR(__xludf.DUMMYFUNCTION("""COMPUTED_VALUE"""),"معمل رويال لاب")</f>
        <v>معمل رويال لاب</v>
      </c>
      <c r="H2567" s="5" t="str">
        <f ca="1">IFERROR(__xludf.DUMMYFUNCTION("""COMPUTED_VALUE"""),"شارع النصر - امام مدخل شارع الكهف بجوار نقابه المهندسين ")</f>
        <v xml:space="preserve">شارع النصر - امام مدخل شارع الكهف بجوار نقابه المهندسين </v>
      </c>
      <c r="I2567" s="6" t="str">
        <f ca="1">IFERROR(__xludf.DUMMYFUNCTION("""COMPUTED_VALUE"""),"01211146321")</f>
        <v>01211146321</v>
      </c>
      <c r="J2567" s="6" t="str">
        <f ca="1">IFERROR(__xludf.DUMMYFUNCTION("""COMPUTED_VALUE"""),"16064")</f>
        <v>16064</v>
      </c>
      <c r="K2567" s="6" t="str">
        <f ca="1">IFERROR(__xludf.DUMMYFUNCTION("""COMPUTED_VALUE"""),"نسبة خصم 40%")</f>
        <v>نسبة خصم 40%</v>
      </c>
    </row>
    <row r="2568" spans="1:11" x14ac:dyDescent="0.25">
      <c r="A2568" s="4" t="str">
        <f ca="1">IFERROR(__xludf.DUMMYFUNCTION("""COMPUTED_VALUE"""),"1926-B")</f>
        <v>1926-B</v>
      </c>
      <c r="B2568" s="5" t="str">
        <f ca="1">IFERROR(__xludf.DUMMYFUNCTION("""COMPUTED_VALUE"""),"السويس")</f>
        <v>السويس</v>
      </c>
      <c r="C2568" s="5" t="str">
        <f ca="1">IFERROR(__xludf.DUMMYFUNCTION("""COMPUTED_VALUE"""),"السويس")</f>
        <v>السويس</v>
      </c>
      <c r="D2568" s="5" t="str">
        <f ca="1">IFERROR(__xludf.DUMMYFUNCTION("""COMPUTED_VALUE"""),"معمل")</f>
        <v>معمل</v>
      </c>
      <c r="E2568" s="5" t="str">
        <f ca="1">IFERROR(__xludf.DUMMYFUNCTION("""COMPUTED_VALUE"""),"معمل")</f>
        <v>معمل</v>
      </c>
      <c r="F2568" s="5" t="str">
        <f ca="1">IFERROR(__xludf.DUMMYFUNCTION("""COMPUTED_VALUE"""),"معمل التحاليل الطبية")</f>
        <v>معمل التحاليل الطبية</v>
      </c>
      <c r="G2568" s="5" t="str">
        <f ca="1">IFERROR(__xludf.DUMMYFUNCTION("""COMPUTED_VALUE"""),"معمل رويال لاب")</f>
        <v>معمل رويال لاب</v>
      </c>
      <c r="H2568" s="5" t="str">
        <f ca="1">IFERROR(__xludf.DUMMYFUNCTION("""COMPUTED_VALUE"""),"شارع الجيش برج السويس الدور التانى امام الهلال الاحمر ")</f>
        <v xml:space="preserve">شارع الجيش برج السويس الدور التانى امام الهلال الاحمر </v>
      </c>
      <c r="I2568" s="6" t="str">
        <f ca="1">IFERROR(__xludf.DUMMYFUNCTION("""COMPUTED_VALUE"""),"0623445512
")</f>
        <v xml:space="preserve">0623445512
</v>
      </c>
      <c r="J2568" s="6" t="str">
        <f ca="1">IFERROR(__xludf.DUMMYFUNCTION("""COMPUTED_VALUE"""),"16064")</f>
        <v>16064</v>
      </c>
      <c r="K2568" s="6" t="str">
        <f ca="1">IFERROR(__xludf.DUMMYFUNCTION("""COMPUTED_VALUE"""),"نسبة خصم 40%")</f>
        <v>نسبة خصم 40%</v>
      </c>
    </row>
    <row r="2569" spans="1:11" x14ac:dyDescent="0.25">
      <c r="A2569" s="4" t="str">
        <f ca="1">IFERROR(__xludf.DUMMYFUNCTION("""COMPUTED_VALUE"""),"1926-B")</f>
        <v>1926-B</v>
      </c>
      <c r="B2569" s="5" t="str">
        <f ca="1">IFERROR(__xludf.DUMMYFUNCTION("""COMPUTED_VALUE"""),"الاسكندرية")</f>
        <v>الاسكندرية</v>
      </c>
      <c r="C2569" s="5" t="str">
        <f ca="1">IFERROR(__xludf.DUMMYFUNCTION("""COMPUTED_VALUE"""),"العجمي")</f>
        <v>العجمي</v>
      </c>
      <c r="D2569" s="5" t="str">
        <f ca="1">IFERROR(__xludf.DUMMYFUNCTION("""COMPUTED_VALUE"""),"معمل")</f>
        <v>معمل</v>
      </c>
      <c r="E2569" s="5" t="str">
        <f ca="1">IFERROR(__xludf.DUMMYFUNCTION("""COMPUTED_VALUE"""),"معمل")</f>
        <v>معمل</v>
      </c>
      <c r="F2569" s="5" t="str">
        <f ca="1">IFERROR(__xludf.DUMMYFUNCTION("""COMPUTED_VALUE"""),"معمل التحاليل الطبية")</f>
        <v>معمل التحاليل الطبية</v>
      </c>
      <c r="G2569" s="5" t="str">
        <f ca="1">IFERROR(__xludf.DUMMYFUNCTION("""COMPUTED_VALUE"""),"معمل رويال لاب")</f>
        <v>معمل رويال لاب</v>
      </c>
      <c r="H2569" s="5" t="str">
        <f ca="1">IFERROR(__xludf.DUMMYFUNCTION("""COMPUTED_VALUE"""),"الهانوفيل - طريق اسكندرية مطروح - اعلى بيت الجمله - الدور الثانى ")</f>
        <v xml:space="preserve">الهانوفيل - طريق اسكندرية مطروح - اعلى بيت الجمله - الدور الثانى </v>
      </c>
      <c r="I2569" s="6" t="str">
        <f ca="1">IFERROR(__xludf.DUMMYFUNCTION("""COMPUTED_VALUE"""),"01103848866
")</f>
        <v xml:space="preserve">01103848866
</v>
      </c>
      <c r="J2569" s="6" t="str">
        <f ca="1">IFERROR(__xludf.DUMMYFUNCTION("""COMPUTED_VALUE"""),"16064")</f>
        <v>16064</v>
      </c>
      <c r="K2569" s="6" t="str">
        <f ca="1">IFERROR(__xludf.DUMMYFUNCTION("""COMPUTED_VALUE"""),"نسبة خصم 40%")</f>
        <v>نسبة خصم 40%</v>
      </c>
    </row>
    <row r="2570" spans="1:11" x14ac:dyDescent="0.25">
      <c r="A2570" s="4" t="str">
        <f ca="1">IFERROR(__xludf.DUMMYFUNCTION("""COMPUTED_VALUE"""),"1926-B")</f>
        <v>1926-B</v>
      </c>
      <c r="B2570" s="5" t="str">
        <f ca="1">IFERROR(__xludf.DUMMYFUNCTION("""COMPUTED_VALUE"""),"مرسى مطروح")</f>
        <v>مرسى مطروح</v>
      </c>
      <c r="C2570" s="5" t="str">
        <f ca="1">IFERROR(__xludf.DUMMYFUNCTION("""COMPUTED_VALUE"""),"الساحل الشمالي")</f>
        <v>الساحل الشمالي</v>
      </c>
      <c r="D2570" s="5" t="str">
        <f ca="1">IFERROR(__xludf.DUMMYFUNCTION("""COMPUTED_VALUE"""),"معمل")</f>
        <v>معمل</v>
      </c>
      <c r="E2570" s="5" t="str">
        <f ca="1">IFERROR(__xludf.DUMMYFUNCTION("""COMPUTED_VALUE"""),"معمل")</f>
        <v>معمل</v>
      </c>
      <c r="F2570" s="5" t="str">
        <f ca="1">IFERROR(__xludf.DUMMYFUNCTION("""COMPUTED_VALUE"""),"معمل التحاليل الطبية")</f>
        <v>معمل التحاليل الطبية</v>
      </c>
      <c r="G2570" s="5" t="str">
        <f ca="1">IFERROR(__xludf.DUMMYFUNCTION("""COMPUTED_VALUE"""),"معمل رويال لاب")</f>
        <v>معمل رويال لاب</v>
      </c>
      <c r="H2570" s="5" t="str">
        <f ca="1">IFERROR(__xludf.DUMMYFUNCTION("""COMPUTED_VALUE"""),"طريق الساحل - امام بوابة مراسى 2 بجوار جو باص - الدور الاول ")</f>
        <v xml:space="preserve">طريق الساحل - امام بوابة مراسى 2 بجوار جو باص - الدور الاول </v>
      </c>
      <c r="I2570" s="6" t="str">
        <f ca="1">IFERROR(__xludf.DUMMYFUNCTION("""COMPUTED_VALUE"""),"01024308833
")</f>
        <v xml:space="preserve">01024308833
</v>
      </c>
      <c r="J2570" s="6" t="str">
        <f ca="1">IFERROR(__xludf.DUMMYFUNCTION("""COMPUTED_VALUE"""),"16064")</f>
        <v>16064</v>
      </c>
      <c r="K2570" s="6" t="str">
        <f ca="1">IFERROR(__xludf.DUMMYFUNCTION("""COMPUTED_VALUE"""),"نسبة خصم 40%")</f>
        <v>نسبة خصم 40%</v>
      </c>
    </row>
    <row r="2571" spans="1:11" x14ac:dyDescent="0.25">
      <c r="A2571" s="4" t="str">
        <f ca="1">IFERROR(__xludf.DUMMYFUNCTION("""COMPUTED_VALUE"""),"105097")</f>
        <v>105097</v>
      </c>
      <c r="B2571" s="5" t="str">
        <f ca="1">IFERROR(__xludf.DUMMYFUNCTION("""COMPUTED_VALUE"""),"الجيزة")</f>
        <v>الجيزة</v>
      </c>
      <c r="C2571" s="5" t="str">
        <f ca="1">IFERROR(__xludf.DUMMYFUNCTION("""COMPUTED_VALUE"""),"فيصل")</f>
        <v>فيصل</v>
      </c>
      <c r="D2571" s="5" t="str">
        <f ca="1">IFERROR(__xludf.DUMMYFUNCTION("""COMPUTED_VALUE"""),"هيئة الأطباء")</f>
        <v>هيئة الأطباء</v>
      </c>
      <c r="E2571" s="5" t="str">
        <f ca="1">IFERROR(__xludf.DUMMYFUNCTION("""COMPUTED_VALUE"""),"جراحة")</f>
        <v>جراحة</v>
      </c>
      <c r="F2571" s="5" t="str">
        <f ca="1">IFERROR(__xludf.DUMMYFUNCTION("""COMPUTED_VALUE"""),"جراحة عظام")</f>
        <v>جراحة عظام</v>
      </c>
      <c r="G2571" s="5" t="str">
        <f ca="1">IFERROR(__xludf.DUMMYFUNCTION("""COMPUTED_VALUE"""),"د- محمد قطب محمد وهبة")</f>
        <v>د- محمد قطب محمد وهبة</v>
      </c>
      <c r="H2571" s="5" t="str">
        <f ca="1">IFERROR(__xludf.DUMMYFUNCTION("""COMPUTED_VALUE"""),"224 شارع فيصل محطه التعاون")</f>
        <v>224 شارع فيصل محطه التعاون</v>
      </c>
      <c r="I2571" s="6" t="str">
        <f ca="1">IFERROR(__xludf.DUMMYFUNCTION("""COMPUTED_VALUE"""),"01112271319")</f>
        <v>01112271319</v>
      </c>
      <c r="J2571" s="6"/>
      <c r="K2571" s="6" t="str">
        <f ca="1">IFERROR(__xludf.DUMMYFUNCTION("""COMPUTED_VALUE"""),"نسبة خصم 50%")</f>
        <v>نسبة خصم 50%</v>
      </c>
    </row>
    <row r="2572" spans="1:11" x14ac:dyDescent="0.25">
      <c r="A2572" s="4" t="str">
        <f ca="1">IFERROR(__xludf.DUMMYFUNCTION("""COMPUTED_VALUE"""),"106416-B")</f>
        <v>106416-B</v>
      </c>
      <c r="B2572" s="5" t="str">
        <f ca="1">IFERROR(__xludf.DUMMYFUNCTION("""COMPUTED_VALUE"""),"بورسعيد")</f>
        <v>بورسعيد</v>
      </c>
      <c r="C2572" s="5" t="str">
        <f ca="1">IFERROR(__xludf.DUMMYFUNCTION("""COMPUTED_VALUE"""),"بورفؤاد")</f>
        <v>بورفؤاد</v>
      </c>
      <c r="D2572" s="5" t="str">
        <f ca="1">IFERROR(__xludf.DUMMYFUNCTION("""COMPUTED_VALUE"""),"مركز علاج طبيعي")</f>
        <v>مركز علاج طبيعي</v>
      </c>
      <c r="E2572" s="5" t="str">
        <f ca="1">IFERROR(__xludf.DUMMYFUNCTION("""COMPUTED_VALUE"""),"علاج طبيعي")</f>
        <v>علاج طبيعي</v>
      </c>
      <c r="F2572" s="5" t="str">
        <f ca="1">IFERROR(__xludf.DUMMYFUNCTION("""COMPUTED_VALUE"""),"جلسات العلاج الطبيعي")</f>
        <v>جلسات العلاج الطبيعي</v>
      </c>
      <c r="G2572" s="5" t="str">
        <f ca="1">IFERROR(__xludf.DUMMYFUNCTION("""COMPUTED_VALUE"""),"د. سارة محمد حامد اسماعيل (مركز أدم للعلاج الطبيعي)")</f>
        <v>د. سارة محمد حامد اسماعيل (مركز أدم للعلاج الطبيعي)</v>
      </c>
      <c r="H2572" s="5" t="str">
        <f ca="1">IFERROR(__xludf.DUMMYFUNCTION("""COMPUTED_VALUE"""),"محل رقم 8 شارع الجمهورية شارع 15 سبتمبر ")</f>
        <v xml:space="preserve">محل رقم 8 شارع الجمهورية شارع 15 سبتمبر </v>
      </c>
      <c r="I2572" s="6" t="str">
        <f ca="1">IFERROR(__xludf.DUMMYFUNCTION("""COMPUTED_VALUE"""),"01220806767")</f>
        <v>01220806767</v>
      </c>
      <c r="J2572" s="6"/>
      <c r="K2572" s="6" t="str">
        <f ca="1">IFERROR(__xludf.DUMMYFUNCTION("""COMPUTED_VALUE"""),"خصم 30% علي الاسعار النقدي")</f>
        <v>خصم 30% علي الاسعار النقدي</v>
      </c>
    </row>
    <row r="2573" spans="1:11" x14ac:dyDescent="0.25">
      <c r="A2573" s="4" t="str">
        <f ca="1">IFERROR(__xludf.DUMMYFUNCTION("""COMPUTED_VALUE"""),"105372-B")</f>
        <v>105372-B</v>
      </c>
      <c r="B2573" s="5" t="str">
        <f ca="1">IFERROR(__xludf.DUMMYFUNCTION("""COMPUTED_VALUE"""),"الجيزة")</f>
        <v>الجيزة</v>
      </c>
      <c r="C2573" s="5" t="str">
        <f ca="1">IFERROR(__xludf.DUMMYFUNCTION("""COMPUTED_VALUE"""),"ترسا")</f>
        <v>ترسا</v>
      </c>
      <c r="D2573" s="5" t="str">
        <f ca="1">IFERROR(__xludf.DUMMYFUNCTION("""COMPUTED_VALUE"""),"مجمع عيادات")</f>
        <v>مجمع عيادات</v>
      </c>
      <c r="E2573" s="5" t="str">
        <f ca="1">IFERROR(__xludf.DUMMYFUNCTION("""COMPUTED_VALUE"""),"جميع التخصصات")</f>
        <v>جميع التخصصات</v>
      </c>
      <c r="F2573" s="5" t="str">
        <f ca="1">IFERROR(__xludf.DUMMYFUNCTION("""COMPUTED_VALUE"""),"جميع التخصصات الطبية")</f>
        <v>جميع التخصصات الطبية</v>
      </c>
      <c r="G2573" s="5" t="str">
        <f ca="1">IFERROR(__xludf.DUMMYFUNCTION("""COMPUTED_VALUE"""),"شركة كير كلينيك للخدمات الطبية (عيادات كير كلينك التخصصية)")</f>
        <v>شركة كير كلينيك للخدمات الطبية (عيادات كير كلينك التخصصية)</v>
      </c>
      <c r="H2573" s="5" t="str">
        <f ca="1">IFERROR(__xludf.DUMMYFUNCTION("""COMPUTED_VALUE"""),"رقم 8 شارع ترسا امام مطعم الشيخ السوري وبجوار سنتر زلزال تقاطع عز الدين عمر مع شارع ترسا الكوم الاخضر الهرم، الدور الأول
")</f>
        <v xml:space="preserve">رقم 8 شارع ترسا امام مطعم الشيخ السوري وبجوار سنتر زلزال تقاطع عز الدين عمر مع شارع ترسا الكوم الاخضر الهرم، الدور الأول
</v>
      </c>
      <c r="I2573" s="6" t="str">
        <f ca="1">IFERROR(__xludf.DUMMYFUNCTION("""COMPUTED_VALUE"""),"01067000826")</f>
        <v>01067000826</v>
      </c>
      <c r="J2573" s="6"/>
      <c r="K2573" s="6" t="str">
        <f ca="1">IFERROR(__xludf.DUMMYFUNCTION("""COMPUTED_VALUE"""),"30%على الكشف ,40% على باقى الخدمات")</f>
        <v>30%على الكشف ,40% على باقى الخدمات</v>
      </c>
    </row>
    <row r="2574" spans="1:11" x14ac:dyDescent="0.25">
      <c r="A2574" s="4" t="str">
        <f ca="1">IFERROR(__xludf.DUMMYFUNCTION("""COMPUTED_VALUE"""),"106938")</f>
        <v>106938</v>
      </c>
      <c r="B2574" s="5" t="str">
        <f ca="1">IFERROR(__xludf.DUMMYFUNCTION("""COMPUTED_VALUE"""),"المنيا")</f>
        <v>المنيا</v>
      </c>
      <c r="C2574" s="5" t="str">
        <f ca="1">IFERROR(__xludf.DUMMYFUNCTION("""COMPUTED_VALUE"""),"سمالوط")</f>
        <v>سمالوط</v>
      </c>
      <c r="D2574" s="5" t="str">
        <f ca="1">IFERROR(__xludf.DUMMYFUNCTION("""COMPUTED_VALUE"""),"صيدلية")</f>
        <v>صيدلية</v>
      </c>
      <c r="E2574" s="5" t="str">
        <f ca="1">IFERROR(__xludf.DUMMYFUNCTION("""COMPUTED_VALUE"""),"صيدلية")</f>
        <v>صيدلية</v>
      </c>
      <c r="F2574" s="5" t="str">
        <f ca="1">IFERROR(__xludf.DUMMYFUNCTION("""COMPUTED_VALUE"""),"صيدلية (أدوية ومستلزمات طبية)")</f>
        <v>صيدلية (أدوية ومستلزمات طبية)</v>
      </c>
      <c r="G2574" s="5" t="str">
        <f ca="1">IFERROR(__xludf.DUMMYFUNCTION("""COMPUTED_VALUE"""),"صيدليه د/ عبد الرحمن حسن زكريا جلال")</f>
        <v>صيدليه د/ عبد الرحمن حسن زكريا جلال</v>
      </c>
      <c r="H2574" s="5" t="str">
        <f ca="1">IFERROR(__xludf.DUMMYFUNCTION("""COMPUTED_VALUE"""),"شارع عدلي يكن - سمالوط - المنيا")</f>
        <v>شارع عدلي يكن - سمالوط - المنيا</v>
      </c>
      <c r="I2574" s="6" t="str">
        <f ca="1">IFERROR(__xludf.DUMMYFUNCTION("""COMPUTED_VALUE"""),"01155528508")</f>
        <v>01155528508</v>
      </c>
      <c r="J2574" s="6"/>
      <c r="K2574" s="6" t="str">
        <f ca="1">IFERROR(__xludf.DUMMYFUNCTION("""COMPUTED_VALUE"""),"خصم 14% علي المحلي و 7% علي المستورد")</f>
        <v>خصم 14% علي المحلي و 7% علي المستورد</v>
      </c>
    </row>
    <row r="2575" spans="1:11" x14ac:dyDescent="0.25">
      <c r="A2575" s="4" t="str">
        <f ca="1">IFERROR(__xludf.DUMMYFUNCTION("""COMPUTED_VALUE"""),"106939")</f>
        <v>106939</v>
      </c>
      <c r="B2575" s="5" t="str">
        <f ca="1">IFERROR(__xludf.DUMMYFUNCTION("""COMPUTED_VALUE"""),"أسوان")</f>
        <v>أسوان</v>
      </c>
      <c r="C2575" s="5" t="str">
        <f ca="1">IFERROR(__xludf.DUMMYFUNCTION("""COMPUTED_VALUE"""),"كوم امبو")</f>
        <v>كوم امبو</v>
      </c>
      <c r="D2575" s="5" t="str">
        <f ca="1">IFERROR(__xludf.DUMMYFUNCTION("""COMPUTED_VALUE"""),"صيدلية")</f>
        <v>صيدلية</v>
      </c>
      <c r="E2575" s="5" t="str">
        <f ca="1">IFERROR(__xludf.DUMMYFUNCTION("""COMPUTED_VALUE"""),"صيدلية")</f>
        <v>صيدلية</v>
      </c>
      <c r="F2575" s="5" t="str">
        <f ca="1">IFERROR(__xludf.DUMMYFUNCTION("""COMPUTED_VALUE"""),"صيدلية (أدوية ومستلزمات طبية)")</f>
        <v>صيدلية (أدوية ومستلزمات طبية)</v>
      </c>
      <c r="G2575" s="5" t="str">
        <f ca="1">IFERROR(__xludf.DUMMYFUNCTION("""COMPUTED_VALUE"""),"صيدليه د/مكرم عدلي صالح سكران")</f>
        <v>صيدليه د/مكرم عدلي صالح سكران</v>
      </c>
      <c r="H2575" s="5" t="str">
        <f ca="1">IFERROR(__xludf.DUMMYFUNCTION("""COMPUTED_VALUE"""),"شارع صلاح سالم -كوم امبو - اسوان")</f>
        <v>شارع صلاح سالم -كوم امبو - اسوان</v>
      </c>
      <c r="I2575" s="6" t="str">
        <f ca="1">IFERROR(__xludf.DUMMYFUNCTION("""COMPUTED_VALUE"""),"0973629274")</f>
        <v>0973629274</v>
      </c>
      <c r="J2575" s="6"/>
      <c r="K2575" s="6" t="str">
        <f ca="1">IFERROR(__xludf.DUMMYFUNCTION("""COMPUTED_VALUE"""),"خصم 14% علي المحلي و 7% علي المستورد")</f>
        <v>خصم 14% علي المحلي و 7% علي المستورد</v>
      </c>
    </row>
    <row r="2576" spans="1:11" x14ac:dyDescent="0.25">
      <c r="A2576" s="4" t="str">
        <f ca="1">IFERROR(__xludf.DUMMYFUNCTION("""COMPUTED_VALUE"""),"106940")</f>
        <v>106940</v>
      </c>
      <c r="B2576" s="5" t="str">
        <f ca="1">IFERROR(__xludf.DUMMYFUNCTION("""COMPUTED_VALUE"""),"كفر الشيخ")</f>
        <v>كفر الشيخ</v>
      </c>
      <c r="C2576" s="5" t="str">
        <f ca="1">IFERROR(__xludf.DUMMYFUNCTION("""COMPUTED_VALUE"""),"دسوق")</f>
        <v>دسوق</v>
      </c>
      <c r="D2576" s="5" t="str">
        <f ca="1">IFERROR(__xludf.DUMMYFUNCTION("""COMPUTED_VALUE"""),"هيئة الأطباء")</f>
        <v>هيئة الأطباء</v>
      </c>
      <c r="E2576" s="5" t="str">
        <f ca="1">IFERROR(__xludf.DUMMYFUNCTION("""COMPUTED_VALUE"""),"باطنة")</f>
        <v>باطنة</v>
      </c>
      <c r="F2576" s="5" t="str">
        <f ca="1">IFERROR(__xludf.DUMMYFUNCTION("""COMPUTED_VALUE"""),"قلب واوعية دموية")</f>
        <v>قلب واوعية دموية</v>
      </c>
      <c r="G2576" s="5" t="str">
        <f ca="1">IFERROR(__xludf.DUMMYFUNCTION("""COMPUTED_VALUE"""),"د/ محمد سعد عبدالرحمن الصعيدي")</f>
        <v>د/ محمد سعد عبدالرحمن الصعيدي</v>
      </c>
      <c r="H2576" s="5" t="str">
        <f ca="1">IFERROR(__xludf.DUMMYFUNCTION("""COMPUTED_VALUE"""),"16 ش الزهراء عماره دكتور عمرو سالم - كفر الشيخ")</f>
        <v>16 ش الزهراء عماره دكتور عمرو سالم - كفر الشيخ</v>
      </c>
      <c r="I2576" s="6" t="str">
        <f ca="1">IFERROR(__xludf.DUMMYFUNCTION("""COMPUTED_VALUE"""),"01004694769")</f>
        <v>01004694769</v>
      </c>
      <c r="J2576" s="6"/>
      <c r="K2576" s="6" t="str">
        <f ca="1">IFERROR(__xludf.DUMMYFUNCTION("""COMPUTED_VALUE"""),"خصم 30% علي الاسعار النقدي")</f>
        <v>خصم 30% علي الاسعار النقدي</v>
      </c>
    </row>
    <row r="2577" spans="1:11" x14ac:dyDescent="0.25">
      <c r="A2577" s="4" t="str">
        <f ca="1">IFERROR(__xludf.DUMMYFUNCTION("""COMPUTED_VALUE"""),"106941")</f>
        <v>106941</v>
      </c>
      <c r="B2577" s="5" t="str">
        <f ca="1">IFERROR(__xludf.DUMMYFUNCTION("""COMPUTED_VALUE"""),"الأقصر")</f>
        <v>الأقصر</v>
      </c>
      <c r="C2577" s="5" t="str">
        <f ca="1">IFERROR(__xludf.DUMMYFUNCTION("""COMPUTED_VALUE"""),"الأقصر")</f>
        <v>الأقصر</v>
      </c>
      <c r="D2577" s="5" t="str">
        <f ca="1">IFERROR(__xludf.DUMMYFUNCTION("""COMPUTED_VALUE"""),"هيئة الأطباء")</f>
        <v>هيئة الأطباء</v>
      </c>
      <c r="E2577" s="5" t="str">
        <f ca="1">IFERROR(__xludf.DUMMYFUNCTION("""COMPUTED_VALUE"""),"باطنة")</f>
        <v>باطنة</v>
      </c>
      <c r="F2577" s="5" t="str">
        <f ca="1">IFERROR(__xludf.DUMMYFUNCTION("""COMPUTED_VALUE"""),"قلب واوعية دموية")</f>
        <v>قلب واوعية دموية</v>
      </c>
      <c r="G2577" s="5" t="str">
        <f ca="1">IFERROR(__xludf.DUMMYFUNCTION("""COMPUTED_VALUE"""),"د/محمد شهاب ابو زيد علي  ابو زيد")</f>
        <v>د/محمد شهاب ابو زيد علي  ابو زيد</v>
      </c>
      <c r="H2577" s="5" t="str">
        <f ca="1">IFERROR(__xludf.DUMMYFUNCTION("""COMPUTED_VALUE"""),"ش علاء الدين-الاقصر")</f>
        <v>ش علاء الدين-الاقصر</v>
      </c>
      <c r="I2577" s="6" t="str">
        <f ca="1">IFERROR(__xludf.DUMMYFUNCTION("""COMPUTED_VALUE"""),"01005048565")</f>
        <v>01005048565</v>
      </c>
      <c r="J2577" s="6"/>
      <c r="K2577" s="6" t="str">
        <f ca="1">IFERROR(__xludf.DUMMYFUNCTION("""COMPUTED_VALUE"""),"خصم 30% علي الاسعار النقدي")</f>
        <v>خصم 30% علي الاسعار النقدي</v>
      </c>
    </row>
    <row r="2578" spans="1:11" x14ac:dyDescent="0.25">
      <c r="A2578" s="4" t="str">
        <f ca="1">IFERROR(__xludf.DUMMYFUNCTION("""COMPUTED_VALUE"""),"106942")</f>
        <v>106942</v>
      </c>
      <c r="B2578" s="5" t="str">
        <f ca="1">IFERROR(__xludf.DUMMYFUNCTION("""COMPUTED_VALUE"""),"كفر الشيخ")</f>
        <v>كفر الشيخ</v>
      </c>
      <c r="C2578" s="5" t="str">
        <f ca="1">IFERROR(__xludf.DUMMYFUNCTION("""COMPUTED_VALUE"""),"كفر الشيخ")</f>
        <v>كفر الشيخ</v>
      </c>
      <c r="D2578" s="5" t="str">
        <f ca="1">IFERROR(__xludf.DUMMYFUNCTION("""COMPUTED_VALUE"""),"مستشفى")</f>
        <v>مستشفى</v>
      </c>
      <c r="E2578" s="5" t="str">
        <f ca="1">IFERROR(__xludf.DUMMYFUNCTION("""COMPUTED_VALUE"""),"مستشفي طبي متكامل")</f>
        <v>مستشفي طبي متكامل</v>
      </c>
      <c r="F2578" s="5" t="str">
        <f ca="1">IFERROR(__xludf.DUMMYFUNCTION("""COMPUTED_VALUE"""),"جميع التخصصات الطبية")</f>
        <v>جميع التخصصات الطبية</v>
      </c>
      <c r="G2578" s="5" t="str">
        <f ca="1">IFERROR(__xludf.DUMMYFUNCTION("""COMPUTED_VALUE"""),"مستشفي تداوي (بيت التداوي للاستثمارات الطبيه و الرياضيه)")</f>
        <v>مستشفي تداوي (بيت التداوي للاستثمارات الطبيه و الرياضيه)</v>
      </c>
      <c r="H2578" s="5" t="str">
        <f ca="1">IFERROR(__xludf.DUMMYFUNCTION("""COMPUTED_VALUE"""),"ق 25 دور 4 تقسيم النيابه العامه - مدينه كفر الشيخ")</f>
        <v>ق 25 دور 4 تقسيم النيابه العامه - مدينه كفر الشيخ</v>
      </c>
      <c r="I2578" s="6" t="str">
        <f ca="1">IFERROR(__xludf.DUMMYFUNCTION("""COMPUTED_VALUE"""),"0472210040")</f>
        <v>0472210040</v>
      </c>
      <c r="J2578" s="6"/>
      <c r="K2578" s="6" t="str">
        <f ca="1">IFERROR(__xludf.DUMMYFUNCTION("""COMPUTED_VALUE"""),"خصم 25% علي الاسعار النقدي")</f>
        <v>خصم 25% علي الاسعار النقدي</v>
      </c>
    </row>
    <row r="2579" spans="1:11" x14ac:dyDescent="0.25">
      <c r="A2579" s="4" t="str">
        <f ca="1">IFERROR(__xludf.DUMMYFUNCTION("""COMPUTED_VALUE"""),"106943-B")</f>
        <v>106943-B</v>
      </c>
      <c r="B2579" s="5" t="str">
        <f ca="1">IFERROR(__xludf.DUMMYFUNCTION("""COMPUTED_VALUE"""),"القاهرة")</f>
        <v>القاهرة</v>
      </c>
      <c r="C2579" s="5" t="str">
        <f ca="1">IFERROR(__xludf.DUMMYFUNCTION("""COMPUTED_VALUE"""),"مصر الجديدة")</f>
        <v>مصر الجديدة</v>
      </c>
      <c r="D2579" s="5" t="str">
        <f ca="1">IFERROR(__xludf.DUMMYFUNCTION("""COMPUTED_VALUE"""),"مستشفى")</f>
        <v>مستشفى</v>
      </c>
      <c r="E2579" s="5" t="str">
        <f ca="1">IFERROR(__xludf.DUMMYFUNCTION("""COMPUTED_VALUE"""),"مستشفي طبي متخصص")</f>
        <v>مستشفي طبي متخصص</v>
      </c>
      <c r="F2579" s="5" t="str">
        <f ca="1">IFERROR(__xludf.DUMMYFUNCTION("""COMPUTED_VALUE"""),"مناظير الجهاز الهضمي")</f>
        <v>مناظير الجهاز الهضمي</v>
      </c>
      <c r="G2579" s="5" t="str">
        <f ca="1">IFERROR(__xludf.DUMMYFUNCTION("""COMPUTED_VALUE"""),"بروسكوب مصر لادارة و تشغيل المنشات الطبيه (مركز اندوسكوب)")</f>
        <v>بروسكوب مصر لادارة و تشغيل المنشات الطبيه (مركز اندوسكوب)</v>
      </c>
      <c r="H2579" s="5" t="str">
        <f ca="1">IFERROR(__xludf.DUMMYFUNCTION("""COMPUTED_VALUE"""),"12 ش رشيد متفرع من ش العروبة - هليوبوليس")</f>
        <v>12 ش رشيد متفرع من ش العروبة - هليوبوليس</v>
      </c>
      <c r="I2579" s="6" t="str">
        <f ca="1">IFERROR(__xludf.DUMMYFUNCTION("""COMPUTED_VALUE"""),"01100025052")</f>
        <v>01100025052</v>
      </c>
      <c r="J2579" s="6"/>
      <c r="K2579" s="6" t="str">
        <f ca="1">IFERROR(__xludf.DUMMYFUNCTION("""COMPUTED_VALUE"""),"خصم 20% علي الاسعار النقدي")</f>
        <v>خصم 20% علي الاسعار النقدي</v>
      </c>
    </row>
    <row r="2580" spans="1:11" x14ac:dyDescent="0.25">
      <c r="A2580" s="4" t="str">
        <f ca="1">IFERROR(__xludf.DUMMYFUNCTION("""COMPUTED_VALUE"""),"106944")</f>
        <v>106944</v>
      </c>
      <c r="B2580" s="5" t="str">
        <f ca="1">IFERROR(__xludf.DUMMYFUNCTION("""COMPUTED_VALUE"""),"بورسعيد")</f>
        <v>بورسعيد</v>
      </c>
      <c r="C2580" s="5" t="str">
        <f ca="1">IFERROR(__xludf.DUMMYFUNCTION("""COMPUTED_VALUE"""),"بورسعيد")</f>
        <v>بورسعيد</v>
      </c>
      <c r="D2580" s="5" t="str">
        <f ca="1">IFERROR(__xludf.DUMMYFUNCTION("""COMPUTED_VALUE"""),"مركز علاج طبيعي")</f>
        <v>مركز علاج طبيعي</v>
      </c>
      <c r="E2580" s="5" t="str">
        <f ca="1">IFERROR(__xludf.DUMMYFUNCTION("""COMPUTED_VALUE"""),"علاج طبيعي")</f>
        <v>علاج طبيعي</v>
      </c>
      <c r="F2580" s="5" t="str">
        <f ca="1">IFERROR(__xludf.DUMMYFUNCTION("""COMPUTED_VALUE"""),"جلسات العلاج الطبيعي")</f>
        <v>جلسات العلاج الطبيعي</v>
      </c>
      <c r="G2580" s="5" t="str">
        <f ca="1">IFERROR(__xludf.DUMMYFUNCTION("""COMPUTED_VALUE"""),"محمد عادل طه محمود السيد (مركز جوده للعلاج الطبيعي)")</f>
        <v>محمد عادل طه محمود السيد (مركز جوده للعلاج الطبيعي)</v>
      </c>
      <c r="H2580" s="5" t="str">
        <f ca="1">IFERROR(__xludf.DUMMYFUNCTION("""COMPUTED_VALUE"""),"شقه 22 دور 2 علوي ع32 ش سعد زغلول و عزمي برج درويش - بورسعيد")</f>
        <v>شقه 22 دور 2 علوي ع32 ش سعد زغلول و عزمي برج درويش - بورسعيد</v>
      </c>
      <c r="I2580" s="6" t="str">
        <f ca="1">IFERROR(__xludf.DUMMYFUNCTION("""COMPUTED_VALUE"""),"0663253370")</f>
        <v>0663253370</v>
      </c>
      <c r="J2580" s="6"/>
      <c r="K2580" s="6" t="str">
        <f ca="1">IFERROR(__xludf.DUMMYFUNCTION("""COMPUTED_VALUE"""),"خصم 20% علي الاسعار النقدي")</f>
        <v>خصم 20% علي الاسعار النقدي</v>
      </c>
    </row>
    <row r="2581" spans="1:11" x14ac:dyDescent="0.25">
      <c r="A2581" s="4" t="str">
        <f ca="1">IFERROR(__xludf.DUMMYFUNCTION("""COMPUTED_VALUE"""),"106945")</f>
        <v>106945</v>
      </c>
      <c r="B2581" s="5" t="str">
        <f ca="1">IFERROR(__xludf.DUMMYFUNCTION("""COMPUTED_VALUE"""),"كفر الشيخ")</f>
        <v>كفر الشيخ</v>
      </c>
      <c r="C2581" s="5" t="str">
        <f ca="1">IFERROR(__xludf.DUMMYFUNCTION("""COMPUTED_VALUE"""),"مطوبس")</f>
        <v>مطوبس</v>
      </c>
      <c r="D2581" s="5" t="str">
        <f ca="1">IFERROR(__xludf.DUMMYFUNCTION("""COMPUTED_VALUE"""),"مستشفى")</f>
        <v>مستشفى</v>
      </c>
      <c r="E2581" s="5" t="str">
        <f ca="1">IFERROR(__xludf.DUMMYFUNCTION("""COMPUTED_VALUE"""),"مستشفي طبي متكامل")</f>
        <v>مستشفي طبي متكامل</v>
      </c>
      <c r="F2581" s="5" t="str">
        <f ca="1">IFERROR(__xludf.DUMMYFUNCTION("""COMPUTED_VALUE"""),"جميع التخصصات الطبية")</f>
        <v>جميع التخصصات الطبية</v>
      </c>
      <c r="G2581" s="5" t="str">
        <f ca="1">IFERROR(__xludf.DUMMYFUNCTION("""COMPUTED_VALUE"""),"منير عمر سعد الفخراني (مركز دار الطب للجراحه)")</f>
        <v>منير عمر سعد الفخراني (مركز دار الطب للجراحه)</v>
      </c>
      <c r="H2581" s="5" t="str">
        <f ca="1">IFERROR(__xludf.DUMMYFUNCTION("""COMPUTED_VALUE"""),"مطوبس - أرض عاشور - بجوار محطه القطار - كفر الشيخ")</f>
        <v>مطوبس - أرض عاشور - بجوار محطه القطار - كفر الشيخ</v>
      </c>
      <c r="I2581" s="6" t="str">
        <f ca="1">IFERROR(__xludf.DUMMYFUNCTION("""COMPUTED_VALUE"""),"0472716101")</f>
        <v>0472716101</v>
      </c>
      <c r="J2581" s="6"/>
      <c r="K2581" s="6" t="str">
        <f ca="1">IFERROR(__xludf.DUMMYFUNCTION("""COMPUTED_VALUE"""),"خصم 30% علي الاسعار النقدي")</f>
        <v>خصم 30% علي الاسعار النقدي</v>
      </c>
    </row>
    <row r="2582" spans="1:11" x14ac:dyDescent="0.25">
      <c r="A2582" s="4" t="str">
        <f ca="1">IFERROR(__xludf.DUMMYFUNCTION("""COMPUTED_VALUE"""),"106944-B")</f>
        <v>106944-B</v>
      </c>
      <c r="B2582" s="5" t="str">
        <f ca="1">IFERROR(__xludf.DUMMYFUNCTION("""COMPUTED_VALUE"""),"بورسعيد")</f>
        <v>بورسعيد</v>
      </c>
      <c r="C2582" s="5" t="str">
        <f ca="1">IFERROR(__xludf.DUMMYFUNCTION("""COMPUTED_VALUE"""),"بورفؤاد")</f>
        <v>بورفؤاد</v>
      </c>
      <c r="D2582" s="5" t="str">
        <f ca="1">IFERROR(__xludf.DUMMYFUNCTION("""COMPUTED_VALUE"""),"مركز علاج طبيعي")</f>
        <v>مركز علاج طبيعي</v>
      </c>
      <c r="E2582" s="5" t="str">
        <f ca="1">IFERROR(__xludf.DUMMYFUNCTION("""COMPUTED_VALUE"""),"علاج طبيعي")</f>
        <v>علاج طبيعي</v>
      </c>
      <c r="F2582" s="5" t="str">
        <f ca="1">IFERROR(__xludf.DUMMYFUNCTION("""COMPUTED_VALUE"""),"جلسات العلاج الطبيعي")</f>
        <v>جلسات العلاج الطبيعي</v>
      </c>
      <c r="G2582" s="5" t="str">
        <f ca="1">IFERROR(__xludf.DUMMYFUNCTION("""COMPUTED_VALUE"""),"محمد عادل طه محمود السيد (مركز جوده للعلاج الطبيعي)")</f>
        <v>محمد عادل طه محمود السيد (مركز جوده للعلاج الطبيعي)</v>
      </c>
      <c r="H2582" s="5" t="str">
        <f ca="1">IFERROR(__xludf.DUMMYFUNCTION("""COMPUTED_VALUE"""),"عمارات اشتوم الجميل امام مستشفى بورفؤاد العام بجوار صيدلية الدسوقي")</f>
        <v>عمارات اشتوم الجميل امام مستشفى بورفؤاد العام بجوار صيدلية الدسوقي</v>
      </c>
      <c r="I2582" s="6" t="str">
        <f ca="1">IFERROR(__xludf.DUMMYFUNCTION("""COMPUTED_VALUE"""),"0663424006")</f>
        <v>0663424006</v>
      </c>
      <c r="J2582" s="6"/>
      <c r="K2582" s="6" t="str">
        <f ca="1">IFERROR(__xludf.DUMMYFUNCTION("""COMPUTED_VALUE"""),"خصم 20% علي الاسعار النقدي")</f>
        <v>خصم 20% علي الاسعار النقدي</v>
      </c>
    </row>
    <row r="2583" spans="1:11" x14ac:dyDescent="0.25">
      <c r="A2583" s="4" t="str">
        <f ca="1">IFERROR(__xludf.DUMMYFUNCTION("""COMPUTED_VALUE"""),"3798-B")</f>
        <v>3798-B</v>
      </c>
      <c r="B2583" s="5" t="str">
        <f ca="1">IFERROR(__xludf.DUMMYFUNCTION("""COMPUTED_VALUE"""),"الشرقية")</f>
        <v>الشرقية</v>
      </c>
      <c r="C2583" s="5" t="str">
        <f ca="1">IFERROR(__xludf.DUMMYFUNCTION("""COMPUTED_VALUE"""),"الزقازيق")</f>
        <v>الزقازيق</v>
      </c>
      <c r="D2583" s="5" t="str">
        <f ca="1">IFERROR(__xludf.DUMMYFUNCTION("""COMPUTED_VALUE"""),"معمل")</f>
        <v>معمل</v>
      </c>
      <c r="E2583" s="5" t="str">
        <f ca="1">IFERROR(__xludf.DUMMYFUNCTION("""COMPUTED_VALUE"""),"معمل")</f>
        <v>معمل</v>
      </c>
      <c r="F2583" s="5" t="str">
        <f ca="1">IFERROR(__xludf.DUMMYFUNCTION("""COMPUTED_VALUE"""),"معمل التحاليل الطبية")</f>
        <v>معمل التحاليل الطبية</v>
      </c>
      <c r="G2583" s="5" t="str">
        <f ca="1">IFERROR(__xludf.DUMMYFUNCTION("""COMPUTED_VALUE"""),"معمل الدكتورة/ أمينة حساب")</f>
        <v>معمل الدكتورة/ أمينة حساب</v>
      </c>
      <c r="H2583" s="5" t="str">
        <f ca="1">IFERROR(__xludf.DUMMYFUNCTION("""COMPUTED_VALUE"""),"49 ش المشير احمد اسماعيل ميدان القومية")</f>
        <v>49 ش المشير احمد اسماعيل ميدان القومية</v>
      </c>
      <c r="I2583" s="6"/>
      <c r="J2583" s="6" t="str">
        <f ca="1">IFERROR(__xludf.DUMMYFUNCTION("""COMPUTED_VALUE"""),"16987")</f>
        <v>16987</v>
      </c>
      <c r="K2583" s="6" t="str">
        <f ca="1">IFERROR(__xludf.DUMMYFUNCTION("""COMPUTED_VALUE"""),"30% على جميع الخدمات         ")</f>
        <v xml:space="preserve">30% على جميع الخدمات         </v>
      </c>
    </row>
    <row r="2584" spans="1:11" x14ac:dyDescent="0.25">
      <c r="A2584" s="4" t="str">
        <f ca="1">IFERROR(__xludf.DUMMYFUNCTION("""COMPUTED_VALUE"""),"105048")</f>
        <v>105048</v>
      </c>
      <c r="B2584" s="5" t="str">
        <f ca="1">IFERROR(__xludf.DUMMYFUNCTION("""COMPUTED_VALUE"""),"المنيا")</f>
        <v>المنيا</v>
      </c>
      <c r="C2584" s="5" t="str">
        <f ca="1">IFERROR(__xludf.DUMMYFUNCTION("""COMPUTED_VALUE"""),"المنيا")</f>
        <v>المنيا</v>
      </c>
      <c r="D2584" s="5" t="str">
        <f ca="1">IFERROR(__xludf.DUMMYFUNCTION("""COMPUTED_VALUE"""),"هيئة الأطباء")</f>
        <v>هيئة الأطباء</v>
      </c>
      <c r="E2584" s="5" t="str">
        <f ca="1">IFERROR(__xludf.DUMMYFUNCTION("""COMPUTED_VALUE"""),"جراحة")</f>
        <v>جراحة</v>
      </c>
      <c r="F2584" s="5" t="str">
        <f ca="1">IFERROR(__xludf.DUMMYFUNCTION("""COMPUTED_VALUE"""),"جراحة مسالك بولية وتناسلية")</f>
        <v>جراحة مسالك بولية وتناسلية</v>
      </c>
      <c r="G2584" s="5" t="str">
        <f ca="1">IFERROR(__xludf.DUMMYFUNCTION("""COMPUTED_VALUE"""),"د/ مينا جميل انيس فهمي")</f>
        <v>د/ مينا جميل انيس فهمي</v>
      </c>
      <c r="H2584" s="5" t="str">
        <f ca="1">IFERROR(__xludf.DUMMYFUNCTION("""COMPUTED_VALUE"""),"5 ش الجمهورية - المنيا")</f>
        <v>5 ش الجمهورية - المنيا</v>
      </c>
      <c r="I2584" s="6" t="str">
        <f ca="1">IFERROR(__xludf.DUMMYFUNCTION("""COMPUTED_VALUE"""),"201202029908")</f>
        <v>201202029908</v>
      </c>
      <c r="J2584" s="6"/>
      <c r="K2584" s="6" t="str">
        <f ca="1">IFERROR(__xludf.DUMMYFUNCTION("""COMPUTED_VALUE"""),"الكشف 50 جنية , المؤسسه العلاجيه 2016")</f>
        <v>الكشف 50 جنية , المؤسسه العلاجيه 2016</v>
      </c>
    </row>
    <row r="2585" spans="1:11" x14ac:dyDescent="0.25">
      <c r="A2585" s="4" t="str">
        <f ca="1">IFERROR(__xludf.DUMMYFUNCTION("""COMPUTED_VALUE"""),"106948-B")</f>
        <v>106948-B</v>
      </c>
      <c r="B2585" s="5" t="str">
        <f ca="1">IFERROR(__xludf.DUMMYFUNCTION("""COMPUTED_VALUE"""),"القاهرة")</f>
        <v>القاهرة</v>
      </c>
      <c r="C2585" s="5" t="str">
        <f ca="1">IFERROR(__xludf.DUMMYFUNCTION("""COMPUTED_VALUE"""),"مصر الجديدة")</f>
        <v>مصر الجديدة</v>
      </c>
      <c r="D2585" s="5" t="str">
        <f ca="1">IFERROR(__xludf.DUMMYFUNCTION("""COMPUTED_VALUE"""),"صيدلية")</f>
        <v>صيدلية</v>
      </c>
      <c r="E2585" s="5" t="str">
        <f ca="1">IFERROR(__xludf.DUMMYFUNCTION("""COMPUTED_VALUE"""),"صيدلية")</f>
        <v>صيدلية</v>
      </c>
      <c r="F2585" s="5" t="str">
        <f ca="1">IFERROR(__xludf.DUMMYFUNCTION("""COMPUTED_VALUE"""),"صيدلية (أدوية ومستلزمات طبية)")</f>
        <v>صيدلية (أدوية ومستلزمات طبية)</v>
      </c>
      <c r="G2585" s="5" t="str">
        <f ca="1">IFERROR(__xludf.DUMMYFUNCTION("""COMPUTED_VALUE"""),"صيدلية اللوتس (الصديق أبو بكر)")</f>
        <v>صيدلية اللوتس (الصديق أبو بكر)</v>
      </c>
      <c r="H2585" s="5" t="str">
        <f ca="1">IFERROR(__xludf.DUMMYFUNCTION("""COMPUTED_VALUE"""),"43 ش نخلة المطيعى - تريومف - مصر الجديدة")</f>
        <v>43 ش نخلة المطيعى - تريومف - مصر الجديدة</v>
      </c>
      <c r="I2585" s="6"/>
      <c r="J2585" s="6" t="str">
        <f ca="1">IFERROR(__xludf.DUMMYFUNCTION("""COMPUTED_VALUE"""),"16310")</f>
        <v>16310</v>
      </c>
      <c r="K2585" s="6" t="str">
        <f ca="1">IFERROR(__xludf.DUMMYFUNCTION("""COMPUTED_VALUE"""),"خصم 10% علي المحلي و 5% علي المستورد ما عدا القائمه المرفقه")</f>
        <v>خصم 10% علي المحلي و 5% علي المستورد ما عدا القائمه المرفقه</v>
      </c>
    </row>
    <row r="2586" spans="1:11" x14ac:dyDescent="0.25">
      <c r="A2586" s="4" t="str">
        <f ca="1">IFERROR(__xludf.DUMMYFUNCTION("""COMPUTED_VALUE"""),"106948-B")</f>
        <v>106948-B</v>
      </c>
      <c r="B2586" s="5" t="str">
        <f ca="1">IFERROR(__xludf.DUMMYFUNCTION("""COMPUTED_VALUE"""),"القاهرة")</f>
        <v>القاهرة</v>
      </c>
      <c r="C2586" s="5" t="str">
        <f ca="1">IFERROR(__xludf.DUMMYFUNCTION("""COMPUTED_VALUE"""),"القاهرة الجديدة")</f>
        <v>القاهرة الجديدة</v>
      </c>
      <c r="D2586" s="5" t="str">
        <f ca="1">IFERROR(__xludf.DUMMYFUNCTION("""COMPUTED_VALUE"""),"صيدلية")</f>
        <v>صيدلية</v>
      </c>
      <c r="E2586" s="5" t="str">
        <f ca="1">IFERROR(__xludf.DUMMYFUNCTION("""COMPUTED_VALUE"""),"صيدلية")</f>
        <v>صيدلية</v>
      </c>
      <c r="F2586" s="5" t="str">
        <f ca="1">IFERROR(__xludf.DUMMYFUNCTION("""COMPUTED_VALUE"""),"صيدلية (أدوية ومستلزمات طبية)")</f>
        <v>صيدلية (أدوية ومستلزمات طبية)</v>
      </c>
      <c r="G2586" s="5" t="str">
        <f ca="1">IFERROR(__xludf.DUMMYFUNCTION("""COMPUTED_VALUE"""),"صيدلية اللوتس (د. ابراهيم محمود جنجن)")</f>
        <v>صيدلية اللوتس (د. ابراهيم محمود جنجن)</v>
      </c>
      <c r="H2586" s="5" t="str">
        <f ca="1">IFERROR(__xludf.DUMMYFUNCTION("""COMPUTED_VALUE"""),"محل رقم ١ مركز خدمه التجمع الخامس - القاهرة الجديده (امام مستشفي السلام الدولي)")</f>
        <v>محل رقم ١ مركز خدمه التجمع الخامس - القاهرة الجديده (امام مستشفي السلام الدولي)</v>
      </c>
      <c r="I2586" s="6"/>
      <c r="J2586" s="6" t="str">
        <f ca="1">IFERROR(__xludf.DUMMYFUNCTION("""COMPUTED_VALUE"""),"16310")</f>
        <v>16310</v>
      </c>
      <c r="K2586" s="6" t="str">
        <f ca="1">IFERROR(__xludf.DUMMYFUNCTION("""COMPUTED_VALUE"""),"خصم 10% علي المحلي و 5% علي المستورد ما عدا القائمه المرفقه")</f>
        <v>خصم 10% علي المحلي و 5% علي المستورد ما عدا القائمه المرفقه</v>
      </c>
    </row>
    <row r="2587" spans="1:11" x14ac:dyDescent="0.25">
      <c r="A2587" s="4" t="str">
        <f ca="1">IFERROR(__xludf.DUMMYFUNCTION("""COMPUTED_VALUE"""),"106948-B")</f>
        <v>106948-B</v>
      </c>
      <c r="B2587" s="5" t="str">
        <f ca="1">IFERROR(__xludf.DUMMYFUNCTION("""COMPUTED_VALUE"""),"القاهرة")</f>
        <v>القاهرة</v>
      </c>
      <c r="C2587" s="5" t="str">
        <f ca="1">IFERROR(__xludf.DUMMYFUNCTION("""COMPUTED_VALUE"""),"الرحاب")</f>
        <v>الرحاب</v>
      </c>
      <c r="D2587" s="5" t="str">
        <f ca="1">IFERROR(__xludf.DUMMYFUNCTION("""COMPUTED_VALUE"""),"صيدلية")</f>
        <v>صيدلية</v>
      </c>
      <c r="E2587" s="5" t="str">
        <f ca="1">IFERROR(__xludf.DUMMYFUNCTION("""COMPUTED_VALUE"""),"صيدلية")</f>
        <v>صيدلية</v>
      </c>
      <c r="F2587" s="5" t="str">
        <f ca="1">IFERROR(__xludf.DUMMYFUNCTION("""COMPUTED_VALUE"""),"صيدلية (أدوية ومستلزمات طبية)")</f>
        <v>صيدلية (أدوية ومستلزمات طبية)</v>
      </c>
      <c r="G2587" s="5" t="str">
        <f ca="1">IFERROR(__xludf.DUMMYFUNCTION("""COMPUTED_VALUE"""),"صيدلية اللوتس (د. اسلام سعد)")</f>
        <v>صيدلية اللوتس (د. اسلام سعد)</v>
      </c>
      <c r="H2587" s="5" t="str">
        <f ca="1">IFERROR(__xludf.DUMMYFUNCTION("""COMPUTED_VALUE"""),"محل D50 السوق الشرقي - الرحاب")</f>
        <v>محل D50 السوق الشرقي - الرحاب</v>
      </c>
      <c r="I2587" s="6"/>
      <c r="J2587" s="6" t="str">
        <f ca="1">IFERROR(__xludf.DUMMYFUNCTION("""COMPUTED_VALUE"""),"16310")</f>
        <v>16310</v>
      </c>
      <c r="K2587" s="6" t="str">
        <f ca="1">IFERROR(__xludf.DUMMYFUNCTION("""COMPUTED_VALUE"""),"خصم 10% علي المحلي و 5% علي المستورد ما عدا القائمه المرفقه")</f>
        <v>خصم 10% علي المحلي و 5% علي المستورد ما عدا القائمه المرفقه</v>
      </c>
    </row>
    <row r="2588" spans="1:11" x14ac:dyDescent="0.25">
      <c r="A2588" s="4" t="str">
        <f ca="1">IFERROR(__xludf.DUMMYFUNCTION("""COMPUTED_VALUE"""),"106948-B")</f>
        <v>106948-B</v>
      </c>
      <c r="B2588" s="5" t="str">
        <f ca="1">IFERROR(__xludf.DUMMYFUNCTION("""COMPUTED_VALUE"""),"المنيا")</f>
        <v>المنيا</v>
      </c>
      <c r="C2588" s="5" t="str">
        <f ca="1">IFERROR(__xludf.DUMMYFUNCTION("""COMPUTED_VALUE"""),"المنيا")</f>
        <v>المنيا</v>
      </c>
      <c r="D2588" s="5" t="str">
        <f ca="1">IFERROR(__xludf.DUMMYFUNCTION("""COMPUTED_VALUE"""),"صيدلية")</f>
        <v>صيدلية</v>
      </c>
      <c r="E2588" s="5" t="str">
        <f ca="1">IFERROR(__xludf.DUMMYFUNCTION("""COMPUTED_VALUE"""),"صيدلية")</f>
        <v>صيدلية</v>
      </c>
      <c r="F2588" s="5" t="str">
        <f ca="1">IFERROR(__xludf.DUMMYFUNCTION("""COMPUTED_VALUE"""),"صيدلية (أدوية ومستلزمات طبية)")</f>
        <v>صيدلية (أدوية ومستلزمات طبية)</v>
      </c>
      <c r="G2588" s="5" t="str">
        <f ca="1">IFERROR(__xludf.DUMMYFUNCTION("""COMPUTED_VALUE"""),"صيدلية اللوتس (الاتحاد)")</f>
        <v>صيدلية اللوتس (الاتحاد)</v>
      </c>
      <c r="H2588" s="5" t="str">
        <f ca="1">IFERROR(__xludf.DUMMYFUNCTION("""COMPUTED_VALUE"""),"ش الجمهورية ناصية ش راغب - المنيا")</f>
        <v>ش الجمهورية ناصية ش راغب - المنيا</v>
      </c>
      <c r="I2588" s="6"/>
      <c r="J2588" s="6" t="str">
        <f ca="1">IFERROR(__xludf.DUMMYFUNCTION("""COMPUTED_VALUE"""),"16310")</f>
        <v>16310</v>
      </c>
      <c r="K2588" s="6" t="str">
        <f ca="1">IFERROR(__xludf.DUMMYFUNCTION("""COMPUTED_VALUE"""),"خصم 10% علي المحلي و 5% علي المستورد ما عدا القائمه المرفقه")</f>
        <v>خصم 10% علي المحلي و 5% علي المستورد ما عدا القائمه المرفقه</v>
      </c>
    </row>
    <row r="2589" spans="1:11" x14ac:dyDescent="0.25">
      <c r="A2589" s="4" t="str">
        <f ca="1">IFERROR(__xludf.DUMMYFUNCTION("""COMPUTED_VALUE"""),"106948-B")</f>
        <v>106948-B</v>
      </c>
      <c r="B2589" s="5" t="str">
        <f ca="1">IFERROR(__xludf.DUMMYFUNCTION("""COMPUTED_VALUE"""),"الجيزة")</f>
        <v>الجيزة</v>
      </c>
      <c r="C2589" s="5" t="str">
        <f ca="1">IFERROR(__xludf.DUMMYFUNCTION("""COMPUTED_VALUE"""),"الشيخ زايد")</f>
        <v>الشيخ زايد</v>
      </c>
      <c r="D2589" s="5" t="str">
        <f ca="1">IFERROR(__xludf.DUMMYFUNCTION("""COMPUTED_VALUE"""),"صيدلية")</f>
        <v>صيدلية</v>
      </c>
      <c r="E2589" s="5" t="str">
        <f ca="1">IFERROR(__xludf.DUMMYFUNCTION("""COMPUTED_VALUE"""),"صيدلية")</f>
        <v>صيدلية</v>
      </c>
      <c r="F2589" s="5" t="str">
        <f ca="1">IFERROR(__xludf.DUMMYFUNCTION("""COMPUTED_VALUE"""),"صيدلية (أدوية ومستلزمات طبية)")</f>
        <v>صيدلية (أدوية ومستلزمات طبية)</v>
      </c>
      <c r="G2589" s="5" t="str">
        <f ca="1">IFERROR(__xludf.DUMMYFUNCTION("""COMPUTED_VALUE"""),"صيدلية اللوتس (د. مينا فكري)")</f>
        <v>صيدلية اللوتس (د. مينا فكري)</v>
      </c>
      <c r="H2589" s="5" t="str">
        <f ca="1">IFERROR(__xludf.DUMMYFUNCTION("""COMPUTED_VALUE"""),"مبنى A4 - مول المعز - الشيخ زايد")</f>
        <v>مبنى A4 - مول المعز - الشيخ زايد</v>
      </c>
      <c r="I2589" s="6"/>
      <c r="J2589" s="6" t="str">
        <f ca="1">IFERROR(__xludf.DUMMYFUNCTION("""COMPUTED_VALUE"""),"16310")</f>
        <v>16310</v>
      </c>
      <c r="K2589" s="6" t="str">
        <f ca="1">IFERROR(__xludf.DUMMYFUNCTION("""COMPUTED_VALUE"""),"خصم 10% علي المحلي و 5% علي المستورد ما عدا القائمه المرفقه")</f>
        <v>خصم 10% علي المحلي و 5% علي المستورد ما عدا القائمه المرفقه</v>
      </c>
    </row>
    <row r="2590" spans="1:11" x14ac:dyDescent="0.25">
      <c r="A2590" s="4" t="str">
        <f ca="1">IFERROR(__xludf.DUMMYFUNCTION("""COMPUTED_VALUE"""),"106948-B")</f>
        <v>106948-B</v>
      </c>
      <c r="B2590" s="5" t="str">
        <f ca="1">IFERROR(__xludf.DUMMYFUNCTION("""COMPUTED_VALUE"""),"القاهرة")</f>
        <v>القاهرة</v>
      </c>
      <c r="C2590" s="5" t="str">
        <f ca="1">IFERROR(__xludf.DUMMYFUNCTION("""COMPUTED_VALUE"""),"القاهرة الجديدة")</f>
        <v>القاهرة الجديدة</v>
      </c>
      <c r="D2590" s="5" t="str">
        <f ca="1">IFERROR(__xludf.DUMMYFUNCTION("""COMPUTED_VALUE"""),"صيدلية")</f>
        <v>صيدلية</v>
      </c>
      <c r="E2590" s="5" t="str">
        <f ca="1">IFERROR(__xludf.DUMMYFUNCTION("""COMPUTED_VALUE"""),"صيدلية")</f>
        <v>صيدلية</v>
      </c>
      <c r="F2590" s="5" t="str">
        <f ca="1">IFERROR(__xludf.DUMMYFUNCTION("""COMPUTED_VALUE"""),"صيدلية (أدوية ومستلزمات طبية)")</f>
        <v>صيدلية (أدوية ومستلزمات طبية)</v>
      </c>
      <c r="G2590" s="5" t="str">
        <f ca="1">IFERROR(__xludf.DUMMYFUNCTION("""COMPUTED_VALUE"""),"صيدلية اللوتس (د. ابراهيم سعد)")</f>
        <v>صيدلية اللوتس (د. ابراهيم سعد)</v>
      </c>
      <c r="H2590" s="5" t="str">
        <f ca="1">IFERROR(__xludf.DUMMYFUNCTION("""COMPUTED_VALUE"""),"محل 60 بلوك 9 - كرافت زون - مدينتى")</f>
        <v>محل 60 بلوك 9 - كرافت زون - مدينتى</v>
      </c>
      <c r="I2590" s="6"/>
      <c r="J2590" s="6" t="str">
        <f ca="1">IFERROR(__xludf.DUMMYFUNCTION("""COMPUTED_VALUE"""),"16310")</f>
        <v>16310</v>
      </c>
      <c r="K2590" s="6" t="str">
        <f ca="1">IFERROR(__xludf.DUMMYFUNCTION("""COMPUTED_VALUE"""),"خصم 10% علي المحلي و 5% علي المستورد ما عدا القائمه المرفقه")</f>
        <v>خصم 10% علي المحلي و 5% علي المستورد ما عدا القائمه المرفقه</v>
      </c>
    </row>
    <row r="2591" spans="1:11" x14ac:dyDescent="0.25">
      <c r="A2591" s="4" t="str">
        <f ca="1">IFERROR(__xludf.DUMMYFUNCTION("""COMPUTED_VALUE"""),"106948-B")</f>
        <v>106948-B</v>
      </c>
      <c r="B2591" s="5" t="str">
        <f ca="1">IFERROR(__xludf.DUMMYFUNCTION("""COMPUTED_VALUE"""),"القاهرة")</f>
        <v>القاهرة</v>
      </c>
      <c r="C2591" s="5" t="str">
        <f ca="1">IFERROR(__xludf.DUMMYFUNCTION("""COMPUTED_VALUE"""),"شبرا")</f>
        <v>شبرا</v>
      </c>
      <c r="D2591" s="5" t="str">
        <f ca="1">IFERROR(__xludf.DUMMYFUNCTION("""COMPUTED_VALUE"""),"صيدلية")</f>
        <v>صيدلية</v>
      </c>
      <c r="E2591" s="5" t="str">
        <f ca="1">IFERROR(__xludf.DUMMYFUNCTION("""COMPUTED_VALUE"""),"صيدلية")</f>
        <v>صيدلية</v>
      </c>
      <c r="F2591" s="5" t="str">
        <f ca="1">IFERROR(__xludf.DUMMYFUNCTION("""COMPUTED_VALUE"""),"صيدلية (أدوية ومستلزمات طبية)")</f>
        <v>صيدلية (أدوية ومستلزمات طبية)</v>
      </c>
      <c r="G2591" s="5" t="str">
        <f ca="1">IFERROR(__xludf.DUMMYFUNCTION("""COMPUTED_VALUE"""),"صيدلية اللوتس (د. أسامه عبد العال)")</f>
        <v>صيدلية اللوتس (د. أسامه عبد العال)</v>
      </c>
      <c r="H2591" s="5" t="str">
        <f ca="1">IFERROR(__xludf.DUMMYFUNCTION("""COMPUTED_VALUE"""),"170 ش شبرا - سانت تريزا - شبرا")</f>
        <v>170 ش شبرا - سانت تريزا - شبرا</v>
      </c>
      <c r="I2591" s="6"/>
      <c r="J2591" s="6" t="str">
        <f ca="1">IFERROR(__xludf.DUMMYFUNCTION("""COMPUTED_VALUE"""),"16310")</f>
        <v>16310</v>
      </c>
      <c r="K2591" s="6" t="str">
        <f ca="1">IFERROR(__xludf.DUMMYFUNCTION("""COMPUTED_VALUE"""),"خصم 10% علي المحلي و 5% علي المستورد ما عدا القائمه المرفقه")</f>
        <v>خصم 10% علي المحلي و 5% علي المستورد ما عدا القائمه المرفقه</v>
      </c>
    </row>
    <row r="2592" spans="1:11" x14ac:dyDescent="0.25">
      <c r="A2592" s="4" t="str">
        <f ca="1">IFERROR(__xludf.DUMMYFUNCTION("""COMPUTED_VALUE"""),"106948-B")</f>
        <v>106948-B</v>
      </c>
      <c r="B2592" s="5" t="str">
        <f ca="1">IFERROR(__xludf.DUMMYFUNCTION("""COMPUTED_VALUE"""),"القاهرة")</f>
        <v>القاهرة</v>
      </c>
      <c r="C2592" s="5" t="str">
        <f ca="1">IFERROR(__xludf.DUMMYFUNCTION("""COMPUTED_VALUE"""),"مدينة نصر")</f>
        <v>مدينة نصر</v>
      </c>
      <c r="D2592" s="5" t="str">
        <f ca="1">IFERROR(__xludf.DUMMYFUNCTION("""COMPUTED_VALUE"""),"صيدلية")</f>
        <v>صيدلية</v>
      </c>
      <c r="E2592" s="5" t="str">
        <f ca="1">IFERROR(__xludf.DUMMYFUNCTION("""COMPUTED_VALUE"""),"صيدلية")</f>
        <v>صيدلية</v>
      </c>
      <c r="F2592" s="5" t="str">
        <f ca="1">IFERROR(__xludf.DUMMYFUNCTION("""COMPUTED_VALUE"""),"صيدلية (أدوية ومستلزمات طبية)")</f>
        <v>صيدلية (أدوية ومستلزمات طبية)</v>
      </c>
      <c r="G2592" s="5" t="str">
        <f ca="1">IFERROR(__xludf.DUMMYFUNCTION("""COMPUTED_VALUE"""),"صيدلية اللوتس (محمد عاطف النمر)")</f>
        <v>صيدلية اللوتس (محمد عاطف النمر)</v>
      </c>
      <c r="H2592" s="5" t="str">
        <f ca="1">IFERROR(__xludf.DUMMYFUNCTION("""COMPUTED_VALUE"""),"عمارة 4 - بلوك 10 - حي السفارات - مدينة نصر")</f>
        <v>عمارة 4 - بلوك 10 - حي السفارات - مدينة نصر</v>
      </c>
      <c r="I2592" s="6" t="str">
        <f ca="1">IFERROR(__xludf.DUMMYFUNCTION("""COMPUTED_VALUE"""),"01121616310")</f>
        <v>01121616310</v>
      </c>
      <c r="J2592" s="6" t="str">
        <f ca="1">IFERROR(__xludf.DUMMYFUNCTION("""COMPUTED_VALUE"""),"16310")</f>
        <v>16310</v>
      </c>
      <c r="K2592" s="6" t="str">
        <f ca="1">IFERROR(__xludf.DUMMYFUNCTION("""COMPUTED_VALUE"""),"خصم 10% علي المحلي و 5% علي المستورد ما عدا القائمه المرفقه")</f>
        <v>خصم 10% علي المحلي و 5% علي المستورد ما عدا القائمه المرفقه</v>
      </c>
    </row>
    <row r="2593" spans="1:11" x14ac:dyDescent="0.25">
      <c r="A2593" s="4" t="str">
        <f ca="1">IFERROR(__xludf.DUMMYFUNCTION("""COMPUTED_VALUE"""),"106949")</f>
        <v>106949</v>
      </c>
      <c r="B2593" s="5" t="str">
        <f ca="1">IFERROR(__xludf.DUMMYFUNCTION("""COMPUTED_VALUE"""),"دمياط")</f>
        <v>دمياط</v>
      </c>
      <c r="C2593" s="5" t="str">
        <f ca="1">IFERROR(__xludf.DUMMYFUNCTION("""COMPUTED_VALUE"""),"دمياط")</f>
        <v>دمياط</v>
      </c>
      <c r="D2593" s="5" t="str">
        <f ca="1">IFERROR(__xludf.DUMMYFUNCTION("""COMPUTED_VALUE"""),"مستشفى")</f>
        <v>مستشفى</v>
      </c>
      <c r="E2593" s="5" t="str">
        <f ca="1">IFERROR(__xludf.DUMMYFUNCTION("""COMPUTED_VALUE"""),"مستشفي طبي متخصص")</f>
        <v>مستشفي طبي متخصص</v>
      </c>
      <c r="F2593" s="5" t="str">
        <f ca="1">IFERROR(__xludf.DUMMYFUNCTION("""COMPUTED_VALUE"""),"رمد (جراحة عيون)")</f>
        <v>رمد (جراحة عيون)</v>
      </c>
      <c r="G2593" s="5" t="str">
        <f ca="1">IFERROR(__xludf.DUMMYFUNCTION("""COMPUTED_VALUE"""),"المركز الملكي الجديد للعيون")</f>
        <v>المركز الملكي الجديد للعيون</v>
      </c>
      <c r="H2593" s="5" t="str">
        <f ca="1">IFERROR(__xludf.DUMMYFUNCTION("""COMPUTED_VALUE"""),"ش هارون الرشيد امام مستشفي الرمد - دمياط")</f>
        <v>ش هارون الرشيد امام مستشفي الرمد - دمياط</v>
      </c>
      <c r="I2593" s="6" t="str">
        <f ca="1">IFERROR(__xludf.DUMMYFUNCTION("""COMPUTED_VALUE"""),"0572222047")</f>
        <v>0572222047</v>
      </c>
      <c r="J2593" s="6"/>
      <c r="K2593" s="6" t="str">
        <f ca="1">IFERROR(__xludf.DUMMYFUNCTION("""COMPUTED_VALUE"""),"خصم 20% علي الاسعار النقدي")</f>
        <v>خصم 20% علي الاسعار النقدي</v>
      </c>
    </row>
    <row r="2594" spans="1:11" x14ac:dyDescent="0.25">
      <c r="A2594" s="4" t="str">
        <f ca="1">IFERROR(__xludf.DUMMYFUNCTION("""COMPUTED_VALUE"""),"106565")</f>
        <v>106565</v>
      </c>
      <c r="B2594" s="5" t="str">
        <f ca="1">IFERROR(__xludf.DUMMYFUNCTION("""COMPUTED_VALUE"""),"قنا")</f>
        <v>قنا</v>
      </c>
      <c r="C2594" s="5" t="str">
        <f ca="1">IFERROR(__xludf.DUMMYFUNCTION("""COMPUTED_VALUE"""),"قنا")</f>
        <v>قنا</v>
      </c>
      <c r="D2594" s="5" t="str">
        <f ca="1">IFERROR(__xludf.DUMMYFUNCTION("""COMPUTED_VALUE"""),"هيئة الأطباء")</f>
        <v>هيئة الأطباء</v>
      </c>
      <c r="E2594" s="5" t="str">
        <f ca="1">IFERROR(__xludf.DUMMYFUNCTION("""COMPUTED_VALUE"""),"اسنان")</f>
        <v>اسنان</v>
      </c>
      <c r="F2594" s="5" t="str">
        <f ca="1">IFERROR(__xludf.DUMMYFUNCTION("""COMPUTED_VALUE"""),"جراحة الفم والأسنان")</f>
        <v>جراحة الفم والأسنان</v>
      </c>
      <c r="G2594" s="5" t="str">
        <f ca="1">IFERROR(__xludf.DUMMYFUNCTION("""COMPUTED_VALUE"""),"د. احمد محمد سعد على")</f>
        <v>د. احمد محمد سعد على</v>
      </c>
      <c r="H2594" s="5" t="str">
        <f ca="1">IFERROR(__xludf.DUMMYFUNCTION("""COMPUTED_VALUE"""),"62349 قنا ش كوبري دندره بجوار مستشفى قنا العام - قنا")</f>
        <v>62349 قنا ش كوبري دندره بجوار مستشفى قنا العام - قنا</v>
      </c>
      <c r="I2594" s="6" t="str">
        <f ca="1">IFERROR(__xludf.DUMMYFUNCTION("""COMPUTED_VALUE"""),"01015270858")</f>
        <v>01015270858</v>
      </c>
      <c r="J2594" s="6"/>
      <c r="K2594" s="6" t="str">
        <f ca="1">IFERROR(__xludf.DUMMYFUNCTION("""COMPUTED_VALUE"""),"خصم 15% علي الاسعار النقدي")</f>
        <v>خصم 15% علي الاسعار النقدي</v>
      </c>
    </row>
    <row r="2595" spans="1:11" x14ac:dyDescent="0.25">
      <c r="A2595" s="4" t="str">
        <f ca="1">IFERROR(__xludf.DUMMYFUNCTION("""COMPUTED_VALUE"""),"106951")</f>
        <v>106951</v>
      </c>
      <c r="B2595" s="5" t="str">
        <f ca="1">IFERROR(__xludf.DUMMYFUNCTION("""COMPUTED_VALUE"""),"الاسكندرية")</f>
        <v>الاسكندرية</v>
      </c>
      <c r="C2595" s="5" t="str">
        <f ca="1">IFERROR(__xludf.DUMMYFUNCTION("""COMPUTED_VALUE"""),"العامرية")</f>
        <v>العامرية</v>
      </c>
      <c r="D2595" s="5" t="str">
        <f ca="1">IFERROR(__xludf.DUMMYFUNCTION("""COMPUTED_VALUE"""),"مستشفى")</f>
        <v>مستشفى</v>
      </c>
      <c r="E2595" s="5" t="str">
        <f ca="1">IFERROR(__xludf.DUMMYFUNCTION("""COMPUTED_VALUE"""),"مستشفي طبي متكامل")</f>
        <v>مستشفي طبي متكامل</v>
      </c>
      <c r="F2595" s="5" t="str">
        <f ca="1">IFERROR(__xludf.DUMMYFUNCTION("""COMPUTED_VALUE"""),"جميع التخصصات الطبية")</f>
        <v>جميع التخصصات الطبية</v>
      </c>
      <c r="G2595" s="5" t="str">
        <f ca="1">IFERROR(__xludf.DUMMYFUNCTION("""COMPUTED_VALUE"""),"مستشفي السعودي الالماني - الأسكنرية")</f>
        <v>مستشفي السعودي الالماني - الأسكنرية</v>
      </c>
      <c r="H2595" s="5" t="str">
        <f ca="1">IFERROR(__xludf.DUMMYFUNCTION("""COMPUTED_VALUE"""),"كمبوند اليكس ويست - طريق التعمير الساحل الشمالي، الكيلو 23، الإسكندرية")</f>
        <v>كمبوند اليكس ويست - طريق التعمير الساحل الشمالي، الكيلو 23، الإسكندرية</v>
      </c>
      <c r="I2595" s="6"/>
      <c r="J2595" s="6" t="str">
        <f ca="1">IFERROR(__xludf.DUMMYFUNCTION("""COMPUTED_VALUE"""),"16259")</f>
        <v>16259</v>
      </c>
      <c r="K2595" s="6" t="str">
        <f ca="1">IFERROR(__xludf.DUMMYFUNCTION("""COMPUTED_VALUE"""),"خصم 20% علي الاقامات، 17% علي الاشعات و التحاليل، 15% علي الاجراء الجراحي، 17% علي المستلزمات النمطية و 50% علي كشف العيادات الخارجبه")</f>
        <v>خصم 20% علي الاقامات، 17% علي الاشعات و التحاليل، 15% علي الاجراء الجراحي، 17% علي المستلزمات النمطية و 50% علي كشف العيادات الخارجبه</v>
      </c>
    </row>
    <row r="2596" spans="1:11" x14ac:dyDescent="0.25">
      <c r="A2596" s="4" t="str">
        <f ca="1">IFERROR(__xludf.DUMMYFUNCTION("""COMPUTED_VALUE"""),"106953")</f>
        <v>106953</v>
      </c>
      <c r="B2596" s="5" t="str">
        <f ca="1">IFERROR(__xludf.DUMMYFUNCTION("""COMPUTED_VALUE"""),"المنيا")</f>
        <v>المنيا</v>
      </c>
      <c r="C2596" s="5" t="str">
        <f ca="1">IFERROR(__xludf.DUMMYFUNCTION("""COMPUTED_VALUE"""),"بني مزار")</f>
        <v>بني مزار</v>
      </c>
      <c r="D2596" s="5" t="str">
        <f ca="1">IFERROR(__xludf.DUMMYFUNCTION("""COMPUTED_VALUE"""),"مستشفى")</f>
        <v>مستشفى</v>
      </c>
      <c r="E2596" s="5" t="str">
        <f ca="1">IFERROR(__xludf.DUMMYFUNCTION("""COMPUTED_VALUE"""),"مستشفي طبي متكامل")</f>
        <v>مستشفي طبي متكامل</v>
      </c>
      <c r="F2596" s="5" t="str">
        <f ca="1">IFERROR(__xludf.DUMMYFUNCTION("""COMPUTED_VALUE"""),"جميع التخصصات الطبية")</f>
        <v>جميع التخصصات الطبية</v>
      </c>
      <c r="G2596" s="5" t="str">
        <f ca="1">IFERROR(__xludf.DUMMYFUNCTION("""COMPUTED_VALUE"""),"ميشيل حنا فهيم و شركاه (مستشفي د/ حنا فهيم عياد)")</f>
        <v>ميشيل حنا فهيم و شركاه (مستشفي د/ حنا فهيم عياد)</v>
      </c>
      <c r="H2596" s="5" t="str">
        <f ca="1">IFERROR(__xludf.DUMMYFUNCTION("""COMPUTED_VALUE"""),"ش الشافعي - بني مزار - المنيا")</f>
        <v>ش الشافعي - بني مزار - المنيا</v>
      </c>
      <c r="I2596" s="6" t="str">
        <f ca="1">IFERROR(__xludf.DUMMYFUNCTION("""COMPUTED_VALUE"""),"01220803704")</f>
        <v>01220803704</v>
      </c>
      <c r="J2596" s="6"/>
      <c r="K2596" s="6" t="str">
        <f ca="1">IFERROR(__xludf.DUMMYFUNCTION("""COMPUTED_VALUE"""),"خصم 30% علي الاسعار النقدي")</f>
        <v>خصم 30% علي الاسعار النقدي</v>
      </c>
    </row>
    <row r="2597" spans="1:11" x14ac:dyDescent="0.25">
      <c r="A2597" s="4" t="str">
        <f ca="1">IFERROR(__xludf.DUMMYFUNCTION("""COMPUTED_VALUE"""),"106954")</f>
        <v>106954</v>
      </c>
      <c r="B2597" s="5" t="str">
        <f ca="1">IFERROR(__xludf.DUMMYFUNCTION("""COMPUTED_VALUE"""),"الاسكندرية")</f>
        <v>الاسكندرية</v>
      </c>
      <c r="C2597" s="5" t="str">
        <f ca="1">IFERROR(__xludf.DUMMYFUNCTION("""COMPUTED_VALUE"""),"البيطاش")</f>
        <v>البيطاش</v>
      </c>
      <c r="D2597" s="5" t="str">
        <f ca="1">IFERROR(__xludf.DUMMYFUNCTION("""COMPUTED_VALUE"""),"مستشفى")</f>
        <v>مستشفى</v>
      </c>
      <c r="E2597" s="5" t="str">
        <f ca="1">IFERROR(__xludf.DUMMYFUNCTION("""COMPUTED_VALUE"""),"مستشفي طبي متكامل")</f>
        <v>مستشفي طبي متكامل</v>
      </c>
      <c r="F2597" s="5" t="str">
        <f ca="1">IFERROR(__xludf.DUMMYFUNCTION("""COMPUTED_VALUE"""),"جميع التخصصات الطبية")</f>
        <v>جميع التخصصات الطبية</v>
      </c>
      <c r="G2597" s="5" t="str">
        <f ca="1">IFERROR(__xludf.DUMMYFUNCTION("""COMPUTED_VALUE"""),"مستشفي العلا - الاسكندريه")</f>
        <v>مستشفي العلا - الاسكندريه</v>
      </c>
      <c r="H2597" s="5" t="str">
        <f ca="1">IFERROR(__xludf.DUMMYFUNCTION("""COMPUTED_VALUE"""),"1 شارع حسني محمود متفرع من شارع القاعده البيطاش - الاسكندريه")</f>
        <v>1 شارع حسني محمود متفرع من شارع القاعده البيطاش - الاسكندريه</v>
      </c>
      <c r="I2597" s="6" t="str">
        <f ca="1">IFERROR(__xludf.DUMMYFUNCTION("""COMPUTED_VALUE"""),"01283836415")</f>
        <v>01283836415</v>
      </c>
      <c r="J2597" s="6"/>
      <c r="K2597" s="6" t="str">
        <f ca="1">IFERROR(__xludf.DUMMYFUNCTION("""COMPUTED_VALUE"""),"خصم 30% علي الأسعار النقدي المعلنة")</f>
        <v>خصم 30% علي الأسعار النقدي المعلنة</v>
      </c>
    </row>
    <row r="2598" spans="1:11" x14ac:dyDescent="0.25">
      <c r="A2598" s="4" t="str">
        <f ca="1">IFERROR(__xludf.DUMMYFUNCTION("""COMPUTED_VALUE"""),"106955")</f>
        <v>106955</v>
      </c>
      <c r="B2598" s="5" t="str">
        <f ca="1">IFERROR(__xludf.DUMMYFUNCTION("""COMPUTED_VALUE"""),"أسوان")</f>
        <v>أسوان</v>
      </c>
      <c r="C2598" s="5" t="str">
        <f ca="1">IFERROR(__xludf.DUMMYFUNCTION("""COMPUTED_VALUE"""),"كوم امبو")</f>
        <v>كوم امبو</v>
      </c>
      <c r="D2598" s="5" t="str">
        <f ca="1">IFERROR(__xludf.DUMMYFUNCTION("""COMPUTED_VALUE"""),"مستشفى")</f>
        <v>مستشفى</v>
      </c>
      <c r="E2598" s="5" t="str">
        <f ca="1">IFERROR(__xludf.DUMMYFUNCTION("""COMPUTED_VALUE"""),"مستشفي طبي متكامل")</f>
        <v>مستشفي طبي متكامل</v>
      </c>
      <c r="F2598" s="5" t="str">
        <f ca="1">IFERROR(__xludf.DUMMYFUNCTION("""COMPUTED_VALUE"""),"جميع التخصصات الطبية")</f>
        <v>جميع التخصصات الطبية</v>
      </c>
      <c r="G2598" s="5" t="str">
        <f ca="1">IFERROR(__xludf.DUMMYFUNCTION("""COMPUTED_VALUE"""),"مستشفي نفرتاري التخصصي")</f>
        <v>مستشفي نفرتاري التخصصي</v>
      </c>
      <c r="H2598" s="5" t="str">
        <f ca="1">IFERROR(__xludf.DUMMYFUNCTION("""COMPUTED_VALUE"""),"ش احمد عبد العزيز السبعين - كوم امبو - أسوان")</f>
        <v>ش احمد عبد العزيز السبعين - كوم امبو - أسوان</v>
      </c>
      <c r="I2598" s="6" t="str">
        <f ca="1">IFERROR(__xludf.DUMMYFUNCTION("""COMPUTED_VALUE"""),"01007139597")</f>
        <v>01007139597</v>
      </c>
      <c r="J2598" s="6"/>
      <c r="K2598" s="6" t="str">
        <f ca="1">IFERROR(__xludf.DUMMYFUNCTION("""COMPUTED_VALUE"""),"خصم 20% علي الاسعار النقدي")</f>
        <v>خصم 20% علي الاسعار النقدي</v>
      </c>
    </row>
    <row r="2599" spans="1:11" x14ac:dyDescent="0.25">
      <c r="A2599" s="4" t="str">
        <f ca="1">IFERROR(__xludf.DUMMYFUNCTION("""COMPUTED_VALUE"""),"106957")</f>
        <v>106957</v>
      </c>
      <c r="B2599" s="5" t="str">
        <f ca="1">IFERROR(__xludf.DUMMYFUNCTION("""COMPUTED_VALUE"""),"الاسكندرية")</f>
        <v>الاسكندرية</v>
      </c>
      <c r="C2599" s="5" t="str">
        <f ca="1">IFERROR(__xludf.DUMMYFUNCTION("""COMPUTED_VALUE"""),"فلمنج")</f>
        <v>فلمنج</v>
      </c>
      <c r="D2599" s="5" t="str">
        <f ca="1">IFERROR(__xludf.DUMMYFUNCTION("""COMPUTED_VALUE"""),"هيئة الأطباء")</f>
        <v>هيئة الأطباء</v>
      </c>
      <c r="E2599" s="5" t="str">
        <f ca="1">IFERROR(__xludf.DUMMYFUNCTION("""COMPUTED_VALUE"""),"باطنة")</f>
        <v>باطنة</v>
      </c>
      <c r="F2599" s="5" t="str">
        <f ca="1">IFERROR(__xludf.DUMMYFUNCTION("""COMPUTED_VALUE"""),"باطنة عامة")</f>
        <v>باطنة عامة</v>
      </c>
      <c r="G2599" s="5" t="str">
        <f ca="1">IFERROR(__xludf.DUMMYFUNCTION("""COMPUTED_VALUE"""),"د.احمد ساهر شفيق كريم")</f>
        <v>د.احمد ساهر شفيق كريم</v>
      </c>
      <c r="H2599" s="5" t="str">
        <f ca="1">IFERROR(__xludf.DUMMYFUNCTION("""COMPUTED_VALUE"""),"37 ش الفتح فلمنج عمارة الكرنك - الاسكندريه")</f>
        <v>37 ش الفتح فلمنج عمارة الكرنك - الاسكندريه</v>
      </c>
      <c r="I2599" s="6" t="str">
        <f ca="1">IFERROR(__xludf.DUMMYFUNCTION("""COMPUTED_VALUE"""),"035858818")</f>
        <v>035858818</v>
      </c>
      <c r="J2599" s="6"/>
      <c r="K2599" s="6" t="str">
        <f ca="1">IFERROR(__xludf.DUMMYFUNCTION("""COMPUTED_VALUE"""),"خصم 30% علي الاسعار النقدي")</f>
        <v>خصم 30% علي الاسعار النقدي</v>
      </c>
    </row>
    <row r="2600" spans="1:11" x14ac:dyDescent="0.25">
      <c r="A2600" s="4" t="str">
        <f ca="1">IFERROR(__xludf.DUMMYFUNCTION("""COMPUTED_VALUE"""),"106959")</f>
        <v>106959</v>
      </c>
      <c r="B2600" s="5" t="str">
        <f ca="1">IFERROR(__xludf.DUMMYFUNCTION("""COMPUTED_VALUE"""),"القاهرة")</f>
        <v>القاهرة</v>
      </c>
      <c r="C2600" s="5" t="str">
        <f ca="1">IFERROR(__xludf.DUMMYFUNCTION("""COMPUTED_VALUE"""),"مصر الجديدة")</f>
        <v>مصر الجديدة</v>
      </c>
      <c r="D2600" s="5" t="str">
        <f ca="1">IFERROR(__xludf.DUMMYFUNCTION("""COMPUTED_VALUE"""),"هيئة الأطباء")</f>
        <v>هيئة الأطباء</v>
      </c>
      <c r="E2600" s="5" t="str">
        <f ca="1">IFERROR(__xludf.DUMMYFUNCTION("""COMPUTED_VALUE"""),"باطنة")</f>
        <v>باطنة</v>
      </c>
      <c r="F2600" s="5" t="str">
        <f ca="1">IFERROR(__xludf.DUMMYFUNCTION("""COMPUTED_VALUE"""),"قلب واوعية دموية")</f>
        <v>قلب واوعية دموية</v>
      </c>
      <c r="G2600" s="5" t="str">
        <f ca="1">IFERROR(__xludf.DUMMYFUNCTION("""COMPUTED_VALUE"""),"د/ هاني محمد فخري محمود")</f>
        <v>د/ هاني محمد فخري محمود</v>
      </c>
      <c r="H2600" s="5" t="str">
        <f ca="1">IFERROR(__xludf.DUMMYFUNCTION("""COMPUTED_VALUE"""),"54 ش رمسيس - روكسي  - مصر الجديده")</f>
        <v>54 ش رمسيس - روكسي  - مصر الجديده</v>
      </c>
      <c r="I2600" s="6" t="str">
        <f ca="1">IFERROR(__xludf.DUMMYFUNCTION("""COMPUTED_VALUE"""),"01010403789")</f>
        <v>01010403789</v>
      </c>
      <c r="J2600" s="6"/>
      <c r="K2600" s="6" t="str">
        <f ca="1">IFERROR(__xludf.DUMMYFUNCTION("""COMPUTED_VALUE"""),"خصم 30% علي الاسعار النقدي")</f>
        <v>خصم 30% علي الاسعار النقدي</v>
      </c>
    </row>
    <row r="2601" spans="1:11" x14ac:dyDescent="0.25">
      <c r="A2601" s="4" t="str">
        <f ca="1">IFERROR(__xludf.DUMMYFUNCTION("""COMPUTED_VALUE"""),"106959-B")</f>
        <v>106959-B</v>
      </c>
      <c r="B2601" s="5" t="str">
        <f ca="1">IFERROR(__xludf.DUMMYFUNCTION("""COMPUTED_VALUE"""),"السويس")</f>
        <v>السويس</v>
      </c>
      <c r="C2601" s="5" t="str">
        <f ca="1">IFERROR(__xludf.DUMMYFUNCTION("""COMPUTED_VALUE"""),"السويس")</f>
        <v>السويس</v>
      </c>
      <c r="D2601" s="5" t="str">
        <f ca="1">IFERROR(__xludf.DUMMYFUNCTION("""COMPUTED_VALUE"""),"هيئة الأطباء")</f>
        <v>هيئة الأطباء</v>
      </c>
      <c r="E2601" s="5" t="str">
        <f ca="1">IFERROR(__xludf.DUMMYFUNCTION("""COMPUTED_VALUE"""),"باطنة")</f>
        <v>باطنة</v>
      </c>
      <c r="F2601" s="5" t="str">
        <f ca="1">IFERROR(__xludf.DUMMYFUNCTION("""COMPUTED_VALUE"""),"قلب واوعية دموية")</f>
        <v>قلب واوعية دموية</v>
      </c>
      <c r="G2601" s="5" t="str">
        <f ca="1">IFERROR(__xludf.DUMMYFUNCTION("""COMPUTED_VALUE"""),"د/ هاني محمد فخري محمود")</f>
        <v>د/ هاني محمد فخري محمود</v>
      </c>
      <c r="H2601" s="5" t="str">
        <f ca="1">IFERROR(__xludf.DUMMYFUNCTION("""COMPUTED_VALUE"""),"2 ش الجيش بجوار مستشفي عباد الرحمن - الأربعين - السويس")</f>
        <v>2 ش الجيش بجوار مستشفي عباد الرحمن - الأربعين - السويس</v>
      </c>
      <c r="I2601" s="6" t="str">
        <f ca="1">IFERROR(__xludf.DUMMYFUNCTION("""COMPUTED_VALUE"""),"01019696579")</f>
        <v>01019696579</v>
      </c>
      <c r="J2601" s="6"/>
      <c r="K2601" s="6" t="str">
        <f ca="1">IFERROR(__xludf.DUMMYFUNCTION("""COMPUTED_VALUE"""),"خصم 30% علي الاسعار النقدي")</f>
        <v>خصم 30% علي الاسعار النقدي</v>
      </c>
    </row>
    <row r="2602" spans="1:11" x14ac:dyDescent="0.25">
      <c r="A2602" s="4" t="str">
        <f ca="1">IFERROR(__xludf.DUMMYFUNCTION("""COMPUTED_VALUE"""),"106960")</f>
        <v>106960</v>
      </c>
      <c r="B2602" s="5" t="str">
        <f ca="1">IFERROR(__xludf.DUMMYFUNCTION("""COMPUTED_VALUE"""),"البحر الاحمر")</f>
        <v>البحر الاحمر</v>
      </c>
      <c r="C2602" s="5" t="str">
        <f ca="1">IFERROR(__xludf.DUMMYFUNCTION("""COMPUTED_VALUE"""),"مرسى علم")</f>
        <v>مرسى علم</v>
      </c>
      <c r="D2602" s="5" t="str">
        <f ca="1">IFERROR(__xludf.DUMMYFUNCTION("""COMPUTED_VALUE"""),"مستشفى")</f>
        <v>مستشفى</v>
      </c>
      <c r="E2602" s="5" t="str">
        <f ca="1">IFERROR(__xludf.DUMMYFUNCTION("""COMPUTED_VALUE"""),"مستشفي طبي متخصص")</f>
        <v>مستشفي طبي متخصص</v>
      </c>
      <c r="F2602" s="5" t="str">
        <f ca="1">IFERROR(__xludf.DUMMYFUNCTION("""COMPUTED_VALUE"""),"جراحة عامة")</f>
        <v>جراحة عامة</v>
      </c>
      <c r="G2602" s="5" t="str">
        <f ca="1">IFERROR(__xludf.DUMMYFUNCTION("""COMPUTED_VALUE"""),"مركز سيتي الطبي للجراحه العامة")</f>
        <v>مركز سيتي الطبي للجراحه العامة</v>
      </c>
      <c r="H2602" s="5" t="str">
        <f ca="1">IFERROR(__xludf.DUMMYFUNCTION("""COMPUTED_VALUE"""),"مرسي علم ش 13 عقار 40 - الدور الارضي - البحر الأحمر")</f>
        <v>مرسي علم ش 13 عقار 40 - الدور الارضي - البحر الأحمر</v>
      </c>
      <c r="I2602" s="6" t="str">
        <f ca="1">IFERROR(__xludf.DUMMYFUNCTION("""COMPUTED_VALUE"""),"01012566617")</f>
        <v>01012566617</v>
      </c>
      <c r="J2602" s="6"/>
      <c r="K2602" s="6" t="str">
        <f ca="1">IFERROR(__xludf.DUMMYFUNCTION("""COMPUTED_VALUE"""),"خصم 30% علي الاسعار النقدي")</f>
        <v>خصم 30% علي الاسعار النقدي</v>
      </c>
    </row>
    <row r="2603" spans="1:11" x14ac:dyDescent="0.25">
      <c r="A2603" s="4" t="str">
        <f ca="1">IFERROR(__xludf.DUMMYFUNCTION("""COMPUTED_VALUE"""),"106979")</f>
        <v>106979</v>
      </c>
      <c r="B2603" s="5" t="str">
        <f ca="1">IFERROR(__xludf.DUMMYFUNCTION("""COMPUTED_VALUE"""),"البحيرة")</f>
        <v>البحيرة</v>
      </c>
      <c r="C2603" s="5" t="str">
        <f ca="1">IFERROR(__xludf.DUMMYFUNCTION("""COMPUTED_VALUE"""),"كوم حمادة")</f>
        <v>كوم حمادة</v>
      </c>
      <c r="D2603" s="5" t="str">
        <f ca="1">IFERROR(__xludf.DUMMYFUNCTION("""COMPUTED_VALUE"""),"مستشفى")</f>
        <v>مستشفى</v>
      </c>
      <c r="E2603" s="5" t="str">
        <f ca="1">IFERROR(__xludf.DUMMYFUNCTION("""COMPUTED_VALUE"""),"مستشفي طبي متكامل")</f>
        <v>مستشفي طبي متكامل</v>
      </c>
      <c r="F2603" s="5" t="str">
        <f ca="1">IFERROR(__xludf.DUMMYFUNCTION("""COMPUTED_VALUE"""),"جميع التخصصات الطبية")</f>
        <v>جميع التخصصات الطبية</v>
      </c>
      <c r="G2603" s="5" t="str">
        <f ca="1">IFERROR(__xludf.DUMMYFUNCTION("""COMPUTED_VALUE"""),"مستشفي المبره التخصصي كوم حماده - البحيرة")</f>
        <v>مستشفي المبره التخصصي كوم حماده - البحيرة</v>
      </c>
      <c r="H2603" s="5" t="str">
        <f ca="1">IFERROR(__xludf.DUMMYFUNCTION("""COMPUTED_VALUE"""),"ش مستشفي المبره أمام مركز الشرطه - كوم حماده - البحيره")</f>
        <v>ش مستشفي المبره أمام مركز الشرطه - كوم حماده - البحيره</v>
      </c>
      <c r="I2603" s="6" t="str">
        <f ca="1">IFERROR(__xludf.DUMMYFUNCTION("""COMPUTED_VALUE"""),"453682481")</f>
        <v>453682481</v>
      </c>
      <c r="J2603" s="6"/>
      <c r="K2603" s="6" t="str">
        <f ca="1">IFERROR(__xludf.DUMMYFUNCTION("""COMPUTED_VALUE"""),"خصم 30% علي الاسعار النقدي")</f>
        <v>خصم 30% علي الاسعار النقدي</v>
      </c>
    </row>
    <row r="2604" spans="1:11" x14ac:dyDescent="0.25">
      <c r="A2604" s="4" t="str">
        <f ca="1">IFERROR(__xludf.DUMMYFUNCTION("""COMPUTED_VALUE"""),"106980")</f>
        <v>106980</v>
      </c>
      <c r="B2604" s="5" t="str">
        <f ca="1">IFERROR(__xludf.DUMMYFUNCTION("""COMPUTED_VALUE"""),"بورسعيد")</f>
        <v>بورسعيد</v>
      </c>
      <c r="C2604" s="5" t="str">
        <f ca="1">IFERROR(__xludf.DUMMYFUNCTION("""COMPUTED_VALUE"""),"بورسعيد")</f>
        <v>بورسعيد</v>
      </c>
      <c r="D2604" s="5" t="str">
        <f ca="1">IFERROR(__xludf.DUMMYFUNCTION("""COMPUTED_VALUE"""),"مجمع عيادات")</f>
        <v>مجمع عيادات</v>
      </c>
      <c r="E2604" s="5" t="str">
        <f ca="1">IFERROR(__xludf.DUMMYFUNCTION("""COMPUTED_VALUE"""),"جميع التخصصات")</f>
        <v>جميع التخصصات</v>
      </c>
      <c r="F2604" s="5" t="str">
        <f ca="1">IFERROR(__xludf.DUMMYFUNCTION("""COMPUTED_VALUE"""),"جميع التخصصات الطبية")</f>
        <v>جميع التخصصات الطبية</v>
      </c>
      <c r="G2604" s="5" t="str">
        <f ca="1">IFERROR(__xludf.DUMMYFUNCTION("""COMPUTED_VALUE"""),"عيادات العياده التخصصيه")</f>
        <v>عيادات العياده التخصصيه</v>
      </c>
      <c r="H2604" s="5" t="str">
        <f ca="1">IFERROR(__xludf.DUMMYFUNCTION("""COMPUTED_VALUE"""),"76850 شقه بالدور السابع علوي برج تبارك شارع سعد زغلول - بورسعيد")</f>
        <v>76850 شقه بالدور السابع علوي برج تبارك شارع سعد زغلول - بورسعيد</v>
      </c>
      <c r="I2604" s="6" t="str">
        <f ca="1">IFERROR(__xludf.DUMMYFUNCTION("""COMPUTED_VALUE"""),"01207777896")</f>
        <v>01207777896</v>
      </c>
      <c r="J2604" s="6"/>
      <c r="K2604" s="6" t="str">
        <f ca="1">IFERROR(__xludf.DUMMYFUNCTION("""COMPUTED_VALUE"""),"خصم 25% علي الاسعار النقدي")</f>
        <v>خصم 25% علي الاسعار النقدي</v>
      </c>
    </row>
    <row r="2605" spans="1:11" x14ac:dyDescent="0.25">
      <c r="A2605" s="4" t="str">
        <f ca="1">IFERROR(__xludf.DUMMYFUNCTION("""COMPUTED_VALUE"""),"106980-B")</f>
        <v>106980-B</v>
      </c>
      <c r="B2605" s="5" t="str">
        <f ca="1">IFERROR(__xludf.DUMMYFUNCTION("""COMPUTED_VALUE"""),"دمياط")</f>
        <v>دمياط</v>
      </c>
      <c r="C2605" s="5" t="str">
        <f ca="1">IFERROR(__xludf.DUMMYFUNCTION("""COMPUTED_VALUE"""),"دمياط")</f>
        <v>دمياط</v>
      </c>
      <c r="D2605" s="5" t="str">
        <f ca="1">IFERROR(__xludf.DUMMYFUNCTION("""COMPUTED_VALUE"""),"مجمع عيادات")</f>
        <v>مجمع عيادات</v>
      </c>
      <c r="E2605" s="5" t="str">
        <f ca="1">IFERROR(__xludf.DUMMYFUNCTION("""COMPUTED_VALUE"""),"جميع التخصصات")</f>
        <v>جميع التخصصات</v>
      </c>
      <c r="F2605" s="5" t="str">
        <f ca="1">IFERROR(__xludf.DUMMYFUNCTION("""COMPUTED_VALUE"""),"جميع التخصصات الطبية")</f>
        <v>جميع التخصصات الطبية</v>
      </c>
      <c r="G2605" s="5" t="str">
        <f ca="1">IFERROR(__xludf.DUMMYFUNCTION("""COMPUTED_VALUE"""),"عيادات العياده التخصصيه")</f>
        <v>عيادات العياده التخصصيه</v>
      </c>
      <c r="H2605" s="5" t="str">
        <f ca="1">IFERROR(__xludf.DUMMYFUNCTION("""COMPUTED_VALUE"""),"دمياط - ش الجلاء بجوار مدرسه بن خلدون اعلى كازيون امام العزبي")</f>
        <v>دمياط - ش الجلاء بجوار مدرسه بن خلدون اعلى كازيون امام العزبي</v>
      </c>
      <c r="I2605" s="6" t="str">
        <f ca="1">IFERROR(__xludf.DUMMYFUNCTION("""COMPUTED_VALUE"""),"01126622904")</f>
        <v>01126622904</v>
      </c>
      <c r="J2605" s="6"/>
      <c r="K2605" s="6" t="str">
        <f ca="1">IFERROR(__xludf.DUMMYFUNCTION("""COMPUTED_VALUE"""),"خصم 25% علي الاسعار النقدي")</f>
        <v>خصم 25% علي الاسعار النقدي</v>
      </c>
    </row>
    <row r="2606" spans="1:11" x14ac:dyDescent="0.25">
      <c r="A2606" s="4" t="str">
        <f ca="1">IFERROR(__xludf.DUMMYFUNCTION("""COMPUTED_VALUE"""),"106981")</f>
        <v>106981</v>
      </c>
      <c r="B2606" s="5" t="str">
        <f ca="1">IFERROR(__xludf.DUMMYFUNCTION("""COMPUTED_VALUE"""),"البحيرة")</f>
        <v>البحيرة</v>
      </c>
      <c r="C2606" s="5" t="str">
        <f ca="1">IFERROR(__xludf.DUMMYFUNCTION("""COMPUTED_VALUE"""),"كوم حمادة")</f>
        <v>كوم حمادة</v>
      </c>
      <c r="D2606" s="5" t="str">
        <f ca="1">IFERROR(__xludf.DUMMYFUNCTION("""COMPUTED_VALUE"""),"مركز أشعة")</f>
        <v>مركز أشعة</v>
      </c>
      <c r="E2606" s="5" t="str">
        <f ca="1">IFERROR(__xludf.DUMMYFUNCTION("""COMPUTED_VALUE"""),"مركز أشعة متخصص")</f>
        <v>مركز أشعة متخصص</v>
      </c>
      <c r="F2606" s="5" t="str">
        <f ca="1">IFERROR(__xludf.DUMMYFUNCTION("""COMPUTED_VALUE"""),"أشعة تشخيصية")</f>
        <v>أشعة تشخيصية</v>
      </c>
      <c r="G2606" s="5" t="str">
        <f ca="1">IFERROR(__xludf.DUMMYFUNCTION("""COMPUTED_VALUE"""),"مركز العليمي للأشعه")</f>
        <v>مركز العليمي للأشعه</v>
      </c>
      <c r="H2606" s="5" t="str">
        <f ca="1">IFERROR(__xludf.DUMMYFUNCTION("""COMPUTED_VALUE"""),"ش الاصلاح خلف مستشفي الحجاز - كوم حماده - البحيره")</f>
        <v>ش الاصلاح خلف مستشفي الحجاز - كوم حماده - البحيره</v>
      </c>
      <c r="I2606" s="6" t="str">
        <f ca="1">IFERROR(__xludf.DUMMYFUNCTION("""COMPUTED_VALUE"""),"01003342015")</f>
        <v>01003342015</v>
      </c>
      <c r="J2606" s="6"/>
      <c r="K2606" s="6" t="str">
        <f ca="1">IFERROR(__xludf.DUMMYFUNCTION("""COMPUTED_VALUE"""),"خصم 30% علي الاسعار النقدي")</f>
        <v>خصم 30% علي الاسعار النقدي</v>
      </c>
    </row>
    <row r="2607" spans="1:11" x14ac:dyDescent="0.25">
      <c r="A2607" s="4" t="str">
        <f ca="1">IFERROR(__xludf.DUMMYFUNCTION("""COMPUTED_VALUE"""),"106982")</f>
        <v>106982</v>
      </c>
      <c r="B2607" s="5" t="str">
        <f ca="1">IFERROR(__xludf.DUMMYFUNCTION("""COMPUTED_VALUE"""),"كفر الشيخ")</f>
        <v>كفر الشيخ</v>
      </c>
      <c r="C2607" s="5" t="str">
        <f ca="1">IFERROR(__xludf.DUMMYFUNCTION("""COMPUTED_VALUE"""),"دسوق")</f>
        <v>دسوق</v>
      </c>
      <c r="D2607" s="5" t="str">
        <f ca="1">IFERROR(__xludf.DUMMYFUNCTION("""COMPUTED_VALUE"""),"هيئة الأطباء")</f>
        <v>هيئة الأطباء</v>
      </c>
      <c r="E2607" s="5" t="str">
        <f ca="1">IFERROR(__xludf.DUMMYFUNCTION("""COMPUTED_VALUE"""),"اسنان")</f>
        <v>اسنان</v>
      </c>
      <c r="F2607" s="5" t="str">
        <f ca="1">IFERROR(__xludf.DUMMYFUNCTION("""COMPUTED_VALUE"""),"جراحة الفم والأسنان")</f>
        <v>جراحة الفم والأسنان</v>
      </c>
      <c r="G2607" s="5" t="str">
        <f ca="1">IFERROR(__xludf.DUMMYFUNCTION("""COMPUTED_VALUE"""),"نادر السيد السيد محمد سالم")</f>
        <v>نادر السيد السيد محمد سالم</v>
      </c>
      <c r="H2607" s="5" t="str">
        <f ca="1">IFERROR(__xludf.DUMMYFUNCTION("""COMPUTED_VALUE"""),"شارع السينما برج اللقائي - دسوق - كفر الشيخ")</f>
        <v>شارع السينما برج اللقائي - دسوق - كفر الشيخ</v>
      </c>
      <c r="I2607" s="6" t="str">
        <f ca="1">IFERROR(__xludf.DUMMYFUNCTION("""COMPUTED_VALUE"""),"01090032997")</f>
        <v>01090032997</v>
      </c>
      <c r="J2607" s="6"/>
      <c r="K2607" s="6" t="str">
        <f ca="1">IFERROR(__xludf.DUMMYFUNCTION("""COMPUTED_VALUE"""),"خصم 30% علي الاسعار النقدي")</f>
        <v>خصم 30% علي الاسعار النقدي</v>
      </c>
    </row>
    <row r="2608" spans="1:11" x14ac:dyDescent="0.25">
      <c r="A2608" s="4" t="str">
        <f ca="1">IFERROR(__xludf.DUMMYFUNCTION("""COMPUTED_VALUE"""),"106984")</f>
        <v>106984</v>
      </c>
      <c r="B2608" s="5" t="str">
        <f ca="1">IFERROR(__xludf.DUMMYFUNCTION("""COMPUTED_VALUE"""),"الشرقية")</f>
        <v>الشرقية</v>
      </c>
      <c r="C2608" s="5" t="str">
        <f ca="1">IFERROR(__xludf.DUMMYFUNCTION("""COMPUTED_VALUE"""),"أبو حماد")</f>
        <v>أبو حماد</v>
      </c>
      <c r="D2608" s="5" t="str">
        <f ca="1">IFERROR(__xludf.DUMMYFUNCTION("""COMPUTED_VALUE"""),"معمل")</f>
        <v>معمل</v>
      </c>
      <c r="E2608" s="5" t="str">
        <f ca="1">IFERROR(__xludf.DUMMYFUNCTION("""COMPUTED_VALUE"""),"معمل")</f>
        <v>معمل</v>
      </c>
      <c r="F2608" s="5" t="str">
        <f ca="1">IFERROR(__xludf.DUMMYFUNCTION("""COMPUTED_VALUE"""),"معمل التحاليل الطبية")</f>
        <v>معمل التحاليل الطبية</v>
      </c>
      <c r="G2608" s="5" t="str">
        <f ca="1">IFERROR(__xludf.DUMMYFUNCTION("""COMPUTED_VALUE"""),"معمل عنايه للتحاليل الطبيه")</f>
        <v>معمل عنايه للتحاليل الطبيه</v>
      </c>
      <c r="H2608" s="5" t="str">
        <f ca="1">IFERROR(__xludf.DUMMYFUNCTION("""COMPUTED_VALUE"""),"ش الجيش - أبو حماد - الشرقيه")</f>
        <v>ش الجيش - أبو حماد - الشرقيه</v>
      </c>
      <c r="I2608" s="6" t="str">
        <f ca="1">IFERROR(__xludf.DUMMYFUNCTION("""COMPUTED_VALUE"""),"01024218651")</f>
        <v>01024218651</v>
      </c>
      <c r="J2608" s="6"/>
      <c r="K2608" s="6" t="str">
        <f ca="1">IFERROR(__xludf.DUMMYFUNCTION("""COMPUTED_VALUE"""),"خصم 30% علي الاسعار النقدي")</f>
        <v>خصم 30% علي الاسعار النقدي</v>
      </c>
    </row>
    <row r="2609" spans="1:11" x14ac:dyDescent="0.25">
      <c r="A2609" s="4" t="str">
        <f ca="1">IFERROR(__xludf.DUMMYFUNCTION("""COMPUTED_VALUE"""),"106985")</f>
        <v>106985</v>
      </c>
      <c r="B2609" s="5" t="str">
        <f ca="1">IFERROR(__xludf.DUMMYFUNCTION("""COMPUTED_VALUE"""),"القاهرة")</f>
        <v>القاهرة</v>
      </c>
      <c r="C2609" s="5" t="str">
        <f ca="1">IFERROR(__xludf.DUMMYFUNCTION("""COMPUTED_VALUE"""),"مدينة السلام")</f>
        <v>مدينة السلام</v>
      </c>
      <c r="D2609" s="5" t="str">
        <f ca="1">IFERROR(__xludf.DUMMYFUNCTION("""COMPUTED_VALUE"""),"مجمع عيادات")</f>
        <v>مجمع عيادات</v>
      </c>
      <c r="E2609" s="5" t="str">
        <f ca="1">IFERROR(__xludf.DUMMYFUNCTION("""COMPUTED_VALUE"""),"جميع التخصصات")</f>
        <v>جميع التخصصات</v>
      </c>
      <c r="F2609" s="5" t="str">
        <f ca="1">IFERROR(__xludf.DUMMYFUNCTION("""COMPUTED_VALUE"""),"جميع التخصصات الطبية")</f>
        <v>جميع التخصصات الطبية</v>
      </c>
      <c r="G2609" s="5" t="str">
        <f ca="1">IFERROR(__xludf.DUMMYFUNCTION("""COMPUTED_VALUE"""),"جمعيه زهره الفؤاد الخيريه (عيادات زهره الفؤاد التخصصيه)")</f>
        <v>جمعيه زهره الفؤاد الخيريه (عيادات زهره الفؤاد التخصصيه)</v>
      </c>
      <c r="H2609" s="5" t="str">
        <f ca="1">IFERROR(__xludf.DUMMYFUNCTION("""COMPUTED_VALUE"""),"مساكن أطلس 4 عمليه 1200 بلوك 37 ش 2 مدينه السلام")</f>
        <v>مساكن أطلس 4 عمليه 1200 بلوك 37 ش 2 مدينه السلام</v>
      </c>
      <c r="I2609" s="6" t="str">
        <f ca="1">IFERROR(__xludf.DUMMYFUNCTION("""COMPUTED_VALUE"""),"0222787034")</f>
        <v>0222787034</v>
      </c>
      <c r="J2609" s="6"/>
      <c r="K2609" s="6" t="str">
        <f ca="1">IFERROR(__xludf.DUMMYFUNCTION("""COMPUTED_VALUE"""),"خصم 20% علي الاسعار النقدي")</f>
        <v>خصم 20% علي الاسعار النقدي</v>
      </c>
    </row>
    <row r="2610" spans="1:11" x14ac:dyDescent="0.25">
      <c r="A2610" s="4" t="str">
        <f ca="1">IFERROR(__xludf.DUMMYFUNCTION("""COMPUTED_VALUE"""),"4107-B")</f>
        <v>4107-B</v>
      </c>
      <c r="B2610" s="5" t="str">
        <f ca="1">IFERROR(__xludf.DUMMYFUNCTION("""COMPUTED_VALUE"""),"الاسكندرية")</f>
        <v>الاسكندرية</v>
      </c>
      <c r="C2610" s="5" t="str">
        <f ca="1">IFERROR(__xludf.DUMMYFUNCTION("""COMPUTED_VALUE"""),"رشدي")</f>
        <v>رشدي</v>
      </c>
      <c r="D2610" s="5" t="str">
        <f ca="1">IFERROR(__xludf.DUMMYFUNCTION("""COMPUTED_VALUE"""),"مجمع عيادات")</f>
        <v>مجمع عيادات</v>
      </c>
      <c r="E2610" s="5" t="str">
        <f ca="1">IFERROR(__xludf.DUMMYFUNCTION("""COMPUTED_VALUE"""),"جميع التخصصات")</f>
        <v>جميع التخصصات</v>
      </c>
      <c r="F2610" s="5" t="str">
        <f ca="1">IFERROR(__xludf.DUMMYFUNCTION("""COMPUTED_VALUE"""),"جميع التخصصات الطبية")</f>
        <v>جميع التخصصات الطبية</v>
      </c>
      <c r="G2610" s="5" t="str">
        <f ca="1">IFERROR(__xludf.DUMMYFUNCTION("""COMPUTED_VALUE"""),"مستشفى السلامة ( سموحه ) عيادات أندلسية رشدي التخصصية
")</f>
        <v xml:space="preserve">مستشفى السلامة ( سموحه ) عيادات أندلسية رشدي التخصصية
</v>
      </c>
      <c r="H2610" s="5" t="str">
        <f ca="1">IFERROR(__xludf.DUMMYFUNCTION("""COMPUTED_VALUE"""),"460 تنظيم طريق الحرية بناحية رشدي ارضي ويست ادوار علوية - الرمل")</f>
        <v>460 تنظيم طريق الحرية بناحية رشدي ارضي ويست ادوار علوية - الرمل</v>
      </c>
      <c r="I2610" s="6" t="str">
        <f ca="1">IFERROR(__xludf.DUMMYFUNCTION("""COMPUTED_VALUE"""),"2034275124")</f>
        <v>2034275124</v>
      </c>
      <c r="J2610" s="6" t="str">
        <f ca="1">IFERROR(__xludf.DUMMYFUNCTION("""COMPUTED_VALUE"""),"16781")</f>
        <v>16781</v>
      </c>
      <c r="K2610" s="6" t="str">
        <f ca="1">IFERROR(__xludf.DUMMYFUNCTION("""COMPUTED_VALUE"""),"45% على خدمات القسم الخارجي و خدمات التحاليل والأشعة بالقسم الخارجي وكشوفات الطوارئ ,35% على خدمات القسم الداخلى ,ماعدا المناظير وكشوفات العيادات الخارجية باكدجات القسطرة والاشعة التداخلية وبنك الدم والمستلزمات والأجهزة الطبية والأدوية فصل البلازما والاست"&amp;"شارات الطبية بالقسم الداخلى والاتفاقيات الشاملة والدمغة ,15%خدمة        ")</f>
        <v xml:space="preserve">45% على خدمات القسم الخارجي و خدمات التحاليل والأشعة بالقسم الخارجي وكشوفات الطوارئ ,35% على خدمات القسم الداخلى ,ماعدا المناظير وكشوفات العيادات الخارجية باكدجات القسطرة والاشعة التداخلية وبنك الدم والمستلزمات والأجهزة الطبية والأدوية فصل البلازما والاستشارات الطبية بالقسم الداخلى والاتفاقيات الشاملة والدمغة ,15%خدمة        </v>
      </c>
    </row>
    <row r="2611" spans="1:11" x14ac:dyDescent="0.25">
      <c r="A2611" s="4" t="str">
        <f ca="1">IFERROR(__xludf.DUMMYFUNCTION("""COMPUTED_VALUE"""),"106988")</f>
        <v>106988</v>
      </c>
      <c r="B2611" s="5" t="str">
        <f ca="1">IFERROR(__xludf.DUMMYFUNCTION("""COMPUTED_VALUE"""),"القاهرة")</f>
        <v>القاهرة</v>
      </c>
      <c r="C2611" s="5" t="str">
        <f ca="1">IFERROR(__xludf.DUMMYFUNCTION("""COMPUTED_VALUE"""),"حلوان")</f>
        <v>حلوان</v>
      </c>
      <c r="D2611" s="5" t="str">
        <f ca="1">IFERROR(__xludf.DUMMYFUNCTION("""COMPUTED_VALUE"""),"مركز أشعة")</f>
        <v>مركز أشعة</v>
      </c>
      <c r="E2611" s="5" t="str">
        <f ca="1">IFERROR(__xludf.DUMMYFUNCTION("""COMPUTED_VALUE"""),"مركز أشعة")</f>
        <v>مركز أشعة</v>
      </c>
      <c r="F2611" s="5" t="str">
        <f ca="1">IFERROR(__xludf.DUMMYFUNCTION("""COMPUTED_VALUE"""),"أشعة تشخيصية")</f>
        <v>أشعة تشخيصية</v>
      </c>
      <c r="G2611" s="5" t="str">
        <f ca="1">IFERROR(__xludf.DUMMYFUNCTION("""COMPUTED_VALUE"""),"مركز تاج سكان للأشعة")</f>
        <v>مركز تاج سكان للأشعة</v>
      </c>
      <c r="H2611" s="5" t="str">
        <f ca="1">IFERROR(__xludf.DUMMYFUNCTION("""COMPUTED_VALUE"""),"72 ش جمال عبد الناصر برج حور العين - حدائق حلوان")</f>
        <v>72 ش جمال عبد الناصر برج حور العين - حدائق حلوان</v>
      </c>
      <c r="I2611" s="6" t="str">
        <f ca="1">IFERROR(__xludf.DUMMYFUNCTION("""COMPUTED_VALUE"""),"01024769405")</f>
        <v>01024769405</v>
      </c>
      <c r="J2611" s="6"/>
      <c r="K2611" s="6" t="str">
        <f ca="1">IFERROR(__xludf.DUMMYFUNCTION("""COMPUTED_VALUE"""),"خصم 25% علي الاسعار النقدي")</f>
        <v>خصم 25% علي الاسعار النقدي</v>
      </c>
    </row>
    <row r="2612" spans="1:11" x14ac:dyDescent="0.25">
      <c r="A2612" s="4" t="str">
        <f ca="1">IFERROR(__xludf.DUMMYFUNCTION("""COMPUTED_VALUE"""),"106989")</f>
        <v>106989</v>
      </c>
      <c r="B2612" s="5" t="str">
        <f ca="1">IFERROR(__xludf.DUMMYFUNCTION("""COMPUTED_VALUE"""),"أسيوط")</f>
        <v>أسيوط</v>
      </c>
      <c r="C2612" s="5" t="str">
        <f ca="1">IFERROR(__xludf.DUMMYFUNCTION("""COMPUTED_VALUE"""),"أسيوط")</f>
        <v>أسيوط</v>
      </c>
      <c r="D2612" s="5" t="str">
        <f ca="1">IFERROR(__xludf.DUMMYFUNCTION("""COMPUTED_VALUE"""),"هيئة الأطباء")</f>
        <v>هيئة الأطباء</v>
      </c>
      <c r="E2612" s="5" t="str">
        <f ca="1">IFERROR(__xludf.DUMMYFUNCTION("""COMPUTED_VALUE"""),"اسنان")</f>
        <v>اسنان</v>
      </c>
      <c r="F2612" s="5" t="str">
        <f ca="1">IFERROR(__xludf.DUMMYFUNCTION("""COMPUTED_VALUE"""),"جراحة الفم والأسنان")</f>
        <v>جراحة الفم والأسنان</v>
      </c>
      <c r="G2612" s="5" t="str">
        <f ca="1">IFERROR(__xludf.DUMMYFUNCTION("""COMPUTED_VALUE"""),"جورج نبيل فايز ميخائيل (د. جورج نبيل)")</f>
        <v>جورج نبيل فايز ميخائيل (د. جورج نبيل)</v>
      </c>
      <c r="H2612" s="5" t="str">
        <f ca="1">IFERROR(__xludf.DUMMYFUNCTION("""COMPUTED_VALUE"""),"31 برج زهراء المدينه ش تنظيم 26 يوليو")</f>
        <v>31 برج زهراء المدينه ش تنظيم 26 يوليو</v>
      </c>
      <c r="I2612" s="6" t="str">
        <f ca="1">IFERROR(__xludf.DUMMYFUNCTION("""COMPUTED_VALUE"""),"01211115528")</f>
        <v>01211115528</v>
      </c>
      <c r="J2612" s="6"/>
      <c r="K2612" s="6" t="str">
        <f ca="1">IFERROR(__xludf.DUMMYFUNCTION("""COMPUTED_VALUE"""),"خصم 30% علي الاسعار النقدي")</f>
        <v>خصم 30% علي الاسعار النقدي</v>
      </c>
    </row>
    <row r="2613" spans="1:11" x14ac:dyDescent="0.25">
      <c r="A2613" s="4" t="str">
        <f ca="1">IFERROR(__xludf.DUMMYFUNCTION("""COMPUTED_VALUE"""),"105148-B")</f>
        <v>105148-B</v>
      </c>
      <c r="B2613" s="5" t="str">
        <f ca="1">IFERROR(__xludf.DUMMYFUNCTION("""COMPUTED_VALUE"""),"القاهرة")</f>
        <v>القاهرة</v>
      </c>
      <c r="C2613" s="5" t="str">
        <f ca="1">IFERROR(__xludf.DUMMYFUNCTION("""COMPUTED_VALUE"""),"مدينة نصر")</f>
        <v>مدينة نصر</v>
      </c>
      <c r="D2613" s="5" t="str">
        <f ca="1">IFERROR(__xludf.DUMMYFUNCTION("""COMPUTED_VALUE"""),"مركز أشعة")</f>
        <v>مركز أشعة</v>
      </c>
      <c r="E2613" s="5" t="str">
        <f ca="1">IFERROR(__xludf.DUMMYFUNCTION("""COMPUTED_VALUE"""),"مركز أشعة")</f>
        <v>مركز أشعة</v>
      </c>
      <c r="F2613" s="5" t="str">
        <f ca="1">IFERROR(__xludf.DUMMYFUNCTION("""COMPUTED_VALUE"""),"مركز الأشعة التشخيصية")</f>
        <v>مركز الأشعة التشخيصية</v>
      </c>
      <c r="G2613" s="5" t="str">
        <f ca="1">IFERROR(__xludf.DUMMYFUNCTION("""COMPUTED_VALUE"""),"البرج سكان ( معامل البرج)")</f>
        <v>البرج سكان ( معامل البرج)</v>
      </c>
      <c r="H2613" s="5" t="str">
        <f ca="1">IFERROR(__xludf.DUMMYFUNCTION("""COMPUTED_VALUE"""),"22 عبد الرزاق السنهوري - مدينة نصر
")</f>
        <v xml:space="preserve">22 عبد الرزاق السنهوري - مدينة نصر
</v>
      </c>
      <c r="I2613" s="6"/>
      <c r="J2613" s="6" t="str">
        <f ca="1">IFERROR(__xludf.DUMMYFUNCTION("""COMPUTED_VALUE"""),"19911")</f>
        <v>19911</v>
      </c>
      <c r="K2613" s="6" t="str">
        <f ca="1">IFERROR(__xludf.DUMMYFUNCTION("""COMPUTED_VALUE"""),"30% علي الأسعار النقدي المعلنة")</f>
        <v>30% علي الأسعار النقدي المعلنة</v>
      </c>
    </row>
    <row r="2614" spans="1:11" x14ac:dyDescent="0.25">
      <c r="A2614" s="4" t="str">
        <f ca="1">IFERROR(__xludf.DUMMYFUNCTION("""COMPUTED_VALUE"""),"106990")</f>
        <v>106990</v>
      </c>
      <c r="B2614" s="5" t="str">
        <f ca="1">IFERROR(__xludf.DUMMYFUNCTION("""COMPUTED_VALUE"""),"الجيزة")</f>
        <v>الجيزة</v>
      </c>
      <c r="C2614" s="5" t="str">
        <f ca="1">IFERROR(__xludf.DUMMYFUNCTION("""COMPUTED_VALUE"""),"السادس من اكتوبر")</f>
        <v>السادس من اكتوبر</v>
      </c>
      <c r="D2614" s="5" t="str">
        <f ca="1">IFERROR(__xludf.DUMMYFUNCTION("""COMPUTED_VALUE"""),"صيدلية")</f>
        <v>صيدلية</v>
      </c>
      <c r="E2614" s="5" t="str">
        <f ca="1">IFERROR(__xludf.DUMMYFUNCTION("""COMPUTED_VALUE"""),"صيدلية")</f>
        <v>صيدلية</v>
      </c>
      <c r="F2614" s="5" t="str">
        <f ca="1">IFERROR(__xludf.DUMMYFUNCTION("""COMPUTED_VALUE"""),"صيدلية (أدوية ومستلزمات طبية)")</f>
        <v>صيدلية (أدوية ومستلزمات طبية)</v>
      </c>
      <c r="G2614" s="5" t="str">
        <f ca="1">IFERROR(__xludf.DUMMYFUNCTION("""COMPUTED_VALUE"""),"مستشفي كليوباترا هيفن (صيدليه مستشفي كليوباترا هيفن)")</f>
        <v>مستشفي كليوباترا هيفن (صيدليه مستشفي كليوباترا هيفن)</v>
      </c>
      <c r="H2614" s="5" t="str">
        <f ca="1">IFERROR(__xludf.DUMMYFUNCTION("""COMPUTED_VALUE"""),"قطعه 50 المحور المركزي - مدينه 6 أكتوبر - الجيزة")</f>
        <v>قطعه 50 المحور المركزي - مدينه 6 أكتوبر - الجيزة</v>
      </c>
      <c r="I2614" s="6"/>
      <c r="J2614" s="6" t="str">
        <f ca="1">IFERROR(__xludf.DUMMYFUNCTION("""COMPUTED_VALUE"""),"19668")</f>
        <v>19668</v>
      </c>
      <c r="K2614" s="6" t="str">
        <f ca="1">IFERROR(__xludf.DUMMYFUNCTION("""COMPUTED_VALUE"""),"خصم 7% علي المحلي و 2% علي المستورد")</f>
        <v>خصم 7% علي المحلي و 2% علي المستورد</v>
      </c>
    </row>
    <row r="2615" spans="1:11" x14ac:dyDescent="0.25">
      <c r="A2615" s="4" t="str">
        <f ca="1">IFERROR(__xludf.DUMMYFUNCTION("""COMPUTED_VALUE"""),"106113")</f>
        <v>106113</v>
      </c>
      <c r="B2615" s="5" t="str">
        <f ca="1">IFERROR(__xludf.DUMMYFUNCTION("""COMPUTED_VALUE"""),"القليوبية")</f>
        <v>القليوبية</v>
      </c>
      <c r="C2615" s="5" t="str">
        <f ca="1">IFERROR(__xludf.DUMMYFUNCTION("""COMPUTED_VALUE"""),"شبين القناطر")</f>
        <v>شبين القناطر</v>
      </c>
      <c r="D2615" s="5" t="str">
        <f ca="1">IFERROR(__xludf.DUMMYFUNCTION("""COMPUTED_VALUE"""),"صيدلية")</f>
        <v>صيدلية</v>
      </c>
      <c r="E2615" s="5" t="str">
        <f ca="1">IFERROR(__xludf.DUMMYFUNCTION("""COMPUTED_VALUE"""),"صيدلية")</f>
        <v>صيدلية</v>
      </c>
      <c r="F2615" s="5" t="str">
        <f ca="1">IFERROR(__xludf.DUMMYFUNCTION("""COMPUTED_VALUE"""),"صيدلية (أدوية ومستلزمات طبية)")</f>
        <v>صيدلية (أدوية ومستلزمات طبية)</v>
      </c>
      <c r="G2615" s="5" t="str">
        <f ca="1">IFERROR(__xludf.DUMMYFUNCTION("""COMPUTED_VALUE"""),"صيدلية د.محمود محمد سويلم حسن")</f>
        <v>صيدلية د.محمود محمد سويلم حسن</v>
      </c>
      <c r="H2615" s="5" t="str">
        <f ca="1">IFERROR(__xludf.DUMMYFUNCTION("""COMPUTED_VALUE"""),"كفر طحا شبين القناطر ش جامع هندي")</f>
        <v>كفر طحا شبين القناطر ش جامع هندي</v>
      </c>
      <c r="I2615" s="6" t="str">
        <f ca="1">IFERROR(__xludf.DUMMYFUNCTION("""COMPUTED_VALUE"""),"0132758356")</f>
        <v>0132758356</v>
      </c>
      <c r="J2615" s="6"/>
      <c r="K2615" s="6" t="str">
        <f ca="1">IFERROR(__xludf.DUMMYFUNCTION("""COMPUTED_VALUE"""),"خصم 15% علي المحلي و 8% علي المستورد")</f>
        <v>خصم 15% علي المحلي و 8% علي المستورد</v>
      </c>
    </row>
    <row r="2616" spans="1:11" x14ac:dyDescent="0.25">
      <c r="A2616" s="4" t="str">
        <f ca="1">IFERROR(__xludf.DUMMYFUNCTION("""COMPUTED_VALUE"""),"106991")</f>
        <v>106991</v>
      </c>
      <c r="B2616" s="5" t="str">
        <f ca="1">IFERROR(__xludf.DUMMYFUNCTION("""COMPUTED_VALUE"""),"القاهرة")</f>
        <v>القاهرة</v>
      </c>
      <c r="C2616" s="5" t="str">
        <f ca="1">IFERROR(__xludf.DUMMYFUNCTION("""COMPUTED_VALUE"""),"عابدين")</f>
        <v>عابدين</v>
      </c>
      <c r="D2616" s="5" t="str">
        <f ca="1">IFERROR(__xludf.DUMMYFUNCTION("""COMPUTED_VALUE"""),"هيئة الأطباء")</f>
        <v>هيئة الأطباء</v>
      </c>
      <c r="E2616" s="5" t="str">
        <f ca="1">IFERROR(__xludf.DUMMYFUNCTION("""COMPUTED_VALUE"""),"اسنان")</f>
        <v>اسنان</v>
      </c>
      <c r="F2616" s="5" t="str">
        <f ca="1">IFERROR(__xludf.DUMMYFUNCTION("""COMPUTED_VALUE"""),"جراحة الفم والأسنان")</f>
        <v>جراحة الفم والأسنان</v>
      </c>
      <c r="G2616" s="5" t="str">
        <f ca="1">IFERROR(__xludf.DUMMYFUNCTION("""COMPUTED_VALUE"""),"د/ هاله سعد حليم تادرس")</f>
        <v>د/ هاله سعد حليم تادرس</v>
      </c>
      <c r="H2616" s="5" t="str">
        <f ca="1">IFERROR(__xludf.DUMMYFUNCTION("""COMPUTED_VALUE"""),"169 ش محمد فريد - عابدين - القاهره")</f>
        <v>169 ش محمد فريد - عابدين - القاهره</v>
      </c>
      <c r="I2616" s="6" t="str">
        <f ca="1">IFERROR(__xludf.DUMMYFUNCTION("""COMPUTED_VALUE"""),"01001484460")</f>
        <v>01001484460</v>
      </c>
      <c r="J2616" s="6"/>
      <c r="K2616" s="6" t="str">
        <f ca="1">IFERROR(__xludf.DUMMYFUNCTION("""COMPUTED_VALUE"""),"خصم 25% علي الاسعار النقدي")</f>
        <v>خصم 25% علي الاسعار النقدي</v>
      </c>
    </row>
    <row r="2617" spans="1:11" x14ac:dyDescent="0.25">
      <c r="A2617" s="4" t="str">
        <f ca="1">IFERROR(__xludf.DUMMYFUNCTION("""COMPUTED_VALUE"""),"106992")</f>
        <v>106992</v>
      </c>
      <c r="B2617" s="5" t="str">
        <f ca="1">IFERROR(__xludf.DUMMYFUNCTION("""COMPUTED_VALUE"""),"بني سويف")</f>
        <v>بني سويف</v>
      </c>
      <c r="C2617" s="5" t="str">
        <f ca="1">IFERROR(__xludf.DUMMYFUNCTION("""COMPUTED_VALUE"""),"بني سويف")</f>
        <v>بني سويف</v>
      </c>
      <c r="D2617" s="5" t="str">
        <f ca="1">IFERROR(__xludf.DUMMYFUNCTION("""COMPUTED_VALUE"""),"مستشفى")</f>
        <v>مستشفى</v>
      </c>
      <c r="E2617" s="5" t="str">
        <f ca="1">IFERROR(__xludf.DUMMYFUNCTION("""COMPUTED_VALUE"""),"مستشفي طبي متكامل")</f>
        <v>مستشفي طبي متكامل</v>
      </c>
      <c r="F2617" s="5" t="str">
        <f ca="1">IFERROR(__xludf.DUMMYFUNCTION("""COMPUTED_VALUE"""),"جميع التخصصات الطبية")</f>
        <v>جميع التخصصات الطبية</v>
      </c>
      <c r="G2617" s="5" t="str">
        <f ca="1">IFERROR(__xludf.DUMMYFUNCTION("""COMPUTED_VALUE"""),"مركز امان الحياه الطبي")</f>
        <v>مركز امان الحياه الطبي</v>
      </c>
      <c r="H2617" s="5" t="str">
        <f ca="1">IFERROR(__xludf.DUMMYFUNCTION("""COMPUTED_VALUE"""),"27 برج الحياه الدور التاسع ناحيه ش رجائي - بني سويف")</f>
        <v>27 برج الحياه الدور التاسع ناحيه ش رجائي - بني سويف</v>
      </c>
      <c r="I2617" s="6" t="str">
        <f ca="1">IFERROR(__xludf.DUMMYFUNCTION("""COMPUTED_VALUE"""),"01101533999")</f>
        <v>01101533999</v>
      </c>
      <c r="J2617" s="6"/>
      <c r="K2617" s="6" t="str">
        <f ca="1">IFERROR(__xludf.DUMMYFUNCTION("""COMPUTED_VALUE"""),"خصم 10% علي الاسعار النقدي")</f>
        <v>خصم 10% علي الاسعار النقدي</v>
      </c>
    </row>
    <row r="2618" spans="1:11" x14ac:dyDescent="0.25">
      <c r="A2618" s="4" t="str">
        <f ca="1">IFERROR(__xludf.DUMMYFUNCTION("""COMPUTED_VALUE"""),"106993")</f>
        <v>106993</v>
      </c>
      <c r="B2618" s="5" t="str">
        <f ca="1">IFERROR(__xludf.DUMMYFUNCTION("""COMPUTED_VALUE"""),"القاهرة")</f>
        <v>القاهرة</v>
      </c>
      <c r="C2618" s="5" t="str">
        <f ca="1">IFERROR(__xludf.DUMMYFUNCTION("""COMPUTED_VALUE"""),"شبرا")</f>
        <v>شبرا</v>
      </c>
      <c r="D2618" s="5" t="str">
        <f ca="1">IFERROR(__xludf.DUMMYFUNCTION("""COMPUTED_VALUE"""),"هيئة الأطباء")</f>
        <v>هيئة الأطباء</v>
      </c>
      <c r="E2618" s="5" t="str">
        <f ca="1">IFERROR(__xludf.DUMMYFUNCTION("""COMPUTED_VALUE"""),"جراحة")</f>
        <v>جراحة</v>
      </c>
      <c r="F2618" s="5" t="str">
        <f ca="1">IFERROR(__xludf.DUMMYFUNCTION("""COMPUTED_VALUE"""),"جراحة عظام")</f>
        <v>جراحة عظام</v>
      </c>
      <c r="G2618" s="5" t="str">
        <f ca="1">IFERROR(__xludf.DUMMYFUNCTION("""COMPUTED_VALUE"""),"د/ أحمد يحي حسين الجندي")</f>
        <v>د/ أحمد يحي حسين الجندي</v>
      </c>
      <c r="H2618" s="5" t="str">
        <f ca="1">IFERROR(__xludf.DUMMYFUNCTION("""COMPUTED_VALUE"""),"270 ش شبرا - الساحل - القاهره")</f>
        <v>270 ش شبرا - الساحل - القاهره</v>
      </c>
      <c r="I2618" s="6" t="str">
        <f ca="1">IFERROR(__xludf.DUMMYFUNCTION("""COMPUTED_VALUE"""),"01212955882")</f>
        <v>01212955882</v>
      </c>
      <c r="J2618" s="6"/>
      <c r="K2618" s="6" t="str">
        <f ca="1">IFERROR(__xludf.DUMMYFUNCTION("""COMPUTED_VALUE"""),"خصم 50% علي الاسعار النقدي")</f>
        <v>خصم 50% علي الاسعار النقدي</v>
      </c>
    </row>
    <row r="2619" spans="1:11" x14ac:dyDescent="0.25">
      <c r="A2619" s="4" t="str">
        <f ca="1">IFERROR(__xludf.DUMMYFUNCTION("""COMPUTED_VALUE"""),"106993-B")</f>
        <v>106993-B</v>
      </c>
      <c r="B2619" s="5" t="str">
        <f ca="1">IFERROR(__xludf.DUMMYFUNCTION("""COMPUTED_VALUE"""),"الجيزة")</f>
        <v>الجيزة</v>
      </c>
      <c r="C2619" s="5" t="str">
        <f ca="1">IFERROR(__xludf.DUMMYFUNCTION("""COMPUTED_VALUE"""),"المهندسين")</f>
        <v>المهندسين</v>
      </c>
      <c r="D2619" s="5" t="str">
        <f ca="1">IFERROR(__xludf.DUMMYFUNCTION("""COMPUTED_VALUE"""),"هيئة الأطباء")</f>
        <v>هيئة الأطباء</v>
      </c>
      <c r="E2619" s="5" t="str">
        <f ca="1">IFERROR(__xludf.DUMMYFUNCTION("""COMPUTED_VALUE"""),"جراحة")</f>
        <v>جراحة</v>
      </c>
      <c r="F2619" s="5" t="str">
        <f ca="1">IFERROR(__xludf.DUMMYFUNCTION("""COMPUTED_VALUE"""),"جراحة عظام")</f>
        <v>جراحة عظام</v>
      </c>
      <c r="G2619" s="5" t="str">
        <f ca="1">IFERROR(__xludf.DUMMYFUNCTION("""COMPUTED_VALUE"""),"د/ أحمد يحي حسين الجندي")</f>
        <v>د/ أحمد يحي حسين الجندي</v>
      </c>
      <c r="H2619" s="5" t="str">
        <f ca="1">IFERROR(__xludf.DUMMYFUNCTION("""COMPUTED_VALUE"""),"102 ش جامعه الدول - المهندسين - الجيزه")</f>
        <v>102 ش جامعه الدول - المهندسين - الجيزه</v>
      </c>
      <c r="I2619" s="6" t="str">
        <f ca="1">IFERROR(__xludf.DUMMYFUNCTION("""COMPUTED_VALUE"""),"01273930935")</f>
        <v>01273930935</v>
      </c>
      <c r="J2619" s="6"/>
      <c r="K2619" s="6" t="str">
        <f ca="1">IFERROR(__xludf.DUMMYFUNCTION("""COMPUTED_VALUE"""),"خصم 50% علي الاسعار النقدي")</f>
        <v>خصم 50% علي الاسعار النقدي</v>
      </c>
    </row>
    <row r="2620" spans="1:11" x14ac:dyDescent="0.25">
      <c r="A2620" s="4" t="str">
        <f ca="1">IFERROR(__xludf.DUMMYFUNCTION("""COMPUTED_VALUE"""),"106994")</f>
        <v>106994</v>
      </c>
      <c r="B2620" s="5" t="str">
        <f ca="1">IFERROR(__xludf.DUMMYFUNCTION("""COMPUTED_VALUE"""),"القليوبية")</f>
        <v>القليوبية</v>
      </c>
      <c r="C2620" s="5" t="str">
        <f ca="1">IFERROR(__xludf.DUMMYFUNCTION("""COMPUTED_VALUE"""),"بنها")</f>
        <v>بنها</v>
      </c>
      <c r="D2620" s="5" t="str">
        <f ca="1">IFERROR(__xludf.DUMMYFUNCTION("""COMPUTED_VALUE"""),"هيئة الأطباء")</f>
        <v>هيئة الأطباء</v>
      </c>
      <c r="E2620" s="5" t="str">
        <f ca="1">IFERROR(__xludf.DUMMYFUNCTION("""COMPUTED_VALUE"""),"جراحة")</f>
        <v>جراحة</v>
      </c>
      <c r="F2620" s="5" t="str">
        <f ca="1">IFERROR(__xludf.DUMMYFUNCTION("""COMPUTED_VALUE"""),"جراحة عظام")</f>
        <v>جراحة عظام</v>
      </c>
      <c r="G2620" s="5" t="str">
        <f ca="1">IFERROR(__xludf.DUMMYFUNCTION("""COMPUTED_VALUE"""),"د/ أحمد ابراهيم محمد احمد القاضي")</f>
        <v>د/ أحمد ابراهيم محمد احمد القاضي</v>
      </c>
      <c r="H2620" s="5" t="str">
        <f ca="1">IFERROR(__xludf.DUMMYFUNCTION("""COMPUTED_VALUE"""),"12  ش الجلالي بنها الجديده - القليوبيه")</f>
        <v>12  ش الجلالي بنها الجديده - القليوبيه</v>
      </c>
      <c r="I2620" s="6" t="str">
        <f ca="1">IFERROR(__xludf.DUMMYFUNCTION("""COMPUTED_VALUE"""),"01065065768")</f>
        <v>01065065768</v>
      </c>
      <c r="J2620" s="6"/>
      <c r="K2620" s="6" t="str">
        <f ca="1">IFERROR(__xludf.DUMMYFUNCTION("""COMPUTED_VALUE"""),"خصم 30% علي الاسعار النقدي")</f>
        <v>خصم 30% علي الاسعار النقدي</v>
      </c>
    </row>
    <row r="2621" spans="1:11" x14ac:dyDescent="0.25">
      <c r="A2621" s="4" t="str">
        <f ca="1">IFERROR(__xludf.DUMMYFUNCTION("""COMPUTED_VALUE"""),"106996")</f>
        <v>106996</v>
      </c>
      <c r="B2621" s="5" t="str">
        <f ca="1">IFERROR(__xludf.DUMMYFUNCTION("""COMPUTED_VALUE"""),"القليوبية")</f>
        <v>القليوبية</v>
      </c>
      <c r="C2621" s="5" t="str">
        <f ca="1">IFERROR(__xludf.DUMMYFUNCTION("""COMPUTED_VALUE"""),"مدينة العبور")</f>
        <v>مدينة العبور</v>
      </c>
      <c r="D2621" s="5" t="str">
        <f ca="1">IFERROR(__xludf.DUMMYFUNCTION("""COMPUTED_VALUE"""),"مستشفى")</f>
        <v>مستشفى</v>
      </c>
      <c r="E2621" s="5" t="str">
        <f ca="1">IFERROR(__xludf.DUMMYFUNCTION("""COMPUTED_VALUE"""),"مستشفي طبي متكامل")</f>
        <v>مستشفي طبي متكامل</v>
      </c>
      <c r="F2621" s="5" t="str">
        <f ca="1">IFERROR(__xludf.DUMMYFUNCTION("""COMPUTED_VALUE"""),"جميع التخصصات الطبية")</f>
        <v>جميع التخصصات الطبية</v>
      </c>
      <c r="G2621" s="5" t="str">
        <f ca="1">IFERROR(__xludf.DUMMYFUNCTION("""COMPUTED_VALUE"""),"مستشفي العبور التخصصي")</f>
        <v>مستشفي العبور التخصصي</v>
      </c>
      <c r="H2621" s="5" t="str">
        <f ca="1">IFERROR(__xludf.DUMMYFUNCTION("""COMPUTED_VALUE"""),"م العبور الحي الأول محليه 5 خلف قسم شرطه العبور - القليوبيه")</f>
        <v>م العبور الحي الأول محليه 5 خلف قسم شرطه العبور - القليوبيه</v>
      </c>
      <c r="I2621" s="6" t="str">
        <f ca="1">IFERROR(__xludf.DUMMYFUNCTION("""COMPUTED_VALUE"""),"0244795152")</f>
        <v>0244795152</v>
      </c>
      <c r="J2621" s="6"/>
      <c r="K2621" s="6" t="str">
        <f ca="1">IFERROR(__xludf.DUMMYFUNCTION("""COMPUTED_VALUE"""),"خصم 20% علي الاسعار النقدي")</f>
        <v>خصم 20% علي الاسعار النقدي</v>
      </c>
    </row>
    <row r="2622" spans="1:11" x14ac:dyDescent="0.25">
      <c r="A2622" s="4" t="str">
        <f ca="1">IFERROR(__xludf.DUMMYFUNCTION("""COMPUTED_VALUE"""),"2273-B")</f>
        <v>2273-B</v>
      </c>
      <c r="B2622" s="5" t="str">
        <f ca="1">IFERROR(__xludf.DUMMYFUNCTION("""COMPUTED_VALUE"""),"الجيزة")</f>
        <v>الجيزة</v>
      </c>
      <c r="C2622" s="5" t="str">
        <f ca="1">IFERROR(__xludf.DUMMYFUNCTION("""COMPUTED_VALUE"""),"البدرشين")</f>
        <v>البدرشين</v>
      </c>
      <c r="D2622" s="5" t="str">
        <f ca="1">IFERROR(__xludf.DUMMYFUNCTION("""COMPUTED_VALUE"""),"مركز أشعة")</f>
        <v>مركز أشعة</v>
      </c>
      <c r="E2622" s="5" t="str">
        <f ca="1">IFERROR(__xludf.DUMMYFUNCTION("""COMPUTED_VALUE"""),"مركز أشعة")</f>
        <v>مركز أشعة</v>
      </c>
      <c r="F2622" s="5" t="str">
        <f ca="1">IFERROR(__xludf.DUMMYFUNCTION("""COMPUTED_VALUE"""),"مركز الأشعة التشخيصية")</f>
        <v>مركز الأشعة التشخيصية</v>
      </c>
      <c r="G2622" s="5" t="str">
        <f ca="1">IFERROR(__xludf.DUMMYFUNCTION("""COMPUTED_VALUE"""),"تكنوسكان")</f>
        <v>تكنوسكان</v>
      </c>
      <c r="H2622" s="5" t="str">
        <f ca="1">IFERROR(__xludf.DUMMYFUNCTION("""COMPUTED_VALUE"""),"البدرشين شارع النيل السعيد برج الزهراء بجوار فرع فودافون")</f>
        <v>البدرشين شارع النيل السعيد برج الزهراء بجوار فرع فودافون</v>
      </c>
      <c r="I2622" s="6"/>
      <c r="J2622" s="6" t="str">
        <f ca="1">IFERROR(__xludf.DUMMYFUNCTION("""COMPUTED_VALUE"""),"19989")</f>
        <v>19989</v>
      </c>
      <c r="K2622" s="6" t="str">
        <f ca="1">IFERROR(__xludf.DUMMYFUNCTION("""COMPUTED_VALUE"""),"29% على جميع الخدمات")</f>
        <v>29% على جميع الخدمات</v>
      </c>
    </row>
    <row r="2623" spans="1:11" x14ac:dyDescent="0.25">
      <c r="A2623" s="4" t="str">
        <f ca="1">IFERROR(__xludf.DUMMYFUNCTION("""COMPUTED_VALUE"""),"2273-B")</f>
        <v>2273-B</v>
      </c>
      <c r="B2623" s="5" t="str">
        <f ca="1">IFERROR(__xludf.DUMMYFUNCTION("""COMPUTED_VALUE"""),"القاهرة")</f>
        <v>القاهرة</v>
      </c>
      <c r="C2623" s="5" t="str">
        <f ca="1">IFERROR(__xludf.DUMMYFUNCTION("""COMPUTED_VALUE"""),"القاهرة الجديدة")</f>
        <v>القاهرة الجديدة</v>
      </c>
      <c r="D2623" s="5" t="str">
        <f ca="1">IFERROR(__xludf.DUMMYFUNCTION("""COMPUTED_VALUE"""),"مركز أشعة")</f>
        <v>مركز أشعة</v>
      </c>
      <c r="E2623" s="5" t="str">
        <f ca="1">IFERROR(__xludf.DUMMYFUNCTION("""COMPUTED_VALUE"""),"مركز أشعة")</f>
        <v>مركز أشعة</v>
      </c>
      <c r="F2623" s="5" t="str">
        <f ca="1">IFERROR(__xludf.DUMMYFUNCTION("""COMPUTED_VALUE"""),"مركز الأشعة التشخيصية")</f>
        <v>مركز الأشعة التشخيصية</v>
      </c>
      <c r="G2623" s="5" t="str">
        <f ca="1">IFERROR(__xludf.DUMMYFUNCTION("""COMPUTED_VALUE"""),"تكنوسكان")</f>
        <v>تكنوسكان</v>
      </c>
      <c r="H2623" s="5" t="str">
        <f ca="1">IFERROR(__xludf.DUMMYFUNCTION("""COMPUTED_VALUE"""),"التجمع الخامس ميديكال بارك بريمير 2 - خلف المستشفى الجوي القطاع الاول")</f>
        <v>التجمع الخامس ميديكال بارك بريمير 2 - خلف المستشفى الجوي القطاع الاول</v>
      </c>
      <c r="I2623" s="6"/>
      <c r="J2623" s="6" t="str">
        <f ca="1">IFERROR(__xludf.DUMMYFUNCTION("""COMPUTED_VALUE"""),"19989")</f>
        <v>19989</v>
      </c>
      <c r="K2623" s="6" t="str">
        <f ca="1">IFERROR(__xludf.DUMMYFUNCTION("""COMPUTED_VALUE"""),"29% على جميع الخدمات")</f>
        <v>29% على جميع الخدمات</v>
      </c>
    </row>
    <row r="2624" spans="1:11" x14ac:dyDescent="0.25">
      <c r="A2624" s="4" t="str">
        <f ca="1">IFERROR(__xludf.DUMMYFUNCTION("""COMPUTED_VALUE"""),"2273-B")</f>
        <v>2273-B</v>
      </c>
      <c r="B2624" s="5" t="str">
        <f ca="1">IFERROR(__xludf.DUMMYFUNCTION("""COMPUTED_VALUE"""),"القليوبية")</f>
        <v>القليوبية</v>
      </c>
      <c r="C2624" s="5" t="str">
        <f ca="1">IFERROR(__xludf.DUMMYFUNCTION("""COMPUTED_VALUE"""),"بنها")</f>
        <v>بنها</v>
      </c>
      <c r="D2624" s="5" t="str">
        <f ca="1">IFERROR(__xludf.DUMMYFUNCTION("""COMPUTED_VALUE"""),"مركز أشعة")</f>
        <v>مركز أشعة</v>
      </c>
      <c r="E2624" s="5" t="str">
        <f ca="1">IFERROR(__xludf.DUMMYFUNCTION("""COMPUTED_VALUE"""),"مركز أشعة")</f>
        <v>مركز أشعة</v>
      </c>
      <c r="F2624" s="5" t="str">
        <f ca="1">IFERROR(__xludf.DUMMYFUNCTION("""COMPUTED_VALUE"""),"مركز الأشعة التشخيصية")</f>
        <v>مركز الأشعة التشخيصية</v>
      </c>
      <c r="G2624" s="5" t="str">
        <f ca="1">IFERROR(__xludf.DUMMYFUNCTION("""COMPUTED_VALUE"""),"تكنوسكان")</f>
        <v>تكنوسكان</v>
      </c>
      <c r="H2624" s="5" t="str">
        <f ca="1">IFERROR(__xludf.DUMMYFUNCTION("""COMPUTED_VALUE"""),"بنها 7 شارع بنك مصر من شارع سعد زغلول")</f>
        <v>بنها 7 شارع بنك مصر من شارع سعد زغلول</v>
      </c>
      <c r="I2624" s="6"/>
      <c r="J2624" s="6" t="str">
        <f ca="1">IFERROR(__xludf.DUMMYFUNCTION("""COMPUTED_VALUE"""),"19989")</f>
        <v>19989</v>
      </c>
      <c r="K2624" s="6" t="str">
        <f ca="1">IFERROR(__xludf.DUMMYFUNCTION("""COMPUTED_VALUE"""),"29% على جميع الخدمات")</f>
        <v>29% على جميع الخدمات</v>
      </c>
    </row>
    <row r="2625" spans="1:11" x14ac:dyDescent="0.25">
      <c r="A2625" s="4" t="str">
        <f ca="1">IFERROR(__xludf.DUMMYFUNCTION("""COMPUTED_VALUE"""),"106948-B")</f>
        <v>106948-B</v>
      </c>
      <c r="B2625" s="5" t="str">
        <f ca="1">IFERROR(__xludf.DUMMYFUNCTION("""COMPUTED_VALUE"""),"القاهرة")</f>
        <v>القاهرة</v>
      </c>
      <c r="C2625" s="5" t="str">
        <f ca="1">IFERROR(__xludf.DUMMYFUNCTION("""COMPUTED_VALUE"""),"مصر الجديدة")</f>
        <v>مصر الجديدة</v>
      </c>
      <c r="D2625" s="5" t="str">
        <f ca="1">IFERROR(__xludf.DUMMYFUNCTION("""COMPUTED_VALUE"""),"صيدلية")</f>
        <v>صيدلية</v>
      </c>
      <c r="E2625" s="5" t="str">
        <f ca="1">IFERROR(__xludf.DUMMYFUNCTION("""COMPUTED_VALUE"""),"صيدلية")</f>
        <v>صيدلية</v>
      </c>
      <c r="F2625" s="5" t="str">
        <f ca="1">IFERROR(__xludf.DUMMYFUNCTION("""COMPUTED_VALUE"""),"صيدلية (أدوية ومستلزمات طبية)")</f>
        <v>صيدلية (أدوية ومستلزمات طبية)</v>
      </c>
      <c r="G2625" s="5" t="str">
        <f ca="1">IFERROR(__xludf.DUMMYFUNCTION("""COMPUTED_VALUE"""),"صيدلية اللوتس ")</f>
        <v xml:space="preserve">صيدلية اللوتس </v>
      </c>
      <c r="H2625" s="5" t="str">
        <f ca="1">IFERROR(__xludf.DUMMYFUNCTION("""COMPUTED_VALUE"""),"123 ش الحجاز - مصر الجديدة")</f>
        <v>123 ش الحجاز - مصر الجديدة</v>
      </c>
      <c r="I2625" s="6"/>
      <c r="J2625" s="6" t="str">
        <f ca="1">IFERROR(__xludf.DUMMYFUNCTION("""COMPUTED_VALUE"""),"16310")</f>
        <v>16310</v>
      </c>
      <c r="K2625" s="6" t="str">
        <f ca="1">IFERROR(__xludf.DUMMYFUNCTION("""COMPUTED_VALUE"""),"خصم 10% علي المحلي و 5% علي المستورد ما عدا القائمه المرفقه")</f>
        <v>خصم 10% علي المحلي و 5% علي المستورد ما عدا القائمه المرفقه</v>
      </c>
    </row>
    <row r="2626" spans="1:11" x14ac:dyDescent="0.25">
      <c r="A2626" s="4" t="str">
        <f ca="1">IFERROR(__xludf.DUMMYFUNCTION("""COMPUTED_VALUE"""),"106948-B")</f>
        <v>106948-B</v>
      </c>
      <c r="B2626" s="5" t="str">
        <f ca="1">IFERROR(__xludf.DUMMYFUNCTION("""COMPUTED_VALUE"""),"القاهرة")</f>
        <v>القاهرة</v>
      </c>
      <c r="C2626" s="5" t="str">
        <f ca="1">IFERROR(__xludf.DUMMYFUNCTION("""COMPUTED_VALUE"""),"المعادى")</f>
        <v>المعادى</v>
      </c>
      <c r="D2626" s="5" t="str">
        <f ca="1">IFERROR(__xludf.DUMMYFUNCTION("""COMPUTED_VALUE"""),"صيدلية")</f>
        <v>صيدلية</v>
      </c>
      <c r="E2626" s="5" t="str">
        <f ca="1">IFERROR(__xludf.DUMMYFUNCTION("""COMPUTED_VALUE"""),"صيدلية")</f>
        <v>صيدلية</v>
      </c>
      <c r="F2626" s="5" t="str">
        <f ca="1">IFERROR(__xludf.DUMMYFUNCTION("""COMPUTED_VALUE"""),"صيدلية (أدوية ومستلزمات طبية)")</f>
        <v>صيدلية (أدوية ومستلزمات طبية)</v>
      </c>
      <c r="G2626" s="5" t="str">
        <f ca="1">IFERROR(__xludf.DUMMYFUNCTION("""COMPUTED_VALUE"""),"صيدلية اللوتس ")</f>
        <v xml:space="preserve">صيدلية اللوتس </v>
      </c>
      <c r="H2626" s="5" t="str">
        <f ca="1">IFERROR(__xludf.DUMMYFUNCTION("""COMPUTED_VALUE"""),"ش الخمسين - الشطر 13 - زهراء المعادى")</f>
        <v>ش الخمسين - الشطر 13 - زهراء المعادى</v>
      </c>
      <c r="I2626" s="6"/>
      <c r="J2626" s="6" t="str">
        <f ca="1">IFERROR(__xludf.DUMMYFUNCTION("""COMPUTED_VALUE"""),"16310")</f>
        <v>16310</v>
      </c>
      <c r="K2626" s="6" t="str">
        <f ca="1">IFERROR(__xludf.DUMMYFUNCTION("""COMPUTED_VALUE"""),"خصم 10% علي المحلي و 5% علي المستورد ما عدا القائمه المرفقه")</f>
        <v>خصم 10% علي المحلي و 5% علي المستورد ما عدا القائمه المرفقه</v>
      </c>
    </row>
    <row r="2627" spans="1:11" x14ac:dyDescent="0.25">
      <c r="A2627" s="4" t="str">
        <f ca="1">IFERROR(__xludf.DUMMYFUNCTION("""COMPUTED_VALUE"""),"106948-B")</f>
        <v>106948-B</v>
      </c>
      <c r="B2627" s="5" t="str">
        <f ca="1">IFERROR(__xludf.DUMMYFUNCTION("""COMPUTED_VALUE"""),"الشرقية")</f>
        <v>الشرقية</v>
      </c>
      <c r="C2627" s="5" t="str">
        <f ca="1">IFERROR(__xludf.DUMMYFUNCTION("""COMPUTED_VALUE"""),"العاشر من رمضان")</f>
        <v>العاشر من رمضان</v>
      </c>
      <c r="D2627" s="5" t="str">
        <f ca="1">IFERROR(__xludf.DUMMYFUNCTION("""COMPUTED_VALUE"""),"صيدلية")</f>
        <v>صيدلية</v>
      </c>
      <c r="E2627" s="5" t="str">
        <f ca="1">IFERROR(__xludf.DUMMYFUNCTION("""COMPUTED_VALUE"""),"صيدلية")</f>
        <v>صيدلية</v>
      </c>
      <c r="F2627" s="5" t="str">
        <f ca="1">IFERROR(__xludf.DUMMYFUNCTION("""COMPUTED_VALUE"""),"صيدلية (أدوية ومستلزمات طبية)")</f>
        <v>صيدلية (أدوية ومستلزمات طبية)</v>
      </c>
      <c r="G2627" s="5" t="str">
        <f ca="1">IFERROR(__xludf.DUMMYFUNCTION("""COMPUTED_VALUE"""),"صيدلية اللوتس ")</f>
        <v xml:space="preserve">صيدلية اللوتس </v>
      </c>
      <c r="H2627" s="5" t="str">
        <f ca="1">IFERROR(__xludf.DUMMYFUNCTION("""COMPUTED_VALUE"""),"الرؤى مول - العاشر من رمضان")</f>
        <v>الرؤى مول - العاشر من رمضان</v>
      </c>
      <c r="I2627" s="6"/>
      <c r="J2627" s="6" t="str">
        <f ca="1">IFERROR(__xludf.DUMMYFUNCTION("""COMPUTED_VALUE"""),"16310")</f>
        <v>16310</v>
      </c>
      <c r="K2627" s="6" t="str">
        <f ca="1">IFERROR(__xludf.DUMMYFUNCTION("""COMPUTED_VALUE"""),"خصم 10% علي المحلي و 5% علي المستورد ما عدا القائمه المرفقه")</f>
        <v>خصم 10% علي المحلي و 5% علي المستورد ما عدا القائمه المرفقه</v>
      </c>
    </row>
    <row r="2628" spans="1:11" x14ac:dyDescent="0.25">
      <c r="A2628" s="4" t="str">
        <f ca="1">IFERROR(__xludf.DUMMYFUNCTION("""COMPUTED_VALUE"""),"105534-B")</f>
        <v>105534-B</v>
      </c>
      <c r="B2628" s="5" t="str">
        <f ca="1">IFERROR(__xludf.DUMMYFUNCTION("""COMPUTED_VALUE"""),"الاسكندرية")</f>
        <v>الاسكندرية</v>
      </c>
      <c r="C2628" s="5" t="str">
        <f ca="1">IFERROR(__xludf.DUMMYFUNCTION("""COMPUTED_VALUE"""),"العجمي")</f>
        <v>العجمي</v>
      </c>
      <c r="D2628" s="5" t="str">
        <f ca="1">IFERROR(__xludf.DUMMYFUNCTION("""COMPUTED_VALUE"""),"هيئة الأطباء")</f>
        <v>هيئة الأطباء</v>
      </c>
      <c r="E2628" s="5" t="str">
        <f ca="1">IFERROR(__xludf.DUMMYFUNCTION("""COMPUTED_VALUE"""),"اسنان")</f>
        <v>اسنان</v>
      </c>
      <c r="F2628" s="5" t="str">
        <f ca="1">IFERROR(__xludf.DUMMYFUNCTION("""COMPUTED_VALUE"""),"جراحة الفم والأسنان")</f>
        <v>جراحة الفم والأسنان</v>
      </c>
      <c r="G2628" s="5" t="str">
        <f ca="1">IFERROR(__xludf.DUMMYFUNCTION("""COMPUTED_VALUE"""),"سكاي دنت  لعلاج و تجميل الاسنان (احمد شعبان محمد ابوزيد عبدالعال)")</f>
        <v>سكاي دنت  لعلاج و تجميل الاسنان (احمد شعبان محمد ابوزيد عبدالعال)</v>
      </c>
      <c r="H2628" s="5" t="str">
        <f ca="1">IFERROR(__xludf.DUMMYFUNCTION("""COMPUTED_VALUE"""),"شارع مسجد تبارك امام مسجد الصابرين ابو يوسف")</f>
        <v>شارع مسجد تبارك امام مسجد الصابرين ابو يوسف</v>
      </c>
      <c r="I2628" s="6" t="str">
        <f ca="1">IFERROR(__xludf.DUMMYFUNCTION("""COMPUTED_VALUE"""),"01118348884")</f>
        <v>01118348884</v>
      </c>
      <c r="J2628" s="6"/>
      <c r="K2628" s="6" t="str">
        <f ca="1">IFERROR(__xludf.DUMMYFUNCTION("""COMPUTED_VALUE"""),"30% علي الأسعار النقدي المعلنة")</f>
        <v>30% علي الأسعار النقدي المعلنة</v>
      </c>
    </row>
    <row r="2629" spans="1:11" x14ac:dyDescent="0.25">
      <c r="A2629" s="4" t="str">
        <f ca="1">IFERROR(__xludf.DUMMYFUNCTION("""COMPUTED_VALUE"""),"104875")</f>
        <v>104875</v>
      </c>
      <c r="B2629" s="5" t="str">
        <f ca="1">IFERROR(__xludf.DUMMYFUNCTION("""COMPUTED_VALUE"""),"الجيزة")</f>
        <v>الجيزة</v>
      </c>
      <c r="C2629" s="5" t="str">
        <f ca="1">IFERROR(__xludf.DUMMYFUNCTION("""COMPUTED_VALUE"""),"فيصل")</f>
        <v>فيصل</v>
      </c>
      <c r="D2629" s="5" t="str">
        <f ca="1">IFERROR(__xludf.DUMMYFUNCTION("""COMPUTED_VALUE"""),"مستشفى")</f>
        <v>مستشفى</v>
      </c>
      <c r="E2629" s="5" t="str">
        <f ca="1">IFERROR(__xludf.DUMMYFUNCTION("""COMPUTED_VALUE"""),"مستشفي طبي متخصص")</f>
        <v>مستشفي طبي متخصص</v>
      </c>
      <c r="F2629" s="5" t="str">
        <f ca="1">IFERROR(__xludf.DUMMYFUNCTION("""COMPUTED_VALUE"""),"رمد (جراحة عيون)")</f>
        <v>رمد (جراحة عيون)</v>
      </c>
      <c r="G2629" s="5" t="str">
        <f ca="1">IFERROR(__xludf.DUMMYFUNCTION("""COMPUTED_VALUE"""),"مركز النور للعيون")</f>
        <v>مركز النور للعيون</v>
      </c>
      <c r="H2629" s="5" t="str">
        <f ca="1">IFERROR(__xludf.DUMMYFUNCTION("""COMPUTED_VALUE"""),"354 ش فيصل الطالبية")</f>
        <v>354 ش فيصل الطالبية</v>
      </c>
      <c r="I2629" s="6" t="str">
        <f ca="1">IFERROR(__xludf.DUMMYFUNCTION("""COMPUTED_VALUE"""),"01066600816")</f>
        <v>01066600816</v>
      </c>
      <c r="J2629" s="6"/>
      <c r="K2629" s="6" t="str">
        <f ca="1">IFERROR(__xludf.DUMMYFUNCTION("""COMPUTED_VALUE"""),"20% علي الكشوفات ،15 %علي الفحوصات ، 10% علي العمليات ،10% علي النظارات والعدسات")</f>
        <v>20% علي الكشوفات ،15 %علي الفحوصات ، 10% علي العمليات ،10% علي النظارات والعدسات</v>
      </c>
    </row>
    <row r="2630" spans="1:11" x14ac:dyDescent="0.25">
      <c r="A2630" s="4" t="str">
        <f ca="1">IFERROR(__xludf.DUMMYFUNCTION("""COMPUTED_VALUE"""),"105483")</f>
        <v>105483</v>
      </c>
      <c r="B2630" s="5" t="str">
        <f ca="1">IFERROR(__xludf.DUMMYFUNCTION("""COMPUTED_VALUE"""),"البحيرة")</f>
        <v>البحيرة</v>
      </c>
      <c r="C2630" s="5" t="str">
        <f ca="1">IFERROR(__xludf.DUMMYFUNCTION("""COMPUTED_VALUE"""),"دمنهور")</f>
        <v>دمنهور</v>
      </c>
      <c r="D2630" s="5" t="str">
        <f ca="1">IFERROR(__xludf.DUMMYFUNCTION("""COMPUTED_VALUE"""),"هيئة الأطباء")</f>
        <v>هيئة الأطباء</v>
      </c>
      <c r="E2630" s="5" t="str">
        <f ca="1">IFERROR(__xludf.DUMMYFUNCTION("""COMPUTED_VALUE"""),"اسنان")</f>
        <v>اسنان</v>
      </c>
      <c r="F2630" s="5" t="str">
        <f ca="1">IFERROR(__xludf.DUMMYFUNCTION("""COMPUTED_VALUE"""),"جراحة الفم والأسنان")</f>
        <v>جراحة الفم والأسنان</v>
      </c>
      <c r="G2630" s="5" t="str">
        <f ca="1">IFERROR(__xludf.DUMMYFUNCTION("""COMPUTED_VALUE"""),"د- مصطفى إبراهيم لطفى العبد (العبد دنتال كير)")</f>
        <v>د- مصطفى إبراهيم لطفى العبد (العبد دنتال كير)</v>
      </c>
      <c r="H2630" s="5" t="str">
        <f ca="1">IFERROR(__xludf.DUMMYFUNCTION("""COMPUTED_VALUE"""),"دمنهور ميدان الساعة امام بنزينة سلطان سابقا بجوار كافيه بون مود برج الكاتب الدور السادس")</f>
        <v>دمنهور ميدان الساعة امام بنزينة سلطان سابقا بجوار كافيه بون مود برج الكاتب الدور السادس</v>
      </c>
      <c r="I2630" s="6" t="str">
        <f ca="1">IFERROR(__xludf.DUMMYFUNCTION("""COMPUTED_VALUE"""),"20453310288")</f>
        <v>20453310288</v>
      </c>
      <c r="J2630" s="6"/>
      <c r="K2630" s="6" t="str">
        <f ca="1">IFERROR(__xludf.DUMMYFUNCTION("""COMPUTED_VALUE"""),"خصم 50%علي الكشوفات وخصم 20%علي اسعار باقي الخدمات")</f>
        <v>خصم 50%علي الكشوفات وخصم 20%علي اسعار باقي الخدمات</v>
      </c>
    </row>
    <row r="2631" spans="1:11" x14ac:dyDescent="0.25">
      <c r="A2631" s="4" t="str">
        <f ca="1">IFERROR(__xludf.DUMMYFUNCTION("""COMPUTED_VALUE"""),"106796-B")</f>
        <v>106796-B</v>
      </c>
      <c r="B2631" s="5" t="str">
        <f ca="1">IFERROR(__xludf.DUMMYFUNCTION("""COMPUTED_VALUE"""),"القاهرة")</f>
        <v>القاهرة</v>
      </c>
      <c r="C2631" s="5" t="str">
        <f ca="1">IFERROR(__xludf.DUMMYFUNCTION("""COMPUTED_VALUE"""),"مدينة نصر")</f>
        <v>مدينة نصر</v>
      </c>
      <c r="D2631" s="5" t="str">
        <f ca="1">IFERROR(__xludf.DUMMYFUNCTION("""COMPUTED_VALUE"""),"مجمع عيادات")</f>
        <v>مجمع عيادات</v>
      </c>
      <c r="E2631" s="5" t="str">
        <f ca="1">IFERROR(__xludf.DUMMYFUNCTION("""COMPUTED_VALUE"""),"جميع التخصصات")</f>
        <v>جميع التخصصات</v>
      </c>
      <c r="F2631" s="5" t="str">
        <f ca="1">IFERROR(__xludf.DUMMYFUNCTION("""COMPUTED_VALUE"""),"جميع التخصصات الطبية")</f>
        <v>جميع التخصصات الطبية</v>
      </c>
      <c r="G2631" s="5" t="str">
        <f ca="1">IFERROR(__xludf.DUMMYFUNCTION("""COMPUTED_VALUE"""),"ميدي جو (عيادة صفوة الحجاز التخصصيه)")</f>
        <v>ميدي جو (عيادة صفوة الحجاز التخصصيه)</v>
      </c>
      <c r="H2631" s="5" t="str">
        <f ca="1">IFERROR(__xludf.DUMMYFUNCTION("""COMPUTED_VALUE"""),"ش الخليفة المأمون ابراج زاهر برج رقم 3 مدينة نصر بجوار المنطقة الحرة مدينة نصر")</f>
        <v>ش الخليفة المأمون ابراج زاهر برج رقم 3 مدينة نصر بجوار المنطقة الحرة مدينة نصر</v>
      </c>
      <c r="I2631" s="6" t="str">
        <f ca="1">IFERROR(__xludf.DUMMYFUNCTION("""COMPUTED_VALUE"""),"01117751110 ")</f>
        <v xml:space="preserve">01117751110 </v>
      </c>
      <c r="J2631" s="6"/>
      <c r="K2631" s="6" t="str">
        <f ca="1">IFERROR(__xludf.DUMMYFUNCTION("""COMPUTED_VALUE"""),"خصم 30 % علي الأسعار النقدي المعلنة")</f>
        <v>خصم 30 % علي الأسعار النقدي المعلنة</v>
      </c>
    </row>
    <row r="2632" spans="1:11" x14ac:dyDescent="0.25">
      <c r="A2632" s="4" t="str">
        <f ca="1">IFERROR(__xludf.DUMMYFUNCTION("""COMPUTED_VALUE"""),"107006")</f>
        <v>107006</v>
      </c>
      <c r="B2632" s="5" t="str">
        <f ca="1">IFERROR(__xludf.DUMMYFUNCTION("""COMPUTED_VALUE"""),"القاهرة")</f>
        <v>القاهرة</v>
      </c>
      <c r="C2632" s="5" t="str">
        <f ca="1">IFERROR(__xludf.DUMMYFUNCTION("""COMPUTED_VALUE"""),"العباسية")</f>
        <v>العباسية</v>
      </c>
      <c r="D2632" s="5" t="str">
        <f ca="1">IFERROR(__xludf.DUMMYFUNCTION("""COMPUTED_VALUE"""),"معمل")</f>
        <v>معمل</v>
      </c>
      <c r="E2632" s="5" t="str">
        <f ca="1">IFERROR(__xludf.DUMMYFUNCTION("""COMPUTED_VALUE"""),"معمل")</f>
        <v>معمل</v>
      </c>
      <c r="F2632" s="5" t="str">
        <f ca="1">IFERROR(__xludf.DUMMYFUNCTION("""COMPUTED_VALUE"""),"معمل التحاليل الطبية")</f>
        <v>معمل التحاليل الطبية</v>
      </c>
      <c r="G2632" s="5" t="str">
        <f ca="1">IFERROR(__xludf.DUMMYFUNCTION("""COMPUTED_VALUE"""),"معامل عز لاب")</f>
        <v>معامل عز لاب</v>
      </c>
      <c r="H2632" s="5" t="str">
        <f ca="1">IFERROR(__xludf.DUMMYFUNCTION("""COMPUTED_VALUE"""),"72 شارع العباسية امام محطة مترو عبده باشا")</f>
        <v>72 شارع العباسية امام محطة مترو عبده باشا</v>
      </c>
      <c r="I2632" s="6" t="str">
        <f ca="1">IFERROR(__xludf.DUMMYFUNCTION("""COMPUTED_VALUE"""),"01200555562")</f>
        <v>01200555562</v>
      </c>
      <c r="J2632" s="6"/>
      <c r="K2632" s="6" t="str">
        <f ca="1">IFERROR(__xludf.DUMMYFUNCTION("""COMPUTED_VALUE"""),"خصم 50% علي الأسعار النقدي المعلنة")</f>
        <v>خصم 50% علي الأسعار النقدي المعلنة</v>
      </c>
    </row>
    <row r="2633" spans="1:11" x14ac:dyDescent="0.25">
      <c r="A2633" s="4" t="str">
        <f ca="1">IFERROR(__xludf.DUMMYFUNCTION("""COMPUTED_VALUE"""),"107006-B")</f>
        <v>107006-B</v>
      </c>
      <c r="B2633" s="5" t="str">
        <f ca="1">IFERROR(__xludf.DUMMYFUNCTION("""COMPUTED_VALUE"""),"القاهرة")</f>
        <v>القاهرة</v>
      </c>
      <c r="C2633" s="5" t="str">
        <f ca="1">IFERROR(__xludf.DUMMYFUNCTION("""COMPUTED_VALUE"""),"مدينة نصر")</f>
        <v>مدينة نصر</v>
      </c>
      <c r="D2633" s="5" t="str">
        <f ca="1">IFERROR(__xludf.DUMMYFUNCTION("""COMPUTED_VALUE"""),"معمل")</f>
        <v>معمل</v>
      </c>
      <c r="E2633" s="5" t="str">
        <f ca="1">IFERROR(__xludf.DUMMYFUNCTION("""COMPUTED_VALUE"""),"معمل")</f>
        <v>معمل</v>
      </c>
      <c r="F2633" s="5" t="str">
        <f ca="1">IFERROR(__xludf.DUMMYFUNCTION("""COMPUTED_VALUE"""),"معمل التحاليل الطبية")</f>
        <v>معمل التحاليل الطبية</v>
      </c>
      <c r="G2633" s="5" t="str">
        <f ca="1">IFERROR(__xludf.DUMMYFUNCTION("""COMPUTED_VALUE"""),"معامل عز لاب")</f>
        <v>معامل عز لاب</v>
      </c>
      <c r="H2633" s="5" t="str">
        <f ca="1">IFERROR(__xludf.DUMMYFUNCTION("""COMPUTED_VALUE"""),"10عمارات أول مايو بجوار الجامعة العمالية – ميدان الساعة –شقة 402 -الدور الرابع")</f>
        <v>10عمارات أول مايو بجوار الجامعة العمالية – ميدان الساعة –شقة 402 -الدور الرابع</v>
      </c>
      <c r="I2633" s="6" t="str">
        <f ca="1">IFERROR(__xludf.DUMMYFUNCTION("""COMPUTED_VALUE"""),"1272372225")</f>
        <v>1272372225</v>
      </c>
      <c r="J2633" s="6"/>
      <c r="K2633" s="6" t="str">
        <f ca="1">IFERROR(__xludf.DUMMYFUNCTION("""COMPUTED_VALUE"""),"خصم 50% علي الأسعار النقدي المعلنة")</f>
        <v>خصم 50% علي الأسعار النقدي المعلنة</v>
      </c>
    </row>
    <row r="2634" spans="1:11" x14ac:dyDescent="0.25">
      <c r="A2634" s="4" t="str">
        <f ca="1">IFERROR(__xludf.DUMMYFUNCTION("""COMPUTED_VALUE"""),"107006-B")</f>
        <v>107006-B</v>
      </c>
      <c r="B2634" s="5" t="str">
        <f ca="1">IFERROR(__xludf.DUMMYFUNCTION("""COMPUTED_VALUE"""),"القاهرة")</f>
        <v>القاهرة</v>
      </c>
      <c r="C2634" s="5" t="str">
        <f ca="1">IFERROR(__xludf.DUMMYFUNCTION("""COMPUTED_VALUE"""),"مدينة نصر")</f>
        <v>مدينة نصر</v>
      </c>
      <c r="D2634" s="5" t="str">
        <f ca="1">IFERROR(__xludf.DUMMYFUNCTION("""COMPUTED_VALUE"""),"معمل")</f>
        <v>معمل</v>
      </c>
      <c r="E2634" s="5" t="str">
        <f ca="1">IFERROR(__xludf.DUMMYFUNCTION("""COMPUTED_VALUE"""),"معمل")</f>
        <v>معمل</v>
      </c>
      <c r="F2634" s="5" t="str">
        <f ca="1">IFERROR(__xludf.DUMMYFUNCTION("""COMPUTED_VALUE"""),"معمل التحاليل الطبية")</f>
        <v>معمل التحاليل الطبية</v>
      </c>
      <c r="G2634" s="5" t="str">
        <f ca="1">IFERROR(__xludf.DUMMYFUNCTION("""COMPUTED_VALUE"""),"معامل عز لاب")</f>
        <v>معامل عز لاب</v>
      </c>
      <c r="H2634" s="5" t="str">
        <f ca="1">IFERROR(__xludf.DUMMYFUNCTION("""COMPUTED_VALUE"""),"4شارع محمد مهدي عرفه بجوار مركز التيسير الطبي –الحي العاشر")</f>
        <v>4شارع محمد مهدي عرفه بجوار مركز التيسير الطبي –الحي العاشر</v>
      </c>
      <c r="I2634" s="6" t="str">
        <f ca="1">IFERROR(__xludf.DUMMYFUNCTION("""COMPUTED_VALUE"""),"1210331032")</f>
        <v>1210331032</v>
      </c>
      <c r="J2634" s="6"/>
      <c r="K2634" s="6" t="str">
        <f ca="1">IFERROR(__xludf.DUMMYFUNCTION("""COMPUTED_VALUE"""),"خصم 50% علي الأسعار النقدي المعلنة")</f>
        <v>خصم 50% علي الأسعار النقدي المعلنة</v>
      </c>
    </row>
    <row r="2635" spans="1:11" x14ac:dyDescent="0.25">
      <c r="A2635" s="4" t="str">
        <f ca="1">IFERROR(__xludf.DUMMYFUNCTION("""COMPUTED_VALUE"""),"107006-B")</f>
        <v>107006-B</v>
      </c>
      <c r="B2635" s="5" t="str">
        <f ca="1">IFERROR(__xludf.DUMMYFUNCTION("""COMPUTED_VALUE"""),"القاهرة")</f>
        <v>القاهرة</v>
      </c>
      <c r="C2635" s="5" t="str">
        <f ca="1">IFERROR(__xludf.DUMMYFUNCTION("""COMPUTED_VALUE"""),"مدينة نصر")</f>
        <v>مدينة نصر</v>
      </c>
      <c r="D2635" s="5" t="str">
        <f ca="1">IFERROR(__xludf.DUMMYFUNCTION("""COMPUTED_VALUE"""),"معمل")</f>
        <v>معمل</v>
      </c>
      <c r="E2635" s="5" t="str">
        <f ca="1">IFERROR(__xludf.DUMMYFUNCTION("""COMPUTED_VALUE"""),"معمل")</f>
        <v>معمل</v>
      </c>
      <c r="F2635" s="5" t="str">
        <f ca="1">IFERROR(__xludf.DUMMYFUNCTION("""COMPUTED_VALUE"""),"معمل التحاليل الطبية")</f>
        <v>معمل التحاليل الطبية</v>
      </c>
      <c r="G2635" s="5" t="str">
        <f ca="1">IFERROR(__xludf.DUMMYFUNCTION("""COMPUTED_VALUE"""),"معامل عز لاب")</f>
        <v>معامل عز لاب</v>
      </c>
      <c r="H2635" s="5" t="str">
        <f ca="1">IFERROR(__xludf.DUMMYFUNCTION("""COMPUTED_VALUE"""),"33شارع الطيران بجوار مستشفي التأمين الصحي-مدينة نصر")</f>
        <v>33شارع الطيران بجوار مستشفي التأمين الصحي-مدينة نصر</v>
      </c>
      <c r="I2635" s="6" t="str">
        <f ca="1">IFERROR(__xludf.DUMMYFUNCTION("""COMPUTED_VALUE"""),"1100943359")</f>
        <v>1100943359</v>
      </c>
      <c r="J2635" s="6"/>
      <c r="K2635" s="6" t="str">
        <f ca="1">IFERROR(__xludf.DUMMYFUNCTION("""COMPUTED_VALUE"""),"خصم 50% علي الأسعار النقدي المعلنة")</f>
        <v>خصم 50% علي الأسعار النقدي المعلنة</v>
      </c>
    </row>
    <row r="2636" spans="1:11" x14ac:dyDescent="0.25">
      <c r="A2636" s="4" t="str">
        <f ca="1">IFERROR(__xludf.DUMMYFUNCTION("""COMPUTED_VALUE"""),"107006-B")</f>
        <v>107006-B</v>
      </c>
      <c r="B2636" s="5" t="str">
        <f ca="1">IFERROR(__xludf.DUMMYFUNCTION("""COMPUTED_VALUE"""),"القاهرة")</f>
        <v>القاهرة</v>
      </c>
      <c r="C2636" s="5" t="str">
        <f ca="1">IFERROR(__xludf.DUMMYFUNCTION("""COMPUTED_VALUE"""),"مصر الجديدة")</f>
        <v>مصر الجديدة</v>
      </c>
      <c r="D2636" s="5" t="str">
        <f ca="1">IFERROR(__xludf.DUMMYFUNCTION("""COMPUTED_VALUE"""),"معمل")</f>
        <v>معمل</v>
      </c>
      <c r="E2636" s="5" t="str">
        <f ca="1">IFERROR(__xludf.DUMMYFUNCTION("""COMPUTED_VALUE"""),"معمل")</f>
        <v>معمل</v>
      </c>
      <c r="F2636" s="5" t="str">
        <f ca="1">IFERROR(__xludf.DUMMYFUNCTION("""COMPUTED_VALUE"""),"معمل التحاليل الطبية")</f>
        <v>معمل التحاليل الطبية</v>
      </c>
      <c r="G2636" s="5" t="str">
        <f ca="1">IFERROR(__xludf.DUMMYFUNCTION("""COMPUTED_VALUE"""),"معامل عز لاب")</f>
        <v>معامل عز لاب</v>
      </c>
      <c r="H2636" s="5" t="str">
        <f ca="1">IFERROR(__xludf.DUMMYFUNCTION("""COMPUTED_VALUE"""),"56شارع محمد رمزي ميدان تريومف-الدور الثاني")</f>
        <v>56شارع محمد رمزي ميدان تريومف-الدور الثاني</v>
      </c>
      <c r="I2636" s="6" t="str">
        <f ca="1">IFERROR(__xludf.DUMMYFUNCTION("""COMPUTED_VALUE"""),"1200555562")</f>
        <v>1200555562</v>
      </c>
      <c r="J2636" s="6"/>
      <c r="K2636" s="6" t="str">
        <f ca="1">IFERROR(__xludf.DUMMYFUNCTION("""COMPUTED_VALUE"""),"خصم 50% علي الأسعار النقدي المعلنة")</f>
        <v>خصم 50% علي الأسعار النقدي المعلنة</v>
      </c>
    </row>
    <row r="2637" spans="1:11" x14ac:dyDescent="0.25">
      <c r="A2637" s="4" t="str">
        <f ca="1">IFERROR(__xludf.DUMMYFUNCTION("""COMPUTED_VALUE"""),"107006-B")</f>
        <v>107006-B</v>
      </c>
      <c r="B2637" s="5" t="str">
        <f ca="1">IFERROR(__xludf.DUMMYFUNCTION("""COMPUTED_VALUE"""),"القاهرة")</f>
        <v>القاهرة</v>
      </c>
      <c r="C2637" s="5" t="str">
        <f ca="1">IFERROR(__xludf.DUMMYFUNCTION("""COMPUTED_VALUE"""),"العباسية")</f>
        <v>العباسية</v>
      </c>
      <c r="D2637" s="5" t="str">
        <f ca="1">IFERROR(__xludf.DUMMYFUNCTION("""COMPUTED_VALUE"""),"معمل")</f>
        <v>معمل</v>
      </c>
      <c r="E2637" s="5" t="str">
        <f ca="1">IFERROR(__xludf.DUMMYFUNCTION("""COMPUTED_VALUE"""),"معمل")</f>
        <v>معمل</v>
      </c>
      <c r="F2637" s="5" t="str">
        <f ca="1">IFERROR(__xludf.DUMMYFUNCTION("""COMPUTED_VALUE"""),"معمل التحاليل الطبية")</f>
        <v>معمل التحاليل الطبية</v>
      </c>
      <c r="G2637" s="5" t="str">
        <f ca="1">IFERROR(__xludf.DUMMYFUNCTION("""COMPUTED_VALUE"""),"معامل عز لاب")</f>
        <v>معامل عز لاب</v>
      </c>
      <c r="H2637" s="5" t="str">
        <f ca="1">IFERROR(__xludf.DUMMYFUNCTION("""COMPUTED_VALUE"""),"593شارع بورسعيد امام مستشفي سيد جلال")</f>
        <v>593شارع بورسعيد امام مستشفي سيد جلال</v>
      </c>
      <c r="I2637" s="6" t="str">
        <f ca="1">IFERROR(__xludf.DUMMYFUNCTION("""COMPUTED_VALUE"""),"1281535710")</f>
        <v>1281535710</v>
      </c>
      <c r="J2637" s="6"/>
      <c r="K2637" s="6" t="str">
        <f ca="1">IFERROR(__xludf.DUMMYFUNCTION("""COMPUTED_VALUE"""),"خصم 50% علي الأسعار النقدي المعلنة")</f>
        <v>خصم 50% علي الأسعار النقدي المعلنة</v>
      </c>
    </row>
    <row r="2638" spans="1:11" x14ac:dyDescent="0.25">
      <c r="A2638" s="4" t="str">
        <f ca="1">IFERROR(__xludf.DUMMYFUNCTION("""COMPUTED_VALUE"""),"107006-B")</f>
        <v>107006-B</v>
      </c>
      <c r="B2638" s="5" t="str">
        <f ca="1">IFERROR(__xludf.DUMMYFUNCTION("""COMPUTED_VALUE"""),"القاهرة")</f>
        <v>القاهرة</v>
      </c>
      <c r="C2638" s="5" t="str">
        <f ca="1">IFERROR(__xludf.DUMMYFUNCTION("""COMPUTED_VALUE"""),"السيدة زينب")</f>
        <v>السيدة زينب</v>
      </c>
      <c r="D2638" s="5" t="str">
        <f ca="1">IFERROR(__xludf.DUMMYFUNCTION("""COMPUTED_VALUE"""),"معمل")</f>
        <v>معمل</v>
      </c>
      <c r="E2638" s="5" t="str">
        <f ca="1">IFERROR(__xludf.DUMMYFUNCTION("""COMPUTED_VALUE"""),"معمل")</f>
        <v>معمل</v>
      </c>
      <c r="F2638" s="5" t="str">
        <f ca="1">IFERROR(__xludf.DUMMYFUNCTION("""COMPUTED_VALUE"""),"معمل التحاليل الطبية")</f>
        <v>معمل التحاليل الطبية</v>
      </c>
      <c r="G2638" s="5" t="str">
        <f ca="1">IFERROR(__xludf.DUMMYFUNCTION("""COMPUTED_VALUE"""),"معامل عز لاب")</f>
        <v>معامل عز لاب</v>
      </c>
      <c r="H2638" s="5" t="str">
        <f ca="1">IFERROR(__xludf.DUMMYFUNCTION("""COMPUTED_VALUE"""),"345شارع بورسعيد أمام باب إستقبال مستشفي أحمد ماهر")</f>
        <v>345شارع بورسعيد أمام باب إستقبال مستشفي أحمد ماهر</v>
      </c>
      <c r="I2638" s="6" t="str">
        <f ca="1">IFERROR(__xludf.DUMMYFUNCTION("""COMPUTED_VALUE"""),"1200555562")</f>
        <v>1200555562</v>
      </c>
      <c r="J2638" s="6"/>
      <c r="K2638" s="6" t="str">
        <f ca="1">IFERROR(__xludf.DUMMYFUNCTION("""COMPUTED_VALUE"""),"خصم 50% علي الأسعار النقدي المعلنة")</f>
        <v>خصم 50% علي الأسعار النقدي المعلنة</v>
      </c>
    </row>
    <row r="2639" spans="1:11" x14ac:dyDescent="0.25">
      <c r="A2639" s="4" t="str">
        <f ca="1">IFERROR(__xludf.DUMMYFUNCTION("""COMPUTED_VALUE"""),"107006-B")</f>
        <v>107006-B</v>
      </c>
      <c r="B2639" s="5" t="str">
        <f ca="1">IFERROR(__xludf.DUMMYFUNCTION("""COMPUTED_VALUE"""),"القاهرة")</f>
        <v>القاهرة</v>
      </c>
      <c r="C2639" s="5" t="str">
        <f ca="1">IFERROR(__xludf.DUMMYFUNCTION("""COMPUTED_VALUE"""),"السيدة زينب")</f>
        <v>السيدة زينب</v>
      </c>
      <c r="D2639" s="5" t="str">
        <f ca="1">IFERROR(__xludf.DUMMYFUNCTION("""COMPUTED_VALUE"""),"معمل")</f>
        <v>معمل</v>
      </c>
      <c r="E2639" s="5" t="str">
        <f ca="1">IFERROR(__xludf.DUMMYFUNCTION("""COMPUTED_VALUE"""),"معمل")</f>
        <v>معمل</v>
      </c>
      <c r="F2639" s="5" t="str">
        <f ca="1">IFERROR(__xludf.DUMMYFUNCTION("""COMPUTED_VALUE"""),"معمل التحاليل الطبية")</f>
        <v>معمل التحاليل الطبية</v>
      </c>
      <c r="G2639" s="5" t="str">
        <f ca="1">IFERROR(__xludf.DUMMYFUNCTION("""COMPUTED_VALUE"""),"معامل عز لاب")</f>
        <v>معامل عز لاب</v>
      </c>
      <c r="H2639" s="5" t="str">
        <f ca="1">IFERROR(__xludf.DUMMYFUNCTION("""COMPUTED_VALUE"""),"35شارع القصر العيني امام مسرح النهار-الدور الاول")</f>
        <v>35شارع القصر العيني امام مسرح النهار-الدور الاول</v>
      </c>
      <c r="I2639" s="6" t="str">
        <f ca="1">IFERROR(__xludf.DUMMYFUNCTION("""COMPUTED_VALUE"""),"1200555562")</f>
        <v>1200555562</v>
      </c>
      <c r="J2639" s="6"/>
      <c r="K2639" s="6" t="str">
        <f ca="1">IFERROR(__xludf.DUMMYFUNCTION("""COMPUTED_VALUE"""),"خصم 50% علي الأسعار النقدي المعلنة")</f>
        <v>خصم 50% علي الأسعار النقدي المعلنة</v>
      </c>
    </row>
    <row r="2640" spans="1:11" x14ac:dyDescent="0.25">
      <c r="A2640" s="4" t="str">
        <f ca="1">IFERROR(__xludf.DUMMYFUNCTION("""COMPUTED_VALUE"""),"107006-B")</f>
        <v>107006-B</v>
      </c>
      <c r="B2640" s="5" t="str">
        <f ca="1">IFERROR(__xludf.DUMMYFUNCTION("""COMPUTED_VALUE"""),"القاهرة")</f>
        <v>القاهرة</v>
      </c>
      <c r="C2640" s="5" t="str">
        <f ca="1">IFERROR(__xludf.DUMMYFUNCTION("""COMPUTED_VALUE"""),"المنيل")</f>
        <v>المنيل</v>
      </c>
      <c r="D2640" s="5" t="str">
        <f ca="1">IFERROR(__xludf.DUMMYFUNCTION("""COMPUTED_VALUE"""),"معمل")</f>
        <v>معمل</v>
      </c>
      <c r="E2640" s="5" t="str">
        <f ca="1">IFERROR(__xludf.DUMMYFUNCTION("""COMPUTED_VALUE"""),"معمل")</f>
        <v>معمل</v>
      </c>
      <c r="F2640" s="5" t="str">
        <f ca="1">IFERROR(__xludf.DUMMYFUNCTION("""COMPUTED_VALUE"""),"معمل التحاليل الطبية")</f>
        <v>معمل التحاليل الطبية</v>
      </c>
      <c r="G2640" s="5" t="str">
        <f ca="1">IFERROR(__xludf.DUMMYFUNCTION("""COMPUTED_VALUE"""),"معامل عز لاب")</f>
        <v>معامل عز لاب</v>
      </c>
      <c r="H2640" s="5" t="str">
        <f ca="1">IFERROR(__xludf.DUMMYFUNCTION("""COMPUTED_VALUE"""),"70شارع المنيل -ميدان الباشا-عمارة الاعظمية")</f>
        <v>70شارع المنيل -ميدان الباشا-عمارة الاعظمية</v>
      </c>
      <c r="I2640" s="6" t="str">
        <f ca="1">IFERROR(__xludf.DUMMYFUNCTION("""COMPUTED_VALUE"""),"1281535710")</f>
        <v>1281535710</v>
      </c>
      <c r="J2640" s="6"/>
      <c r="K2640" s="6" t="str">
        <f ca="1">IFERROR(__xludf.DUMMYFUNCTION("""COMPUTED_VALUE"""),"خصم 50% علي الأسعار النقدي المعلنة")</f>
        <v>خصم 50% علي الأسعار النقدي المعلنة</v>
      </c>
    </row>
    <row r="2641" spans="1:11" x14ac:dyDescent="0.25">
      <c r="A2641" s="4" t="str">
        <f ca="1">IFERROR(__xludf.DUMMYFUNCTION("""COMPUTED_VALUE"""),"107006-B")</f>
        <v>107006-B</v>
      </c>
      <c r="B2641" s="5" t="str">
        <f ca="1">IFERROR(__xludf.DUMMYFUNCTION("""COMPUTED_VALUE"""),"القاهرة")</f>
        <v>القاهرة</v>
      </c>
      <c r="C2641" s="5" t="str">
        <f ca="1">IFERROR(__xludf.DUMMYFUNCTION("""COMPUTED_VALUE"""),"حدائق القبة")</f>
        <v>حدائق القبة</v>
      </c>
      <c r="D2641" s="5" t="str">
        <f ca="1">IFERROR(__xludf.DUMMYFUNCTION("""COMPUTED_VALUE"""),"معمل")</f>
        <v>معمل</v>
      </c>
      <c r="E2641" s="5" t="str">
        <f ca="1">IFERROR(__xludf.DUMMYFUNCTION("""COMPUTED_VALUE"""),"معمل")</f>
        <v>معمل</v>
      </c>
      <c r="F2641" s="5" t="str">
        <f ca="1">IFERROR(__xludf.DUMMYFUNCTION("""COMPUTED_VALUE"""),"معمل التحاليل الطبية")</f>
        <v>معمل التحاليل الطبية</v>
      </c>
      <c r="G2641" s="5" t="str">
        <f ca="1">IFERROR(__xludf.DUMMYFUNCTION("""COMPUTED_VALUE"""),"معامل عز لاب")</f>
        <v>معامل عز لاب</v>
      </c>
      <c r="H2641" s="5" t="str">
        <f ca="1">IFERROR(__xludf.DUMMYFUNCTION("""COMPUTED_VALUE"""),"127شارع مصر والسودان –برج 2 أ -أعلى مطعم الحاتي –الدور الثاني")</f>
        <v>127شارع مصر والسودان –برج 2 أ -أعلى مطعم الحاتي –الدور الثاني</v>
      </c>
      <c r="I2641" s="6" t="str">
        <f ca="1">IFERROR(__xludf.DUMMYFUNCTION("""COMPUTED_VALUE"""),"1100943359")</f>
        <v>1100943359</v>
      </c>
      <c r="J2641" s="6"/>
      <c r="K2641" s="6" t="str">
        <f ca="1">IFERROR(__xludf.DUMMYFUNCTION("""COMPUTED_VALUE"""),"خصم 50% علي الأسعار النقدي المعلنة")</f>
        <v>خصم 50% علي الأسعار النقدي المعلنة</v>
      </c>
    </row>
    <row r="2642" spans="1:11" x14ac:dyDescent="0.25">
      <c r="A2642" s="4" t="str">
        <f ca="1">IFERROR(__xludf.DUMMYFUNCTION("""COMPUTED_VALUE"""),"107006-B")</f>
        <v>107006-B</v>
      </c>
      <c r="B2642" s="5" t="str">
        <f ca="1">IFERROR(__xludf.DUMMYFUNCTION("""COMPUTED_VALUE"""),"القاهرة")</f>
        <v>القاهرة</v>
      </c>
      <c r="C2642" s="5" t="str">
        <f ca="1">IFERROR(__xludf.DUMMYFUNCTION("""COMPUTED_VALUE"""),"عين شمس")</f>
        <v>عين شمس</v>
      </c>
      <c r="D2642" s="5" t="str">
        <f ca="1">IFERROR(__xludf.DUMMYFUNCTION("""COMPUTED_VALUE"""),"معمل")</f>
        <v>معمل</v>
      </c>
      <c r="E2642" s="5" t="str">
        <f ca="1">IFERROR(__xludf.DUMMYFUNCTION("""COMPUTED_VALUE"""),"معمل")</f>
        <v>معمل</v>
      </c>
      <c r="F2642" s="5" t="str">
        <f ca="1">IFERROR(__xludf.DUMMYFUNCTION("""COMPUTED_VALUE"""),"معمل التحاليل الطبية")</f>
        <v>معمل التحاليل الطبية</v>
      </c>
      <c r="G2642" s="5" t="str">
        <f ca="1">IFERROR(__xludf.DUMMYFUNCTION("""COMPUTED_VALUE"""),"معامل عز لاب")</f>
        <v>معامل عز لاب</v>
      </c>
      <c r="H2642" s="5" t="str">
        <f ca="1">IFERROR(__xludf.DUMMYFUNCTION("""COMPUTED_VALUE"""),"50شارع العشرين -الدور الاول")</f>
        <v>50شارع العشرين -الدور الاول</v>
      </c>
      <c r="I2642" s="6" t="str">
        <f ca="1">IFERROR(__xludf.DUMMYFUNCTION("""COMPUTED_VALUE"""),"1155691133")</f>
        <v>1155691133</v>
      </c>
      <c r="J2642" s="6"/>
      <c r="K2642" s="6" t="str">
        <f ca="1">IFERROR(__xludf.DUMMYFUNCTION("""COMPUTED_VALUE"""),"خصم 50% علي الأسعار النقدي المعلنة")</f>
        <v>خصم 50% علي الأسعار النقدي المعلنة</v>
      </c>
    </row>
    <row r="2643" spans="1:11" x14ac:dyDescent="0.25">
      <c r="A2643" s="4" t="str">
        <f ca="1">IFERROR(__xludf.DUMMYFUNCTION("""COMPUTED_VALUE"""),"107006-B")</f>
        <v>107006-B</v>
      </c>
      <c r="B2643" s="5" t="str">
        <f ca="1">IFERROR(__xludf.DUMMYFUNCTION("""COMPUTED_VALUE"""),"القاهرة")</f>
        <v>القاهرة</v>
      </c>
      <c r="C2643" s="5" t="str">
        <f ca="1">IFERROR(__xludf.DUMMYFUNCTION("""COMPUTED_VALUE"""),"حلمية الزيتون")</f>
        <v>حلمية الزيتون</v>
      </c>
      <c r="D2643" s="5" t="str">
        <f ca="1">IFERROR(__xludf.DUMMYFUNCTION("""COMPUTED_VALUE"""),"معمل")</f>
        <v>معمل</v>
      </c>
      <c r="E2643" s="5" t="str">
        <f ca="1">IFERROR(__xludf.DUMMYFUNCTION("""COMPUTED_VALUE"""),"معمل")</f>
        <v>معمل</v>
      </c>
      <c r="F2643" s="5" t="str">
        <f ca="1">IFERROR(__xludf.DUMMYFUNCTION("""COMPUTED_VALUE"""),"معمل التحاليل الطبية")</f>
        <v>معمل التحاليل الطبية</v>
      </c>
      <c r="G2643" s="5" t="str">
        <f ca="1">IFERROR(__xludf.DUMMYFUNCTION("""COMPUTED_VALUE"""),"معامل عز لاب")</f>
        <v>معامل عز لاب</v>
      </c>
      <c r="H2643" s="5" t="str">
        <f ca="1">IFERROR(__xludf.DUMMYFUNCTION("""COMPUTED_VALUE"""),"99شارع سليم الاول -أمام عمر أفندي -الدور الاول")</f>
        <v>99شارع سليم الاول -أمام عمر أفندي -الدور الاول</v>
      </c>
      <c r="I2643" s="6" t="str">
        <f ca="1">IFERROR(__xludf.DUMMYFUNCTION("""COMPUTED_VALUE"""),"1208002258")</f>
        <v>1208002258</v>
      </c>
      <c r="J2643" s="6"/>
      <c r="K2643" s="6" t="str">
        <f ca="1">IFERROR(__xludf.DUMMYFUNCTION("""COMPUTED_VALUE"""),"خصم 50% علي الأسعار النقدي المعلنة")</f>
        <v>خصم 50% علي الأسعار النقدي المعلنة</v>
      </c>
    </row>
    <row r="2644" spans="1:11" x14ac:dyDescent="0.25">
      <c r="A2644" s="4" t="str">
        <f ca="1">IFERROR(__xludf.DUMMYFUNCTION("""COMPUTED_VALUE"""),"107006-B")</f>
        <v>107006-B</v>
      </c>
      <c r="B2644" s="5" t="str">
        <f ca="1">IFERROR(__xludf.DUMMYFUNCTION("""COMPUTED_VALUE"""),"القاهرة")</f>
        <v>القاهرة</v>
      </c>
      <c r="C2644" s="5" t="str">
        <f ca="1">IFERROR(__xludf.DUMMYFUNCTION("""COMPUTED_VALUE"""),"حلوان")</f>
        <v>حلوان</v>
      </c>
      <c r="D2644" s="5" t="str">
        <f ca="1">IFERROR(__xludf.DUMMYFUNCTION("""COMPUTED_VALUE"""),"معمل")</f>
        <v>معمل</v>
      </c>
      <c r="E2644" s="5" t="str">
        <f ca="1">IFERROR(__xludf.DUMMYFUNCTION("""COMPUTED_VALUE"""),"معمل")</f>
        <v>معمل</v>
      </c>
      <c r="F2644" s="5" t="str">
        <f ca="1">IFERROR(__xludf.DUMMYFUNCTION("""COMPUTED_VALUE"""),"معمل التحاليل الطبية")</f>
        <v>معمل التحاليل الطبية</v>
      </c>
      <c r="G2644" s="5" t="str">
        <f ca="1">IFERROR(__xludf.DUMMYFUNCTION("""COMPUTED_VALUE"""),"معامل عز لاب")</f>
        <v>معامل عز لاب</v>
      </c>
      <c r="H2644" s="5" t="str">
        <f ca="1">IFERROR(__xludf.DUMMYFUNCTION("""COMPUTED_VALUE"""),"28شارع مصطفي المراغي أمام سينما ماجدة بجوار محطة مترو حلوان")</f>
        <v>28شارع مصطفي المراغي أمام سينما ماجدة بجوار محطة مترو حلوان</v>
      </c>
      <c r="I2644" s="6" t="str">
        <f ca="1">IFERROR(__xludf.DUMMYFUNCTION("""COMPUTED_VALUE"""),"1200555562")</f>
        <v>1200555562</v>
      </c>
      <c r="J2644" s="6"/>
      <c r="K2644" s="6" t="str">
        <f ca="1">IFERROR(__xludf.DUMMYFUNCTION("""COMPUTED_VALUE"""),"خصم 50% علي الأسعار النقدي المعلنة")</f>
        <v>خصم 50% علي الأسعار النقدي المعلنة</v>
      </c>
    </row>
    <row r="2645" spans="1:11" x14ac:dyDescent="0.25">
      <c r="A2645" s="4" t="str">
        <f ca="1">IFERROR(__xludf.DUMMYFUNCTION("""COMPUTED_VALUE"""),"107006-B")</f>
        <v>107006-B</v>
      </c>
      <c r="B2645" s="5" t="str">
        <f ca="1">IFERROR(__xludf.DUMMYFUNCTION("""COMPUTED_VALUE"""),"القاهرة")</f>
        <v>القاهرة</v>
      </c>
      <c r="C2645" s="5" t="str">
        <f ca="1">IFERROR(__xludf.DUMMYFUNCTION("""COMPUTED_VALUE"""),"حلوان")</f>
        <v>حلوان</v>
      </c>
      <c r="D2645" s="5" t="str">
        <f ca="1">IFERROR(__xludf.DUMMYFUNCTION("""COMPUTED_VALUE"""),"معمل")</f>
        <v>معمل</v>
      </c>
      <c r="E2645" s="5" t="str">
        <f ca="1">IFERROR(__xludf.DUMMYFUNCTION("""COMPUTED_VALUE"""),"معمل")</f>
        <v>معمل</v>
      </c>
      <c r="F2645" s="5" t="str">
        <f ca="1">IFERROR(__xludf.DUMMYFUNCTION("""COMPUTED_VALUE"""),"معمل التحاليل الطبية")</f>
        <v>معمل التحاليل الطبية</v>
      </c>
      <c r="G2645" s="5" t="str">
        <f ca="1">IFERROR(__xludf.DUMMYFUNCTION("""COMPUTED_VALUE"""),"معامل عز لاب")</f>
        <v>معامل عز لاب</v>
      </c>
      <c r="H2645" s="5" t="str">
        <f ca="1">IFERROR(__xludf.DUMMYFUNCTION("""COMPUTED_VALUE"""),"44شارع منصور تقاطع المراغي -الدور الثالث شقة 1")</f>
        <v>44شارع منصور تقاطع المراغي -الدور الثالث شقة 1</v>
      </c>
      <c r="I2645" s="6" t="str">
        <f ca="1">IFERROR(__xludf.DUMMYFUNCTION("""COMPUTED_VALUE"""),"1211362858")</f>
        <v>1211362858</v>
      </c>
      <c r="J2645" s="6"/>
      <c r="K2645" s="6" t="str">
        <f ca="1">IFERROR(__xludf.DUMMYFUNCTION("""COMPUTED_VALUE"""),"خصم 50% علي الأسعار النقدي المعلنة")</f>
        <v>خصم 50% علي الأسعار النقدي المعلنة</v>
      </c>
    </row>
    <row r="2646" spans="1:11" x14ac:dyDescent="0.25">
      <c r="A2646" s="4" t="str">
        <f ca="1">IFERROR(__xludf.DUMMYFUNCTION("""COMPUTED_VALUE"""),"107006-B")</f>
        <v>107006-B</v>
      </c>
      <c r="B2646" s="5" t="str">
        <f ca="1">IFERROR(__xludf.DUMMYFUNCTION("""COMPUTED_VALUE"""),"القاهرة")</f>
        <v>القاهرة</v>
      </c>
      <c r="C2646" s="5" t="str">
        <f ca="1">IFERROR(__xludf.DUMMYFUNCTION("""COMPUTED_VALUE"""),"شبرا")</f>
        <v>شبرا</v>
      </c>
      <c r="D2646" s="5" t="str">
        <f ca="1">IFERROR(__xludf.DUMMYFUNCTION("""COMPUTED_VALUE"""),"معمل")</f>
        <v>معمل</v>
      </c>
      <c r="E2646" s="5" t="str">
        <f ca="1">IFERROR(__xludf.DUMMYFUNCTION("""COMPUTED_VALUE"""),"معمل")</f>
        <v>معمل</v>
      </c>
      <c r="F2646" s="5" t="str">
        <f ca="1">IFERROR(__xludf.DUMMYFUNCTION("""COMPUTED_VALUE"""),"معمل التحاليل الطبية")</f>
        <v>معمل التحاليل الطبية</v>
      </c>
      <c r="G2646" s="5" t="str">
        <f ca="1">IFERROR(__xludf.DUMMYFUNCTION("""COMPUTED_VALUE"""),"معامل عز لاب")</f>
        <v>معامل عز لاب</v>
      </c>
      <c r="H2646" s="5" t="str">
        <f ca="1">IFERROR(__xludf.DUMMYFUNCTION("""COMPUTED_VALUE"""),"90شارع شبرا بجوار مترو روض الفرج أعلى كشري عرفه")</f>
        <v>90شارع شبرا بجوار مترو روض الفرج أعلى كشري عرفه</v>
      </c>
      <c r="I2646" s="6" t="str">
        <f ca="1">IFERROR(__xludf.DUMMYFUNCTION("""COMPUTED_VALUE"""),"1110044223")</f>
        <v>1110044223</v>
      </c>
      <c r="J2646" s="6"/>
      <c r="K2646" s="6" t="str">
        <f ca="1">IFERROR(__xludf.DUMMYFUNCTION("""COMPUTED_VALUE"""),"خصم 50% علي الأسعار النقدي المعلنة")</f>
        <v>خصم 50% علي الأسعار النقدي المعلنة</v>
      </c>
    </row>
    <row r="2647" spans="1:11" x14ac:dyDescent="0.25">
      <c r="A2647" s="4" t="str">
        <f ca="1">IFERROR(__xludf.DUMMYFUNCTION("""COMPUTED_VALUE"""),"107006-B")</f>
        <v>107006-B</v>
      </c>
      <c r="B2647" s="5" t="str">
        <f ca="1">IFERROR(__xludf.DUMMYFUNCTION("""COMPUTED_VALUE"""),"القاهرة")</f>
        <v>القاهرة</v>
      </c>
      <c r="C2647" s="5" t="str">
        <f ca="1">IFERROR(__xludf.DUMMYFUNCTION("""COMPUTED_VALUE"""),"مصر القديمة")</f>
        <v>مصر القديمة</v>
      </c>
      <c r="D2647" s="5" t="str">
        <f ca="1">IFERROR(__xludf.DUMMYFUNCTION("""COMPUTED_VALUE"""),"معمل")</f>
        <v>معمل</v>
      </c>
      <c r="E2647" s="5" t="str">
        <f ca="1">IFERROR(__xludf.DUMMYFUNCTION("""COMPUTED_VALUE"""),"معمل")</f>
        <v>معمل</v>
      </c>
      <c r="F2647" s="5" t="str">
        <f ca="1">IFERROR(__xludf.DUMMYFUNCTION("""COMPUTED_VALUE"""),"معمل التحاليل الطبية")</f>
        <v>معمل التحاليل الطبية</v>
      </c>
      <c r="G2647" s="5" t="str">
        <f ca="1">IFERROR(__xludf.DUMMYFUNCTION("""COMPUTED_VALUE"""),"معامل عز لاب")</f>
        <v>معامل عز لاب</v>
      </c>
      <c r="H2647" s="5" t="str">
        <f ca="1">IFERROR(__xludf.DUMMYFUNCTION("""COMPUTED_VALUE"""),"3شارع المنصورية امام مستشفي الحسين الجامعي")</f>
        <v>3شارع المنصورية امام مستشفي الحسين الجامعي</v>
      </c>
      <c r="I2647" s="6" t="str">
        <f ca="1">IFERROR(__xludf.DUMMYFUNCTION("""COMPUTED_VALUE"""),"1200555562")</f>
        <v>1200555562</v>
      </c>
      <c r="J2647" s="6"/>
      <c r="K2647" s="6" t="str">
        <f ca="1">IFERROR(__xludf.DUMMYFUNCTION("""COMPUTED_VALUE"""),"خصم 50% علي الأسعار النقدي المعلنة")</f>
        <v>خصم 50% علي الأسعار النقدي المعلنة</v>
      </c>
    </row>
    <row r="2648" spans="1:11" x14ac:dyDescent="0.25">
      <c r="A2648" s="4" t="str">
        <f ca="1">IFERROR(__xludf.DUMMYFUNCTION("""COMPUTED_VALUE"""),"107006-B")</f>
        <v>107006-B</v>
      </c>
      <c r="B2648" s="5" t="str">
        <f ca="1">IFERROR(__xludf.DUMMYFUNCTION("""COMPUTED_VALUE"""),"القاهرة")</f>
        <v>القاهرة</v>
      </c>
      <c r="C2648" s="5" t="str">
        <f ca="1">IFERROR(__xludf.DUMMYFUNCTION("""COMPUTED_VALUE"""),"المقطم")</f>
        <v>المقطم</v>
      </c>
      <c r="D2648" s="5" t="str">
        <f ca="1">IFERROR(__xludf.DUMMYFUNCTION("""COMPUTED_VALUE"""),"معمل")</f>
        <v>معمل</v>
      </c>
      <c r="E2648" s="5" t="str">
        <f ca="1">IFERROR(__xludf.DUMMYFUNCTION("""COMPUTED_VALUE"""),"معمل")</f>
        <v>معمل</v>
      </c>
      <c r="F2648" s="5" t="str">
        <f ca="1">IFERROR(__xludf.DUMMYFUNCTION("""COMPUTED_VALUE"""),"معمل التحاليل الطبية")</f>
        <v>معمل التحاليل الطبية</v>
      </c>
      <c r="G2648" s="5" t="str">
        <f ca="1">IFERROR(__xludf.DUMMYFUNCTION("""COMPUTED_VALUE"""),"معامل عز لاب")</f>
        <v>معامل عز لاب</v>
      </c>
      <c r="H2648" s="5" t="str">
        <f ca="1">IFERROR(__xludf.DUMMYFUNCTION("""COMPUTED_VALUE"""),"امام كشرى التحرير، ٧٣ شارع 9، الأباجية، قسم المقطم")</f>
        <v>امام كشرى التحرير، ٧٣ شارع 9، الأباجية، قسم المقطم</v>
      </c>
      <c r="I2648" s="6" t="str">
        <f ca="1">IFERROR(__xludf.DUMMYFUNCTION("""COMPUTED_VALUE"""),"1200555562")</f>
        <v>1200555562</v>
      </c>
      <c r="J2648" s="6"/>
      <c r="K2648" s="6" t="str">
        <f ca="1">IFERROR(__xludf.DUMMYFUNCTION("""COMPUTED_VALUE"""),"خصم 50% علي الأسعار النقدي المعلنة")</f>
        <v>خصم 50% علي الأسعار النقدي المعلنة</v>
      </c>
    </row>
    <row r="2649" spans="1:11" x14ac:dyDescent="0.25">
      <c r="A2649" s="4" t="str">
        <f ca="1">IFERROR(__xludf.DUMMYFUNCTION("""COMPUTED_VALUE"""),"107006-B")</f>
        <v>107006-B</v>
      </c>
      <c r="B2649" s="5" t="str">
        <f ca="1">IFERROR(__xludf.DUMMYFUNCTION("""COMPUTED_VALUE"""),"القاهرة")</f>
        <v>القاهرة</v>
      </c>
      <c r="C2649" s="5" t="str">
        <f ca="1">IFERROR(__xludf.DUMMYFUNCTION("""COMPUTED_VALUE"""),"المقطم")</f>
        <v>المقطم</v>
      </c>
      <c r="D2649" s="5" t="str">
        <f ca="1">IFERROR(__xludf.DUMMYFUNCTION("""COMPUTED_VALUE"""),"معمل")</f>
        <v>معمل</v>
      </c>
      <c r="E2649" s="5" t="str">
        <f ca="1">IFERROR(__xludf.DUMMYFUNCTION("""COMPUTED_VALUE"""),"معمل")</f>
        <v>معمل</v>
      </c>
      <c r="F2649" s="5" t="str">
        <f ca="1">IFERROR(__xludf.DUMMYFUNCTION("""COMPUTED_VALUE"""),"معمل التحاليل الطبية")</f>
        <v>معمل التحاليل الطبية</v>
      </c>
      <c r="G2649" s="5" t="str">
        <f ca="1">IFERROR(__xludf.DUMMYFUNCTION("""COMPUTED_VALUE"""),"معامل عز لاب")</f>
        <v>معامل عز لاب</v>
      </c>
      <c r="H2649" s="5" t="str">
        <f ca="1">IFERROR(__xludf.DUMMYFUNCTION("""COMPUTED_VALUE"""),"مساكن أطلس-مساكن الزلزال امام قسم المقطم -بلوك9الدور الثاني شقة 3")</f>
        <v>مساكن أطلس-مساكن الزلزال امام قسم المقطم -بلوك9الدور الثاني شقة 3</v>
      </c>
      <c r="I2649" s="6" t="str">
        <f ca="1">IFERROR(__xludf.DUMMYFUNCTION("""COMPUTED_VALUE"""),"1200555562")</f>
        <v>1200555562</v>
      </c>
      <c r="J2649" s="6"/>
      <c r="K2649" s="6" t="str">
        <f ca="1">IFERROR(__xludf.DUMMYFUNCTION("""COMPUTED_VALUE"""),"خصم 50% علي الأسعار النقدي المعلنة")</f>
        <v>خصم 50% علي الأسعار النقدي المعلنة</v>
      </c>
    </row>
    <row r="2650" spans="1:11" x14ac:dyDescent="0.25">
      <c r="A2650" s="4" t="str">
        <f ca="1">IFERROR(__xludf.DUMMYFUNCTION("""COMPUTED_VALUE"""),"107006-B")</f>
        <v>107006-B</v>
      </c>
      <c r="B2650" s="5" t="str">
        <f ca="1">IFERROR(__xludf.DUMMYFUNCTION("""COMPUTED_VALUE"""),"القاهرة")</f>
        <v>القاهرة</v>
      </c>
      <c r="C2650" s="5" t="str">
        <f ca="1">IFERROR(__xludf.DUMMYFUNCTION("""COMPUTED_VALUE"""),"دار السلام")</f>
        <v>دار السلام</v>
      </c>
      <c r="D2650" s="5" t="str">
        <f ca="1">IFERROR(__xludf.DUMMYFUNCTION("""COMPUTED_VALUE"""),"معمل")</f>
        <v>معمل</v>
      </c>
      <c r="E2650" s="5" t="str">
        <f ca="1">IFERROR(__xludf.DUMMYFUNCTION("""COMPUTED_VALUE"""),"معمل")</f>
        <v>معمل</v>
      </c>
      <c r="F2650" s="5" t="str">
        <f ca="1">IFERROR(__xludf.DUMMYFUNCTION("""COMPUTED_VALUE"""),"معمل التحاليل الطبية")</f>
        <v>معمل التحاليل الطبية</v>
      </c>
      <c r="G2650" s="5" t="str">
        <f ca="1">IFERROR(__xludf.DUMMYFUNCTION("""COMPUTED_VALUE"""),"معامل عز لاب")</f>
        <v>معامل عز لاب</v>
      </c>
      <c r="H2650" s="5" t="str">
        <f ca="1">IFERROR(__xludf.DUMMYFUNCTION("""COMPUTED_VALUE"""),"50شارع الفيوم-الدور الأول بجوار بنك مصر")</f>
        <v>50شارع الفيوم-الدور الأول بجوار بنك مصر</v>
      </c>
      <c r="I2650" s="6" t="str">
        <f ca="1">IFERROR(__xludf.DUMMYFUNCTION("""COMPUTED_VALUE"""),"1200555562")</f>
        <v>1200555562</v>
      </c>
      <c r="J2650" s="6"/>
      <c r="K2650" s="6" t="str">
        <f ca="1">IFERROR(__xludf.DUMMYFUNCTION("""COMPUTED_VALUE"""),"خصم 50% علي الأسعار النقدي المعلنة")</f>
        <v>خصم 50% علي الأسعار النقدي المعلنة</v>
      </c>
    </row>
    <row r="2651" spans="1:11" x14ac:dyDescent="0.25">
      <c r="A2651" s="4" t="str">
        <f ca="1">IFERROR(__xludf.DUMMYFUNCTION("""COMPUTED_VALUE"""),"107006-B")</f>
        <v>107006-B</v>
      </c>
      <c r="B2651" s="5" t="str">
        <f ca="1">IFERROR(__xludf.DUMMYFUNCTION("""COMPUTED_VALUE"""),"المنوفية")</f>
        <v>المنوفية</v>
      </c>
      <c r="C2651" s="5" t="str">
        <f ca="1">IFERROR(__xludf.DUMMYFUNCTION("""COMPUTED_VALUE"""),"شبين الكوم")</f>
        <v>شبين الكوم</v>
      </c>
      <c r="D2651" s="5" t="str">
        <f ca="1">IFERROR(__xludf.DUMMYFUNCTION("""COMPUTED_VALUE"""),"معمل")</f>
        <v>معمل</v>
      </c>
      <c r="E2651" s="5" t="str">
        <f ca="1">IFERROR(__xludf.DUMMYFUNCTION("""COMPUTED_VALUE"""),"معمل")</f>
        <v>معمل</v>
      </c>
      <c r="F2651" s="5" t="str">
        <f ca="1">IFERROR(__xludf.DUMMYFUNCTION("""COMPUTED_VALUE"""),"معمل التحاليل الطبية")</f>
        <v>معمل التحاليل الطبية</v>
      </c>
      <c r="G2651" s="5" t="str">
        <f ca="1">IFERROR(__xludf.DUMMYFUNCTION("""COMPUTED_VALUE"""),"معامل عز لاب")</f>
        <v>معامل عز لاب</v>
      </c>
      <c r="H2651" s="5" t="str">
        <f ca="1">IFERROR(__xludf.DUMMYFUNCTION("""COMPUTED_VALUE"""),"ميدان شرف-برج الميدان(البرج الذهبي)-الدور الرابع")</f>
        <v>ميدان شرف-برج الميدان(البرج الذهبي)-الدور الرابع</v>
      </c>
      <c r="I2651" s="6" t="str">
        <f ca="1">IFERROR(__xludf.DUMMYFUNCTION("""COMPUTED_VALUE"""),"1200555562")</f>
        <v>1200555562</v>
      </c>
      <c r="J2651" s="6"/>
      <c r="K2651" s="6" t="str">
        <f ca="1">IFERROR(__xludf.DUMMYFUNCTION("""COMPUTED_VALUE"""),"خصم 50% علي الأسعار النقدي المعلنة")</f>
        <v>خصم 50% علي الأسعار النقدي المعلنة</v>
      </c>
    </row>
    <row r="2652" spans="1:11" x14ac:dyDescent="0.25">
      <c r="A2652" s="4" t="str">
        <f ca="1">IFERROR(__xludf.DUMMYFUNCTION("""COMPUTED_VALUE"""),"107006-B")</f>
        <v>107006-B</v>
      </c>
      <c r="B2652" s="5" t="str">
        <f ca="1">IFERROR(__xludf.DUMMYFUNCTION("""COMPUTED_VALUE"""),"المنوفية")</f>
        <v>المنوفية</v>
      </c>
      <c r="C2652" s="5" t="str">
        <f ca="1">IFERROR(__xludf.DUMMYFUNCTION("""COMPUTED_VALUE"""),"اشمون")</f>
        <v>اشمون</v>
      </c>
      <c r="D2652" s="5" t="str">
        <f ca="1">IFERROR(__xludf.DUMMYFUNCTION("""COMPUTED_VALUE"""),"معمل")</f>
        <v>معمل</v>
      </c>
      <c r="E2652" s="5" t="str">
        <f ca="1">IFERROR(__xludf.DUMMYFUNCTION("""COMPUTED_VALUE"""),"معمل")</f>
        <v>معمل</v>
      </c>
      <c r="F2652" s="5" t="str">
        <f ca="1">IFERROR(__xludf.DUMMYFUNCTION("""COMPUTED_VALUE"""),"معمل التحاليل الطبية")</f>
        <v>معمل التحاليل الطبية</v>
      </c>
      <c r="G2652" s="5" t="str">
        <f ca="1">IFERROR(__xludf.DUMMYFUNCTION("""COMPUTED_VALUE"""),"معامل عز لاب")</f>
        <v>معامل عز لاب</v>
      </c>
      <c r="H2652" s="5" t="str">
        <f ca="1">IFERROR(__xludf.DUMMYFUNCTION("""COMPUTED_VALUE"""),"شارع سعد زغلول-ميدان فيلفل -الدور الأول")</f>
        <v>شارع سعد زغلول-ميدان فيلفل -الدور الأول</v>
      </c>
      <c r="I2652" s="6" t="str">
        <f ca="1">IFERROR(__xludf.DUMMYFUNCTION("""COMPUTED_VALUE"""),"1200555562")</f>
        <v>1200555562</v>
      </c>
      <c r="J2652" s="6"/>
      <c r="K2652" s="6" t="str">
        <f ca="1">IFERROR(__xludf.DUMMYFUNCTION("""COMPUTED_VALUE"""),"خصم 50% علي الأسعار النقدي المعلنة")</f>
        <v>خصم 50% علي الأسعار النقدي المعلنة</v>
      </c>
    </row>
    <row r="2653" spans="1:11" x14ac:dyDescent="0.25">
      <c r="A2653" s="4" t="str">
        <f ca="1">IFERROR(__xludf.DUMMYFUNCTION("""COMPUTED_VALUE"""),"107006-B")</f>
        <v>107006-B</v>
      </c>
      <c r="B2653" s="5" t="str">
        <f ca="1">IFERROR(__xludf.DUMMYFUNCTION("""COMPUTED_VALUE"""),"المنوفية")</f>
        <v>المنوفية</v>
      </c>
      <c r="C2653" s="5" t="str">
        <f ca="1">IFERROR(__xludf.DUMMYFUNCTION("""COMPUTED_VALUE"""),"قويسنا")</f>
        <v>قويسنا</v>
      </c>
      <c r="D2653" s="5" t="str">
        <f ca="1">IFERROR(__xludf.DUMMYFUNCTION("""COMPUTED_VALUE"""),"معمل")</f>
        <v>معمل</v>
      </c>
      <c r="E2653" s="5" t="str">
        <f ca="1">IFERROR(__xludf.DUMMYFUNCTION("""COMPUTED_VALUE"""),"معمل")</f>
        <v>معمل</v>
      </c>
      <c r="F2653" s="5" t="str">
        <f ca="1">IFERROR(__xludf.DUMMYFUNCTION("""COMPUTED_VALUE"""),"معمل التحاليل الطبية")</f>
        <v>معمل التحاليل الطبية</v>
      </c>
      <c r="G2653" s="5" t="str">
        <f ca="1">IFERROR(__xludf.DUMMYFUNCTION("""COMPUTED_VALUE"""),"معامل عز لاب")</f>
        <v>معامل عز لاب</v>
      </c>
      <c r="H2653" s="5" t="str">
        <f ca="1">IFERROR(__xludf.DUMMYFUNCTION("""COMPUTED_VALUE"""),"شارع أنور السادات أبراج روما دور الميزانين")</f>
        <v>شارع أنور السادات أبراج روما دور الميزانين</v>
      </c>
      <c r="I2653" s="6" t="str">
        <f ca="1">IFERROR(__xludf.DUMMYFUNCTION("""COMPUTED_VALUE"""),"1200555562")</f>
        <v>1200555562</v>
      </c>
      <c r="J2653" s="6"/>
      <c r="K2653" s="6" t="str">
        <f ca="1">IFERROR(__xludf.DUMMYFUNCTION("""COMPUTED_VALUE"""),"خصم 50% علي الأسعار النقدي المعلنة")</f>
        <v>خصم 50% علي الأسعار النقدي المعلنة</v>
      </c>
    </row>
    <row r="2654" spans="1:11" x14ac:dyDescent="0.25">
      <c r="A2654" s="4" t="str">
        <f ca="1">IFERROR(__xludf.DUMMYFUNCTION("""COMPUTED_VALUE"""),"107006-B")</f>
        <v>107006-B</v>
      </c>
      <c r="B2654" s="5" t="str">
        <f ca="1">IFERROR(__xludf.DUMMYFUNCTION("""COMPUTED_VALUE"""),"القليوبية")</f>
        <v>القليوبية</v>
      </c>
      <c r="C2654" s="5" t="str">
        <f ca="1">IFERROR(__xludf.DUMMYFUNCTION("""COMPUTED_VALUE"""),"شبرا الخيمة")</f>
        <v>شبرا الخيمة</v>
      </c>
      <c r="D2654" s="5" t="str">
        <f ca="1">IFERROR(__xludf.DUMMYFUNCTION("""COMPUTED_VALUE"""),"معمل")</f>
        <v>معمل</v>
      </c>
      <c r="E2654" s="5" t="str">
        <f ca="1">IFERROR(__xludf.DUMMYFUNCTION("""COMPUTED_VALUE"""),"معمل")</f>
        <v>معمل</v>
      </c>
      <c r="F2654" s="5" t="str">
        <f ca="1">IFERROR(__xludf.DUMMYFUNCTION("""COMPUTED_VALUE"""),"معمل التحاليل الطبية")</f>
        <v>معمل التحاليل الطبية</v>
      </c>
      <c r="G2654" s="5" t="str">
        <f ca="1">IFERROR(__xludf.DUMMYFUNCTION("""COMPUTED_VALUE"""),"معامل عز لاب")</f>
        <v>معامل عز لاب</v>
      </c>
      <c r="H2654" s="5" t="str">
        <f ca="1">IFERROR(__xludf.DUMMYFUNCTION("""COMPUTED_VALUE"""),"33شارع 15 مايو بجوار كوبري عرابي -أمام برج الأطباء")</f>
        <v>33شارع 15 مايو بجوار كوبري عرابي -أمام برج الأطباء</v>
      </c>
      <c r="I2654" s="6" t="str">
        <f ca="1">IFERROR(__xludf.DUMMYFUNCTION("""COMPUTED_VALUE"""),"1200555562")</f>
        <v>1200555562</v>
      </c>
      <c r="J2654" s="6"/>
      <c r="K2654" s="6" t="str">
        <f ca="1">IFERROR(__xludf.DUMMYFUNCTION("""COMPUTED_VALUE"""),"خصم 50% علي الأسعار النقدي المعلنة")</f>
        <v>خصم 50% علي الأسعار النقدي المعلنة</v>
      </c>
    </row>
    <row r="2655" spans="1:11" x14ac:dyDescent="0.25">
      <c r="A2655" s="4" t="str">
        <f ca="1">IFERROR(__xludf.DUMMYFUNCTION("""COMPUTED_VALUE"""),"107006-B")</f>
        <v>107006-B</v>
      </c>
      <c r="B2655" s="5" t="str">
        <f ca="1">IFERROR(__xludf.DUMMYFUNCTION("""COMPUTED_VALUE"""),"القليوبية")</f>
        <v>القليوبية</v>
      </c>
      <c r="C2655" s="5" t="str">
        <f ca="1">IFERROR(__xludf.DUMMYFUNCTION("""COMPUTED_VALUE"""),"شبرا الخيمة")</f>
        <v>شبرا الخيمة</v>
      </c>
      <c r="D2655" s="5" t="str">
        <f ca="1">IFERROR(__xludf.DUMMYFUNCTION("""COMPUTED_VALUE"""),"معمل")</f>
        <v>معمل</v>
      </c>
      <c r="E2655" s="5" t="str">
        <f ca="1">IFERROR(__xludf.DUMMYFUNCTION("""COMPUTED_VALUE"""),"معمل")</f>
        <v>معمل</v>
      </c>
      <c r="F2655" s="5" t="str">
        <f ca="1">IFERROR(__xludf.DUMMYFUNCTION("""COMPUTED_VALUE"""),"معمل التحاليل الطبية")</f>
        <v>معمل التحاليل الطبية</v>
      </c>
      <c r="G2655" s="5" t="str">
        <f ca="1">IFERROR(__xludf.DUMMYFUNCTION("""COMPUTED_VALUE"""),"معامل عز لاب")</f>
        <v>معامل عز لاب</v>
      </c>
      <c r="H2655" s="5" t="str">
        <f ca="1">IFERROR(__xludf.DUMMYFUNCTION("""COMPUTED_VALUE"""),"شارع 15 مايو أمام مسجد أبو الهنا بجوار مستشفي الحرية التخصصي")</f>
        <v>شارع 15 مايو أمام مسجد أبو الهنا بجوار مستشفي الحرية التخصصي</v>
      </c>
      <c r="I2655" s="6" t="str">
        <f ca="1">IFERROR(__xludf.DUMMYFUNCTION("""COMPUTED_VALUE"""),"1200555562")</f>
        <v>1200555562</v>
      </c>
      <c r="J2655" s="6"/>
      <c r="K2655" s="6" t="str">
        <f ca="1">IFERROR(__xludf.DUMMYFUNCTION("""COMPUTED_VALUE"""),"خصم 50% علي الأسعار النقدي المعلنة")</f>
        <v>خصم 50% علي الأسعار النقدي المعلنة</v>
      </c>
    </row>
    <row r="2656" spans="1:11" x14ac:dyDescent="0.25">
      <c r="A2656" s="4" t="str">
        <f ca="1">IFERROR(__xludf.DUMMYFUNCTION("""COMPUTED_VALUE"""),"107006-B")</f>
        <v>107006-B</v>
      </c>
      <c r="B2656" s="5" t="str">
        <f ca="1">IFERROR(__xludf.DUMMYFUNCTION("""COMPUTED_VALUE"""),"القليوبية")</f>
        <v>القليوبية</v>
      </c>
      <c r="C2656" s="5" t="str">
        <f ca="1">IFERROR(__xludf.DUMMYFUNCTION("""COMPUTED_VALUE"""),"شبرا الخيمة")</f>
        <v>شبرا الخيمة</v>
      </c>
      <c r="D2656" s="5" t="str">
        <f ca="1">IFERROR(__xludf.DUMMYFUNCTION("""COMPUTED_VALUE"""),"معمل")</f>
        <v>معمل</v>
      </c>
      <c r="E2656" s="5" t="str">
        <f ca="1">IFERROR(__xludf.DUMMYFUNCTION("""COMPUTED_VALUE"""),"معمل")</f>
        <v>معمل</v>
      </c>
      <c r="F2656" s="5" t="str">
        <f ca="1">IFERROR(__xludf.DUMMYFUNCTION("""COMPUTED_VALUE"""),"معمل التحاليل الطبية")</f>
        <v>معمل التحاليل الطبية</v>
      </c>
      <c r="G2656" s="5" t="str">
        <f ca="1">IFERROR(__xludf.DUMMYFUNCTION("""COMPUTED_VALUE"""),"معامل عز لاب")</f>
        <v>معامل عز لاب</v>
      </c>
      <c r="H2656" s="5" t="str">
        <f ca="1">IFERROR(__xludf.DUMMYFUNCTION("""COMPUTED_VALUE"""),"الشارع الجديد أمام ماركت الفرجاني")</f>
        <v>الشارع الجديد أمام ماركت الفرجاني</v>
      </c>
      <c r="I2656" s="6" t="str">
        <f ca="1">IFERROR(__xludf.DUMMYFUNCTION("""COMPUTED_VALUE"""),"1200555562")</f>
        <v>1200555562</v>
      </c>
      <c r="J2656" s="6"/>
      <c r="K2656" s="6" t="str">
        <f ca="1">IFERROR(__xludf.DUMMYFUNCTION("""COMPUTED_VALUE"""),"خصم 50% علي الأسعار النقدي المعلنة")</f>
        <v>خصم 50% علي الأسعار النقدي المعلنة</v>
      </c>
    </row>
    <row r="2657" spans="1:11" x14ac:dyDescent="0.25">
      <c r="A2657" s="4" t="str">
        <f ca="1">IFERROR(__xludf.DUMMYFUNCTION("""COMPUTED_VALUE"""),"107006-B")</f>
        <v>107006-B</v>
      </c>
      <c r="B2657" s="5" t="str">
        <f ca="1">IFERROR(__xludf.DUMMYFUNCTION("""COMPUTED_VALUE"""),"القليوبية")</f>
        <v>القليوبية</v>
      </c>
      <c r="C2657" s="5" t="str">
        <f ca="1">IFERROR(__xludf.DUMMYFUNCTION("""COMPUTED_VALUE"""),"شبرا الخيمة")</f>
        <v>شبرا الخيمة</v>
      </c>
      <c r="D2657" s="5" t="str">
        <f ca="1">IFERROR(__xludf.DUMMYFUNCTION("""COMPUTED_VALUE"""),"معمل")</f>
        <v>معمل</v>
      </c>
      <c r="E2657" s="5" t="str">
        <f ca="1">IFERROR(__xludf.DUMMYFUNCTION("""COMPUTED_VALUE"""),"معمل")</f>
        <v>معمل</v>
      </c>
      <c r="F2657" s="5" t="str">
        <f ca="1">IFERROR(__xludf.DUMMYFUNCTION("""COMPUTED_VALUE"""),"معمل التحاليل الطبية")</f>
        <v>معمل التحاليل الطبية</v>
      </c>
      <c r="G2657" s="5" t="str">
        <f ca="1">IFERROR(__xludf.DUMMYFUNCTION("""COMPUTED_VALUE"""),"معامل عز لاب")</f>
        <v>معامل عز لاب</v>
      </c>
      <c r="H2657" s="5" t="str">
        <f ca="1">IFERROR(__xludf.DUMMYFUNCTION("""COMPUTED_VALUE"""),"ميدان منشية عبد المنعم رياض –شبرا الخيمة .")</f>
        <v>ميدان منشية عبد المنعم رياض –شبرا الخيمة .</v>
      </c>
      <c r="I2657" s="6" t="str">
        <f ca="1">IFERROR(__xludf.DUMMYFUNCTION("""COMPUTED_VALUE"""),"1200555562")</f>
        <v>1200555562</v>
      </c>
      <c r="J2657" s="6"/>
      <c r="K2657" s="6" t="str">
        <f ca="1">IFERROR(__xludf.DUMMYFUNCTION("""COMPUTED_VALUE"""),"خصم 50% علي الأسعار النقدي المعلنة")</f>
        <v>خصم 50% علي الأسعار النقدي المعلنة</v>
      </c>
    </row>
    <row r="2658" spans="1:11" x14ac:dyDescent="0.25">
      <c r="A2658" s="4" t="str">
        <f ca="1">IFERROR(__xludf.DUMMYFUNCTION("""COMPUTED_VALUE"""),"107006-B")</f>
        <v>107006-B</v>
      </c>
      <c r="B2658" s="5" t="str">
        <f ca="1">IFERROR(__xludf.DUMMYFUNCTION("""COMPUTED_VALUE"""),"القليوبية")</f>
        <v>القليوبية</v>
      </c>
      <c r="C2658" s="5" t="str">
        <f ca="1">IFERROR(__xludf.DUMMYFUNCTION("""COMPUTED_VALUE"""),"شبرا الخيمة")</f>
        <v>شبرا الخيمة</v>
      </c>
      <c r="D2658" s="5" t="str">
        <f ca="1">IFERROR(__xludf.DUMMYFUNCTION("""COMPUTED_VALUE"""),"معمل")</f>
        <v>معمل</v>
      </c>
      <c r="E2658" s="5" t="str">
        <f ca="1">IFERROR(__xludf.DUMMYFUNCTION("""COMPUTED_VALUE"""),"معمل")</f>
        <v>معمل</v>
      </c>
      <c r="F2658" s="5" t="str">
        <f ca="1">IFERROR(__xludf.DUMMYFUNCTION("""COMPUTED_VALUE"""),"معمل التحاليل الطبية")</f>
        <v>معمل التحاليل الطبية</v>
      </c>
      <c r="G2658" s="5" t="str">
        <f ca="1">IFERROR(__xludf.DUMMYFUNCTION("""COMPUTED_VALUE"""),"معامل عز لاب")</f>
        <v>معامل عز لاب</v>
      </c>
      <c r="H2658" s="5" t="str">
        <f ca="1">IFERROR(__xludf.DUMMYFUNCTION("""COMPUTED_VALUE"""),"برج سيتي مول 1 أعلى بي تك أمام كوبري عرابي")</f>
        <v>برج سيتي مول 1 أعلى بي تك أمام كوبري عرابي</v>
      </c>
      <c r="I2658" s="6" t="str">
        <f ca="1">IFERROR(__xludf.DUMMYFUNCTION("""COMPUTED_VALUE"""),"1200555562")</f>
        <v>1200555562</v>
      </c>
      <c r="J2658" s="6"/>
      <c r="K2658" s="6" t="str">
        <f ca="1">IFERROR(__xludf.DUMMYFUNCTION("""COMPUTED_VALUE"""),"خصم 50% علي الأسعار النقدي المعلنة")</f>
        <v>خصم 50% علي الأسعار النقدي المعلنة</v>
      </c>
    </row>
    <row r="2659" spans="1:11" x14ac:dyDescent="0.25">
      <c r="A2659" s="4" t="str">
        <f ca="1">IFERROR(__xludf.DUMMYFUNCTION("""COMPUTED_VALUE"""),"107006-B")</f>
        <v>107006-B</v>
      </c>
      <c r="B2659" s="5" t="str">
        <f ca="1">IFERROR(__xludf.DUMMYFUNCTION("""COMPUTED_VALUE"""),"القليوبية")</f>
        <v>القليوبية</v>
      </c>
      <c r="C2659" s="5" t="str">
        <f ca="1">IFERROR(__xludf.DUMMYFUNCTION("""COMPUTED_VALUE"""),"بهتيم")</f>
        <v>بهتيم</v>
      </c>
      <c r="D2659" s="5" t="str">
        <f ca="1">IFERROR(__xludf.DUMMYFUNCTION("""COMPUTED_VALUE"""),"معمل")</f>
        <v>معمل</v>
      </c>
      <c r="E2659" s="5" t="str">
        <f ca="1">IFERROR(__xludf.DUMMYFUNCTION("""COMPUTED_VALUE"""),"معمل")</f>
        <v>معمل</v>
      </c>
      <c r="F2659" s="5" t="str">
        <f ca="1">IFERROR(__xludf.DUMMYFUNCTION("""COMPUTED_VALUE"""),"معمل التحاليل الطبية")</f>
        <v>معمل التحاليل الطبية</v>
      </c>
      <c r="G2659" s="5" t="str">
        <f ca="1">IFERROR(__xludf.DUMMYFUNCTION("""COMPUTED_VALUE"""),"معامل عز لاب")</f>
        <v>معامل عز لاب</v>
      </c>
      <c r="H2659" s="5" t="str">
        <f ca="1">IFERROR(__xludf.DUMMYFUNCTION("""COMPUTED_VALUE"""),"عمارة 33 أمام التوحيد والنور بالقرب من دائري بهتيم -الدور الأول")</f>
        <v>عمارة 33 أمام التوحيد والنور بالقرب من دائري بهتيم -الدور الأول</v>
      </c>
      <c r="I2659" s="6" t="str">
        <f ca="1">IFERROR(__xludf.DUMMYFUNCTION("""COMPUTED_VALUE"""),"1200555562")</f>
        <v>1200555562</v>
      </c>
      <c r="J2659" s="6"/>
      <c r="K2659" s="6" t="str">
        <f ca="1">IFERROR(__xludf.DUMMYFUNCTION("""COMPUTED_VALUE"""),"خصم 50% علي الأسعار النقدي المعلنة")</f>
        <v>خصم 50% علي الأسعار النقدي المعلنة</v>
      </c>
    </row>
    <row r="2660" spans="1:11" x14ac:dyDescent="0.25">
      <c r="A2660" s="4" t="str">
        <f ca="1">IFERROR(__xludf.DUMMYFUNCTION("""COMPUTED_VALUE"""),"107006-B")</f>
        <v>107006-B</v>
      </c>
      <c r="B2660" s="5" t="str">
        <f ca="1">IFERROR(__xludf.DUMMYFUNCTION("""COMPUTED_VALUE"""),"القليوبية")</f>
        <v>القليوبية</v>
      </c>
      <c r="C2660" s="5" t="str">
        <f ca="1">IFERROR(__xludf.DUMMYFUNCTION("""COMPUTED_VALUE"""),"قليوب")</f>
        <v>قليوب</v>
      </c>
      <c r="D2660" s="5" t="str">
        <f ca="1">IFERROR(__xludf.DUMMYFUNCTION("""COMPUTED_VALUE"""),"معمل")</f>
        <v>معمل</v>
      </c>
      <c r="E2660" s="5" t="str">
        <f ca="1">IFERROR(__xludf.DUMMYFUNCTION("""COMPUTED_VALUE"""),"معمل")</f>
        <v>معمل</v>
      </c>
      <c r="F2660" s="5" t="str">
        <f ca="1">IFERROR(__xludf.DUMMYFUNCTION("""COMPUTED_VALUE"""),"معمل التحاليل الطبية")</f>
        <v>معمل التحاليل الطبية</v>
      </c>
      <c r="G2660" s="5" t="str">
        <f ca="1">IFERROR(__xludf.DUMMYFUNCTION("""COMPUTED_VALUE"""),"معامل عز لاب")</f>
        <v>معامل عز لاب</v>
      </c>
      <c r="H2660" s="5" t="str">
        <f ca="1">IFERROR(__xludf.DUMMYFUNCTION("""COMPUTED_VALUE"""),"منطي شارع الشهيد شكري عبد الباقي امام البنزينه")</f>
        <v>منطي شارع الشهيد شكري عبد الباقي امام البنزينه</v>
      </c>
      <c r="I2660" s="6" t="str">
        <f ca="1">IFERROR(__xludf.DUMMYFUNCTION("""COMPUTED_VALUE"""),"1210222775")</f>
        <v>1210222775</v>
      </c>
      <c r="J2660" s="6"/>
      <c r="K2660" s="6" t="str">
        <f ca="1">IFERROR(__xludf.DUMMYFUNCTION("""COMPUTED_VALUE"""),"خصم 50% علي الأسعار النقدي المعلنة")</f>
        <v>خصم 50% علي الأسعار النقدي المعلنة</v>
      </c>
    </row>
    <row r="2661" spans="1:11" x14ac:dyDescent="0.25">
      <c r="A2661" s="4" t="str">
        <f ca="1">IFERROR(__xludf.DUMMYFUNCTION("""COMPUTED_VALUE"""),"107006-B")</f>
        <v>107006-B</v>
      </c>
      <c r="B2661" s="5" t="str">
        <f ca="1">IFERROR(__xludf.DUMMYFUNCTION("""COMPUTED_VALUE"""),"القليوبية")</f>
        <v>القليوبية</v>
      </c>
      <c r="C2661" s="5" t="str">
        <f ca="1">IFERROR(__xludf.DUMMYFUNCTION("""COMPUTED_VALUE"""),"بنها")</f>
        <v>بنها</v>
      </c>
      <c r="D2661" s="5" t="str">
        <f ca="1">IFERROR(__xludf.DUMMYFUNCTION("""COMPUTED_VALUE"""),"معمل")</f>
        <v>معمل</v>
      </c>
      <c r="E2661" s="5" t="str">
        <f ca="1">IFERROR(__xludf.DUMMYFUNCTION("""COMPUTED_VALUE"""),"معمل")</f>
        <v>معمل</v>
      </c>
      <c r="F2661" s="5" t="str">
        <f ca="1">IFERROR(__xludf.DUMMYFUNCTION("""COMPUTED_VALUE"""),"معمل التحاليل الطبية")</f>
        <v>معمل التحاليل الطبية</v>
      </c>
      <c r="G2661" s="5" t="str">
        <f ca="1">IFERROR(__xludf.DUMMYFUNCTION("""COMPUTED_VALUE"""),"معامل عز لاب")</f>
        <v>معامل عز لاب</v>
      </c>
      <c r="H2661" s="5" t="str">
        <f ca="1">IFERROR(__xludf.DUMMYFUNCTION("""COMPUTED_VALUE"""),"بنها الجديدة :شارع فريد ندا-أعلي كنتاكي-برج طيبه")</f>
        <v>بنها الجديدة :شارع فريد ندا-أعلي كنتاكي-برج طيبه</v>
      </c>
      <c r="I2661" s="6" t="str">
        <f ca="1">IFERROR(__xludf.DUMMYFUNCTION("""COMPUTED_VALUE"""),"1200555562")</f>
        <v>1200555562</v>
      </c>
      <c r="J2661" s="6"/>
      <c r="K2661" s="6" t="str">
        <f ca="1">IFERROR(__xludf.DUMMYFUNCTION("""COMPUTED_VALUE"""),"خصم 50% علي الأسعار النقدي المعلنة")</f>
        <v>خصم 50% علي الأسعار النقدي المعلنة</v>
      </c>
    </row>
    <row r="2662" spans="1:11" x14ac:dyDescent="0.25">
      <c r="A2662" s="4" t="str">
        <f ca="1">IFERROR(__xludf.DUMMYFUNCTION("""COMPUTED_VALUE"""),"107006-B")</f>
        <v>107006-B</v>
      </c>
      <c r="B2662" s="5" t="str">
        <f ca="1">IFERROR(__xludf.DUMMYFUNCTION("""COMPUTED_VALUE"""),"القليوبية")</f>
        <v>القليوبية</v>
      </c>
      <c r="C2662" s="5" t="str">
        <f ca="1">IFERROR(__xludf.DUMMYFUNCTION("""COMPUTED_VALUE"""),"شبين القناطر")</f>
        <v>شبين القناطر</v>
      </c>
      <c r="D2662" s="5" t="str">
        <f ca="1">IFERROR(__xludf.DUMMYFUNCTION("""COMPUTED_VALUE"""),"معمل")</f>
        <v>معمل</v>
      </c>
      <c r="E2662" s="5" t="str">
        <f ca="1">IFERROR(__xludf.DUMMYFUNCTION("""COMPUTED_VALUE"""),"معمل")</f>
        <v>معمل</v>
      </c>
      <c r="F2662" s="5" t="str">
        <f ca="1">IFERROR(__xludf.DUMMYFUNCTION("""COMPUTED_VALUE"""),"معمل التحاليل الطبية")</f>
        <v>معمل التحاليل الطبية</v>
      </c>
      <c r="G2662" s="5" t="str">
        <f ca="1">IFERROR(__xludf.DUMMYFUNCTION("""COMPUTED_VALUE"""),"معامل عز لاب")</f>
        <v>معامل عز لاب</v>
      </c>
      <c r="H2662" s="5" t="str">
        <f ca="1">IFERROR(__xludf.DUMMYFUNCTION("""COMPUTED_VALUE"""),"عمارة 61 مول المصطفي بجوار موقف مصر -الدور الأول")</f>
        <v>عمارة 61 مول المصطفي بجوار موقف مصر -الدور الأول</v>
      </c>
      <c r="I2662" s="6" t="str">
        <f ca="1">IFERROR(__xludf.DUMMYFUNCTION("""COMPUTED_VALUE"""),"1200555562")</f>
        <v>1200555562</v>
      </c>
      <c r="J2662" s="6"/>
      <c r="K2662" s="6" t="str">
        <f ca="1">IFERROR(__xludf.DUMMYFUNCTION("""COMPUTED_VALUE"""),"خصم 50% علي الأسعار النقدي المعلنة")</f>
        <v>خصم 50% علي الأسعار النقدي المعلنة</v>
      </c>
    </row>
    <row r="2663" spans="1:11" x14ac:dyDescent="0.25">
      <c r="A2663" s="4" t="str">
        <f ca="1">IFERROR(__xludf.DUMMYFUNCTION("""COMPUTED_VALUE"""),"107006-B")</f>
        <v>107006-B</v>
      </c>
      <c r="B2663" s="5" t="str">
        <f ca="1">IFERROR(__xludf.DUMMYFUNCTION("""COMPUTED_VALUE"""),"القليوبية")</f>
        <v>القليوبية</v>
      </c>
      <c r="C2663" s="5" t="str">
        <f ca="1">IFERROR(__xludf.DUMMYFUNCTION("""COMPUTED_VALUE"""),"القناطر الخيرية")</f>
        <v>القناطر الخيرية</v>
      </c>
      <c r="D2663" s="5" t="str">
        <f ca="1">IFERROR(__xludf.DUMMYFUNCTION("""COMPUTED_VALUE"""),"معمل")</f>
        <v>معمل</v>
      </c>
      <c r="E2663" s="5" t="str">
        <f ca="1">IFERROR(__xludf.DUMMYFUNCTION("""COMPUTED_VALUE"""),"معمل")</f>
        <v>معمل</v>
      </c>
      <c r="F2663" s="5" t="str">
        <f ca="1">IFERROR(__xludf.DUMMYFUNCTION("""COMPUTED_VALUE"""),"معمل التحاليل الطبية")</f>
        <v>معمل التحاليل الطبية</v>
      </c>
      <c r="G2663" s="5" t="str">
        <f ca="1">IFERROR(__xludf.DUMMYFUNCTION("""COMPUTED_VALUE"""),"معامل عز لاب")</f>
        <v>معامل عز لاب</v>
      </c>
      <c r="H2663" s="5" t="str">
        <f ca="1">IFERROR(__xludf.DUMMYFUNCTION("""COMPUTED_VALUE"""),"عمارة رقم 9 بجوار البنك الأهلي -كورنيش النيل -الدور الأرضي")</f>
        <v>عمارة رقم 9 بجوار البنك الأهلي -كورنيش النيل -الدور الأرضي</v>
      </c>
      <c r="I2663" s="6" t="str">
        <f ca="1">IFERROR(__xludf.DUMMYFUNCTION("""COMPUTED_VALUE"""),"1200555562")</f>
        <v>1200555562</v>
      </c>
      <c r="J2663" s="6"/>
      <c r="K2663" s="6" t="str">
        <f ca="1">IFERROR(__xludf.DUMMYFUNCTION("""COMPUTED_VALUE"""),"خصم 50% علي الأسعار النقدي المعلنة")</f>
        <v>خصم 50% علي الأسعار النقدي المعلنة</v>
      </c>
    </row>
    <row r="2664" spans="1:11" x14ac:dyDescent="0.25">
      <c r="A2664" s="4" t="str">
        <f ca="1">IFERROR(__xludf.DUMMYFUNCTION("""COMPUTED_VALUE"""),"107006-B")</f>
        <v>107006-B</v>
      </c>
      <c r="B2664" s="5" t="str">
        <f ca="1">IFERROR(__xludf.DUMMYFUNCTION("""COMPUTED_VALUE"""),"الجيزة")</f>
        <v>الجيزة</v>
      </c>
      <c r="C2664" s="5" t="str">
        <f ca="1">IFERROR(__xludf.DUMMYFUNCTION("""COMPUTED_VALUE"""),"ميدان الجيزة")</f>
        <v>ميدان الجيزة</v>
      </c>
      <c r="D2664" s="5" t="str">
        <f ca="1">IFERROR(__xludf.DUMMYFUNCTION("""COMPUTED_VALUE"""),"معمل")</f>
        <v>معمل</v>
      </c>
      <c r="E2664" s="5" t="str">
        <f ca="1">IFERROR(__xludf.DUMMYFUNCTION("""COMPUTED_VALUE"""),"معمل")</f>
        <v>معمل</v>
      </c>
      <c r="F2664" s="5" t="str">
        <f ca="1">IFERROR(__xludf.DUMMYFUNCTION("""COMPUTED_VALUE"""),"معمل التحاليل الطبية")</f>
        <v>معمل التحاليل الطبية</v>
      </c>
      <c r="G2664" s="5" t="str">
        <f ca="1">IFERROR(__xludf.DUMMYFUNCTION("""COMPUTED_VALUE"""),"معامل عز لاب")</f>
        <v>معامل عز لاب</v>
      </c>
      <c r="H2664" s="5" t="str">
        <f ca="1">IFERROR(__xludf.DUMMYFUNCTION("""COMPUTED_VALUE"""),"ميدان الجيزة -برج النصر-الدور ثاني-شقة 12")</f>
        <v>ميدان الجيزة -برج النصر-الدور ثاني-شقة 12</v>
      </c>
      <c r="I2664" s="6" t="str">
        <f ca="1">IFERROR(__xludf.DUMMYFUNCTION("""COMPUTED_VALUE"""),"1207729919")</f>
        <v>1207729919</v>
      </c>
      <c r="J2664" s="6"/>
      <c r="K2664" s="6" t="str">
        <f ca="1">IFERROR(__xludf.DUMMYFUNCTION("""COMPUTED_VALUE"""),"خصم 50% علي الأسعار النقدي المعلنة")</f>
        <v>خصم 50% علي الأسعار النقدي المعلنة</v>
      </c>
    </row>
    <row r="2665" spans="1:11" x14ac:dyDescent="0.25">
      <c r="A2665" s="4" t="str">
        <f ca="1">IFERROR(__xludf.DUMMYFUNCTION("""COMPUTED_VALUE"""),"107006-B")</f>
        <v>107006-B</v>
      </c>
      <c r="B2665" s="5" t="str">
        <f ca="1">IFERROR(__xludf.DUMMYFUNCTION("""COMPUTED_VALUE"""),"الجيزة")</f>
        <v>الجيزة</v>
      </c>
      <c r="C2665" s="5" t="str">
        <f ca="1">IFERROR(__xludf.DUMMYFUNCTION("""COMPUTED_VALUE"""),"فيصل")</f>
        <v>فيصل</v>
      </c>
      <c r="D2665" s="5" t="str">
        <f ca="1">IFERROR(__xludf.DUMMYFUNCTION("""COMPUTED_VALUE"""),"معمل")</f>
        <v>معمل</v>
      </c>
      <c r="E2665" s="5" t="str">
        <f ca="1">IFERROR(__xludf.DUMMYFUNCTION("""COMPUTED_VALUE"""),"معمل")</f>
        <v>معمل</v>
      </c>
      <c r="F2665" s="5" t="str">
        <f ca="1">IFERROR(__xludf.DUMMYFUNCTION("""COMPUTED_VALUE"""),"معمل التحاليل الطبية")</f>
        <v>معمل التحاليل الطبية</v>
      </c>
      <c r="G2665" s="5" t="str">
        <f ca="1">IFERROR(__xludf.DUMMYFUNCTION("""COMPUTED_VALUE"""),"معامل عز لاب")</f>
        <v>معامل عز لاب</v>
      </c>
      <c r="H2665" s="5" t="str">
        <f ca="1">IFERROR(__xludf.DUMMYFUNCTION("""COMPUTED_VALUE"""),"323شارع الملك فيصل محطة حسن محمد امام كنتاكي")</f>
        <v>323شارع الملك فيصل محطة حسن محمد امام كنتاكي</v>
      </c>
      <c r="I2665" s="6" t="str">
        <f ca="1">IFERROR(__xludf.DUMMYFUNCTION("""COMPUTED_VALUE"""),"1207729919")</f>
        <v>1207729919</v>
      </c>
      <c r="J2665" s="6"/>
      <c r="K2665" s="6" t="str">
        <f ca="1">IFERROR(__xludf.DUMMYFUNCTION("""COMPUTED_VALUE"""),"خصم 50% علي الأسعار النقدي المعلنة")</f>
        <v>خصم 50% علي الأسعار النقدي المعلنة</v>
      </c>
    </row>
    <row r="2666" spans="1:11" x14ac:dyDescent="0.25">
      <c r="A2666" s="4" t="str">
        <f ca="1">IFERROR(__xludf.DUMMYFUNCTION("""COMPUTED_VALUE"""),"107006-B")</f>
        <v>107006-B</v>
      </c>
      <c r="B2666" s="5" t="str">
        <f ca="1">IFERROR(__xludf.DUMMYFUNCTION("""COMPUTED_VALUE"""),"الجيزة")</f>
        <v>الجيزة</v>
      </c>
      <c r="C2666" s="5" t="str">
        <f ca="1">IFERROR(__xludf.DUMMYFUNCTION("""COMPUTED_VALUE"""),"فيصل")</f>
        <v>فيصل</v>
      </c>
      <c r="D2666" s="5" t="str">
        <f ca="1">IFERROR(__xludf.DUMMYFUNCTION("""COMPUTED_VALUE"""),"معمل")</f>
        <v>معمل</v>
      </c>
      <c r="E2666" s="5" t="str">
        <f ca="1">IFERROR(__xludf.DUMMYFUNCTION("""COMPUTED_VALUE"""),"معمل")</f>
        <v>معمل</v>
      </c>
      <c r="F2666" s="5" t="str">
        <f ca="1">IFERROR(__xludf.DUMMYFUNCTION("""COMPUTED_VALUE"""),"معمل التحاليل الطبية")</f>
        <v>معمل التحاليل الطبية</v>
      </c>
      <c r="G2666" s="5" t="str">
        <f ca="1">IFERROR(__xludf.DUMMYFUNCTION("""COMPUTED_VALUE"""),"معامل عز لاب")</f>
        <v>معامل عز لاب</v>
      </c>
      <c r="H2666" s="5" t="str">
        <f ca="1">IFERROR(__xludf.DUMMYFUNCTION("""COMPUTED_VALUE"""),"2شارع الحريات متفرع من الملك فيصل امام كلية التربية الرياضية")</f>
        <v>2شارع الحريات متفرع من الملك فيصل امام كلية التربية الرياضية</v>
      </c>
      <c r="I2666" s="6" t="str">
        <f ca="1">IFERROR(__xludf.DUMMYFUNCTION("""COMPUTED_VALUE"""),"1211362858")</f>
        <v>1211362858</v>
      </c>
      <c r="J2666" s="6"/>
      <c r="K2666" s="6" t="str">
        <f ca="1">IFERROR(__xludf.DUMMYFUNCTION("""COMPUTED_VALUE"""),"خصم 50% علي الأسعار النقدي المعلنة")</f>
        <v>خصم 50% علي الأسعار النقدي المعلنة</v>
      </c>
    </row>
    <row r="2667" spans="1:11" x14ac:dyDescent="0.25">
      <c r="A2667" s="4" t="str">
        <f ca="1">IFERROR(__xludf.DUMMYFUNCTION("""COMPUTED_VALUE"""),"107006-B")</f>
        <v>107006-B</v>
      </c>
      <c r="B2667" s="5" t="str">
        <f ca="1">IFERROR(__xludf.DUMMYFUNCTION("""COMPUTED_VALUE"""),"الجيزة")</f>
        <v>الجيزة</v>
      </c>
      <c r="C2667" s="5" t="str">
        <f ca="1">IFERROR(__xludf.DUMMYFUNCTION("""COMPUTED_VALUE"""),"أرض اللواء")</f>
        <v>أرض اللواء</v>
      </c>
      <c r="D2667" s="5" t="str">
        <f ca="1">IFERROR(__xludf.DUMMYFUNCTION("""COMPUTED_VALUE"""),"معمل")</f>
        <v>معمل</v>
      </c>
      <c r="E2667" s="5" t="str">
        <f ca="1">IFERROR(__xludf.DUMMYFUNCTION("""COMPUTED_VALUE"""),"معمل")</f>
        <v>معمل</v>
      </c>
      <c r="F2667" s="5" t="str">
        <f ca="1">IFERROR(__xludf.DUMMYFUNCTION("""COMPUTED_VALUE"""),"معمل التحاليل الطبية")</f>
        <v>معمل التحاليل الطبية</v>
      </c>
      <c r="G2667" s="5" t="str">
        <f ca="1">IFERROR(__xludf.DUMMYFUNCTION("""COMPUTED_VALUE"""),"معامل عز لاب")</f>
        <v>معامل عز لاب</v>
      </c>
      <c r="H2667" s="5" t="str">
        <f ca="1">IFERROR(__xludf.DUMMYFUNCTION("""COMPUTED_VALUE"""),"8شارع ترعه الزمر بجانب مونيجيني")</f>
        <v>8شارع ترعه الزمر بجانب مونيجيني</v>
      </c>
      <c r="I2667" s="6" t="str">
        <f ca="1">IFERROR(__xludf.DUMMYFUNCTION("""COMPUTED_VALUE"""),"1276114782")</f>
        <v>1276114782</v>
      </c>
      <c r="J2667" s="6"/>
      <c r="K2667" s="6" t="str">
        <f ca="1">IFERROR(__xludf.DUMMYFUNCTION("""COMPUTED_VALUE"""),"خصم 50% علي الأسعار النقدي المعلنة")</f>
        <v>خصم 50% علي الأسعار النقدي المعلنة</v>
      </c>
    </row>
    <row r="2668" spans="1:11" x14ac:dyDescent="0.25">
      <c r="A2668" s="4" t="str">
        <f ca="1">IFERROR(__xludf.DUMMYFUNCTION("""COMPUTED_VALUE"""),"107006-B")</f>
        <v>107006-B</v>
      </c>
      <c r="B2668" s="5" t="str">
        <f ca="1">IFERROR(__xludf.DUMMYFUNCTION("""COMPUTED_VALUE"""),"الجيزة")</f>
        <v>الجيزة</v>
      </c>
      <c r="C2668" s="5" t="str">
        <f ca="1">IFERROR(__xludf.DUMMYFUNCTION("""COMPUTED_VALUE"""),"السادس من اكتوبر")</f>
        <v>السادس من اكتوبر</v>
      </c>
      <c r="D2668" s="5" t="str">
        <f ca="1">IFERROR(__xludf.DUMMYFUNCTION("""COMPUTED_VALUE"""),"معمل")</f>
        <v>معمل</v>
      </c>
      <c r="E2668" s="5" t="str">
        <f ca="1">IFERROR(__xludf.DUMMYFUNCTION("""COMPUTED_VALUE"""),"معمل")</f>
        <v>معمل</v>
      </c>
      <c r="F2668" s="5" t="str">
        <f ca="1">IFERROR(__xludf.DUMMYFUNCTION("""COMPUTED_VALUE"""),"معمل التحاليل الطبية")</f>
        <v>معمل التحاليل الطبية</v>
      </c>
      <c r="G2668" s="5" t="str">
        <f ca="1">IFERROR(__xludf.DUMMYFUNCTION("""COMPUTED_VALUE"""),"معامل عز لاب")</f>
        <v>معامل عز لاب</v>
      </c>
      <c r="H2668" s="5" t="str">
        <f ca="1">IFERROR(__xludf.DUMMYFUNCTION("""COMPUTED_VALUE"""),"أبراج برعي عماره 2 وحدة 12 بجوار مسجد الحصري.")</f>
        <v>أبراج برعي عماره 2 وحدة 12 بجوار مسجد الحصري.</v>
      </c>
      <c r="I2668" s="6" t="str">
        <f ca="1">IFERROR(__xludf.DUMMYFUNCTION("""COMPUTED_VALUE"""),"1205449818")</f>
        <v>1205449818</v>
      </c>
      <c r="J2668" s="6"/>
      <c r="K2668" s="6" t="str">
        <f ca="1">IFERROR(__xludf.DUMMYFUNCTION("""COMPUTED_VALUE"""),"خصم 50% علي الأسعار النقدي المعلنة")</f>
        <v>خصم 50% علي الأسعار النقدي المعلنة</v>
      </c>
    </row>
    <row r="2669" spans="1:11" x14ac:dyDescent="0.25">
      <c r="A2669" s="4" t="str">
        <f ca="1">IFERROR(__xludf.DUMMYFUNCTION("""COMPUTED_VALUE"""),"107006-B")</f>
        <v>107006-B</v>
      </c>
      <c r="B2669" s="5" t="str">
        <f ca="1">IFERROR(__xludf.DUMMYFUNCTION("""COMPUTED_VALUE"""),"الجيزة")</f>
        <v>الجيزة</v>
      </c>
      <c r="C2669" s="5" t="str">
        <f ca="1">IFERROR(__xludf.DUMMYFUNCTION("""COMPUTED_VALUE"""),"المهندسين")</f>
        <v>المهندسين</v>
      </c>
      <c r="D2669" s="5" t="str">
        <f ca="1">IFERROR(__xludf.DUMMYFUNCTION("""COMPUTED_VALUE"""),"معمل")</f>
        <v>معمل</v>
      </c>
      <c r="E2669" s="5" t="str">
        <f ca="1">IFERROR(__xludf.DUMMYFUNCTION("""COMPUTED_VALUE"""),"معمل")</f>
        <v>معمل</v>
      </c>
      <c r="F2669" s="5" t="str">
        <f ca="1">IFERROR(__xludf.DUMMYFUNCTION("""COMPUTED_VALUE"""),"معمل التحاليل الطبية")</f>
        <v>معمل التحاليل الطبية</v>
      </c>
      <c r="G2669" s="5" t="str">
        <f ca="1">IFERROR(__xludf.DUMMYFUNCTION("""COMPUTED_VALUE"""),"معامل عز لاب")</f>
        <v>معامل عز لاب</v>
      </c>
      <c r="H2669" s="5" t="str">
        <f ca="1">IFERROR(__xludf.DUMMYFUNCTION("""COMPUTED_VALUE"""),"21شارع البطل احمد عبد العزيز-الدور الخامس")</f>
        <v>21شارع البطل احمد عبد العزيز-الدور الخامس</v>
      </c>
      <c r="I2669" s="6" t="str">
        <f ca="1">IFERROR(__xludf.DUMMYFUNCTION("""COMPUTED_VALUE"""),"1200555562")</f>
        <v>1200555562</v>
      </c>
      <c r="J2669" s="6"/>
      <c r="K2669" s="6" t="str">
        <f ca="1">IFERROR(__xludf.DUMMYFUNCTION("""COMPUTED_VALUE"""),"خصم 50% علي الأسعار النقدي المعلنة")</f>
        <v>خصم 50% علي الأسعار النقدي المعلنة</v>
      </c>
    </row>
    <row r="2670" spans="1:11" x14ac:dyDescent="0.25">
      <c r="A2670" s="4" t="str">
        <f ca="1">IFERROR(__xludf.DUMMYFUNCTION("""COMPUTED_VALUE"""),"107006-B")</f>
        <v>107006-B</v>
      </c>
      <c r="B2670" s="5" t="str">
        <f ca="1">IFERROR(__xludf.DUMMYFUNCTION("""COMPUTED_VALUE"""),"بني سويف")</f>
        <v>بني سويف</v>
      </c>
      <c r="C2670" s="5" t="str">
        <f ca="1">IFERROR(__xludf.DUMMYFUNCTION("""COMPUTED_VALUE"""),"بني سويف")</f>
        <v>بني سويف</v>
      </c>
      <c r="D2670" s="5" t="str">
        <f ca="1">IFERROR(__xludf.DUMMYFUNCTION("""COMPUTED_VALUE"""),"معمل")</f>
        <v>معمل</v>
      </c>
      <c r="E2670" s="5" t="str">
        <f ca="1">IFERROR(__xludf.DUMMYFUNCTION("""COMPUTED_VALUE"""),"معمل")</f>
        <v>معمل</v>
      </c>
      <c r="F2670" s="5" t="str">
        <f ca="1">IFERROR(__xludf.DUMMYFUNCTION("""COMPUTED_VALUE"""),"معمل التحاليل الطبية")</f>
        <v>معمل التحاليل الطبية</v>
      </c>
      <c r="G2670" s="5" t="str">
        <f ca="1">IFERROR(__xludf.DUMMYFUNCTION("""COMPUTED_VALUE"""),"معامل عز لاب")</f>
        <v>معامل عز لاب</v>
      </c>
      <c r="H2670" s="5" t="str">
        <f ca="1">IFERROR(__xludf.DUMMYFUNCTION("""COMPUTED_VALUE"""),"شارع بورسعيد برج الحياه شقة ٢٠٣ الدور الثانى-امام معرض شباب مصر")</f>
        <v>شارع بورسعيد برج الحياه شقة ٢٠٣ الدور الثانى-امام معرض شباب مصر</v>
      </c>
      <c r="I2670" s="6" t="str">
        <f ca="1">IFERROR(__xludf.DUMMYFUNCTION("""COMPUTED_VALUE"""),"1200555562")</f>
        <v>1200555562</v>
      </c>
      <c r="J2670" s="6"/>
      <c r="K2670" s="6" t="str">
        <f ca="1">IFERROR(__xludf.DUMMYFUNCTION("""COMPUTED_VALUE"""),"خصم 50% علي الأسعار النقدي المعلنة")</f>
        <v>خصم 50% علي الأسعار النقدي المعلنة</v>
      </c>
    </row>
    <row r="2671" spans="1:11" x14ac:dyDescent="0.25">
      <c r="A2671" s="4" t="str">
        <f ca="1">IFERROR(__xludf.DUMMYFUNCTION("""COMPUTED_VALUE"""),"107006-B")</f>
        <v>107006-B</v>
      </c>
      <c r="B2671" s="5" t="str">
        <f ca="1">IFERROR(__xludf.DUMMYFUNCTION("""COMPUTED_VALUE"""),"بني سويف")</f>
        <v>بني سويف</v>
      </c>
      <c r="C2671" s="5" t="str">
        <f ca="1">IFERROR(__xludf.DUMMYFUNCTION("""COMPUTED_VALUE"""),"بني سويف")</f>
        <v>بني سويف</v>
      </c>
      <c r="D2671" s="5" t="str">
        <f ca="1">IFERROR(__xludf.DUMMYFUNCTION("""COMPUTED_VALUE"""),"معمل")</f>
        <v>معمل</v>
      </c>
      <c r="E2671" s="5" t="str">
        <f ca="1">IFERROR(__xludf.DUMMYFUNCTION("""COMPUTED_VALUE"""),"معمل")</f>
        <v>معمل</v>
      </c>
      <c r="F2671" s="5" t="str">
        <f ca="1">IFERROR(__xludf.DUMMYFUNCTION("""COMPUTED_VALUE"""),"معمل التحاليل الطبية")</f>
        <v>معمل التحاليل الطبية</v>
      </c>
      <c r="G2671" s="5" t="str">
        <f ca="1">IFERROR(__xludf.DUMMYFUNCTION("""COMPUTED_VALUE"""),"معامل عز لاب")</f>
        <v>معامل عز لاب</v>
      </c>
      <c r="H2671" s="5" t="str">
        <f ca="1">IFERROR(__xludf.DUMMYFUNCTION("""COMPUTED_VALUE"""),"٣ش د/على الشافعى بجوار عمر أفندي-ميدان المديرية-الدور الثانى- أعلى مطعم 23")</f>
        <v>٣ش د/على الشافعى بجوار عمر أفندي-ميدان المديرية-الدور الثانى- أعلى مطعم 23</v>
      </c>
      <c r="I2671" s="6" t="str">
        <f ca="1">IFERROR(__xludf.DUMMYFUNCTION("""COMPUTED_VALUE"""),"1200555562")</f>
        <v>1200555562</v>
      </c>
      <c r="J2671" s="6"/>
      <c r="K2671" s="6" t="str">
        <f ca="1">IFERROR(__xludf.DUMMYFUNCTION("""COMPUTED_VALUE"""),"خصم 50% علي الأسعار النقدي المعلنة")</f>
        <v>خصم 50% علي الأسعار النقدي المعلنة</v>
      </c>
    </row>
    <row r="2672" spans="1:11" x14ac:dyDescent="0.25">
      <c r="A2672" s="4" t="str">
        <f ca="1">IFERROR(__xludf.DUMMYFUNCTION("""COMPUTED_VALUE"""),"107006-B")</f>
        <v>107006-B</v>
      </c>
      <c r="B2672" s="5" t="str">
        <f ca="1">IFERROR(__xludf.DUMMYFUNCTION("""COMPUTED_VALUE"""),"بني سويف")</f>
        <v>بني سويف</v>
      </c>
      <c r="C2672" s="5" t="str">
        <f ca="1">IFERROR(__xludf.DUMMYFUNCTION("""COMPUTED_VALUE"""),"بني سويف")</f>
        <v>بني سويف</v>
      </c>
      <c r="D2672" s="5" t="str">
        <f ca="1">IFERROR(__xludf.DUMMYFUNCTION("""COMPUTED_VALUE"""),"معمل")</f>
        <v>معمل</v>
      </c>
      <c r="E2672" s="5" t="str">
        <f ca="1">IFERROR(__xludf.DUMMYFUNCTION("""COMPUTED_VALUE"""),"معمل")</f>
        <v>معمل</v>
      </c>
      <c r="F2672" s="5" t="str">
        <f ca="1">IFERROR(__xludf.DUMMYFUNCTION("""COMPUTED_VALUE"""),"معمل التحاليل الطبية")</f>
        <v>معمل التحاليل الطبية</v>
      </c>
      <c r="G2672" s="5" t="str">
        <f ca="1">IFERROR(__xludf.DUMMYFUNCTION("""COMPUTED_VALUE"""),"معامل عز لاب")</f>
        <v>معامل عز لاب</v>
      </c>
      <c r="H2672" s="5" t="str">
        <f ca="1">IFERROR(__xludf.DUMMYFUNCTION("""COMPUTED_VALUE"""),"مركز الواسطي: تقاطع شارع احمد عرابي مع شارع المركز شقه 1 الدور الثالث")</f>
        <v>مركز الواسطي: تقاطع شارع احمد عرابي مع شارع المركز شقه 1 الدور الثالث</v>
      </c>
      <c r="I2672" s="6" t="str">
        <f ca="1">IFERROR(__xludf.DUMMYFUNCTION("""COMPUTED_VALUE"""),"1200555562")</f>
        <v>1200555562</v>
      </c>
      <c r="J2672" s="6"/>
      <c r="K2672" s="6" t="str">
        <f ca="1">IFERROR(__xludf.DUMMYFUNCTION("""COMPUTED_VALUE"""),"خصم 50% علي الأسعار النقدي المعلنة")</f>
        <v>خصم 50% علي الأسعار النقدي المعلنة</v>
      </c>
    </row>
    <row r="2673" spans="1:11" x14ac:dyDescent="0.25">
      <c r="A2673" s="4" t="str">
        <f ca="1">IFERROR(__xludf.DUMMYFUNCTION("""COMPUTED_VALUE"""),"107006-B")</f>
        <v>107006-B</v>
      </c>
      <c r="B2673" s="5" t="str">
        <f ca="1">IFERROR(__xludf.DUMMYFUNCTION("""COMPUTED_VALUE"""),"بني سويف")</f>
        <v>بني سويف</v>
      </c>
      <c r="C2673" s="5" t="str">
        <f ca="1">IFERROR(__xludf.DUMMYFUNCTION("""COMPUTED_VALUE"""),"بني سويف")</f>
        <v>بني سويف</v>
      </c>
      <c r="D2673" s="5" t="str">
        <f ca="1">IFERROR(__xludf.DUMMYFUNCTION("""COMPUTED_VALUE"""),"معمل")</f>
        <v>معمل</v>
      </c>
      <c r="E2673" s="5" t="str">
        <f ca="1">IFERROR(__xludf.DUMMYFUNCTION("""COMPUTED_VALUE"""),"معمل")</f>
        <v>معمل</v>
      </c>
      <c r="F2673" s="5" t="str">
        <f ca="1">IFERROR(__xludf.DUMMYFUNCTION("""COMPUTED_VALUE"""),"معمل التحاليل الطبية")</f>
        <v>معمل التحاليل الطبية</v>
      </c>
      <c r="G2673" s="5" t="str">
        <f ca="1">IFERROR(__xludf.DUMMYFUNCTION("""COMPUTED_VALUE"""),"معامل عز لاب")</f>
        <v>معامل عز لاب</v>
      </c>
      <c r="H2673" s="5" t="str">
        <f ca="1">IFERROR(__xludf.DUMMYFUNCTION("""COMPUTED_VALUE"""),"شارع البنك الاهلى القديم برج ابو المعاطى مركز الفشن")</f>
        <v>شارع البنك الاهلى القديم برج ابو المعاطى مركز الفشن</v>
      </c>
      <c r="I2673" s="6" t="str">
        <f ca="1">IFERROR(__xludf.DUMMYFUNCTION("""COMPUTED_VALUE"""),"1200555562")</f>
        <v>1200555562</v>
      </c>
      <c r="J2673" s="6"/>
      <c r="K2673" s="6" t="str">
        <f ca="1">IFERROR(__xludf.DUMMYFUNCTION("""COMPUTED_VALUE"""),"خصم 50% علي الأسعار النقدي المعلنة")</f>
        <v>خصم 50% علي الأسعار النقدي المعلنة</v>
      </c>
    </row>
    <row r="2674" spans="1:11" x14ac:dyDescent="0.25">
      <c r="A2674" s="4" t="str">
        <f ca="1">IFERROR(__xludf.DUMMYFUNCTION("""COMPUTED_VALUE"""),"107006-B")</f>
        <v>107006-B</v>
      </c>
      <c r="B2674" s="5" t="str">
        <f ca="1">IFERROR(__xludf.DUMMYFUNCTION("""COMPUTED_VALUE"""),"الاسكندرية")</f>
        <v>الاسكندرية</v>
      </c>
      <c r="C2674" s="5" t="str">
        <f ca="1">IFERROR(__xludf.DUMMYFUNCTION("""COMPUTED_VALUE"""),"محطة الرمل")</f>
        <v>محطة الرمل</v>
      </c>
      <c r="D2674" s="5" t="str">
        <f ca="1">IFERROR(__xludf.DUMMYFUNCTION("""COMPUTED_VALUE"""),"معمل")</f>
        <v>معمل</v>
      </c>
      <c r="E2674" s="5" t="str">
        <f ca="1">IFERROR(__xludf.DUMMYFUNCTION("""COMPUTED_VALUE"""),"معمل")</f>
        <v>معمل</v>
      </c>
      <c r="F2674" s="5" t="str">
        <f ca="1">IFERROR(__xludf.DUMMYFUNCTION("""COMPUTED_VALUE"""),"معمل التحاليل الطبية")</f>
        <v>معمل التحاليل الطبية</v>
      </c>
      <c r="G2674" s="5" t="str">
        <f ca="1">IFERROR(__xludf.DUMMYFUNCTION("""COMPUTED_VALUE"""),"معامل عز لاب")</f>
        <v>معامل عز لاب</v>
      </c>
      <c r="H2674" s="5" t="str">
        <f ca="1">IFERROR(__xludf.DUMMYFUNCTION("""COMPUTED_VALUE"""),"٢١ شارع أمين فكرى، ميدان محطة الرمل")</f>
        <v>٢١ شارع أمين فكرى، ميدان محطة الرمل</v>
      </c>
      <c r="I2674" s="6" t="str">
        <f ca="1">IFERROR(__xludf.DUMMYFUNCTION("""COMPUTED_VALUE"""),"1272372225")</f>
        <v>1272372225</v>
      </c>
      <c r="J2674" s="6"/>
      <c r="K2674" s="6" t="str">
        <f ca="1">IFERROR(__xludf.DUMMYFUNCTION("""COMPUTED_VALUE"""),"خصم 50% علي الأسعار النقدي المعلنة")</f>
        <v>خصم 50% علي الأسعار النقدي المعلنة</v>
      </c>
    </row>
    <row r="2675" spans="1:11" x14ac:dyDescent="0.25">
      <c r="A2675" s="4" t="str">
        <f ca="1">IFERROR(__xludf.DUMMYFUNCTION("""COMPUTED_VALUE"""),"107006-B")</f>
        <v>107006-B</v>
      </c>
      <c r="B2675" s="5" t="str">
        <f ca="1">IFERROR(__xludf.DUMMYFUNCTION("""COMPUTED_VALUE"""),"الاسكندرية")</f>
        <v>الاسكندرية</v>
      </c>
      <c r="C2675" s="5" t="str">
        <f ca="1">IFERROR(__xludf.DUMMYFUNCTION("""COMPUTED_VALUE"""),"سيدي جابر")</f>
        <v>سيدي جابر</v>
      </c>
      <c r="D2675" s="5" t="str">
        <f ca="1">IFERROR(__xludf.DUMMYFUNCTION("""COMPUTED_VALUE"""),"معمل")</f>
        <v>معمل</v>
      </c>
      <c r="E2675" s="5" t="str">
        <f ca="1">IFERROR(__xludf.DUMMYFUNCTION("""COMPUTED_VALUE"""),"معمل")</f>
        <v>معمل</v>
      </c>
      <c r="F2675" s="5" t="str">
        <f ca="1">IFERROR(__xludf.DUMMYFUNCTION("""COMPUTED_VALUE"""),"معمل التحاليل الطبية")</f>
        <v>معمل التحاليل الطبية</v>
      </c>
      <c r="G2675" s="5" t="str">
        <f ca="1">IFERROR(__xludf.DUMMYFUNCTION("""COMPUTED_VALUE"""),"معامل عز لاب")</f>
        <v>معامل عز لاب</v>
      </c>
      <c r="H2675" s="5" t="str">
        <f ca="1">IFERROR(__xludf.DUMMYFUNCTION("""COMPUTED_VALUE"""),"228شارع بورسعيد بجوار بنك القاهرة -الوحدة رقم 2 الدور الثاني علوي")</f>
        <v>228شارع بورسعيد بجوار بنك القاهرة -الوحدة رقم 2 الدور الثاني علوي</v>
      </c>
      <c r="I2675" s="6" t="str">
        <f ca="1">IFERROR(__xludf.DUMMYFUNCTION("""COMPUTED_VALUE"""),"1200555562")</f>
        <v>1200555562</v>
      </c>
      <c r="J2675" s="6"/>
      <c r="K2675" s="6" t="str">
        <f ca="1">IFERROR(__xludf.DUMMYFUNCTION("""COMPUTED_VALUE"""),"خصم 50% علي الأسعار النقدي المعلنة")</f>
        <v>خصم 50% علي الأسعار النقدي المعلنة</v>
      </c>
    </row>
    <row r="2676" spans="1:11" x14ac:dyDescent="0.25">
      <c r="A2676" s="4" t="str">
        <f ca="1">IFERROR(__xludf.DUMMYFUNCTION("""COMPUTED_VALUE"""),"107008")</f>
        <v>107008</v>
      </c>
      <c r="B2676" s="5" t="str">
        <f ca="1">IFERROR(__xludf.DUMMYFUNCTION("""COMPUTED_VALUE"""),"شمال سيناء")</f>
        <v>شمال سيناء</v>
      </c>
      <c r="C2676" s="5" t="str">
        <f ca="1">IFERROR(__xludf.DUMMYFUNCTION("""COMPUTED_VALUE"""),"العريش")</f>
        <v>العريش</v>
      </c>
      <c r="D2676" s="5" t="str">
        <f ca="1">IFERROR(__xludf.DUMMYFUNCTION("""COMPUTED_VALUE"""),"صيدلية")</f>
        <v>صيدلية</v>
      </c>
      <c r="E2676" s="5" t="str">
        <f ca="1">IFERROR(__xludf.DUMMYFUNCTION("""COMPUTED_VALUE"""),"صيدلية")</f>
        <v>صيدلية</v>
      </c>
      <c r="F2676" s="5" t="str">
        <f ca="1">IFERROR(__xludf.DUMMYFUNCTION("""COMPUTED_VALUE"""),"صيدلية (أدوية ومستلزمات طبية)")</f>
        <v>صيدلية (أدوية ومستلزمات طبية)</v>
      </c>
      <c r="G2676" s="5" t="str">
        <f ca="1">IFERROR(__xludf.DUMMYFUNCTION("""COMPUTED_VALUE"""),"صيدليه د/ محمد سامي علي عبدالرحمن داود")</f>
        <v>صيدليه د/ محمد سامي علي عبدالرحمن داود</v>
      </c>
      <c r="H2676" s="5" t="str">
        <f ca="1">IFERROR(__xludf.DUMMYFUNCTION("""COMPUTED_VALUE"""),"ش جندل بجوار نادي النصر ميدان الفواخريه - العريش - شمال سيناء")</f>
        <v>ش جندل بجوار نادي النصر ميدان الفواخريه - العريش - شمال سيناء</v>
      </c>
      <c r="I2676" s="6" t="str">
        <f ca="1">IFERROR(__xludf.DUMMYFUNCTION("""COMPUTED_VALUE"""),"01090270919")</f>
        <v>01090270919</v>
      </c>
      <c r="J2676" s="6"/>
      <c r="K2676" s="6" t="str">
        <f ca="1">IFERROR(__xludf.DUMMYFUNCTION("""COMPUTED_VALUE"""),"خصم 12% علي الأدويع المحليه و 6% علي المستورد")</f>
        <v>خصم 12% علي الأدويع المحليه و 6% علي المستورد</v>
      </c>
    </row>
    <row r="2677" spans="1:11" x14ac:dyDescent="0.25">
      <c r="A2677" s="4" t="str">
        <f ca="1">IFERROR(__xludf.DUMMYFUNCTION("""COMPUTED_VALUE"""),"107010")</f>
        <v>107010</v>
      </c>
      <c r="B2677" s="5" t="str">
        <f ca="1">IFERROR(__xludf.DUMMYFUNCTION("""COMPUTED_VALUE"""),"المنوفية")</f>
        <v>المنوفية</v>
      </c>
      <c r="C2677" s="5" t="str">
        <f ca="1">IFERROR(__xludf.DUMMYFUNCTION("""COMPUTED_VALUE"""),"الشهداء")</f>
        <v>الشهداء</v>
      </c>
      <c r="D2677" s="5" t="str">
        <f ca="1">IFERROR(__xludf.DUMMYFUNCTION("""COMPUTED_VALUE"""),"مستشفى")</f>
        <v>مستشفى</v>
      </c>
      <c r="E2677" s="5" t="str">
        <f ca="1">IFERROR(__xludf.DUMMYFUNCTION("""COMPUTED_VALUE"""),"مستشفي طبي متكامل")</f>
        <v>مستشفي طبي متكامل</v>
      </c>
      <c r="F2677" s="5" t="str">
        <f ca="1">IFERROR(__xludf.DUMMYFUNCTION("""COMPUTED_VALUE"""),"جميع التخصصات الطبية")</f>
        <v>جميع التخصصات الطبية</v>
      </c>
      <c r="G2677" s="5" t="str">
        <f ca="1">IFERROR(__xludf.DUMMYFUNCTION("""COMPUTED_VALUE"""),"مستشفي مصر الحياه للخدمات الطبيه")</f>
        <v>مستشفي مصر الحياه للخدمات الطبيه</v>
      </c>
      <c r="H2677" s="5" t="str">
        <f ca="1">IFERROR(__xludf.DUMMYFUNCTION("""COMPUTED_VALUE"""),"95 ش بورسعيد - الشهداء - المنوفيه")</f>
        <v>95 ش بورسعيد - الشهداء - المنوفيه</v>
      </c>
      <c r="I2677" s="6" t="str">
        <f ca="1">IFERROR(__xludf.DUMMYFUNCTION("""COMPUTED_VALUE"""),"01000447134")</f>
        <v>01000447134</v>
      </c>
      <c r="J2677" s="6"/>
      <c r="K2677" s="6" t="str">
        <f ca="1">IFERROR(__xludf.DUMMYFUNCTION("""COMPUTED_VALUE""")," خصم 30% علي الأسعار النقدي المعلنه")</f>
        <v xml:space="preserve"> خصم 30% علي الأسعار النقدي المعلنه</v>
      </c>
    </row>
    <row r="2678" spans="1:11" x14ac:dyDescent="0.25">
      <c r="A2678" s="4" t="str">
        <f ca="1">IFERROR(__xludf.DUMMYFUNCTION("""COMPUTED_VALUE"""),"107011")</f>
        <v>107011</v>
      </c>
      <c r="B2678" s="5" t="str">
        <f ca="1">IFERROR(__xludf.DUMMYFUNCTION("""COMPUTED_VALUE"""),"المنوفية")</f>
        <v>المنوفية</v>
      </c>
      <c r="C2678" s="5" t="str">
        <f ca="1">IFERROR(__xludf.DUMMYFUNCTION("""COMPUTED_VALUE"""),"الباجور")</f>
        <v>الباجور</v>
      </c>
      <c r="D2678" s="5" t="str">
        <f ca="1">IFERROR(__xludf.DUMMYFUNCTION("""COMPUTED_VALUE"""),"شركة")</f>
        <v>شركة</v>
      </c>
      <c r="E2678" s="5" t="str">
        <f ca="1">IFERROR(__xludf.DUMMYFUNCTION("""COMPUTED_VALUE"""),"شركة اجهزة طبية")</f>
        <v>شركة اجهزة طبية</v>
      </c>
      <c r="F2678" s="5" t="str">
        <f ca="1">IFERROR(__xludf.DUMMYFUNCTION("""COMPUTED_VALUE"""),"مركز بصريات")</f>
        <v>مركز بصريات</v>
      </c>
      <c r="G2678" s="5" t="str">
        <f ca="1">IFERROR(__xludf.DUMMYFUNCTION("""COMPUTED_VALUE"""),"مرسي ابراهيم مرسي ابراهيم (هاي فيجن)")</f>
        <v>مرسي ابراهيم مرسي ابراهيم (هاي فيجن)</v>
      </c>
      <c r="H2678" s="5" t="str">
        <f ca="1">IFERROR(__xludf.DUMMYFUNCTION("""COMPUTED_VALUE"""),"ش الجبش - الباجور - المنوفيه")</f>
        <v>ش الجبش - الباجور - المنوفيه</v>
      </c>
      <c r="I2678" s="6" t="str">
        <f ca="1">IFERROR(__xludf.DUMMYFUNCTION("""COMPUTED_VALUE"""),"01271212648")</f>
        <v>01271212648</v>
      </c>
      <c r="J2678" s="6"/>
      <c r="K2678" s="6" t="str">
        <f ca="1">IFERROR(__xludf.DUMMYFUNCTION("""COMPUTED_VALUE""")," خصم 30% علي الأسعار النقدي المعلنه")</f>
        <v xml:space="preserve"> خصم 30% علي الأسعار النقدي المعلنه</v>
      </c>
    </row>
    <row r="2679" spans="1:11" x14ac:dyDescent="0.25">
      <c r="A2679" s="4" t="str">
        <f ca="1">IFERROR(__xludf.DUMMYFUNCTION("""COMPUTED_VALUE"""),"107012")</f>
        <v>107012</v>
      </c>
      <c r="B2679" s="5" t="str">
        <f ca="1">IFERROR(__xludf.DUMMYFUNCTION("""COMPUTED_VALUE"""),"القاهرة")</f>
        <v>القاهرة</v>
      </c>
      <c r="C2679" s="5" t="str">
        <f ca="1">IFERROR(__xludf.DUMMYFUNCTION("""COMPUTED_VALUE"""),"مصر الجديدة")</f>
        <v>مصر الجديدة</v>
      </c>
      <c r="D2679" s="5" t="str">
        <f ca="1">IFERROR(__xludf.DUMMYFUNCTION("""COMPUTED_VALUE"""),"مجمع عيادات")</f>
        <v>مجمع عيادات</v>
      </c>
      <c r="E2679" s="5" t="str">
        <f ca="1">IFERROR(__xludf.DUMMYFUNCTION("""COMPUTED_VALUE"""),"جميع التخصصات")</f>
        <v>جميع التخصصات</v>
      </c>
      <c r="F2679" s="5" t="str">
        <f ca="1">IFERROR(__xludf.DUMMYFUNCTION("""COMPUTED_VALUE"""),"جميع التخصصات الطبية")</f>
        <v>جميع التخصصات الطبية</v>
      </c>
      <c r="G2679" s="5" t="str">
        <f ca="1">IFERROR(__xludf.DUMMYFUNCTION("""COMPUTED_VALUE"""),"كاي ميد للمراكز الطبيه و المستشفيات")</f>
        <v>كاي ميد للمراكز الطبيه و المستشفيات</v>
      </c>
      <c r="H2679" s="5" t="str">
        <f ca="1">IFERROR(__xludf.DUMMYFUNCTION("""COMPUTED_VALUE"""),"4 شارع اللوكانده - مصر الجديده - القاهره")</f>
        <v>4 شارع اللوكانده - مصر الجديده - القاهره</v>
      </c>
      <c r="I2679" s="6" t="str">
        <f ca="1">IFERROR(__xludf.DUMMYFUNCTION("""COMPUTED_VALUE"""),"01016581112")</f>
        <v>01016581112</v>
      </c>
      <c r="J2679" s="6"/>
      <c r="K2679" s="6" t="str">
        <f ca="1">IFERROR(__xludf.DUMMYFUNCTION("""COMPUTED_VALUE"""),"20% علي الكشف ، 40 % علي العمليات ،40 % علي الخدمات ما عدا اتعاب الأطباء و المستلزمات.")</f>
        <v>20% علي الكشف ، 40 % علي العمليات ،40 % علي الخدمات ما عدا اتعاب الأطباء و المستلزمات.</v>
      </c>
    </row>
    <row r="2680" spans="1:11" x14ac:dyDescent="0.25">
      <c r="A2680" s="4" t="str">
        <f ca="1">IFERROR(__xludf.DUMMYFUNCTION("""COMPUTED_VALUE"""),"107013")</f>
        <v>107013</v>
      </c>
      <c r="B2680" s="5" t="str">
        <f ca="1">IFERROR(__xludf.DUMMYFUNCTION("""COMPUTED_VALUE"""),"الشرقية")</f>
        <v>الشرقية</v>
      </c>
      <c r="C2680" s="5" t="str">
        <f ca="1">IFERROR(__xludf.DUMMYFUNCTION("""COMPUTED_VALUE"""),"أبو حماد")</f>
        <v>أبو حماد</v>
      </c>
      <c r="D2680" s="5" t="str">
        <f ca="1">IFERROR(__xludf.DUMMYFUNCTION("""COMPUTED_VALUE"""),"هيئة الأطباء")</f>
        <v>هيئة الأطباء</v>
      </c>
      <c r="E2680" s="5" t="str">
        <f ca="1">IFERROR(__xludf.DUMMYFUNCTION("""COMPUTED_VALUE"""),"جراحة")</f>
        <v>جراحة</v>
      </c>
      <c r="F2680" s="5" t="str">
        <f ca="1">IFERROR(__xludf.DUMMYFUNCTION("""COMPUTED_VALUE"""),"جراحة عظام")</f>
        <v>جراحة عظام</v>
      </c>
      <c r="G2680" s="5" t="str">
        <f ca="1">IFERROR(__xludf.DUMMYFUNCTION("""COMPUTED_VALUE"""),"د/ احمد محمد احمد محمود صالح")</f>
        <v>د/ احمد محمد احمد محمود صالح</v>
      </c>
      <c r="H2680" s="5" t="str">
        <f ca="1">IFERROR(__xludf.DUMMYFUNCTION("""COMPUTED_VALUE"""),"امام معرض ش التحرير - ابو حماد - الشرقيه")</f>
        <v>امام معرض ش التحرير - ابو حماد - الشرقيه</v>
      </c>
      <c r="I2680" s="6" t="str">
        <f ca="1">IFERROR(__xludf.DUMMYFUNCTION("""COMPUTED_VALUE"""),"01001298100")</f>
        <v>01001298100</v>
      </c>
      <c r="J2680" s="6"/>
      <c r="K2680" s="6" t="str">
        <f ca="1">IFERROR(__xludf.DUMMYFUNCTION("""COMPUTED_VALUE""")," خصم 30% علي الأسعار النقدي المعلنه")</f>
        <v xml:space="preserve"> خصم 30% علي الأسعار النقدي المعلنه</v>
      </c>
    </row>
    <row r="2681" spans="1:11" x14ac:dyDescent="0.25">
      <c r="A2681" s="4" t="str">
        <f ca="1">IFERROR(__xludf.DUMMYFUNCTION("""COMPUTED_VALUE"""),"107013-B")</f>
        <v>107013-B</v>
      </c>
      <c r="B2681" s="5" t="str">
        <f ca="1">IFERROR(__xludf.DUMMYFUNCTION("""COMPUTED_VALUE"""),"الشرقية")</f>
        <v>الشرقية</v>
      </c>
      <c r="C2681" s="5" t="str">
        <f ca="1">IFERROR(__xludf.DUMMYFUNCTION("""COMPUTED_VALUE"""),"الزقازيق")</f>
        <v>الزقازيق</v>
      </c>
      <c r="D2681" s="5" t="str">
        <f ca="1">IFERROR(__xludf.DUMMYFUNCTION("""COMPUTED_VALUE"""),"هيئة الأطباء")</f>
        <v>هيئة الأطباء</v>
      </c>
      <c r="E2681" s="5" t="str">
        <f ca="1">IFERROR(__xludf.DUMMYFUNCTION("""COMPUTED_VALUE"""),"جراحة")</f>
        <v>جراحة</v>
      </c>
      <c r="F2681" s="5" t="str">
        <f ca="1">IFERROR(__xludf.DUMMYFUNCTION("""COMPUTED_VALUE"""),"جراحة عظام")</f>
        <v>جراحة عظام</v>
      </c>
      <c r="G2681" s="5" t="str">
        <f ca="1">IFERROR(__xludf.DUMMYFUNCTION("""COMPUTED_VALUE"""),"د/ احمد محمد احمد محمود صالح")</f>
        <v>د/ احمد محمد احمد محمود صالح</v>
      </c>
      <c r="H2681" s="5" t="str">
        <f ca="1">IFERROR(__xludf.DUMMYFUNCTION("""COMPUTED_VALUE"""),"شقه 202 الدور الثالث برج الهجايه امام مسجد القدس طريق موقف المنصوره - الزقازيق")</f>
        <v>شقه 202 الدور الثالث برج الهجايه امام مسجد القدس طريق موقف المنصوره - الزقازيق</v>
      </c>
      <c r="I2681" s="6" t="str">
        <f ca="1">IFERROR(__xludf.DUMMYFUNCTION("""COMPUTED_VALUE"""),"01001298100")</f>
        <v>01001298100</v>
      </c>
      <c r="J2681" s="6"/>
      <c r="K2681" s="6" t="str">
        <f ca="1">IFERROR(__xludf.DUMMYFUNCTION("""COMPUTED_VALUE""")," خصم 30% علي الأسعار النقدي المعلنه")</f>
        <v xml:space="preserve"> خصم 30% علي الأسعار النقدي المعلنه</v>
      </c>
    </row>
    <row r="2682" spans="1:11" x14ac:dyDescent="0.25">
      <c r="A2682" s="4" t="str">
        <f ca="1">IFERROR(__xludf.DUMMYFUNCTION("""COMPUTED_VALUE"""),"107014")</f>
        <v>107014</v>
      </c>
      <c r="B2682" s="5" t="str">
        <f ca="1">IFERROR(__xludf.DUMMYFUNCTION("""COMPUTED_VALUE"""),"القاهرة")</f>
        <v>القاهرة</v>
      </c>
      <c r="C2682" s="5" t="str">
        <f ca="1">IFERROR(__xludf.DUMMYFUNCTION("""COMPUTED_VALUE"""),"المرج")</f>
        <v>المرج</v>
      </c>
      <c r="D2682" s="5" t="str">
        <f ca="1">IFERROR(__xludf.DUMMYFUNCTION("""COMPUTED_VALUE"""),"مركز علاج طبيعي")</f>
        <v>مركز علاج طبيعي</v>
      </c>
      <c r="E2682" s="5" t="str">
        <f ca="1">IFERROR(__xludf.DUMMYFUNCTION("""COMPUTED_VALUE"""),"علاج طبيعي")</f>
        <v>علاج طبيعي</v>
      </c>
      <c r="F2682" s="5" t="str">
        <f ca="1">IFERROR(__xludf.DUMMYFUNCTION("""COMPUTED_VALUE"""),"جلسات العلاج الطبيعي")</f>
        <v>جلسات العلاج الطبيعي</v>
      </c>
      <c r="G2682" s="5" t="str">
        <f ca="1">IFERROR(__xludf.DUMMYFUNCTION("""COMPUTED_VALUE"""),"مركز الحياه للعلاج الطبيعي")</f>
        <v>مركز الحياه للعلاج الطبيعي</v>
      </c>
      <c r="H2682" s="5" t="str">
        <f ca="1">IFERROR(__xludf.DUMMYFUNCTION("""COMPUTED_VALUE"""),"3 ش رمضان الأسيوطي أمام مستشفي جراحات اليوم الواحد - المرج - القاهره")</f>
        <v>3 ش رمضان الأسيوطي أمام مستشفي جراحات اليوم الواحد - المرج - القاهره</v>
      </c>
      <c r="I2682" s="6" t="str">
        <f ca="1">IFERROR(__xludf.DUMMYFUNCTION("""COMPUTED_VALUE"""),"01271177767")</f>
        <v>01271177767</v>
      </c>
      <c r="J2682" s="6"/>
      <c r="K2682" s="6" t="str">
        <f ca="1">IFERROR(__xludf.DUMMYFUNCTION("""COMPUTED_VALUE""")," خصم 30% علي الأسعار النقدي المعلنه")</f>
        <v xml:space="preserve"> خصم 30% علي الأسعار النقدي المعلنه</v>
      </c>
    </row>
    <row r="2683" spans="1:11" x14ac:dyDescent="0.25">
      <c r="A2683" s="4" t="str">
        <f ca="1">IFERROR(__xludf.DUMMYFUNCTION("""COMPUTED_VALUE"""),"107014-B")</f>
        <v>107014-B</v>
      </c>
      <c r="B2683" s="5" t="str">
        <f ca="1">IFERROR(__xludf.DUMMYFUNCTION("""COMPUTED_VALUE"""),"القاهرة")</f>
        <v>القاهرة</v>
      </c>
      <c r="C2683" s="5" t="str">
        <f ca="1">IFERROR(__xludf.DUMMYFUNCTION("""COMPUTED_VALUE"""),"شبرا")</f>
        <v>شبرا</v>
      </c>
      <c r="D2683" s="5" t="str">
        <f ca="1">IFERROR(__xludf.DUMMYFUNCTION("""COMPUTED_VALUE"""),"مركز علاج طبيعي")</f>
        <v>مركز علاج طبيعي</v>
      </c>
      <c r="E2683" s="5" t="str">
        <f ca="1">IFERROR(__xludf.DUMMYFUNCTION("""COMPUTED_VALUE"""),"علاج طبيعي")</f>
        <v>علاج طبيعي</v>
      </c>
      <c r="F2683" s="5" t="str">
        <f ca="1">IFERROR(__xludf.DUMMYFUNCTION("""COMPUTED_VALUE"""),"جلسات العلاج الطبيعي")</f>
        <v>جلسات العلاج الطبيعي</v>
      </c>
      <c r="G2683" s="5" t="str">
        <f ca="1">IFERROR(__xludf.DUMMYFUNCTION("""COMPUTED_VALUE"""),"مركز الحياه للعلاج الطبيعي")</f>
        <v>مركز الحياه للعلاج الطبيعي</v>
      </c>
      <c r="H2683" s="5" t="str">
        <f ca="1">IFERROR(__xludf.DUMMYFUNCTION("""COMPUTED_VALUE"""),"37 ش مسره روض الفرج - شبرا - القاهره")</f>
        <v>37 ش مسره روض الفرج - شبرا - القاهره</v>
      </c>
      <c r="I2683" s="6" t="str">
        <f ca="1">IFERROR(__xludf.DUMMYFUNCTION("""COMPUTED_VALUE"""),"01271177767")</f>
        <v>01271177767</v>
      </c>
      <c r="J2683" s="6"/>
      <c r="K2683" s="6" t="str">
        <f ca="1">IFERROR(__xludf.DUMMYFUNCTION("""COMPUTED_VALUE""")," خصم 30% علي الأسعار النقدي المعلنه")</f>
        <v xml:space="preserve"> خصم 30% علي الأسعار النقدي المعلنه</v>
      </c>
    </row>
    <row r="2684" spans="1:11" x14ac:dyDescent="0.25">
      <c r="A2684" s="4" t="str">
        <f ca="1">IFERROR(__xludf.DUMMYFUNCTION("""COMPUTED_VALUE"""),"106213-B")</f>
        <v>106213-B</v>
      </c>
      <c r="B2684" s="5" t="str">
        <f ca="1">IFERROR(__xludf.DUMMYFUNCTION("""COMPUTED_VALUE"""),"القاهرة")</f>
        <v>القاهرة</v>
      </c>
      <c r="C2684" s="5" t="str">
        <f ca="1">IFERROR(__xludf.DUMMYFUNCTION("""COMPUTED_VALUE"""),"حلمية الزيتون")</f>
        <v>حلمية الزيتون</v>
      </c>
      <c r="D2684" s="5" t="str">
        <f ca="1">IFERROR(__xludf.DUMMYFUNCTION("""COMPUTED_VALUE"""),"مجمع عيادات")</f>
        <v>مجمع عيادات</v>
      </c>
      <c r="E2684" s="5" t="str">
        <f ca="1">IFERROR(__xludf.DUMMYFUNCTION("""COMPUTED_VALUE"""),"جميع التخصصات")</f>
        <v>جميع التخصصات</v>
      </c>
      <c r="F2684" s="5" t="str">
        <f ca="1">IFERROR(__xludf.DUMMYFUNCTION("""COMPUTED_VALUE"""),"جميع التخصصات الطبية")</f>
        <v>جميع التخصصات الطبية</v>
      </c>
      <c r="G2684" s="5" t="str">
        <f ca="1">IFERROR(__xludf.DUMMYFUNCTION("""COMPUTED_VALUE"""),"شركة داوي لتجهيز المنشات الطبية")</f>
        <v>شركة داوي لتجهيز المنشات الطبية</v>
      </c>
      <c r="H2684" s="5" t="str">
        <f ca="1">IFERROR(__xludf.DUMMYFUNCTION("""COMPUTED_VALUE"""),"115 شارع قصر الضيافة ( سليم اول سابقا ) مدخل ب – QNB أعلى بنك وبجوار كنتاكي")</f>
        <v>115 شارع قصر الضيافة ( سليم اول سابقا ) مدخل ب – QNB أعلى بنك وبجوار كنتاكي</v>
      </c>
      <c r="I2684" s="6"/>
      <c r="J2684" s="6" t="str">
        <f ca="1">IFERROR(__xludf.DUMMYFUNCTION("""COMPUTED_VALUE"""),"16850")</f>
        <v>16850</v>
      </c>
      <c r="K2684" s="6" t="str">
        <f ca="1">IFERROR(__xludf.DUMMYFUNCTION("""COMPUTED_VALUE"""),"خصم 25% علي جميع الخدمات و20% علي خدمات الاسنان")</f>
        <v>خصم 25% علي جميع الخدمات و20% علي خدمات الاسنان</v>
      </c>
    </row>
    <row r="2685" spans="1:11" x14ac:dyDescent="0.25">
      <c r="A2685" s="4" t="str">
        <f ca="1">IFERROR(__xludf.DUMMYFUNCTION("""COMPUTED_VALUE"""),"106213-B")</f>
        <v>106213-B</v>
      </c>
      <c r="B2685" s="5" t="str">
        <f ca="1">IFERROR(__xludf.DUMMYFUNCTION("""COMPUTED_VALUE"""),"الفيوم")</f>
        <v>الفيوم</v>
      </c>
      <c r="C2685" s="5" t="str">
        <f ca="1">IFERROR(__xludf.DUMMYFUNCTION("""COMPUTED_VALUE"""),"الفيوم")</f>
        <v>الفيوم</v>
      </c>
      <c r="D2685" s="5" t="str">
        <f ca="1">IFERROR(__xludf.DUMMYFUNCTION("""COMPUTED_VALUE"""),"مجمع عيادات")</f>
        <v>مجمع عيادات</v>
      </c>
      <c r="E2685" s="5" t="str">
        <f ca="1">IFERROR(__xludf.DUMMYFUNCTION("""COMPUTED_VALUE"""),"جميع التخصصات")</f>
        <v>جميع التخصصات</v>
      </c>
      <c r="F2685" s="5" t="str">
        <f ca="1">IFERROR(__xludf.DUMMYFUNCTION("""COMPUTED_VALUE"""),"جميع التخصصات الطبية")</f>
        <v>جميع التخصصات الطبية</v>
      </c>
      <c r="G2685" s="5" t="str">
        <f ca="1">IFERROR(__xludf.DUMMYFUNCTION("""COMPUTED_VALUE"""),"شركة داوي لتجهيز المنشات الطبية")</f>
        <v>شركة داوي لتجهيز المنشات الطبية</v>
      </c>
      <c r="H2685" s="5" t="str">
        <f ca="1">IFERROR(__xludf.DUMMYFUNCTION("""COMPUTED_VALUE"""),"35 برج البشير شارع الزعيم جمال عبد الناصر – الدور اول فوق ارضي – المسلة")</f>
        <v>35 برج البشير شارع الزعيم جمال عبد الناصر – الدور اول فوق ارضي – المسلة</v>
      </c>
      <c r="I2685" s="6"/>
      <c r="J2685" s="6" t="str">
        <f ca="1">IFERROR(__xludf.DUMMYFUNCTION("""COMPUTED_VALUE"""),"16850")</f>
        <v>16850</v>
      </c>
      <c r="K2685" s="6" t="str">
        <f ca="1">IFERROR(__xludf.DUMMYFUNCTION("""COMPUTED_VALUE"""),"خصم 25% علي جميع الخدمات و20% علي خدمات الاسنان")</f>
        <v>خصم 25% علي جميع الخدمات و20% علي خدمات الاسنان</v>
      </c>
    </row>
    <row r="2686" spans="1:11" x14ac:dyDescent="0.25">
      <c r="A2686" s="4" t="str">
        <f ca="1">IFERROR(__xludf.DUMMYFUNCTION("""COMPUTED_VALUE"""),"106213-B")</f>
        <v>106213-B</v>
      </c>
      <c r="B2686" s="5" t="str">
        <f ca="1">IFERROR(__xludf.DUMMYFUNCTION("""COMPUTED_VALUE"""),"القليوبية")</f>
        <v>القليوبية</v>
      </c>
      <c r="C2686" s="5" t="str">
        <f ca="1">IFERROR(__xludf.DUMMYFUNCTION("""COMPUTED_VALUE"""),"شبرا الخيمة")</f>
        <v>شبرا الخيمة</v>
      </c>
      <c r="D2686" s="5" t="str">
        <f ca="1">IFERROR(__xludf.DUMMYFUNCTION("""COMPUTED_VALUE"""),"مجمع عيادات")</f>
        <v>مجمع عيادات</v>
      </c>
      <c r="E2686" s="5" t="str">
        <f ca="1">IFERROR(__xludf.DUMMYFUNCTION("""COMPUTED_VALUE"""),"جميع التخصصات")</f>
        <v>جميع التخصصات</v>
      </c>
      <c r="F2686" s="5" t="str">
        <f ca="1">IFERROR(__xludf.DUMMYFUNCTION("""COMPUTED_VALUE"""),"جميع التخصصات الطبية")</f>
        <v>جميع التخصصات الطبية</v>
      </c>
      <c r="G2686" s="5" t="str">
        <f ca="1">IFERROR(__xludf.DUMMYFUNCTION("""COMPUTED_VALUE"""),"شركة داوي لتجهيز المنشات الطبية")</f>
        <v>شركة داوي لتجهيز المنشات الطبية</v>
      </c>
      <c r="H2686" s="5" t="str">
        <f ca="1">IFERROR(__xludf.DUMMYFUNCTION("""COMPUTED_VALUE"""),"سيتي مول شارع 15 مايو ناصية شارع أحمد عرابي - الدور الثالث علوي – عزبة عثمان")</f>
        <v>سيتي مول شارع 15 مايو ناصية شارع أحمد عرابي - الدور الثالث علوي – عزبة عثمان</v>
      </c>
      <c r="I2686" s="6"/>
      <c r="J2686" s="6" t="str">
        <f ca="1">IFERROR(__xludf.DUMMYFUNCTION("""COMPUTED_VALUE"""),"16850")</f>
        <v>16850</v>
      </c>
      <c r="K2686" s="6" t="str">
        <f ca="1">IFERROR(__xludf.DUMMYFUNCTION("""COMPUTED_VALUE"""),"خصم 25% علي جميع الخدمات و20% علي خدمات الاسنان")</f>
        <v>خصم 25% علي جميع الخدمات و20% علي خدمات الاسنان</v>
      </c>
    </row>
    <row r="2687" spans="1:11" x14ac:dyDescent="0.25">
      <c r="A2687" s="4" t="str">
        <f ca="1">IFERROR(__xludf.DUMMYFUNCTION("""COMPUTED_VALUE"""),"107015")</f>
        <v>107015</v>
      </c>
      <c r="B2687" s="5" t="str">
        <f ca="1">IFERROR(__xludf.DUMMYFUNCTION("""COMPUTED_VALUE"""),"القاهرة")</f>
        <v>القاهرة</v>
      </c>
      <c r="C2687" s="5" t="str">
        <f ca="1">IFERROR(__xludf.DUMMYFUNCTION("""COMPUTED_VALUE"""),"مصر الجديدة")</f>
        <v>مصر الجديدة</v>
      </c>
      <c r="D2687" s="5" t="str">
        <f ca="1">IFERROR(__xludf.DUMMYFUNCTION("""COMPUTED_VALUE"""),"مستشفى")</f>
        <v>مستشفى</v>
      </c>
      <c r="E2687" s="5" t="str">
        <f ca="1">IFERROR(__xludf.DUMMYFUNCTION("""COMPUTED_VALUE"""),"مستشفي طبي متكامل")</f>
        <v>مستشفي طبي متكامل</v>
      </c>
      <c r="F2687" s="5" t="str">
        <f ca="1">IFERROR(__xludf.DUMMYFUNCTION("""COMPUTED_VALUE"""),"جميع التخصصات الطبية")</f>
        <v>جميع التخصصات الطبية</v>
      </c>
      <c r="G2687" s="5" t="str">
        <f ca="1">IFERROR(__xludf.DUMMYFUNCTION("""COMPUTED_VALUE"""),"ايه اند للحلول و الخدمات الطبيه (مستشفي جراند)")</f>
        <v>ايه اند للحلول و الخدمات الطبيه (مستشفي جراند)</v>
      </c>
      <c r="H2687" s="5" t="str">
        <f ca="1">IFERROR(__xludf.DUMMYFUNCTION("""COMPUTED_VALUE"""),"177 ش العروبه مصر الجديده")</f>
        <v>177 ش العروبه مصر الجديده</v>
      </c>
      <c r="I2687" s="6" t="str">
        <f ca="1">IFERROR(__xludf.DUMMYFUNCTION("""COMPUTED_VALUE"""),"0222699987")</f>
        <v>0222699987</v>
      </c>
      <c r="J2687" s="6"/>
      <c r="K2687" s="6" t="str">
        <f ca="1">IFERROR(__xludf.DUMMYFUNCTION("""COMPUTED_VALUE"""),"خصم 50% علي كشوفات العيدات الخارجيه و الطوارئ و 30% علي اتعاب الاطباء و 40% علي باقي الخدمات المقدمه داخل المستشفي. علما ان الادويه و المستلزمات و الاجهزه الطبيه و الاتفاقيات و الاسعاف و و بنك الدم و معامل الانسجه لا تخضع للخصم")</f>
        <v>خصم 50% علي كشوفات العيدات الخارجيه و الطوارئ و 30% علي اتعاب الاطباء و 40% علي باقي الخدمات المقدمه داخل المستشفي. علما ان الادويه و المستلزمات و الاجهزه الطبيه و الاتفاقيات و الاسعاف و و بنك الدم و معامل الانسجه لا تخضع للخصم</v>
      </c>
    </row>
    <row r="2688" spans="1:11" x14ac:dyDescent="0.25">
      <c r="A2688" s="4" t="str">
        <f ca="1">IFERROR(__xludf.DUMMYFUNCTION("""COMPUTED_VALUE"""),"105631-B")</f>
        <v>105631-B</v>
      </c>
      <c r="B2688" s="5" t="str">
        <f ca="1">IFERROR(__xludf.DUMMYFUNCTION("""COMPUTED_VALUE"""),"القليوبية")</f>
        <v>القليوبية</v>
      </c>
      <c r="C2688" s="5" t="str">
        <f ca="1">IFERROR(__xludf.DUMMYFUNCTION("""COMPUTED_VALUE"""),"مدينة العبور")</f>
        <v>مدينة العبور</v>
      </c>
      <c r="D2688" s="5" t="str">
        <f ca="1">IFERROR(__xludf.DUMMYFUNCTION("""COMPUTED_VALUE"""),"مستشفى")</f>
        <v>مستشفى</v>
      </c>
      <c r="E2688" s="5" t="str">
        <f ca="1">IFERROR(__xludf.DUMMYFUNCTION("""COMPUTED_VALUE"""),"مستشفي طبي متكامل")</f>
        <v>مستشفي طبي متكامل</v>
      </c>
      <c r="F2688" s="5" t="str">
        <f ca="1">IFERROR(__xludf.DUMMYFUNCTION("""COMPUTED_VALUE"""),"جميع التخصصات الطبية")</f>
        <v>جميع التخصصات الطبية</v>
      </c>
      <c r="G2688" s="5" t="str">
        <f ca="1">IFERROR(__xludf.DUMMYFUNCTION("""COMPUTED_VALUE"""),"مركز اراب كلينيك للجراحة العامة")</f>
        <v>مركز اراب كلينيك للجراحة العامة</v>
      </c>
      <c r="H2688" s="5" t="str">
        <f ca="1">IFERROR(__xludf.DUMMYFUNCTION("""COMPUTED_VALUE"""),"الحي الاول محليه 8 قطعه 1 فوق فرجاني ماركت امام سنتر العبور")</f>
        <v>الحي الاول محليه 8 قطعه 1 فوق فرجاني ماركت امام سنتر العبور</v>
      </c>
      <c r="I2688" s="6" t="str">
        <f ca="1">IFERROR(__xludf.DUMMYFUNCTION("""COMPUTED_VALUE"""),"01000380234")</f>
        <v>01000380234</v>
      </c>
      <c r="J2688" s="6"/>
      <c r="K2688" s="6" t="str">
        <f ca="1">IFERROR(__xludf.DUMMYFUNCTION("""COMPUTED_VALUE"""),"30% علي الكشف و الاشعه و التحاليل ،15% علي العمليات ما عدا اتعاب الاطباء والمستلزمات الطبية والادوية")</f>
        <v>30% علي الكشف و الاشعه و التحاليل ،15% علي العمليات ما عدا اتعاب الاطباء والمستلزمات الطبية والادوية</v>
      </c>
    </row>
    <row r="2689" spans="1:11" x14ac:dyDescent="0.25">
      <c r="A2689" s="4" t="str">
        <f ca="1">IFERROR(__xludf.DUMMYFUNCTION("""COMPUTED_VALUE"""),"105631-B")</f>
        <v>105631-B</v>
      </c>
      <c r="B2689" s="5" t="str">
        <f ca="1">IFERROR(__xludf.DUMMYFUNCTION("""COMPUTED_VALUE"""),"القليوبية")</f>
        <v>القليوبية</v>
      </c>
      <c r="C2689" s="5" t="str">
        <f ca="1">IFERROR(__xludf.DUMMYFUNCTION("""COMPUTED_VALUE"""),"شبين القناطر")</f>
        <v>شبين القناطر</v>
      </c>
      <c r="D2689" s="5" t="str">
        <f ca="1">IFERROR(__xludf.DUMMYFUNCTION("""COMPUTED_VALUE"""),"مستشفى")</f>
        <v>مستشفى</v>
      </c>
      <c r="E2689" s="5" t="str">
        <f ca="1">IFERROR(__xludf.DUMMYFUNCTION("""COMPUTED_VALUE"""),"مستشفي طبي متكامل")</f>
        <v>مستشفي طبي متكامل</v>
      </c>
      <c r="F2689" s="5" t="str">
        <f ca="1">IFERROR(__xludf.DUMMYFUNCTION("""COMPUTED_VALUE"""),"جميع التخصصات الطبية")</f>
        <v>جميع التخصصات الطبية</v>
      </c>
      <c r="G2689" s="5" t="str">
        <f ca="1">IFERROR(__xludf.DUMMYFUNCTION("""COMPUTED_VALUE"""),"مركز اراب كلينيك للجراحة العامة")</f>
        <v>مركز اراب كلينيك للجراحة العامة</v>
      </c>
      <c r="H2689" s="5" t="str">
        <f ca="1">IFERROR(__xludf.DUMMYFUNCTION("""COMPUTED_VALUE"""),"عمارات الموبيلات - فوق معمل المختبر - الدور الثالث امام محطه القطار")</f>
        <v>عمارات الموبيلات - فوق معمل المختبر - الدور الثالث امام محطه القطار</v>
      </c>
      <c r="I2689" s="6" t="str">
        <f ca="1">IFERROR(__xludf.DUMMYFUNCTION("""COMPUTED_VALUE"""),"01550141552")</f>
        <v>01550141552</v>
      </c>
      <c r="J2689" s="6"/>
      <c r="K2689" s="6" t="str">
        <f ca="1">IFERROR(__xludf.DUMMYFUNCTION("""COMPUTED_VALUE"""),"30% علي الكشف و الاشعه و التحاليل ،15% علي العمليات ما عدا اتعاب الاطباء والمستلزمات الطبية والادوية")</f>
        <v>30% علي الكشف و الاشعه و التحاليل ،15% علي العمليات ما عدا اتعاب الاطباء والمستلزمات الطبية والادوية</v>
      </c>
    </row>
    <row r="2690" spans="1:11" x14ac:dyDescent="0.25">
      <c r="A2690" s="4" t="str">
        <f ca="1">IFERROR(__xludf.DUMMYFUNCTION("""COMPUTED_VALUE"""),"105631-B")</f>
        <v>105631-B</v>
      </c>
      <c r="B2690" s="5" t="str">
        <f ca="1">IFERROR(__xludf.DUMMYFUNCTION("""COMPUTED_VALUE"""),"الدقهلية")</f>
        <v>الدقهلية</v>
      </c>
      <c r="C2690" s="5" t="str">
        <f ca="1">IFERROR(__xludf.DUMMYFUNCTION("""COMPUTED_VALUE"""),"ميت غمر")</f>
        <v>ميت غمر</v>
      </c>
      <c r="D2690" s="5" t="str">
        <f ca="1">IFERROR(__xludf.DUMMYFUNCTION("""COMPUTED_VALUE"""),"مستشفى")</f>
        <v>مستشفى</v>
      </c>
      <c r="E2690" s="5" t="str">
        <f ca="1">IFERROR(__xludf.DUMMYFUNCTION("""COMPUTED_VALUE"""),"مستشفي طبي متكامل")</f>
        <v>مستشفي طبي متكامل</v>
      </c>
      <c r="F2690" s="5" t="str">
        <f ca="1">IFERROR(__xludf.DUMMYFUNCTION("""COMPUTED_VALUE"""),"جميع التخصصات الطبية")</f>
        <v>جميع التخصصات الطبية</v>
      </c>
      <c r="G2690" s="5" t="str">
        <f ca="1">IFERROR(__xludf.DUMMYFUNCTION("""COMPUTED_VALUE"""),"مركز اراب كلينيك للجراحة العامة")</f>
        <v>مركز اراب كلينيك للجراحة العامة</v>
      </c>
      <c r="H2690" s="5" t="str">
        <f ca="1">IFERROR(__xludf.DUMMYFUNCTION("""COMPUTED_VALUE"""),"ش الجيش برج الحلواني بجوار صيدليه د/وجيه")</f>
        <v>ش الجيش برج الحلواني بجوار صيدليه د/وجيه</v>
      </c>
      <c r="I2690" s="6" t="str">
        <f ca="1">IFERROR(__xludf.DUMMYFUNCTION("""COMPUTED_VALUE"""),"01060094332")</f>
        <v>01060094332</v>
      </c>
      <c r="J2690" s="6"/>
      <c r="K2690" s="6" t="str">
        <f ca="1">IFERROR(__xludf.DUMMYFUNCTION("""COMPUTED_VALUE"""),"30% علي الكشف و الاشعه و التحاليل ،15% علي العمليات ما عدا اتعاب الاطباء والمستلزمات الطبية والادوية")</f>
        <v>30% علي الكشف و الاشعه و التحاليل ،15% علي العمليات ما عدا اتعاب الاطباء والمستلزمات الطبية والادوية</v>
      </c>
    </row>
    <row r="2691" spans="1:11" x14ac:dyDescent="0.25">
      <c r="A2691" s="4" t="str">
        <f ca="1">IFERROR(__xludf.DUMMYFUNCTION("""COMPUTED_VALUE"""),"107016")</f>
        <v>107016</v>
      </c>
      <c r="B2691" s="5" t="str">
        <f ca="1">IFERROR(__xludf.DUMMYFUNCTION("""COMPUTED_VALUE"""),"الجيزة")</f>
        <v>الجيزة</v>
      </c>
      <c r="C2691" s="5" t="str">
        <f ca="1">IFERROR(__xludf.DUMMYFUNCTION("""COMPUTED_VALUE"""),"الدقي")</f>
        <v>الدقي</v>
      </c>
      <c r="D2691" s="5" t="str">
        <f ca="1">IFERROR(__xludf.DUMMYFUNCTION("""COMPUTED_VALUE"""),"صيدلية")</f>
        <v>صيدلية</v>
      </c>
      <c r="E2691" s="5" t="str">
        <f ca="1">IFERROR(__xludf.DUMMYFUNCTION("""COMPUTED_VALUE"""),"صيدلية")</f>
        <v>صيدلية</v>
      </c>
      <c r="F2691" s="5" t="str">
        <f ca="1">IFERROR(__xludf.DUMMYFUNCTION("""COMPUTED_VALUE"""),"صيدلية (أدوية ومستلزمات طبية)")</f>
        <v>صيدلية (أدوية ومستلزمات طبية)</v>
      </c>
      <c r="G2691" s="5" t="str">
        <f ca="1">IFERROR(__xludf.DUMMYFUNCTION("""COMPUTED_VALUE"""),"مستشفي مصر الدولي (صيدليه مستشفي مصر الدولي)")</f>
        <v>مستشفي مصر الدولي (صيدليه مستشفي مصر الدولي)</v>
      </c>
      <c r="H2691" s="5" t="str">
        <f ca="1">IFERROR(__xludf.DUMMYFUNCTION("""COMPUTED_VALUE"""),"12 ش السراية الدقي - الجيزة")</f>
        <v>12 ش السراية الدقي - الجيزة</v>
      </c>
      <c r="I2691" s="6"/>
      <c r="J2691" s="6" t="str">
        <f ca="1">IFERROR(__xludf.DUMMYFUNCTION("""COMPUTED_VALUE"""),"16010")</f>
        <v>16010</v>
      </c>
      <c r="K2691" s="6" t="str">
        <f ca="1">IFERROR(__xludf.DUMMYFUNCTION("""COMPUTED_VALUE"""),"خصم 12% علي الأدويع المحليه و 6% علي المستورد")</f>
        <v>خصم 12% علي الأدويع المحليه و 6% علي المستورد</v>
      </c>
    </row>
    <row r="2692" spans="1:11" x14ac:dyDescent="0.25">
      <c r="A2692" s="4" t="str">
        <f ca="1">IFERROR(__xludf.DUMMYFUNCTION("""COMPUTED_VALUE"""),"2273-B")</f>
        <v>2273-B</v>
      </c>
      <c r="B2692" s="5" t="str">
        <f ca="1">IFERROR(__xludf.DUMMYFUNCTION("""COMPUTED_VALUE"""),"القاهرة")</f>
        <v>القاهرة</v>
      </c>
      <c r="C2692" s="5" t="str">
        <f ca="1">IFERROR(__xludf.DUMMYFUNCTION("""COMPUTED_VALUE"""),"القاهرة الجديدة")</f>
        <v>القاهرة الجديدة</v>
      </c>
      <c r="D2692" s="5" t="str">
        <f ca="1">IFERROR(__xludf.DUMMYFUNCTION("""COMPUTED_VALUE"""),"مركز أشعة")</f>
        <v>مركز أشعة</v>
      </c>
      <c r="E2692" s="5" t="str">
        <f ca="1">IFERROR(__xludf.DUMMYFUNCTION("""COMPUTED_VALUE"""),"مركز أشعة")</f>
        <v>مركز أشعة</v>
      </c>
      <c r="F2692" s="5" t="str">
        <f ca="1">IFERROR(__xludf.DUMMYFUNCTION("""COMPUTED_VALUE"""),"مركز الأشعة التشخيصية")</f>
        <v>مركز الأشعة التشخيصية</v>
      </c>
      <c r="G2692" s="5" t="str">
        <f ca="1">IFERROR(__xludf.DUMMYFUNCTION("""COMPUTED_VALUE"""),"تكنوسكان")</f>
        <v>تكنوسكان</v>
      </c>
      <c r="H2692" s="5" t="str">
        <f ca="1">IFERROR(__xludf.DUMMYFUNCTION("""COMPUTED_VALUE"""),"165 ادوار البدروم والارضي والاول - القطاع الاول - مركز المدينه التجمع الخامس - القاهرة الجديده - محافظة القاهره")</f>
        <v>165 ادوار البدروم والارضي والاول - القطاع الاول - مركز المدينه التجمع الخامس - القاهرة الجديده - محافظة القاهره</v>
      </c>
      <c r="I2692" s="6"/>
      <c r="J2692" s="6" t="str">
        <f ca="1">IFERROR(__xludf.DUMMYFUNCTION("""COMPUTED_VALUE"""),"19989")</f>
        <v>19989</v>
      </c>
      <c r="K2692" s="6" t="str">
        <f ca="1">IFERROR(__xludf.DUMMYFUNCTION("""COMPUTED_VALUE"""),"29% على جميع الخدمات")</f>
        <v>29% على جميع الخدمات</v>
      </c>
    </row>
    <row r="2693" spans="1:11" x14ac:dyDescent="0.25">
      <c r="A2693" s="4" t="str">
        <f ca="1">IFERROR(__xludf.DUMMYFUNCTION("""COMPUTED_VALUE"""),"105372-B")</f>
        <v>105372-B</v>
      </c>
      <c r="B2693" s="5" t="str">
        <f ca="1">IFERROR(__xludf.DUMMYFUNCTION("""COMPUTED_VALUE"""),"الجيزة")</f>
        <v>الجيزة</v>
      </c>
      <c r="C2693" s="5" t="str">
        <f ca="1">IFERROR(__xludf.DUMMYFUNCTION("""COMPUTED_VALUE"""),"فيصل")</f>
        <v>فيصل</v>
      </c>
      <c r="D2693" s="5" t="str">
        <f ca="1">IFERROR(__xludf.DUMMYFUNCTION("""COMPUTED_VALUE"""),"مجمع عيادات")</f>
        <v>مجمع عيادات</v>
      </c>
      <c r="E2693" s="5" t="str">
        <f ca="1">IFERROR(__xludf.DUMMYFUNCTION("""COMPUTED_VALUE"""),"جميع التخصصات")</f>
        <v>جميع التخصصات</v>
      </c>
      <c r="F2693" s="5" t="str">
        <f ca="1">IFERROR(__xludf.DUMMYFUNCTION("""COMPUTED_VALUE"""),"جميع التخصصات الطبية")</f>
        <v>جميع التخصصات الطبية</v>
      </c>
      <c r="G2693" s="5" t="str">
        <f ca="1">IFERROR(__xludf.DUMMYFUNCTION("""COMPUTED_VALUE"""),"شركة كير كلينيك للخدمات الطبية (عيادات كير كلينك التخصصية)")</f>
        <v>شركة كير كلينيك للخدمات الطبية (عيادات كير كلينك التخصصية)</v>
      </c>
      <c r="H2693" s="5" t="str">
        <f ca="1">IFERROR(__xludf.DUMMYFUNCTION("""COMPUTED_VALUE"""),"عقار رقم 446 شارع فيصل الرئيىس – برج النرص – فوق معرض األبيض للسيارات – الدور الثالث")</f>
        <v>عقار رقم 446 شارع فيصل الرئيىس – برج النرص – فوق معرض األبيض للسيارات – الدور الثالث</v>
      </c>
      <c r="I2693" s="6" t="str">
        <f ca="1">IFERROR(__xludf.DUMMYFUNCTION("""COMPUTED_VALUE"""),"01030526000")</f>
        <v>01030526000</v>
      </c>
      <c r="J2693" s="6"/>
      <c r="K2693" s="6" t="str">
        <f ca="1">IFERROR(__xludf.DUMMYFUNCTION("""COMPUTED_VALUE"""),"30%على الكشف ,40% على باقى الخدمات")</f>
        <v>30%على الكشف ,40% على باقى الخدمات</v>
      </c>
    </row>
    <row r="2694" spans="1:11" x14ac:dyDescent="0.25">
      <c r="A2694" s="4" t="str">
        <f ca="1">IFERROR(__xludf.DUMMYFUNCTION("""COMPUTED_VALUE"""),"107026")</f>
        <v>107026</v>
      </c>
      <c r="B2694" s="5" t="str">
        <f ca="1">IFERROR(__xludf.DUMMYFUNCTION("""COMPUTED_VALUE"""),"الجيزة")</f>
        <v>الجيزة</v>
      </c>
      <c r="C2694" s="5" t="str">
        <f ca="1">IFERROR(__xludf.DUMMYFUNCTION("""COMPUTED_VALUE"""),"الهرم")</f>
        <v>الهرم</v>
      </c>
      <c r="D2694" s="5" t="str">
        <f ca="1">IFERROR(__xludf.DUMMYFUNCTION("""COMPUTED_VALUE"""),"مجمع عيادات")</f>
        <v>مجمع عيادات</v>
      </c>
      <c r="E2694" s="5" t="str">
        <f ca="1">IFERROR(__xludf.DUMMYFUNCTION("""COMPUTED_VALUE"""),"جميع التخصصات")</f>
        <v>جميع التخصصات</v>
      </c>
      <c r="F2694" s="5" t="str">
        <f ca="1">IFERROR(__xludf.DUMMYFUNCTION("""COMPUTED_VALUE"""),"جميع التخصصات الطبية")</f>
        <v>جميع التخصصات الطبية</v>
      </c>
      <c r="G2694" s="5" t="str">
        <f ca="1">IFERROR(__xludf.DUMMYFUNCTION("""COMPUTED_VALUE"""),"حامد عبد الغني حامد طعيمه (عيادات بلورا التخصصيه)")</f>
        <v>حامد عبد الغني حامد طعيمه (عيادات بلورا التخصصيه)</v>
      </c>
      <c r="H2694" s="5" t="str">
        <f ca="1">IFERROR(__xludf.DUMMYFUNCTION("""COMPUTED_VALUE"""),"8 ش عمر مكرم ش خاتم المرسلين العمرانيه - الهرم - الجيزه")</f>
        <v>8 ش عمر مكرم ش خاتم المرسلين العمرانيه - الهرم - الجيزه</v>
      </c>
      <c r="I2694" s="6" t="str">
        <f ca="1">IFERROR(__xludf.DUMMYFUNCTION("""COMPUTED_VALUE"""),"01006806134")</f>
        <v>01006806134</v>
      </c>
      <c r="J2694" s="6"/>
      <c r="K2694" s="6" t="str">
        <f ca="1">IFERROR(__xludf.DUMMYFUNCTION("""COMPUTED_VALUE"""),"خصم 30% علي الأسعار النقدي")</f>
        <v>خصم 30% علي الأسعار النقدي</v>
      </c>
    </row>
    <row r="2695" spans="1:11" x14ac:dyDescent="0.25">
      <c r="A2695" s="4" t="str">
        <f ca="1">IFERROR(__xludf.DUMMYFUNCTION("""COMPUTED_VALUE"""),"107028")</f>
        <v>107028</v>
      </c>
      <c r="B2695" s="5" t="str">
        <f ca="1">IFERROR(__xludf.DUMMYFUNCTION("""COMPUTED_VALUE"""),"القليوبية")</f>
        <v>القليوبية</v>
      </c>
      <c r="C2695" s="5" t="str">
        <f ca="1">IFERROR(__xludf.DUMMYFUNCTION("""COMPUTED_VALUE"""),"شبرا الخيمة")</f>
        <v>شبرا الخيمة</v>
      </c>
      <c r="D2695" s="5" t="str">
        <f ca="1">IFERROR(__xludf.DUMMYFUNCTION("""COMPUTED_VALUE"""),"مستشفى")</f>
        <v>مستشفى</v>
      </c>
      <c r="E2695" s="5" t="str">
        <f ca="1">IFERROR(__xludf.DUMMYFUNCTION("""COMPUTED_VALUE"""),"مستشفي طبي متخصص")</f>
        <v>مستشفي طبي متخصص</v>
      </c>
      <c r="F2695" s="5" t="str">
        <f ca="1">IFERROR(__xludf.DUMMYFUNCTION("""COMPUTED_VALUE"""),"نساء وتوليد")</f>
        <v>نساء وتوليد</v>
      </c>
      <c r="G2695" s="5" t="str">
        <f ca="1">IFERROR(__xludf.DUMMYFUNCTION("""COMPUTED_VALUE"""),"مركز الجاسمين للخدمات الطبيه")</f>
        <v>مركز الجاسمين للخدمات الطبيه</v>
      </c>
      <c r="H2695" s="5" t="str">
        <f ca="1">IFERROR(__xludf.DUMMYFUNCTION("""COMPUTED_VALUE"""),"برج 4 و 5 في باب البحر ش الشيخ الشعراوي - شبرا الخيمه - قليوبيه")</f>
        <v>برج 4 و 5 في باب البحر ش الشيخ الشعراوي - شبرا الخيمه - قليوبيه</v>
      </c>
      <c r="I2695" s="6" t="str">
        <f ca="1">IFERROR(__xludf.DUMMYFUNCTION("""COMPUTED_VALUE"""),"01115481891")</f>
        <v>01115481891</v>
      </c>
      <c r="J2695" s="6"/>
      <c r="K2695" s="6" t="str">
        <f ca="1">IFERROR(__xludf.DUMMYFUNCTION("""COMPUTED_VALUE"""),"خصم 30% علي الأسعار النقدي")</f>
        <v>خصم 30% علي الأسعار النقدي</v>
      </c>
    </row>
    <row r="2696" spans="1:11" x14ac:dyDescent="0.25">
      <c r="A2696" s="4" t="str">
        <f ca="1">IFERROR(__xludf.DUMMYFUNCTION("""COMPUTED_VALUE"""),"107029")</f>
        <v>107029</v>
      </c>
      <c r="B2696" s="5" t="str">
        <f ca="1">IFERROR(__xludf.DUMMYFUNCTION("""COMPUTED_VALUE"""),"بورسعيد")</f>
        <v>بورسعيد</v>
      </c>
      <c r="C2696" s="5" t="str">
        <f ca="1">IFERROR(__xludf.DUMMYFUNCTION("""COMPUTED_VALUE"""),"بورسعيد")</f>
        <v>بورسعيد</v>
      </c>
      <c r="D2696" s="5" t="str">
        <f ca="1">IFERROR(__xludf.DUMMYFUNCTION("""COMPUTED_VALUE"""),"مركز أشعة")</f>
        <v>مركز أشعة</v>
      </c>
      <c r="E2696" s="5" t="str">
        <f ca="1">IFERROR(__xludf.DUMMYFUNCTION("""COMPUTED_VALUE"""),"مركز أشعة")</f>
        <v>مركز أشعة</v>
      </c>
      <c r="F2696" s="5" t="str">
        <f ca="1">IFERROR(__xludf.DUMMYFUNCTION("""COMPUTED_VALUE"""),"مركز الأشعة التشخيصية")</f>
        <v>مركز الأشعة التشخيصية</v>
      </c>
      <c r="G2696" s="5" t="str">
        <f ca="1">IFERROR(__xludf.DUMMYFUNCTION("""COMPUTED_VALUE"""),"شركة عرابي ميديكال (مركز عرابي سكان للأشعه)")</f>
        <v>شركة عرابي ميديكال (مركز عرابي سكان للأشعه)</v>
      </c>
      <c r="H2696" s="5" t="str">
        <f ca="1">IFERROR(__xludf.DUMMYFUNCTION("""COMPUTED_VALUE"""),"شقه رقم 3 الدور الأول العلوي - برج بلازا بالعقار رقم 112 مدن عوائد ش عرابي - بورسعيد")</f>
        <v>شقه رقم 3 الدور الأول العلوي - برج بلازا بالعقار رقم 112 مدن عوائد ش عرابي - بورسعيد</v>
      </c>
      <c r="I2696" s="6" t="str">
        <f ca="1">IFERROR(__xludf.DUMMYFUNCTION("""COMPUTED_VALUE"""),"01205017457")</f>
        <v>01205017457</v>
      </c>
      <c r="J2696" s="6"/>
      <c r="K2696" s="6" t="str">
        <f ca="1">IFERROR(__xludf.DUMMYFUNCTION("""COMPUTED_VALUE"""),"خصم 30% علي الأسعار النقدي")</f>
        <v>خصم 30% علي الأسعار النقدي</v>
      </c>
    </row>
    <row r="2697" spans="1:11" x14ac:dyDescent="0.25">
      <c r="A2697" s="4" t="str">
        <f ca="1">IFERROR(__xludf.DUMMYFUNCTION("""COMPUTED_VALUE"""),"107031")</f>
        <v>107031</v>
      </c>
      <c r="B2697" s="5" t="str">
        <f ca="1">IFERROR(__xludf.DUMMYFUNCTION("""COMPUTED_VALUE"""),"الاسكندرية")</f>
        <v>الاسكندرية</v>
      </c>
      <c r="C2697" s="5" t="str">
        <f ca="1">IFERROR(__xludf.DUMMYFUNCTION("""COMPUTED_VALUE"""),"الدخيلة")</f>
        <v>الدخيلة</v>
      </c>
      <c r="D2697" s="5" t="str">
        <f ca="1">IFERROR(__xludf.DUMMYFUNCTION("""COMPUTED_VALUE"""),"هيئة الأطباء")</f>
        <v>هيئة الأطباء</v>
      </c>
      <c r="E2697" s="5" t="str">
        <f ca="1">IFERROR(__xludf.DUMMYFUNCTION("""COMPUTED_VALUE"""),"اسنان")</f>
        <v>اسنان</v>
      </c>
      <c r="F2697" s="5" t="str">
        <f ca="1">IFERROR(__xludf.DUMMYFUNCTION("""COMPUTED_VALUE"""),"جراحة الفم والأسنان")</f>
        <v>جراحة الفم والأسنان</v>
      </c>
      <c r="G2697" s="5" t="str">
        <f ca="1">IFERROR(__xludf.DUMMYFUNCTION("""COMPUTED_VALUE"""),"اسلام السيد محمد داوود (داود دنتال كير)")</f>
        <v>اسلام السيد محمد داوود (داود دنتال كير)</v>
      </c>
      <c r="H2697" s="5" t="str">
        <f ca="1">IFERROR(__xludf.DUMMYFUNCTION("""COMPUTED_VALUE"""),"1 ش سالم عيد - الكيلو 17.5 طريق اسكندريه مطروح الرئيسي - الدخيله - الاسكندريه")</f>
        <v>1 ش سالم عيد - الكيلو 17.5 طريق اسكندريه مطروح الرئيسي - الدخيله - الاسكندريه</v>
      </c>
      <c r="I2697" s="6" t="str">
        <f ca="1">IFERROR(__xludf.DUMMYFUNCTION("""COMPUTED_VALUE"""),"01204900040")</f>
        <v>01204900040</v>
      </c>
      <c r="J2697" s="6"/>
      <c r="K2697" s="6" t="str">
        <f ca="1">IFERROR(__xludf.DUMMYFUNCTION("""COMPUTED_VALUE"""),"خصم 30% علي الأسعار النقدي")</f>
        <v>خصم 30% علي الأسعار النقدي</v>
      </c>
    </row>
    <row r="2698" spans="1:11" x14ac:dyDescent="0.25">
      <c r="A2698" s="4" t="str">
        <f ca="1">IFERROR(__xludf.DUMMYFUNCTION("""COMPUTED_VALUE"""),"107032")</f>
        <v>107032</v>
      </c>
      <c r="B2698" s="5" t="str">
        <f ca="1">IFERROR(__xludf.DUMMYFUNCTION("""COMPUTED_VALUE"""),"الشرقية")</f>
        <v>الشرقية</v>
      </c>
      <c r="C2698" s="5" t="str">
        <f ca="1">IFERROR(__xludf.DUMMYFUNCTION("""COMPUTED_VALUE"""),"الزقازيق")</f>
        <v>الزقازيق</v>
      </c>
      <c r="D2698" s="5" t="str">
        <f ca="1">IFERROR(__xludf.DUMMYFUNCTION("""COMPUTED_VALUE"""),"مجمع عيادات")</f>
        <v>مجمع عيادات</v>
      </c>
      <c r="E2698" s="5" t="str">
        <f ca="1">IFERROR(__xludf.DUMMYFUNCTION("""COMPUTED_VALUE"""),"جميع التخصصات")</f>
        <v>جميع التخصصات</v>
      </c>
      <c r="F2698" s="5" t="str">
        <f ca="1">IFERROR(__xludf.DUMMYFUNCTION("""COMPUTED_VALUE"""),"جميع التخصصات الطبية")</f>
        <v>جميع التخصصات الطبية</v>
      </c>
      <c r="G2698" s="5" t="str">
        <f ca="1">IFERROR(__xludf.DUMMYFUNCTION("""COMPUTED_VALUE"""),"عبد الحميد منصور و شركاه (عيادات انفينتي كلينك التخصصيه)")</f>
        <v>عبد الحميد منصور و شركاه (عيادات انفينتي كلينك التخصصيه)</v>
      </c>
      <c r="H2698" s="5" t="str">
        <f ca="1">IFERROR(__xludf.DUMMYFUNCTION("""COMPUTED_VALUE"""),"ش طلبه عويضه عقارخلف رنين القوميه - الزقازيق  - الشرقيه")</f>
        <v>ش طلبه عويضه عقارخلف رنين القوميه - الزقازيق  - الشرقيه</v>
      </c>
      <c r="I2698" s="6" t="str">
        <f ca="1">IFERROR(__xludf.DUMMYFUNCTION("""COMPUTED_VALUE"""),"01066230191")</f>
        <v>01066230191</v>
      </c>
      <c r="J2698" s="6"/>
      <c r="K2698" s="6" t="str">
        <f ca="1">IFERROR(__xludf.DUMMYFUNCTION("""COMPUTED_VALUE"""),"خصم 30% علي الأسعار النقدي")</f>
        <v>خصم 30% علي الأسعار النقدي</v>
      </c>
    </row>
    <row r="2699" spans="1:11" x14ac:dyDescent="0.25">
      <c r="A2699" s="4" t="str">
        <f ca="1">IFERROR(__xludf.DUMMYFUNCTION("""COMPUTED_VALUE"""),"107036")</f>
        <v>107036</v>
      </c>
      <c r="B2699" s="5" t="str">
        <f ca="1">IFERROR(__xludf.DUMMYFUNCTION("""COMPUTED_VALUE"""),"قنا")</f>
        <v>قنا</v>
      </c>
      <c r="C2699" s="5" t="str">
        <f ca="1">IFERROR(__xludf.DUMMYFUNCTION("""COMPUTED_VALUE"""),"نجع حمادى")</f>
        <v>نجع حمادى</v>
      </c>
      <c r="D2699" s="5" t="str">
        <f ca="1">IFERROR(__xludf.DUMMYFUNCTION("""COMPUTED_VALUE"""),"هيئة الأطباء")</f>
        <v>هيئة الأطباء</v>
      </c>
      <c r="E2699" s="5" t="str">
        <f ca="1">IFERROR(__xludf.DUMMYFUNCTION("""COMPUTED_VALUE"""),"باطنة")</f>
        <v>باطنة</v>
      </c>
      <c r="F2699" s="5" t="str">
        <f ca="1">IFERROR(__xludf.DUMMYFUNCTION("""COMPUTED_VALUE"""),"امراض الكلى و المسالك البولية")</f>
        <v>امراض الكلى و المسالك البولية</v>
      </c>
      <c r="G2699" s="5" t="str">
        <f ca="1">IFERROR(__xludf.DUMMYFUNCTION("""COMPUTED_VALUE"""),"د/ اشرف المهندس اليشع لمعي مكاري")</f>
        <v>د/ اشرف المهندس اليشع لمعي مكاري</v>
      </c>
      <c r="H2699" s="5" t="str">
        <f ca="1">IFERROR(__xludf.DUMMYFUNCTION("""COMPUTED_VALUE"""),"شارع 30 مارس برج الكرمه الطبي - نجع حمادي - قنا")</f>
        <v>شارع 30 مارس برج الكرمه الطبي - نجع حمادي - قنا</v>
      </c>
      <c r="I2699" s="6" t="str">
        <f ca="1">IFERROR(__xludf.DUMMYFUNCTION("""COMPUTED_VALUE"""),"01271782800")</f>
        <v>01271782800</v>
      </c>
      <c r="J2699" s="6"/>
      <c r="K2699" s="6" t="str">
        <f ca="1">IFERROR(__xludf.DUMMYFUNCTION("""COMPUTED_VALUE"""),"خصم 30% علي الأسعار النقدي")</f>
        <v>خصم 30% علي الأسعار النقدي</v>
      </c>
    </row>
    <row r="2700" spans="1:11" x14ac:dyDescent="0.25">
      <c r="A2700" s="4" t="str">
        <f ca="1">IFERROR(__xludf.DUMMYFUNCTION("""COMPUTED_VALUE"""),"107038")</f>
        <v>107038</v>
      </c>
      <c r="B2700" s="5" t="str">
        <f ca="1">IFERROR(__xludf.DUMMYFUNCTION("""COMPUTED_VALUE"""),"السويس")</f>
        <v>السويس</v>
      </c>
      <c r="C2700" s="5" t="str">
        <f ca="1">IFERROR(__xludf.DUMMYFUNCTION("""COMPUTED_VALUE"""),"السويس")</f>
        <v>السويس</v>
      </c>
      <c r="D2700" s="5" t="str">
        <f ca="1">IFERROR(__xludf.DUMMYFUNCTION("""COMPUTED_VALUE"""),"هيئة الأطباء")</f>
        <v>هيئة الأطباء</v>
      </c>
      <c r="E2700" s="5" t="str">
        <f ca="1">IFERROR(__xludf.DUMMYFUNCTION("""COMPUTED_VALUE"""),"جراحة")</f>
        <v>جراحة</v>
      </c>
      <c r="F2700" s="5" t="str">
        <f ca="1">IFERROR(__xludf.DUMMYFUNCTION("""COMPUTED_VALUE"""),"جراحة عظام")</f>
        <v>جراحة عظام</v>
      </c>
      <c r="G2700" s="5" t="str">
        <f ca="1">IFERROR(__xludf.DUMMYFUNCTION("""COMPUTED_VALUE"""),"د/ عماد محمد احمد علي")</f>
        <v>د/ عماد محمد احمد علي</v>
      </c>
      <c r="H2700" s="5" t="str">
        <f ca="1">IFERROR(__xludf.DUMMYFUNCTION("""COMPUTED_VALUE"""),"118 برج الفارس شارع أحمد عرابي - السويس")</f>
        <v>118 برج الفارس شارع أحمد عرابي - السويس</v>
      </c>
      <c r="I2700" s="6" t="str">
        <f ca="1">IFERROR(__xludf.DUMMYFUNCTION("""COMPUTED_VALUE"""),"01224324484")</f>
        <v>01224324484</v>
      </c>
      <c r="J2700" s="6"/>
      <c r="K2700" s="6" t="str">
        <f ca="1">IFERROR(__xludf.DUMMYFUNCTION("""COMPUTED_VALUE"""),"خصم 40% علي الأسعار النقدي")</f>
        <v>خصم 40% علي الأسعار النقدي</v>
      </c>
    </row>
    <row r="2701" spans="1:11" x14ac:dyDescent="0.25">
      <c r="A2701" s="4" t="str">
        <f ca="1">IFERROR(__xludf.DUMMYFUNCTION("""COMPUTED_VALUE"""),"107039")</f>
        <v>107039</v>
      </c>
      <c r="B2701" s="5" t="str">
        <f ca="1">IFERROR(__xludf.DUMMYFUNCTION("""COMPUTED_VALUE"""),"السويس")</f>
        <v>السويس</v>
      </c>
      <c r="C2701" s="5" t="str">
        <f ca="1">IFERROR(__xludf.DUMMYFUNCTION("""COMPUTED_VALUE"""),"السويس")</f>
        <v>السويس</v>
      </c>
      <c r="D2701" s="5" t="str">
        <f ca="1">IFERROR(__xludf.DUMMYFUNCTION("""COMPUTED_VALUE"""),"شركة")</f>
        <v>شركة</v>
      </c>
      <c r="E2701" s="5" t="str">
        <f ca="1">IFERROR(__xludf.DUMMYFUNCTION("""COMPUTED_VALUE"""),"شركة اجهزة طبية")</f>
        <v>شركة اجهزة طبية</v>
      </c>
      <c r="F2701" s="5" t="str">
        <f ca="1">IFERROR(__xludf.DUMMYFUNCTION("""COMPUTED_VALUE"""),"مركز بصريات")</f>
        <v>مركز بصريات</v>
      </c>
      <c r="G2701" s="5" t="str">
        <f ca="1">IFERROR(__xludf.DUMMYFUNCTION("""COMPUTED_VALUE"""),"محمد حسن محمد غريب شلبي (رويال اوبتكس)")</f>
        <v>محمد حسن محمد غريب شلبي (رويال اوبتكس)</v>
      </c>
      <c r="H2701" s="5" t="str">
        <f ca="1">IFERROR(__xludf.DUMMYFUNCTION("""COMPUTED_VALUE"""),"عقار 1 شارع عابدين زرب السويس")</f>
        <v>عقار 1 شارع عابدين زرب السويس</v>
      </c>
      <c r="I2701" s="6" t="str">
        <f ca="1">IFERROR(__xludf.DUMMYFUNCTION("""COMPUTED_VALUE"""),"01093622422")</f>
        <v>01093622422</v>
      </c>
      <c r="J2701" s="6"/>
      <c r="K2701" s="6" t="str">
        <f ca="1">IFERROR(__xludf.DUMMYFUNCTION("""COMPUTED_VALUE"""),"خصم 30% علي الأسعار النقدي")</f>
        <v>خصم 30% علي الأسعار النقدي</v>
      </c>
    </row>
    <row r="2702" spans="1:11" x14ac:dyDescent="0.25">
      <c r="A2702" s="4" t="str">
        <f ca="1">IFERROR(__xludf.DUMMYFUNCTION("""COMPUTED_VALUE"""),"107061")</f>
        <v>107061</v>
      </c>
      <c r="B2702" s="5" t="str">
        <f ca="1">IFERROR(__xludf.DUMMYFUNCTION("""COMPUTED_VALUE"""),"المنوفية")</f>
        <v>المنوفية</v>
      </c>
      <c r="C2702" s="5" t="str">
        <f ca="1">IFERROR(__xludf.DUMMYFUNCTION("""COMPUTED_VALUE"""),"شبين الكوم")</f>
        <v>شبين الكوم</v>
      </c>
      <c r="D2702" s="5" t="str">
        <f ca="1">IFERROR(__xludf.DUMMYFUNCTION("""COMPUTED_VALUE"""),"مستشفى")</f>
        <v>مستشفى</v>
      </c>
      <c r="E2702" s="5" t="str">
        <f ca="1">IFERROR(__xludf.DUMMYFUNCTION("""COMPUTED_VALUE"""),"مستشفي طبي متكامل")</f>
        <v>مستشفي طبي متكامل</v>
      </c>
      <c r="F2702" s="5" t="str">
        <f ca="1">IFERROR(__xludf.DUMMYFUNCTION("""COMPUTED_VALUE"""),"جميع التخصصات الطبية")</f>
        <v>جميع التخصصات الطبية</v>
      </c>
      <c r="G2702" s="5" t="str">
        <f ca="1">IFERROR(__xludf.DUMMYFUNCTION("""COMPUTED_VALUE"""),"مستشفي الهلال الاحمر الجديده - المنوفيه")</f>
        <v>مستشفي الهلال الاحمر الجديده - المنوفيه</v>
      </c>
      <c r="H2702" s="5" t="str">
        <f ca="1">IFERROR(__xludf.DUMMYFUNCTION("""COMPUTED_VALUE"""),"ش جمال عبد الناصر قبلي امام المدرسه الاعداديه - شبين الكوم - المنوفيه")</f>
        <v>ش جمال عبد الناصر قبلي امام المدرسه الاعداديه - شبين الكوم - المنوفيه</v>
      </c>
      <c r="I2702" s="6" t="str">
        <f ca="1">IFERROR(__xludf.DUMMYFUNCTION("""COMPUTED_VALUE"""),"01063849970")</f>
        <v>01063849970</v>
      </c>
      <c r="J2702" s="6"/>
      <c r="K2702" s="6" t="str">
        <f ca="1">IFERROR(__xludf.DUMMYFUNCTION("""COMPUTED_VALUE"""),"خصم 30% علي الاسعار النقدي")</f>
        <v>خصم 30% علي الاسعار النقدي</v>
      </c>
    </row>
    <row r="2703" spans="1:11" x14ac:dyDescent="0.25">
      <c r="A2703" s="4" t="str">
        <f ca="1">IFERROR(__xludf.DUMMYFUNCTION("""COMPUTED_VALUE"""),"105136-B")</f>
        <v>105136-B</v>
      </c>
      <c r="B2703" s="5" t="str">
        <f ca="1">IFERROR(__xludf.DUMMYFUNCTION("""COMPUTED_VALUE"""),"بني سويف")</f>
        <v>بني سويف</v>
      </c>
      <c r="C2703" s="5" t="str">
        <f ca="1">IFERROR(__xludf.DUMMYFUNCTION("""COMPUTED_VALUE"""),"بني سويف")</f>
        <v>بني سويف</v>
      </c>
      <c r="D2703" s="5" t="str">
        <f ca="1">IFERROR(__xludf.DUMMYFUNCTION("""COMPUTED_VALUE"""),"مجمع عيادات")</f>
        <v>مجمع عيادات</v>
      </c>
      <c r="E2703" s="5" t="str">
        <f ca="1">IFERROR(__xludf.DUMMYFUNCTION("""COMPUTED_VALUE"""),"جميع التخصصات")</f>
        <v>جميع التخصصات</v>
      </c>
      <c r="F2703" s="5" t="str">
        <f ca="1">IFERROR(__xludf.DUMMYFUNCTION("""COMPUTED_VALUE"""),"جميع التخصصات الطبية")</f>
        <v>جميع التخصصات الطبية</v>
      </c>
      <c r="G2703" s="5" t="str">
        <f ca="1">IFERROR(__xludf.DUMMYFUNCTION("""COMPUTED_VALUE"""),"سيتي كلينك للخدمات الطبية")</f>
        <v>سيتي كلينك للخدمات الطبية</v>
      </c>
      <c r="H2703" s="5" t="str">
        <f ca="1">IFERROR(__xludf.DUMMYFUNCTION("""COMPUTED_VALUE"""),"طريق الرياض -ناصر -بني سويف داخل عيادات جلوبال كير
")</f>
        <v xml:space="preserve">طريق الرياض -ناصر -بني سويف داخل عيادات جلوبال كير
</v>
      </c>
      <c r="I2703" s="6" t="str">
        <f ca="1">IFERROR(__xludf.DUMMYFUNCTION("""COMPUTED_VALUE"""),"01015049179
")</f>
        <v xml:space="preserve">01015049179
</v>
      </c>
      <c r="J2703" s="6"/>
      <c r="K2703" s="6" t="str">
        <f ca="1">IFERROR(__xludf.DUMMYFUNCTION("""COMPUTED_VALUE"""),"20% نسبة خصم")</f>
        <v>20% نسبة خصم</v>
      </c>
    </row>
    <row r="2704" spans="1:11" x14ac:dyDescent="0.25">
      <c r="A2704" s="4" t="str">
        <f ca="1">IFERROR(__xludf.DUMMYFUNCTION("""COMPUTED_VALUE"""),"107067")</f>
        <v>107067</v>
      </c>
      <c r="B2704" s="5" t="str">
        <f ca="1">IFERROR(__xludf.DUMMYFUNCTION("""COMPUTED_VALUE"""),"الجيزة")</f>
        <v>الجيزة</v>
      </c>
      <c r="C2704" s="5" t="str">
        <f ca="1">IFERROR(__xludf.DUMMYFUNCTION("""COMPUTED_VALUE"""),"الدقي")</f>
        <v>الدقي</v>
      </c>
      <c r="D2704" s="5" t="str">
        <f ca="1">IFERROR(__xludf.DUMMYFUNCTION("""COMPUTED_VALUE"""),"مركز علاج طبيعي")</f>
        <v>مركز علاج طبيعي</v>
      </c>
      <c r="E2704" s="5" t="str">
        <f ca="1">IFERROR(__xludf.DUMMYFUNCTION("""COMPUTED_VALUE"""),"علاج طبيعي")</f>
        <v>علاج طبيعي</v>
      </c>
      <c r="F2704" s="5" t="str">
        <f ca="1">IFERROR(__xludf.DUMMYFUNCTION("""COMPUTED_VALUE"""),"جلسات العلاج الطبيعي")</f>
        <v>جلسات العلاج الطبيعي</v>
      </c>
      <c r="G2704" s="5" t="str">
        <f ca="1">IFERROR(__xludf.DUMMYFUNCTION("""COMPUTED_VALUE"""),"اسلام السعيد محمد سليمان (مركز العاصمه للعلاج الطبيعي و التأهيل)")</f>
        <v>اسلام السعيد محمد سليمان (مركز العاصمه للعلاج الطبيعي و التأهيل)</v>
      </c>
      <c r="H2704" s="5" t="str">
        <f ca="1">IFERROR(__xludf.DUMMYFUNCTION("""COMPUTED_VALUE"""),"4 ش طيبه - الدقي - الجيزه")</f>
        <v>4 ش طيبه - الدقي - الجيزه</v>
      </c>
      <c r="I2704" s="6" t="str">
        <f ca="1">IFERROR(__xludf.DUMMYFUNCTION("""COMPUTED_VALUE"""),"01143555325")</f>
        <v>01143555325</v>
      </c>
      <c r="J2704" s="6"/>
      <c r="K2704" s="6" t="str">
        <f ca="1">IFERROR(__xludf.DUMMYFUNCTION("""COMPUTED_VALUE"""),"خصم 30% علي الاسعار النقدي")</f>
        <v>خصم 30% علي الاسعار النقدي</v>
      </c>
    </row>
    <row r="2705" spans="1:11" x14ac:dyDescent="0.25">
      <c r="A2705" s="4" t="str">
        <f ca="1">IFERROR(__xludf.DUMMYFUNCTION("""COMPUTED_VALUE"""),"107068")</f>
        <v>107068</v>
      </c>
      <c r="B2705" s="5" t="str">
        <f ca="1">IFERROR(__xludf.DUMMYFUNCTION("""COMPUTED_VALUE"""),"الشرقية")</f>
        <v>الشرقية</v>
      </c>
      <c r="C2705" s="5" t="str">
        <f ca="1">IFERROR(__xludf.DUMMYFUNCTION("""COMPUTED_VALUE"""),"الزقازيق")</f>
        <v>الزقازيق</v>
      </c>
      <c r="D2705" s="5" t="str">
        <f ca="1">IFERROR(__xludf.DUMMYFUNCTION("""COMPUTED_VALUE"""),"هيئة الأطباء")</f>
        <v>هيئة الأطباء</v>
      </c>
      <c r="E2705" s="5" t="str">
        <f ca="1">IFERROR(__xludf.DUMMYFUNCTION("""COMPUTED_VALUE"""),"اسنان")</f>
        <v>اسنان</v>
      </c>
      <c r="F2705" s="5" t="str">
        <f ca="1">IFERROR(__xludf.DUMMYFUNCTION("""COMPUTED_VALUE"""),"جراحة الفم والأسنان")</f>
        <v>جراحة الفم والأسنان</v>
      </c>
      <c r="G2705" s="5" t="str">
        <f ca="1">IFERROR(__xludf.DUMMYFUNCTION("""COMPUTED_VALUE"""),"محمد احمدي عبدالرحمن احمد (د/محمد السمري)")</f>
        <v>محمد احمدي عبدالرحمن احمد (د/محمد السمري)</v>
      </c>
      <c r="H2705" s="5" t="str">
        <f ca="1">IFERROR(__xludf.DUMMYFUNCTION("""COMPUTED_VALUE"""),"برج ريتاج ش طلبه عويضه - الزقازيق - الشرقيه")</f>
        <v>برج ريتاج ش طلبه عويضه - الزقازيق - الشرقيه</v>
      </c>
      <c r="I2705" s="6" t="str">
        <f ca="1">IFERROR(__xludf.DUMMYFUNCTION("""COMPUTED_VALUE"""),"01140260002")</f>
        <v>01140260002</v>
      </c>
      <c r="J2705" s="6"/>
      <c r="K2705" s="6" t="str">
        <f ca="1">IFERROR(__xludf.DUMMYFUNCTION("""COMPUTED_VALUE"""),"خصم 30% علي الاسعار النقدي")</f>
        <v>خصم 30% علي الاسعار النقدي</v>
      </c>
    </row>
    <row r="2706" spans="1:11" x14ac:dyDescent="0.25">
      <c r="A2706" s="4" t="str">
        <f ca="1">IFERROR(__xludf.DUMMYFUNCTION("""COMPUTED_VALUE"""),"107069")</f>
        <v>107069</v>
      </c>
      <c r="B2706" s="5" t="str">
        <f ca="1">IFERROR(__xludf.DUMMYFUNCTION("""COMPUTED_VALUE"""),"القاهرة")</f>
        <v>القاهرة</v>
      </c>
      <c r="C2706" s="5" t="str">
        <f ca="1">IFERROR(__xludf.DUMMYFUNCTION("""COMPUTED_VALUE"""),"عين شمس")</f>
        <v>عين شمس</v>
      </c>
      <c r="D2706" s="5" t="str">
        <f ca="1">IFERROR(__xludf.DUMMYFUNCTION("""COMPUTED_VALUE"""),"مركز علاج طبيعي")</f>
        <v>مركز علاج طبيعي</v>
      </c>
      <c r="E2706" s="5" t="str">
        <f ca="1">IFERROR(__xludf.DUMMYFUNCTION("""COMPUTED_VALUE"""),"علاج طبيعي")</f>
        <v>علاج طبيعي</v>
      </c>
      <c r="F2706" s="5" t="str">
        <f ca="1">IFERROR(__xludf.DUMMYFUNCTION("""COMPUTED_VALUE"""),"جلسات العلاج الطبيعي")</f>
        <v>جلسات العلاج الطبيعي</v>
      </c>
      <c r="G2706" s="5" t="str">
        <f ca="1">IFERROR(__xludf.DUMMYFUNCTION("""COMPUTED_VALUE"""),"كريم محمد نبيه حامد درباله (مركز النيل التخصصي)")</f>
        <v>كريم محمد نبيه حامد درباله (مركز النيل التخصصي)</v>
      </c>
      <c r="H2706" s="5" t="str">
        <f ca="1">IFERROR(__xludf.DUMMYFUNCTION("""COMPUTED_VALUE"""),"8 شارع محمد رشاد - شارع احند عصمت - عين شمس - القاهره")</f>
        <v>8 شارع محمد رشاد - شارع احند عصمت - عين شمس - القاهره</v>
      </c>
      <c r="I2706" s="6" t="str">
        <f ca="1">IFERROR(__xludf.DUMMYFUNCTION("""COMPUTED_VALUE"""),"01005119720")</f>
        <v>01005119720</v>
      </c>
      <c r="J2706" s="6"/>
      <c r="K2706" s="6" t="str">
        <f ca="1">IFERROR(__xludf.DUMMYFUNCTION("""COMPUTED_VALUE"""),"خصم 30% علي الاسعار النقدي")</f>
        <v>خصم 30% علي الاسعار النقدي</v>
      </c>
    </row>
    <row r="2707" spans="1:11" x14ac:dyDescent="0.25">
      <c r="A2707" s="4" t="str">
        <f ca="1">IFERROR(__xludf.DUMMYFUNCTION("""COMPUTED_VALUE"""),"107070")</f>
        <v>107070</v>
      </c>
      <c r="B2707" s="5" t="str">
        <f ca="1">IFERROR(__xludf.DUMMYFUNCTION("""COMPUTED_VALUE"""),"أسيوط")</f>
        <v>أسيوط</v>
      </c>
      <c r="C2707" s="5" t="str">
        <f ca="1">IFERROR(__xludf.DUMMYFUNCTION("""COMPUTED_VALUE"""),"القوصية")</f>
        <v>القوصية</v>
      </c>
      <c r="D2707" s="5" t="str">
        <f ca="1">IFERROR(__xludf.DUMMYFUNCTION("""COMPUTED_VALUE"""),"هيئة الأطباء")</f>
        <v>هيئة الأطباء</v>
      </c>
      <c r="E2707" s="5" t="str">
        <f ca="1">IFERROR(__xludf.DUMMYFUNCTION("""COMPUTED_VALUE"""),"باطنة")</f>
        <v>باطنة</v>
      </c>
      <c r="F2707" s="5" t="str">
        <f ca="1">IFERROR(__xludf.DUMMYFUNCTION("""COMPUTED_VALUE"""),"باطنة عامة")</f>
        <v>باطنة عامة</v>
      </c>
      <c r="G2707" s="5" t="str">
        <f ca="1">IFERROR(__xludf.DUMMYFUNCTION("""COMPUTED_VALUE"""),"د/ جادالله عوض حنا جادالله")</f>
        <v>د/ جادالله عوض حنا جادالله</v>
      </c>
      <c r="H2707" s="5" t="str">
        <f ca="1">IFERROR(__xludf.DUMMYFUNCTION("""COMPUTED_VALUE"""),"شارع راعيه الطفل - القوصيه - أسيوط")</f>
        <v>شارع راعيه الطفل - القوصيه - أسيوط</v>
      </c>
      <c r="I2707" s="6" t="str">
        <f ca="1">IFERROR(__xludf.DUMMYFUNCTION("""COMPUTED_VALUE"""),"01224647390")</f>
        <v>01224647390</v>
      </c>
      <c r="J2707" s="6"/>
      <c r="K2707" s="6" t="str">
        <f ca="1">IFERROR(__xludf.DUMMYFUNCTION("""COMPUTED_VALUE"""),"خصم 30% علي الاسعار النقدي")</f>
        <v>خصم 30% علي الاسعار النقدي</v>
      </c>
    </row>
    <row r="2708" spans="1:11" x14ac:dyDescent="0.25">
      <c r="A2708" s="4" t="str">
        <f ca="1">IFERROR(__xludf.DUMMYFUNCTION("""COMPUTED_VALUE"""),"106884-B")</f>
        <v>106884-B</v>
      </c>
      <c r="B2708" s="5" t="str">
        <f ca="1">IFERROR(__xludf.DUMMYFUNCTION("""COMPUTED_VALUE"""),"الجيزة")</f>
        <v>الجيزة</v>
      </c>
      <c r="C2708" s="5" t="str">
        <f ca="1">IFERROR(__xludf.DUMMYFUNCTION("""COMPUTED_VALUE"""),"المهندسين")</f>
        <v>المهندسين</v>
      </c>
      <c r="D2708" s="5" t="str">
        <f ca="1">IFERROR(__xludf.DUMMYFUNCTION("""COMPUTED_VALUE"""),"شركة")</f>
        <v>شركة</v>
      </c>
      <c r="E2708" s="5" t="str">
        <f ca="1">IFERROR(__xludf.DUMMYFUNCTION("""COMPUTED_VALUE"""),"شركة اجهزة طبية")</f>
        <v>شركة اجهزة طبية</v>
      </c>
      <c r="F2708" s="5" t="str">
        <f ca="1">IFERROR(__xludf.DUMMYFUNCTION("""COMPUTED_VALUE"""),"مستلزمات واجهزة طبية")</f>
        <v>مستلزمات واجهزة طبية</v>
      </c>
      <c r="G2708" s="5" t="str">
        <f ca="1">IFERROR(__xludf.DUMMYFUNCTION("""COMPUTED_VALUE"""),"الشركه العربية للسمعيات عرب تون")</f>
        <v>الشركه العربية للسمعيات عرب تون</v>
      </c>
      <c r="H2708" s="5" t="str">
        <f ca="1">IFERROR(__xludf.DUMMYFUNCTION("""COMPUTED_VALUE"""),"3 ش البطل احمد عبد العزيز - المهندسين")</f>
        <v>3 ش البطل احمد عبد العزيز - المهندسين</v>
      </c>
      <c r="I2708" s="6" t="str">
        <f ca="1">IFERROR(__xludf.DUMMYFUNCTION("""COMPUTED_VALUE"""),"01021177179")</f>
        <v>01021177179</v>
      </c>
      <c r="J2708" s="6"/>
      <c r="K2708" s="6" t="str">
        <f ca="1">IFERROR(__xludf.DUMMYFUNCTION("""COMPUTED_VALUE"""),"خصم 30% علي الاسعار النقدي")</f>
        <v>خصم 30% علي الاسعار النقدي</v>
      </c>
    </row>
    <row r="2709" spans="1:11" x14ac:dyDescent="0.25">
      <c r="A2709" s="4" t="str">
        <f ca="1">IFERROR(__xludf.DUMMYFUNCTION("""COMPUTED_VALUE"""),"105675-B")</f>
        <v>105675-B</v>
      </c>
      <c r="B2709" s="5" t="str">
        <f ca="1">IFERROR(__xludf.DUMMYFUNCTION("""COMPUTED_VALUE"""),"الجيزة")</f>
        <v>الجيزة</v>
      </c>
      <c r="C2709" s="5" t="str">
        <f ca="1">IFERROR(__xludf.DUMMYFUNCTION("""COMPUTED_VALUE"""),"السادس من اكتوبر")</f>
        <v>السادس من اكتوبر</v>
      </c>
      <c r="D2709" s="5" t="str">
        <f ca="1">IFERROR(__xludf.DUMMYFUNCTION("""COMPUTED_VALUE"""),"مركز أشعة")</f>
        <v>مركز أشعة</v>
      </c>
      <c r="E2709" s="5" t="str">
        <f ca="1">IFERROR(__xludf.DUMMYFUNCTION("""COMPUTED_VALUE"""),"مركز أشعة")</f>
        <v>مركز أشعة</v>
      </c>
      <c r="F2709" s="5" t="str">
        <f ca="1">IFERROR(__xludf.DUMMYFUNCTION("""COMPUTED_VALUE"""),"مركز الأشعة التشخيصية")</f>
        <v>مركز الأشعة التشخيصية</v>
      </c>
      <c r="G2709" s="5" t="str">
        <f ca="1">IFERROR(__xludf.DUMMYFUNCTION("""COMPUTED_VALUE"""),"مركز الشروق للاشعه")</f>
        <v>مركز الشروق للاشعه</v>
      </c>
      <c r="H2709" s="5" t="str">
        <f ca="1">IFERROR(__xludf.DUMMYFUNCTION("""COMPUTED_VALUE"""),"كايرو ميديكال سنتر بجوار مستشفي ايدن - بعد ميدان النجدة مباشره -المحور المركزي")</f>
        <v>كايرو ميديكال سنتر بجوار مستشفي ايدن - بعد ميدان النجدة مباشره -المحور المركزي</v>
      </c>
      <c r="I2709" s="6"/>
      <c r="J2709" s="6" t="str">
        <f ca="1">IFERROR(__xludf.DUMMYFUNCTION("""COMPUTED_VALUE"""),"15184")</f>
        <v>15184</v>
      </c>
      <c r="K2709" s="6" t="str">
        <f ca="1">IFERROR(__xludf.DUMMYFUNCTION("""COMPUTED_VALUE"""),"30% علي الأشعه، 35% علي التحاليل ماعدا الصبغه و التخدير ")</f>
        <v xml:space="preserve">30% علي الأشعه، 35% علي التحاليل ماعدا الصبغه و التخدير </v>
      </c>
    </row>
    <row r="2710" spans="1:11" x14ac:dyDescent="0.25">
      <c r="A2710" s="4" t="str">
        <f ca="1">IFERROR(__xludf.DUMMYFUNCTION("""COMPUTED_VALUE"""),"105675-B")</f>
        <v>105675-B</v>
      </c>
      <c r="B2710" s="5" t="str">
        <f ca="1">IFERROR(__xludf.DUMMYFUNCTION("""COMPUTED_VALUE"""),"الجيزة")</f>
        <v>الجيزة</v>
      </c>
      <c r="C2710" s="5" t="str">
        <f ca="1">IFERROR(__xludf.DUMMYFUNCTION("""COMPUTED_VALUE"""),"الهرم")</f>
        <v>الهرم</v>
      </c>
      <c r="D2710" s="5" t="str">
        <f ca="1">IFERROR(__xludf.DUMMYFUNCTION("""COMPUTED_VALUE"""),"مركز أشعة")</f>
        <v>مركز أشعة</v>
      </c>
      <c r="E2710" s="5" t="str">
        <f ca="1">IFERROR(__xludf.DUMMYFUNCTION("""COMPUTED_VALUE"""),"مركز أشعة")</f>
        <v>مركز أشعة</v>
      </c>
      <c r="F2710" s="5" t="str">
        <f ca="1">IFERROR(__xludf.DUMMYFUNCTION("""COMPUTED_VALUE"""),"مركز الأشعة التشخيصية")</f>
        <v>مركز الأشعة التشخيصية</v>
      </c>
      <c r="G2710" s="5" t="str">
        <f ca="1">IFERROR(__xludf.DUMMYFUNCTION("""COMPUTED_VALUE"""),"مركز الشروق للاشعه")</f>
        <v>مركز الشروق للاشعه</v>
      </c>
      <c r="H2710" s="5" t="str">
        <f ca="1">IFERROR(__xludf.DUMMYFUNCTION("""COMPUTED_VALUE"""),"رقم 1ش طارق شبيطة متفرع من عثمان محرم - الدور الثالث - بجوار التوحيد والنور - الطالبية - الهرم")</f>
        <v>رقم 1ش طارق شبيطة متفرع من عثمان محرم - الدور الثالث - بجوار التوحيد والنور - الطالبية - الهرم</v>
      </c>
      <c r="I2710" s="6"/>
      <c r="J2710" s="6" t="str">
        <f ca="1">IFERROR(__xludf.DUMMYFUNCTION("""COMPUTED_VALUE"""),"15184")</f>
        <v>15184</v>
      </c>
      <c r="K2710" s="6" t="str">
        <f ca="1">IFERROR(__xludf.DUMMYFUNCTION("""COMPUTED_VALUE"""),"30% علي الأشعه، 35% علي التحاليل ماعدا الصبغه و التخدير ")</f>
        <v xml:space="preserve">30% علي الأشعه، 35% علي التحاليل ماعدا الصبغه و التخدير </v>
      </c>
    </row>
    <row r="2711" spans="1:11" x14ac:dyDescent="0.25">
      <c r="A2711" s="4" t="str">
        <f ca="1">IFERROR(__xludf.DUMMYFUNCTION("""COMPUTED_VALUE"""),"104971-B")</f>
        <v>104971-B</v>
      </c>
      <c r="B2711" s="5" t="str">
        <f ca="1">IFERROR(__xludf.DUMMYFUNCTION("""COMPUTED_VALUE"""),"الجيزة")</f>
        <v>الجيزة</v>
      </c>
      <c r="C2711" s="5" t="str">
        <f ca="1">IFERROR(__xludf.DUMMYFUNCTION("""COMPUTED_VALUE"""),"بشتيل")</f>
        <v>بشتيل</v>
      </c>
      <c r="D2711" s="5" t="str">
        <f ca="1">IFERROR(__xludf.DUMMYFUNCTION("""COMPUTED_VALUE"""),"صيدلية")</f>
        <v>صيدلية</v>
      </c>
      <c r="E2711" s="5" t="str">
        <f ca="1">IFERROR(__xludf.DUMMYFUNCTION("""COMPUTED_VALUE"""),"صيدلية")</f>
        <v>صيدلية</v>
      </c>
      <c r="F2711" s="5" t="str">
        <f ca="1">IFERROR(__xludf.DUMMYFUNCTION("""COMPUTED_VALUE"""),"صيدلية (أدوية ومستلزمات طبية)")</f>
        <v>صيدلية (أدوية ومستلزمات طبية)</v>
      </c>
      <c r="G2711" s="5" t="str">
        <f ca="1">IFERROR(__xludf.DUMMYFUNCTION("""COMPUTED_VALUE"""),"صيدلية د/ مايكل فكرى عبد الملك ( صيدلية رامي )")</f>
        <v>صيدلية د/ مايكل فكرى عبد الملك ( صيدلية رامي )</v>
      </c>
      <c r="H2711" s="5" t="str">
        <f ca="1">IFERROR(__xludf.DUMMYFUNCTION("""COMPUTED_VALUE"""),"54ش الاقصر - امبابة
")</f>
        <v xml:space="preserve">54ش الاقصر - امبابة
</v>
      </c>
      <c r="I2711" s="6" t="str">
        <f ca="1">IFERROR(__xludf.DUMMYFUNCTION("""COMPUTED_VALUE"""),"2037094465")</f>
        <v>2037094465</v>
      </c>
      <c r="J2711" s="6"/>
      <c r="K2711" s="6" t="str">
        <f ca="1">IFERROR(__xludf.DUMMYFUNCTION("""COMPUTED_VALUE"""),"خصم 13% علي المحلي و 6% علي المستورد")</f>
        <v>خصم 13% علي المحلي و 6% علي المستورد</v>
      </c>
    </row>
    <row r="2712" spans="1:11" x14ac:dyDescent="0.25">
      <c r="A2712" s="4" t="str">
        <f ca="1">IFERROR(__xludf.DUMMYFUNCTION("""COMPUTED_VALUE"""),"106838-B")</f>
        <v>106838-B</v>
      </c>
      <c r="B2712" s="5" t="str">
        <f ca="1">IFERROR(__xludf.DUMMYFUNCTION("""COMPUTED_VALUE"""),"القاهرة")</f>
        <v>القاهرة</v>
      </c>
      <c r="C2712" s="5" t="str">
        <f ca="1">IFERROR(__xludf.DUMMYFUNCTION("""COMPUTED_VALUE"""),"مدينة نصر")</f>
        <v>مدينة نصر</v>
      </c>
      <c r="D2712" s="5" t="str">
        <f ca="1">IFERROR(__xludf.DUMMYFUNCTION("""COMPUTED_VALUE"""),"شركة")</f>
        <v>شركة</v>
      </c>
      <c r="E2712" s="5" t="str">
        <f ca="1">IFERROR(__xludf.DUMMYFUNCTION("""COMPUTED_VALUE"""),"شركة اجهزة طبية")</f>
        <v>شركة اجهزة طبية</v>
      </c>
      <c r="F2712" s="5" t="str">
        <f ca="1">IFERROR(__xludf.DUMMYFUNCTION("""COMPUTED_VALUE"""),"مستلزمات واجهزة طبية")</f>
        <v>مستلزمات واجهزة طبية</v>
      </c>
      <c r="G2712" s="5" t="str">
        <f ca="1">IFERROR(__xludf.DUMMYFUNCTION("""COMPUTED_VALUE"""),"مؤمن سعد عبدالقادر صبح (مؤسسه سوليد تريد للتوريدات العموميه)")</f>
        <v>مؤمن سعد عبدالقادر صبح (مؤسسه سوليد تريد للتوريدات العموميه)</v>
      </c>
      <c r="H2712" s="5" t="str">
        <f ca="1">IFERROR(__xludf.DUMMYFUNCTION("""COMPUTED_VALUE"""),"14ش ابن هانى الاندلسى متفرع من شارع الطيران بجوار مستشفي كيور النصر -مدينه نصر -القاهره
")</f>
        <v xml:space="preserve">14ش ابن هانى الاندلسى متفرع من شارع الطيران بجوار مستشفي كيور النصر -مدينه نصر -القاهره
</v>
      </c>
      <c r="I2712" s="6" t="str">
        <f ca="1">IFERROR(__xludf.DUMMYFUNCTION("""COMPUTED_VALUE"""),"01025059111")</f>
        <v>01025059111</v>
      </c>
      <c r="J2712" s="6"/>
      <c r="K2712" s="6" t="str">
        <f ca="1">IFERROR(__xludf.DUMMYFUNCTION("""COMPUTED_VALUE"""),"خصم 15% علي الاسعار النقدي")</f>
        <v>خصم 15% علي الاسعار النقدي</v>
      </c>
    </row>
    <row r="2713" spans="1:11" x14ac:dyDescent="0.25">
      <c r="A2713" s="4" t="str">
        <f ca="1">IFERROR(__xludf.DUMMYFUNCTION("""COMPUTED_VALUE"""),"2296-B")</f>
        <v>2296-B</v>
      </c>
      <c r="B2713" s="5" t="str">
        <f ca="1">IFERROR(__xludf.DUMMYFUNCTION("""COMPUTED_VALUE"""),"القاهرة")</f>
        <v>القاهرة</v>
      </c>
      <c r="C2713" s="5" t="str">
        <f ca="1">IFERROR(__xludf.DUMMYFUNCTION("""COMPUTED_VALUE"""),"حلوان")</f>
        <v>حلوان</v>
      </c>
      <c r="D2713" s="5" t="str">
        <f ca="1">IFERROR(__xludf.DUMMYFUNCTION("""COMPUTED_VALUE"""),"معمل")</f>
        <v>معمل</v>
      </c>
      <c r="E2713" s="5" t="str">
        <f ca="1">IFERROR(__xludf.DUMMYFUNCTION("""COMPUTED_VALUE"""),"معمل")</f>
        <v>معمل</v>
      </c>
      <c r="F2713" s="5" t="str">
        <f ca="1">IFERROR(__xludf.DUMMYFUNCTION("""COMPUTED_VALUE"""),"معمل التحاليل الطبية")</f>
        <v>معمل التحاليل الطبية</v>
      </c>
      <c r="G2713" s="5" t="str">
        <f ca="1">IFERROR(__xludf.DUMMYFUNCTION("""COMPUTED_VALUE"""),"كايرو لاب")</f>
        <v>كايرو لاب</v>
      </c>
      <c r="H2713" s="5" t="str">
        <f ca="1">IFERROR(__xludf.DUMMYFUNCTION("""COMPUTED_VALUE"""),"دهب مول بجوار مستشفي تبارك - حلوان")</f>
        <v>دهب مول بجوار مستشفي تبارك - حلوان</v>
      </c>
      <c r="I2713" s="6"/>
      <c r="J2713" s="6" t="str">
        <f ca="1">IFERROR(__xludf.DUMMYFUNCTION("""COMPUTED_VALUE"""),"19962")</f>
        <v>19962</v>
      </c>
      <c r="K2713" s="6" t="str">
        <f ca="1">IFERROR(__xludf.DUMMYFUNCTION("""COMPUTED_VALUE"""),"خصم 25% علي كل التحاليل علي الاسعار النقدي المعلنه.")</f>
        <v>خصم 25% علي كل التحاليل علي الاسعار النقدي المعلنه.</v>
      </c>
    </row>
    <row r="2714" spans="1:11" x14ac:dyDescent="0.25">
      <c r="A2714" s="4" t="str">
        <f ca="1">IFERROR(__xludf.DUMMYFUNCTION("""COMPUTED_VALUE"""),"105178-B")</f>
        <v>105178-B</v>
      </c>
      <c r="B2714" s="5" t="str">
        <f ca="1">IFERROR(__xludf.DUMMYFUNCTION("""COMPUTED_VALUE"""),"القاهرة")</f>
        <v>القاهرة</v>
      </c>
      <c r="C2714" s="5" t="str">
        <f ca="1">IFERROR(__xludf.DUMMYFUNCTION("""COMPUTED_VALUE"""),"المعادى")</f>
        <v>المعادى</v>
      </c>
      <c r="D2714" s="5" t="str">
        <f ca="1">IFERROR(__xludf.DUMMYFUNCTION("""COMPUTED_VALUE"""),"مركز علاج طبيعي")</f>
        <v>مركز علاج طبيعي</v>
      </c>
      <c r="E2714" s="5" t="str">
        <f ca="1">IFERROR(__xludf.DUMMYFUNCTION("""COMPUTED_VALUE"""),"علاج طبيعي")</f>
        <v>علاج طبيعي</v>
      </c>
      <c r="F2714" s="5" t="str">
        <f ca="1">IFERROR(__xludf.DUMMYFUNCTION("""COMPUTED_VALUE"""),"جلسات العلاج الطبيعي")</f>
        <v>جلسات العلاج الطبيعي</v>
      </c>
      <c r="G2714" s="5" t="str">
        <f ca="1">IFERROR(__xludf.DUMMYFUNCTION("""COMPUTED_VALUE"""),"الشركة المصرية لخدمات العلاج الطبيعي")</f>
        <v>الشركة المصرية لخدمات العلاج الطبيعي</v>
      </c>
      <c r="H2714" s="5" t="str">
        <f ca="1">IFERROR(__xludf.DUMMYFUNCTION("""COMPUTED_VALUE"""),"شارع عز الدين طه - خلف الليثي للسيارات - امام صيدليه القناعه")</f>
        <v>شارع عز الدين طه - خلف الليثي للسيارات - امام صيدليه القناعه</v>
      </c>
      <c r="I2714" s="6" t="str">
        <f ca="1">IFERROR(__xludf.DUMMYFUNCTION("""COMPUTED_VALUE"""),"201060040056")</f>
        <v>201060040056</v>
      </c>
      <c r="J2714" s="6"/>
      <c r="K2714" s="6" t="str">
        <f ca="1">IFERROR(__xludf.DUMMYFUNCTION("""COMPUTED_VALUE"""),"خصم 25% علي الأسعار النقدي المعلنه")</f>
        <v>خصم 25% علي الأسعار النقدي المعلنه</v>
      </c>
    </row>
    <row r="2715" spans="1:11" x14ac:dyDescent="0.25">
      <c r="A2715" s="4" t="str">
        <f ca="1">IFERROR(__xludf.DUMMYFUNCTION("""COMPUTED_VALUE"""),"105523-B")</f>
        <v>105523-B</v>
      </c>
      <c r="B2715" s="5" t="str">
        <f ca="1">IFERROR(__xludf.DUMMYFUNCTION("""COMPUTED_VALUE"""),"الجيزة")</f>
        <v>الجيزة</v>
      </c>
      <c r="C2715" s="5" t="str">
        <f ca="1">IFERROR(__xludf.DUMMYFUNCTION("""COMPUTED_VALUE"""),"ميدان الجيزة")</f>
        <v>ميدان الجيزة</v>
      </c>
      <c r="D2715" s="5" t="str">
        <f ca="1">IFERROR(__xludf.DUMMYFUNCTION("""COMPUTED_VALUE"""),"معمل")</f>
        <v>معمل</v>
      </c>
      <c r="E2715" s="5" t="str">
        <f ca="1">IFERROR(__xludf.DUMMYFUNCTION("""COMPUTED_VALUE"""),"معمل")</f>
        <v>معمل</v>
      </c>
      <c r="F2715" s="5" t="str">
        <f ca="1">IFERROR(__xludf.DUMMYFUNCTION("""COMPUTED_VALUE"""),"معمل التحاليل الطبية")</f>
        <v>معمل التحاليل الطبية</v>
      </c>
      <c r="G2715" s="5" t="str">
        <f ca="1">IFERROR(__xludf.DUMMYFUNCTION("""COMPUTED_VALUE"""),"تاون لاب للتحاليل الطبيه")</f>
        <v>تاون لاب للتحاليل الطبيه</v>
      </c>
      <c r="H2715" s="5" t="str">
        <f ca="1">IFERROR(__xludf.DUMMYFUNCTION("""COMPUTED_VALUE"""),"30 ش مراد اعلي فرع فودافون
")</f>
        <v xml:space="preserve">30 ش مراد اعلي فرع فودافون
</v>
      </c>
      <c r="I2715" s="6" t="str">
        <f ca="1">IFERROR(__xludf.DUMMYFUNCTION("""COMPUTED_VALUE"""),"201203333896")</f>
        <v>201203333896</v>
      </c>
      <c r="J2715" s="6"/>
      <c r="K2715" s="6" t="str">
        <f ca="1">IFERROR(__xludf.DUMMYFUNCTION("""COMPUTED_VALUE"""),"خصم 35% علي الأسعار النقدي المعلنة")</f>
        <v>خصم 35% علي الأسعار النقدي المعلنة</v>
      </c>
    </row>
    <row r="2716" spans="1:11" x14ac:dyDescent="0.25">
      <c r="A2716" s="4" t="str">
        <f ca="1">IFERROR(__xludf.DUMMYFUNCTION("""COMPUTED_VALUE"""),"104199-B")</f>
        <v>104199-B</v>
      </c>
      <c r="B2716" s="5" t="str">
        <f ca="1">IFERROR(__xludf.DUMMYFUNCTION("""COMPUTED_VALUE"""),"القاهرة")</f>
        <v>القاهرة</v>
      </c>
      <c r="C2716" s="5" t="str">
        <f ca="1">IFERROR(__xludf.DUMMYFUNCTION("""COMPUTED_VALUE"""),"المنيل")</f>
        <v>المنيل</v>
      </c>
      <c r="D2716" s="5" t="str">
        <f ca="1">IFERROR(__xludf.DUMMYFUNCTION("""COMPUTED_VALUE"""),"معمل")</f>
        <v>معمل</v>
      </c>
      <c r="E2716" s="5" t="str">
        <f ca="1">IFERROR(__xludf.DUMMYFUNCTION("""COMPUTED_VALUE"""),"معمل")</f>
        <v>معمل</v>
      </c>
      <c r="F2716" s="5" t="str">
        <f ca="1">IFERROR(__xludf.DUMMYFUNCTION("""COMPUTED_VALUE"""),"معمل التحاليل الطبية")</f>
        <v>معمل التحاليل الطبية</v>
      </c>
      <c r="G2716" s="5" t="str">
        <f ca="1">IFERROR(__xludf.DUMMYFUNCTION("""COMPUTED_VALUE"""),"معامل ترست")</f>
        <v>معامل ترست</v>
      </c>
      <c r="H2716" s="5" t="str">
        <f ca="1">IFERROR(__xludf.DUMMYFUNCTION("""COMPUTED_VALUE"""),"9 شارع السرايا،اعلي كنتاكي ، المنيل")</f>
        <v>9 شارع السرايا،اعلي كنتاكي ، المنيل</v>
      </c>
      <c r="I2716" s="6"/>
      <c r="J2716" s="6" t="str">
        <f ca="1">IFERROR(__xludf.DUMMYFUNCTION("""COMPUTED_VALUE"""),"19649")</f>
        <v>19649</v>
      </c>
      <c r="K2716" s="6" t="str">
        <f ca="1">IFERROR(__xludf.DUMMYFUNCTION("""COMPUTED_VALUE"""),"خصم 30% علي الاسعار المعلنة")</f>
        <v>خصم 30% علي الاسعار المعلنة</v>
      </c>
    </row>
    <row r="2717" spans="1:11" x14ac:dyDescent="0.25">
      <c r="A2717" s="4" t="str">
        <f ca="1">IFERROR(__xludf.DUMMYFUNCTION("""COMPUTED_VALUE"""),"104199-B")</f>
        <v>104199-B</v>
      </c>
      <c r="B2717" s="5" t="str">
        <f ca="1">IFERROR(__xludf.DUMMYFUNCTION("""COMPUTED_VALUE"""),"القاهرة")</f>
        <v>القاهرة</v>
      </c>
      <c r="C2717" s="5" t="str">
        <f ca="1">IFERROR(__xludf.DUMMYFUNCTION("""COMPUTED_VALUE"""),"مصر الجديدة")</f>
        <v>مصر الجديدة</v>
      </c>
      <c r="D2717" s="5" t="str">
        <f ca="1">IFERROR(__xludf.DUMMYFUNCTION("""COMPUTED_VALUE"""),"معمل")</f>
        <v>معمل</v>
      </c>
      <c r="E2717" s="5" t="str">
        <f ca="1">IFERROR(__xludf.DUMMYFUNCTION("""COMPUTED_VALUE"""),"معمل")</f>
        <v>معمل</v>
      </c>
      <c r="F2717" s="5" t="str">
        <f ca="1">IFERROR(__xludf.DUMMYFUNCTION("""COMPUTED_VALUE"""),"معمل التحاليل الطبية")</f>
        <v>معمل التحاليل الطبية</v>
      </c>
      <c r="G2717" s="5" t="str">
        <f ca="1">IFERROR(__xludf.DUMMYFUNCTION("""COMPUTED_VALUE"""),"معامل ترست")</f>
        <v>معامل ترست</v>
      </c>
      <c r="H2717" s="5" t="str">
        <f ca="1">IFERROR(__xludf.DUMMYFUNCTION("""COMPUTED_VALUE"""),"60ش الخليفه المامون اعلي سوق الكمبيوتر -روكسي -مصر الجديده")</f>
        <v>60ش الخليفه المامون اعلي سوق الكمبيوتر -روكسي -مصر الجديده</v>
      </c>
      <c r="I2717" s="6"/>
      <c r="J2717" s="6" t="str">
        <f ca="1">IFERROR(__xludf.DUMMYFUNCTION("""COMPUTED_VALUE"""),"19649")</f>
        <v>19649</v>
      </c>
      <c r="K2717" s="6" t="str">
        <f ca="1">IFERROR(__xludf.DUMMYFUNCTION("""COMPUTED_VALUE"""),"خصم 30% علي الاسعار المعلنة")</f>
        <v>خصم 30% علي الاسعار المعلنة</v>
      </c>
    </row>
    <row r="2718" spans="1:11" x14ac:dyDescent="0.25">
      <c r="A2718" s="4" t="str">
        <f ca="1">IFERROR(__xludf.DUMMYFUNCTION("""COMPUTED_VALUE"""),"1926-B")</f>
        <v>1926-B</v>
      </c>
      <c r="B2718" s="5" t="str">
        <f ca="1">IFERROR(__xludf.DUMMYFUNCTION("""COMPUTED_VALUE"""),"القاهرة")</f>
        <v>القاهرة</v>
      </c>
      <c r="C2718" s="5" t="str">
        <f ca="1">IFERROR(__xludf.DUMMYFUNCTION("""COMPUTED_VALUE"""),"مصر الجديدة")</f>
        <v>مصر الجديدة</v>
      </c>
      <c r="D2718" s="5" t="str">
        <f ca="1">IFERROR(__xludf.DUMMYFUNCTION("""COMPUTED_VALUE"""),"معمل")</f>
        <v>معمل</v>
      </c>
      <c r="E2718" s="5" t="str">
        <f ca="1">IFERROR(__xludf.DUMMYFUNCTION("""COMPUTED_VALUE"""),"معمل")</f>
        <v>معمل</v>
      </c>
      <c r="F2718" s="5" t="str">
        <f ca="1">IFERROR(__xludf.DUMMYFUNCTION("""COMPUTED_VALUE"""),"معمل التحاليل الطبية")</f>
        <v>معمل التحاليل الطبية</v>
      </c>
      <c r="G2718" s="5" t="str">
        <f ca="1">IFERROR(__xludf.DUMMYFUNCTION("""COMPUTED_VALUE"""),"معمل رويال لاب")</f>
        <v>معمل رويال لاب</v>
      </c>
      <c r="H2718" s="5" t="str">
        <f ca="1">IFERROR(__xludf.DUMMYFUNCTION("""COMPUTED_VALUE"""),"14 شارع مجدي - أمام كنتاكي - نزهة الجديدة-مصر الجديدة-القاهرة")</f>
        <v>14 شارع مجدي - أمام كنتاكي - نزهة الجديدة-مصر الجديدة-القاهرة</v>
      </c>
      <c r="I2718" s="6"/>
      <c r="J2718" s="6" t="str">
        <f ca="1">IFERROR(__xludf.DUMMYFUNCTION("""COMPUTED_VALUE"""),"16064")</f>
        <v>16064</v>
      </c>
      <c r="K2718" s="6" t="str">
        <f ca="1">IFERROR(__xludf.DUMMYFUNCTION("""COMPUTED_VALUE"""),"نسبة خصم 40%")</f>
        <v>نسبة خصم 40%</v>
      </c>
    </row>
    <row r="2719" spans="1:11" x14ac:dyDescent="0.25">
      <c r="A2719" s="4" t="str">
        <f ca="1">IFERROR(__xludf.DUMMYFUNCTION("""COMPUTED_VALUE"""),"106948-B")</f>
        <v>106948-B</v>
      </c>
      <c r="B2719" s="5" t="str">
        <f ca="1">IFERROR(__xludf.DUMMYFUNCTION("""COMPUTED_VALUE"""),"القاهرة")</f>
        <v>القاهرة</v>
      </c>
      <c r="C2719" s="5" t="str">
        <f ca="1">IFERROR(__xludf.DUMMYFUNCTION("""COMPUTED_VALUE"""),"مدينة الشروق")</f>
        <v>مدينة الشروق</v>
      </c>
      <c r="D2719" s="5" t="str">
        <f ca="1">IFERROR(__xludf.DUMMYFUNCTION("""COMPUTED_VALUE"""),"صيدلية")</f>
        <v>صيدلية</v>
      </c>
      <c r="E2719" s="5" t="str">
        <f ca="1">IFERROR(__xludf.DUMMYFUNCTION("""COMPUTED_VALUE"""),"صيدلية")</f>
        <v>صيدلية</v>
      </c>
      <c r="F2719" s="5" t="str">
        <f ca="1">IFERROR(__xludf.DUMMYFUNCTION("""COMPUTED_VALUE"""),"صيدلية (أدوية ومستلزمات طبية)")</f>
        <v>صيدلية (أدوية ومستلزمات طبية)</v>
      </c>
      <c r="G2719" s="5" t="str">
        <f ca="1">IFERROR(__xludf.DUMMYFUNCTION("""COMPUTED_VALUE"""),"صيدلية اللوتس ")</f>
        <v xml:space="preserve">صيدلية اللوتس </v>
      </c>
      <c r="H2719" s="5" t="str">
        <f ca="1">IFERROR(__xludf.DUMMYFUNCTION("""COMPUTED_VALUE"""),"جيت مول بجوار دار مصر الشروق")</f>
        <v>جيت مول بجوار دار مصر الشروق</v>
      </c>
      <c r="I2719" s="6"/>
      <c r="J2719" s="6" t="str">
        <f ca="1">IFERROR(__xludf.DUMMYFUNCTION("""COMPUTED_VALUE"""),"16310")</f>
        <v>16310</v>
      </c>
      <c r="K2719" s="6" t="str">
        <f ca="1">IFERROR(__xludf.DUMMYFUNCTION("""COMPUTED_VALUE"""),"خصم 10% علي المحلي و 5% علي المستورد ما عدا القائمه المرفقه")</f>
        <v>خصم 10% علي المحلي و 5% علي المستورد ما عدا القائمه المرفقه</v>
      </c>
    </row>
    <row r="2720" spans="1:11" x14ac:dyDescent="0.25">
      <c r="A2720" s="4" t="str">
        <f ca="1">IFERROR(__xludf.DUMMYFUNCTION("""COMPUTED_VALUE"""),"107072")</f>
        <v>107072</v>
      </c>
      <c r="B2720" s="5" t="str">
        <f ca="1">IFERROR(__xludf.DUMMYFUNCTION("""COMPUTED_VALUE"""),"السويس")</f>
        <v>السويس</v>
      </c>
      <c r="C2720" s="5" t="str">
        <f ca="1">IFERROR(__xludf.DUMMYFUNCTION("""COMPUTED_VALUE"""),"السويس")</f>
        <v>السويس</v>
      </c>
      <c r="D2720" s="5" t="str">
        <f ca="1">IFERROR(__xludf.DUMMYFUNCTION("""COMPUTED_VALUE"""),"مركز أشعة")</f>
        <v>مركز أشعة</v>
      </c>
      <c r="E2720" s="5" t="str">
        <f ca="1">IFERROR(__xludf.DUMMYFUNCTION("""COMPUTED_VALUE"""),"مركز أشعة")</f>
        <v>مركز أشعة</v>
      </c>
      <c r="F2720" s="5" t="str">
        <f ca="1">IFERROR(__xludf.DUMMYFUNCTION("""COMPUTED_VALUE"""),"أشعة تشخيصية")</f>
        <v>أشعة تشخيصية</v>
      </c>
      <c r="G2720" s="5" t="str">
        <f ca="1">IFERROR(__xludf.DUMMYFUNCTION("""COMPUTED_VALUE"""),"جولدن سكان للأشعه")</f>
        <v>جولدن سكان للأشعه</v>
      </c>
      <c r="H2720" s="5" t="str">
        <f ca="1">IFERROR(__xludf.DUMMYFUNCTION("""COMPUTED_VALUE"""),"32 ش الصقلي - الأربعين - السويس")</f>
        <v>32 ش الصقلي - الأربعين - السويس</v>
      </c>
      <c r="I2720" s="6" t="str">
        <f ca="1">IFERROR(__xludf.DUMMYFUNCTION("""COMPUTED_VALUE"""),"0623444858")</f>
        <v>0623444858</v>
      </c>
      <c r="J2720" s="6"/>
      <c r="K2720" s="6" t="str">
        <f ca="1">IFERROR(__xludf.DUMMYFUNCTION("""COMPUTED_VALUE"""),"خصم 30% علي الاسعار المعلنة")</f>
        <v>خصم 30% علي الاسعار المعلنة</v>
      </c>
    </row>
    <row r="2721" spans="1:11" x14ac:dyDescent="0.25">
      <c r="A2721" s="4" t="str">
        <f ca="1">IFERROR(__xludf.DUMMYFUNCTION("""COMPUTED_VALUE"""),"107072-B")</f>
        <v>107072-B</v>
      </c>
      <c r="B2721" s="5" t="str">
        <f ca="1">IFERROR(__xludf.DUMMYFUNCTION("""COMPUTED_VALUE"""),"السويس")</f>
        <v>السويس</v>
      </c>
      <c r="C2721" s="5" t="str">
        <f ca="1">IFERROR(__xludf.DUMMYFUNCTION("""COMPUTED_VALUE"""),"السويس")</f>
        <v>السويس</v>
      </c>
      <c r="D2721" s="5" t="str">
        <f ca="1">IFERROR(__xludf.DUMMYFUNCTION("""COMPUTED_VALUE"""),"مركز أشعة")</f>
        <v>مركز أشعة</v>
      </c>
      <c r="E2721" s="5" t="str">
        <f ca="1">IFERROR(__xludf.DUMMYFUNCTION("""COMPUTED_VALUE"""),"مركز أشعة")</f>
        <v>مركز أشعة</v>
      </c>
      <c r="F2721" s="5" t="str">
        <f ca="1">IFERROR(__xludf.DUMMYFUNCTION("""COMPUTED_VALUE"""),"أشعة تشخيصية")</f>
        <v>أشعة تشخيصية</v>
      </c>
      <c r="G2721" s="5" t="str">
        <f ca="1">IFERROR(__xludf.DUMMYFUNCTION("""COMPUTED_VALUE"""),"جولدن سكان للأشعه")</f>
        <v>جولدن سكان للأشعه</v>
      </c>
      <c r="H2721" s="5" t="str">
        <f ca="1">IFERROR(__xludf.DUMMYFUNCTION("""COMPUTED_VALUE"""),"الملاحه الجديدة برج لوران مسجد المحروسة")</f>
        <v>الملاحه الجديدة برج لوران مسجد المحروسة</v>
      </c>
      <c r="I2721" s="6" t="str">
        <f ca="1">IFERROR(__xludf.DUMMYFUNCTION("""COMPUTED_VALUE"""),"0623444858")</f>
        <v>0623444858</v>
      </c>
      <c r="J2721" s="6"/>
      <c r="K2721" s="6" t="str">
        <f ca="1">IFERROR(__xludf.DUMMYFUNCTION("""COMPUTED_VALUE"""),"خصم 30% علي الاسعار المعلنة")</f>
        <v>خصم 30% علي الاسعار المعلنة</v>
      </c>
    </row>
    <row r="2722" spans="1:11" x14ac:dyDescent="0.25">
      <c r="A2722" s="4" t="str">
        <f ca="1">IFERROR(__xludf.DUMMYFUNCTION("""COMPUTED_VALUE"""),"104199-B")</f>
        <v>104199-B</v>
      </c>
      <c r="B2722" s="5" t="str">
        <f ca="1">IFERROR(__xludf.DUMMYFUNCTION("""COMPUTED_VALUE"""),"البحر الاحمر")</f>
        <v>البحر الاحمر</v>
      </c>
      <c r="C2722" s="5" t="str">
        <f ca="1">IFERROR(__xludf.DUMMYFUNCTION("""COMPUTED_VALUE"""),"الغردقة")</f>
        <v>الغردقة</v>
      </c>
      <c r="D2722" s="5" t="str">
        <f ca="1">IFERROR(__xludf.DUMMYFUNCTION("""COMPUTED_VALUE"""),"معمل")</f>
        <v>معمل</v>
      </c>
      <c r="E2722" s="5" t="str">
        <f ca="1">IFERROR(__xludf.DUMMYFUNCTION("""COMPUTED_VALUE"""),"معمل")</f>
        <v>معمل</v>
      </c>
      <c r="F2722" s="5" t="str">
        <f ca="1">IFERROR(__xludf.DUMMYFUNCTION("""COMPUTED_VALUE"""),"معمل التحاليل الطبية")</f>
        <v>معمل التحاليل الطبية</v>
      </c>
      <c r="G2722" s="5" t="str">
        <f ca="1">IFERROR(__xludf.DUMMYFUNCTION("""COMPUTED_VALUE"""),"معامل ترست")</f>
        <v>معامل ترست</v>
      </c>
      <c r="H2722" s="5" t="str">
        <f ca="1">IFERROR(__xludf.DUMMYFUNCTION("""COMPUTED_VALUE"""),"مول سفن ستارز -شارع النصر -الغردقه")</f>
        <v>مول سفن ستارز -شارع النصر -الغردقه</v>
      </c>
      <c r="I2722" s="6"/>
      <c r="J2722" s="6" t="str">
        <f ca="1">IFERROR(__xludf.DUMMYFUNCTION("""COMPUTED_VALUE"""),"19649")</f>
        <v>19649</v>
      </c>
      <c r="K2722" s="6" t="str">
        <f ca="1">IFERROR(__xludf.DUMMYFUNCTION("""COMPUTED_VALUE"""),"خصم 30% علي الاسعار المعلنة")</f>
        <v>خصم 30% علي الاسعار المعلنة</v>
      </c>
    </row>
    <row r="2723" spans="1:11" x14ac:dyDescent="0.25">
      <c r="A2723" s="4" t="str">
        <f ca="1">IFERROR(__xludf.DUMMYFUNCTION("""COMPUTED_VALUE"""),"105131-B")</f>
        <v>105131-B</v>
      </c>
      <c r="B2723" s="5" t="str">
        <f ca="1">IFERROR(__xludf.DUMMYFUNCTION("""COMPUTED_VALUE"""),"المنوفية")</f>
        <v>المنوفية</v>
      </c>
      <c r="C2723" s="5" t="str">
        <f ca="1">IFERROR(__xludf.DUMMYFUNCTION("""COMPUTED_VALUE"""),"شبين الكوم")</f>
        <v>شبين الكوم</v>
      </c>
      <c r="D2723" s="5" t="str">
        <f ca="1">IFERROR(__xludf.DUMMYFUNCTION("""COMPUTED_VALUE"""),"هيئة الأطباء")</f>
        <v>هيئة الأطباء</v>
      </c>
      <c r="E2723" s="5" t="str">
        <f ca="1">IFERROR(__xludf.DUMMYFUNCTION("""COMPUTED_VALUE"""),"اسنان")</f>
        <v>اسنان</v>
      </c>
      <c r="F2723" s="5" t="str">
        <f ca="1">IFERROR(__xludf.DUMMYFUNCTION("""COMPUTED_VALUE"""),"جراحة الفم والأسنان")</f>
        <v>جراحة الفم والأسنان</v>
      </c>
      <c r="G2723" s="5" t="str">
        <f ca="1">IFERROR(__xludf.DUMMYFUNCTION("""COMPUTED_VALUE"""),"د- محمد احمد علي قريبة")</f>
        <v>د- محمد احمد علي قريبة</v>
      </c>
      <c r="H2723" s="5" t="str">
        <f ca="1">IFERROR(__xludf.DUMMYFUNCTION("""COMPUTED_VALUE"""),"برج الكوثر بجوار ميدان شرف الدور الاول")</f>
        <v>برج الكوثر بجوار ميدان شرف الدور الاول</v>
      </c>
      <c r="I2723" s="6" t="str">
        <f ca="1">IFERROR(__xludf.DUMMYFUNCTION("""COMPUTED_VALUE"""),"01552370372")</f>
        <v>01552370372</v>
      </c>
      <c r="J2723" s="6"/>
      <c r="K2723" s="6" t="str">
        <f ca="1">IFERROR(__xludf.DUMMYFUNCTION("""COMPUTED_VALUE"""),"الكشف :40جنية , نقابه 2017")</f>
        <v>الكشف :40جنية , نقابه 2017</v>
      </c>
    </row>
    <row r="2724" spans="1:11" x14ac:dyDescent="0.25">
      <c r="A2724" s="4" t="str">
        <f ca="1">IFERROR(__xludf.DUMMYFUNCTION("""COMPUTED_VALUE"""),"107073")</f>
        <v>107073</v>
      </c>
      <c r="B2724" s="5" t="str">
        <f ca="1">IFERROR(__xludf.DUMMYFUNCTION("""COMPUTED_VALUE"""),"الجيزة")</f>
        <v>الجيزة</v>
      </c>
      <c r="C2724" s="5" t="str">
        <f ca="1">IFERROR(__xludf.DUMMYFUNCTION("""COMPUTED_VALUE"""),"العجوزة")</f>
        <v>العجوزة</v>
      </c>
      <c r="D2724" s="5" t="str">
        <f ca="1">IFERROR(__xludf.DUMMYFUNCTION("""COMPUTED_VALUE"""),"مركز علاج طبيعي")</f>
        <v>مركز علاج طبيعي</v>
      </c>
      <c r="E2724" s="5" t="str">
        <f ca="1">IFERROR(__xludf.DUMMYFUNCTION("""COMPUTED_VALUE"""),"علاج طبيعي")</f>
        <v>علاج طبيعي</v>
      </c>
      <c r="F2724" s="5" t="str">
        <f ca="1">IFERROR(__xludf.DUMMYFUNCTION("""COMPUTED_VALUE"""),"جلسات العلاج الطبيعي")</f>
        <v>جلسات العلاج الطبيعي</v>
      </c>
      <c r="G2724" s="5" t="str">
        <f ca="1">IFERROR(__xludf.DUMMYFUNCTION("""COMPUTED_VALUE"""),"المركز التخصصي للتأهيل و العلاج الطبيعي")</f>
        <v>المركز التخصصي للتأهيل و العلاج الطبيعي</v>
      </c>
      <c r="H2724" s="5" t="str">
        <f ca="1">IFERROR(__xludf.DUMMYFUNCTION("""COMPUTED_VALUE"""),"10 ش محمد ابراهيم من ش أحمد عرابي - العجوزة - الجيزة")</f>
        <v>10 ش محمد ابراهيم من ش أحمد عرابي - العجوزة - الجيزة</v>
      </c>
      <c r="I2724" s="6" t="str">
        <f ca="1">IFERROR(__xludf.DUMMYFUNCTION("""COMPUTED_VALUE"""),"01121023506")</f>
        <v>01121023506</v>
      </c>
      <c r="J2724" s="6"/>
      <c r="K2724" s="6" t="str">
        <f ca="1">IFERROR(__xludf.DUMMYFUNCTION("""COMPUTED_VALUE"""),"خصم 15%علي جميع الجلسات ماعدا العلاج المائي ")</f>
        <v xml:space="preserve">خصم 15%علي جميع الجلسات ماعدا العلاج المائي </v>
      </c>
    </row>
    <row r="2725" spans="1:11" x14ac:dyDescent="0.25">
      <c r="A2725" s="4" t="str">
        <f ca="1">IFERROR(__xludf.DUMMYFUNCTION("""COMPUTED_VALUE"""),"105136-B")</f>
        <v>105136-B</v>
      </c>
      <c r="B2725" s="5" t="str">
        <f ca="1">IFERROR(__xludf.DUMMYFUNCTION("""COMPUTED_VALUE"""),"القاهرة")</f>
        <v>القاهرة</v>
      </c>
      <c r="C2725" s="5" t="str">
        <f ca="1">IFERROR(__xludf.DUMMYFUNCTION("""COMPUTED_VALUE"""),"القطامية")</f>
        <v>القطامية</v>
      </c>
      <c r="D2725" s="5" t="str">
        <f ca="1">IFERROR(__xludf.DUMMYFUNCTION("""COMPUTED_VALUE"""),"مجمع عيادات")</f>
        <v>مجمع عيادات</v>
      </c>
      <c r="E2725" s="5" t="str">
        <f ca="1">IFERROR(__xludf.DUMMYFUNCTION("""COMPUTED_VALUE"""),"جميع التخصصات")</f>
        <v>جميع التخصصات</v>
      </c>
      <c r="F2725" s="5" t="str">
        <f ca="1">IFERROR(__xludf.DUMMYFUNCTION("""COMPUTED_VALUE"""),"جميع التخصصات الطبية")</f>
        <v>جميع التخصصات الطبية</v>
      </c>
      <c r="G2725" s="5" t="str">
        <f ca="1">IFERROR(__xludf.DUMMYFUNCTION("""COMPUTED_VALUE"""),"سيتي كلينك للخدمات الطبية")</f>
        <v>سيتي كلينك للخدمات الطبية</v>
      </c>
      <c r="H2725" s="5" t="str">
        <f ca="1">IFERROR(__xludf.DUMMYFUNCTION("""COMPUTED_VALUE"""),"""عمارة 56 /6 _ عمارات الفرسان خلف نادى الصيد قطامية المعادى")</f>
        <v>"عمارة 56 /6 _ عمارات الفرسان خلف نادى الصيد قطامية المعادى</v>
      </c>
      <c r="I2725" s="6" t="str">
        <f ca="1">IFERROR(__xludf.DUMMYFUNCTION("""COMPUTED_VALUE"""),"01020336161")</f>
        <v>01020336161</v>
      </c>
      <c r="J2725" s="6"/>
      <c r="K2725" s="6" t="str">
        <f ca="1">IFERROR(__xludf.DUMMYFUNCTION("""COMPUTED_VALUE"""),"20% نسبة خصم")</f>
        <v>20% نسبة خصم</v>
      </c>
    </row>
    <row r="2726" spans="1:11" x14ac:dyDescent="0.25">
      <c r="A2726" s="4" t="str">
        <f ca="1">IFERROR(__xludf.DUMMYFUNCTION("""COMPUTED_VALUE"""),"104614")</f>
        <v>104614</v>
      </c>
      <c r="B2726" s="5" t="str">
        <f ca="1">IFERROR(__xludf.DUMMYFUNCTION("""COMPUTED_VALUE"""),"القاهرة")</f>
        <v>القاهرة</v>
      </c>
      <c r="C2726" s="5" t="str">
        <f ca="1">IFERROR(__xludf.DUMMYFUNCTION("""COMPUTED_VALUE"""),"مصر الجديدة")</f>
        <v>مصر الجديدة</v>
      </c>
      <c r="D2726" s="5" t="str">
        <f ca="1">IFERROR(__xludf.DUMMYFUNCTION("""COMPUTED_VALUE"""),"مركز علاج طبيعي")</f>
        <v>مركز علاج طبيعي</v>
      </c>
      <c r="E2726" s="5" t="str">
        <f ca="1">IFERROR(__xludf.DUMMYFUNCTION("""COMPUTED_VALUE"""),"علاج طبيعي")</f>
        <v>علاج طبيعي</v>
      </c>
      <c r="F2726" s="5" t="str">
        <f ca="1">IFERROR(__xludf.DUMMYFUNCTION("""COMPUTED_VALUE"""),"جلسات العلاج الطبيعي")</f>
        <v>جلسات العلاج الطبيعي</v>
      </c>
      <c r="G2726" s="5" t="str">
        <f ca="1">IFERROR(__xludf.DUMMYFUNCTION("""COMPUTED_VALUE"""),"مركز الصفوة التخصصي للعلاج الطبيعي (د.جمال ضياء الدين محمد شاهين)")</f>
        <v>مركز الصفوة التخصصي للعلاج الطبيعي (د.جمال ضياء الدين محمد شاهين)</v>
      </c>
      <c r="H2726" s="5" t="str">
        <f ca="1">IFERROR(__xludf.DUMMYFUNCTION("""COMPUTED_VALUE"""),"19/21 ش الخليفه المامون روكسي شقه 707 مصر الجديده")</f>
        <v>19/21 ش الخليفه المامون روكسي شقه 707 مصر الجديده</v>
      </c>
      <c r="I2726" s="6" t="str">
        <f ca="1">IFERROR(__xludf.DUMMYFUNCTION("""COMPUTED_VALUE"""),"20222593153")</f>
        <v>20222593153</v>
      </c>
      <c r="J2726" s="6"/>
      <c r="K2726" s="6" t="str">
        <f ca="1">IFERROR(__xludf.DUMMYFUNCTION("""COMPUTED_VALUE"""),"عضو واحد:40 , عضوين :50")</f>
        <v>عضو واحد:40 , عضوين :50</v>
      </c>
    </row>
    <row r="2727" spans="1:11" x14ac:dyDescent="0.25">
      <c r="A2727" s="4" t="str">
        <f ca="1">IFERROR(__xludf.DUMMYFUNCTION("""COMPUTED_VALUE"""),"1683-B")</f>
        <v>1683-B</v>
      </c>
      <c r="B2727" s="5" t="str">
        <f ca="1">IFERROR(__xludf.DUMMYFUNCTION("""COMPUTED_VALUE"""),"الاسكندرية")</f>
        <v>الاسكندرية</v>
      </c>
      <c r="C2727" s="5" t="str">
        <f ca="1">IFERROR(__xludf.DUMMYFUNCTION("""COMPUTED_VALUE"""),"ميامي")</f>
        <v>ميامي</v>
      </c>
      <c r="D2727" s="5" t="str">
        <f ca="1">IFERROR(__xludf.DUMMYFUNCTION("""COMPUTED_VALUE"""),"صيدلية")</f>
        <v>صيدلية</v>
      </c>
      <c r="E2727" s="5" t="str">
        <f ca="1">IFERROR(__xludf.DUMMYFUNCTION("""COMPUTED_VALUE"""),"صيدلية")</f>
        <v>صيدلية</v>
      </c>
      <c r="F2727" s="5" t="str">
        <f ca="1">IFERROR(__xludf.DUMMYFUNCTION("""COMPUTED_VALUE"""),"صيدلية (أدوية ومستلزمات طبية)")</f>
        <v>صيدلية (أدوية ومستلزمات طبية)</v>
      </c>
      <c r="G272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27" s="5" t="str">
        <f ca="1">IFERROR(__xludf.DUMMYFUNCTION("""COMPUTED_VALUE"""),"663 طريق الجيش - ميامى - اسكندرية")</f>
        <v>663 طريق الجيش - ميامى - اسكندرية</v>
      </c>
      <c r="I2727" s="6" t="str">
        <f ca="1">IFERROR(__xludf.DUMMYFUNCTION("""COMPUTED_VALUE"""),"01104995681")</f>
        <v>01104995681</v>
      </c>
      <c r="J2727" s="6" t="str">
        <f ca="1">IFERROR(__xludf.DUMMYFUNCTION("""COMPUTED_VALUE"""),"19600")</f>
        <v>19600</v>
      </c>
      <c r="K2727" s="6" t="str">
        <f ca="1">IFERROR(__xludf.DUMMYFUNCTION("""COMPUTED_VALUE"""),"7.5 % على المحلى ,5% على المستلزمات الطبية و التجميل")</f>
        <v>7.5 % على المحلى ,5% على المستلزمات الطبية و التجميل</v>
      </c>
    </row>
    <row r="2728" spans="1:11" x14ac:dyDescent="0.25">
      <c r="A2728" s="4" t="str">
        <f ca="1">IFERROR(__xludf.DUMMYFUNCTION("""COMPUTED_VALUE"""),"1683-B")</f>
        <v>1683-B</v>
      </c>
      <c r="B2728" s="5" t="str">
        <f ca="1">IFERROR(__xludf.DUMMYFUNCTION("""COMPUTED_VALUE"""),"الجيزة")</f>
        <v>الجيزة</v>
      </c>
      <c r="C2728" s="5" t="str">
        <f ca="1">IFERROR(__xludf.DUMMYFUNCTION("""COMPUTED_VALUE"""),"السادس من اكتوبر")</f>
        <v>السادس من اكتوبر</v>
      </c>
      <c r="D2728" s="5" t="str">
        <f ca="1">IFERROR(__xludf.DUMMYFUNCTION("""COMPUTED_VALUE"""),"صيدلية")</f>
        <v>صيدلية</v>
      </c>
      <c r="E2728" s="5" t="str">
        <f ca="1">IFERROR(__xludf.DUMMYFUNCTION("""COMPUTED_VALUE"""),"صيدلية")</f>
        <v>صيدلية</v>
      </c>
      <c r="F2728" s="5" t="str">
        <f ca="1">IFERROR(__xludf.DUMMYFUNCTION("""COMPUTED_VALUE"""),"صيدلية (أدوية ومستلزمات طبية)")</f>
        <v>صيدلية (أدوية ومستلزمات طبية)</v>
      </c>
      <c r="G272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28" s="5" t="str">
        <f ca="1">IFERROR(__xludf.DUMMYFUNCTION("""COMPUTED_VALUE"""),"محل G039 مول مصر - طريق الواحات - 6 اكتوبر")</f>
        <v>محل G039 مول مصر - طريق الواحات - 6 اكتوبر</v>
      </c>
      <c r="I2728" s="6"/>
      <c r="J2728" s="6" t="str">
        <f ca="1">IFERROR(__xludf.DUMMYFUNCTION("""COMPUTED_VALUE"""),"19600")</f>
        <v>19600</v>
      </c>
      <c r="K2728" s="6" t="str">
        <f ca="1">IFERROR(__xludf.DUMMYFUNCTION("""COMPUTED_VALUE"""),"7.5 % على المحلى ,5% على المستلزمات الطبية و التجميل")</f>
        <v>7.5 % على المحلى ,5% على المستلزمات الطبية و التجميل</v>
      </c>
    </row>
    <row r="2729" spans="1:11" x14ac:dyDescent="0.25">
      <c r="A2729" s="4" t="str">
        <f ca="1">IFERROR(__xludf.DUMMYFUNCTION("""COMPUTED_VALUE"""),"1683-B")</f>
        <v>1683-B</v>
      </c>
      <c r="B2729" s="5" t="str">
        <f ca="1">IFERROR(__xludf.DUMMYFUNCTION("""COMPUTED_VALUE"""),"القليوبية")</f>
        <v>القليوبية</v>
      </c>
      <c r="C2729" s="5" t="str">
        <f ca="1">IFERROR(__xludf.DUMMYFUNCTION("""COMPUTED_VALUE"""),"مدينة العبور")</f>
        <v>مدينة العبور</v>
      </c>
      <c r="D2729" s="5" t="str">
        <f ca="1">IFERROR(__xludf.DUMMYFUNCTION("""COMPUTED_VALUE"""),"صيدلية")</f>
        <v>صيدلية</v>
      </c>
      <c r="E2729" s="5" t="str">
        <f ca="1">IFERROR(__xludf.DUMMYFUNCTION("""COMPUTED_VALUE"""),"صيدلية")</f>
        <v>صيدلية</v>
      </c>
      <c r="F2729" s="5" t="str">
        <f ca="1">IFERROR(__xludf.DUMMYFUNCTION("""COMPUTED_VALUE"""),"صيدلية (أدوية ومستلزمات طبية)")</f>
        <v>صيدلية (أدوية ومستلزمات طبية)</v>
      </c>
      <c r="G272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29" s="5" t="str">
        <f ca="1">IFERROR(__xludf.DUMMYFUNCTION("""COMPUTED_VALUE"""),"محل رقم 1مركز تجاري رقم 4قطعه 7 بلوك 7000 اسكان الشباب بجوار بنزينة بترومين")</f>
        <v>محل رقم 1مركز تجاري رقم 4قطعه 7 بلوك 7000 اسكان الشباب بجوار بنزينة بترومين</v>
      </c>
      <c r="I2729" s="6"/>
      <c r="J2729" s="6" t="str">
        <f ca="1">IFERROR(__xludf.DUMMYFUNCTION("""COMPUTED_VALUE"""),"19600")</f>
        <v>19600</v>
      </c>
      <c r="K2729" s="6" t="str">
        <f ca="1">IFERROR(__xludf.DUMMYFUNCTION("""COMPUTED_VALUE"""),"7.5 % على المحلى ,5% على المستلزمات الطبية و التجميل")</f>
        <v>7.5 % على المحلى ,5% على المستلزمات الطبية و التجميل</v>
      </c>
    </row>
    <row r="2730" spans="1:11" x14ac:dyDescent="0.25">
      <c r="A2730" s="4" t="str">
        <f ca="1">IFERROR(__xludf.DUMMYFUNCTION("""COMPUTED_VALUE"""),"1683-B")</f>
        <v>1683-B</v>
      </c>
      <c r="B2730" s="5" t="str">
        <f ca="1">IFERROR(__xludf.DUMMYFUNCTION("""COMPUTED_VALUE"""),"الجيزة")</f>
        <v>الجيزة</v>
      </c>
      <c r="C2730" s="5" t="str">
        <f ca="1">IFERROR(__xludf.DUMMYFUNCTION("""COMPUTED_VALUE"""),"فيصل")</f>
        <v>فيصل</v>
      </c>
      <c r="D2730" s="5" t="str">
        <f ca="1">IFERROR(__xludf.DUMMYFUNCTION("""COMPUTED_VALUE"""),"صيدلية")</f>
        <v>صيدلية</v>
      </c>
      <c r="E2730" s="5" t="str">
        <f ca="1">IFERROR(__xludf.DUMMYFUNCTION("""COMPUTED_VALUE"""),"صيدلية")</f>
        <v>صيدلية</v>
      </c>
      <c r="F2730" s="5" t="str">
        <f ca="1">IFERROR(__xludf.DUMMYFUNCTION("""COMPUTED_VALUE"""),"صيدلية (أدوية ومستلزمات طبية)")</f>
        <v>صيدلية (أدوية ومستلزمات طبية)</v>
      </c>
      <c r="G273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30" s="5" t="str">
        <f ca="1">IFERROR(__xludf.DUMMYFUNCTION("""COMPUTED_VALUE"""),"142 شارع الملكة نازلى -كفر طهرمس -الجيزة")</f>
        <v>142 شارع الملكة نازلى -كفر طهرمس -الجيزة</v>
      </c>
      <c r="I2730" s="6"/>
      <c r="J2730" s="6" t="str">
        <f ca="1">IFERROR(__xludf.DUMMYFUNCTION("""COMPUTED_VALUE"""),"19600")</f>
        <v>19600</v>
      </c>
      <c r="K2730" s="6" t="str">
        <f ca="1">IFERROR(__xludf.DUMMYFUNCTION("""COMPUTED_VALUE"""),"7.5 % على المحلى ,5% على المستلزمات الطبية و التجميل")</f>
        <v>7.5 % على المحلى ,5% على المستلزمات الطبية و التجميل</v>
      </c>
    </row>
    <row r="2731" spans="1:11" x14ac:dyDescent="0.25">
      <c r="A2731" s="4" t="str">
        <f ca="1">IFERROR(__xludf.DUMMYFUNCTION("""COMPUTED_VALUE"""),"1683-B")</f>
        <v>1683-B</v>
      </c>
      <c r="B2731" s="5" t="str">
        <f ca="1">IFERROR(__xludf.DUMMYFUNCTION("""COMPUTED_VALUE"""),"القاهرة")</f>
        <v>القاهرة</v>
      </c>
      <c r="C2731" s="5" t="str">
        <f ca="1">IFERROR(__xludf.DUMMYFUNCTION("""COMPUTED_VALUE"""),"مصر الجديدة")</f>
        <v>مصر الجديدة</v>
      </c>
      <c r="D2731" s="5" t="str">
        <f ca="1">IFERROR(__xludf.DUMMYFUNCTION("""COMPUTED_VALUE"""),"صيدلية")</f>
        <v>صيدلية</v>
      </c>
      <c r="E2731" s="5" t="str">
        <f ca="1">IFERROR(__xludf.DUMMYFUNCTION("""COMPUTED_VALUE"""),"صيدلية")</f>
        <v>صيدلية</v>
      </c>
      <c r="F2731" s="5" t="str">
        <f ca="1">IFERROR(__xludf.DUMMYFUNCTION("""COMPUTED_VALUE"""),"صيدلية (أدوية ومستلزمات طبية)")</f>
        <v>صيدلية (أدوية ومستلزمات طبية)</v>
      </c>
      <c r="G273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31" s="5" t="str">
        <f ca="1">IFERROR(__xludf.DUMMYFUNCTION("""COMPUTED_VALUE"""),"34 أ شارع الحجاز بجوار رئاسة حى مصر الجديدة -امام المحكمة مصر الجديده")</f>
        <v>34 أ شارع الحجاز بجوار رئاسة حى مصر الجديدة -امام المحكمة مصر الجديده</v>
      </c>
      <c r="I2731" s="6"/>
      <c r="J2731" s="6" t="str">
        <f ca="1">IFERROR(__xludf.DUMMYFUNCTION("""COMPUTED_VALUE"""),"19600")</f>
        <v>19600</v>
      </c>
      <c r="K2731" s="6" t="str">
        <f ca="1">IFERROR(__xludf.DUMMYFUNCTION("""COMPUTED_VALUE"""),"7.5 % على المحلى ,5% على المستلزمات الطبية و التجميل")</f>
        <v>7.5 % على المحلى ,5% على المستلزمات الطبية و التجميل</v>
      </c>
    </row>
    <row r="2732" spans="1:11" x14ac:dyDescent="0.25">
      <c r="A2732" s="4" t="str">
        <f ca="1">IFERROR(__xludf.DUMMYFUNCTION("""COMPUTED_VALUE"""),"1683-B")</f>
        <v>1683-B</v>
      </c>
      <c r="B2732" s="5" t="str">
        <f ca="1">IFERROR(__xludf.DUMMYFUNCTION("""COMPUTED_VALUE"""),"القاهرة")</f>
        <v>القاهرة</v>
      </c>
      <c r="C2732" s="5" t="str">
        <f ca="1">IFERROR(__xludf.DUMMYFUNCTION("""COMPUTED_VALUE"""),"مصر الجديدة")</f>
        <v>مصر الجديدة</v>
      </c>
      <c r="D2732" s="5" t="str">
        <f ca="1">IFERROR(__xludf.DUMMYFUNCTION("""COMPUTED_VALUE"""),"صيدلية")</f>
        <v>صيدلية</v>
      </c>
      <c r="E2732" s="5" t="str">
        <f ca="1">IFERROR(__xludf.DUMMYFUNCTION("""COMPUTED_VALUE"""),"صيدلية")</f>
        <v>صيدلية</v>
      </c>
      <c r="F2732" s="5" t="str">
        <f ca="1">IFERROR(__xludf.DUMMYFUNCTION("""COMPUTED_VALUE"""),"صيدلية (أدوية ومستلزمات طبية)")</f>
        <v>صيدلية (أدوية ومستلزمات طبية)</v>
      </c>
      <c r="G273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32" s="5" t="str">
        <f ca="1">IFERROR(__xludf.DUMMYFUNCTION("""COMPUTED_VALUE"""),"40 شارع هارون الرشيد - مصر الجديدة - القاهرة")</f>
        <v>40 شارع هارون الرشيد - مصر الجديدة - القاهرة</v>
      </c>
      <c r="I2732" s="6"/>
      <c r="J2732" s="6" t="str">
        <f ca="1">IFERROR(__xludf.DUMMYFUNCTION("""COMPUTED_VALUE"""),"19600")</f>
        <v>19600</v>
      </c>
      <c r="K2732" s="6" t="str">
        <f ca="1">IFERROR(__xludf.DUMMYFUNCTION("""COMPUTED_VALUE"""),"7.5 % على المحلى ,5% على المستلزمات الطبية و التجميل")</f>
        <v>7.5 % على المحلى ,5% على المستلزمات الطبية و التجميل</v>
      </c>
    </row>
    <row r="2733" spans="1:11" x14ac:dyDescent="0.25">
      <c r="A2733" s="4" t="str">
        <f ca="1">IFERROR(__xludf.DUMMYFUNCTION("""COMPUTED_VALUE"""),"1683-B")</f>
        <v>1683-B</v>
      </c>
      <c r="B2733" s="5" t="str">
        <f ca="1">IFERROR(__xludf.DUMMYFUNCTION("""COMPUTED_VALUE"""),"الجيزة")</f>
        <v>الجيزة</v>
      </c>
      <c r="C2733" s="5" t="str">
        <f ca="1">IFERROR(__xludf.DUMMYFUNCTION("""COMPUTED_VALUE"""),"السادس من اكتوبر")</f>
        <v>السادس من اكتوبر</v>
      </c>
      <c r="D2733" s="5" t="str">
        <f ca="1">IFERROR(__xludf.DUMMYFUNCTION("""COMPUTED_VALUE"""),"صيدلية")</f>
        <v>صيدلية</v>
      </c>
      <c r="E2733" s="5" t="str">
        <f ca="1">IFERROR(__xludf.DUMMYFUNCTION("""COMPUTED_VALUE"""),"صيدلية")</f>
        <v>صيدلية</v>
      </c>
      <c r="F2733" s="5" t="str">
        <f ca="1">IFERROR(__xludf.DUMMYFUNCTION("""COMPUTED_VALUE"""),"صيدلية (أدوية ومستلزمات طبية)")</f>
        <v>صيدلية (أدوية ومستلزمات طبية)</v>
      </c>
      <c r="G273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33" s="5" t="str">
        <f ca="1">IFERROR(__xludf.DUMMYFUNCTION("""COMPUTED_VALUE"""),"برج 1 محل رقم 6 الحى المتميز -سنتر جمجوم -6اكتوبر")</f>
        <v>برج 1 محل رقم 6 الحى المتميز -سنتر جمجوم -6اكتوبر</v>
      </c>
      <c r="I2733" s="6"/>
      <c r="J2733" s="6" t="str">
        <f ca="1">IFERROR(__xludf.DUMMYFUNCTION("""COMPUTED_VALUE"""),"19600")</f>
        <v>19600</v>
      </c>
      <c r="K2733" s="6" t="str">
        <f ca="1">IFERROR(__xludf.DUMMYFUNCTION("""COMPUTED_VALUE"""),"7.5 % على المحلى ,5% على المستلزمات الطبية و التجميل")</f>
        <v>7.5 % على المحلى ,5% على المستلزمات الطبية و التجميل</v>
      </c>
    </row>
    <row r="2734" spans="1:11" x14ac:dyDescent="0.25">
      <c r="A2734" s="4" t="str">
        <f ca="1">IFERROR(__xludf.DUMMYFUNCTION("""COMPUTED_VALUE"""),"1683-B")</f>
        <v>1683-B</v>
      </c>
      <c r="B2734" s="5" t="str">
        <f ca="1">IFERROR(__xludf.DUMMYFUNCTION("""COMPUTED_VALUE"""),"القاهرة")</f>
        <v>القاهرة</v>
      </c>
      <c r="C2734" s="5" t="str">
        <f ca="1">IFERROR(__xludf.DUMMYFUNCTION("""COMPUTED_VALUE"""),"القاهرة الجديدة")</f>
        <v>القاهرة الجديدة</v>
      </c>
      <c r="D2734" s="5" t="str">
        <f ca="1">IFERROR(__xludf.DUMMYFUNCTION("""COMPUTED_VALUE"""),"صيدلية")</f>
        <v>صيدلية</v>
      </c>
      <c r="E2734" s="5" t="str">
        <f ca="1">IFERROR(__xludf.DUMMYFUNCTION("""COMPUTED_VALUE"""),"صيدلية")</f>
        <v>صيدلية</v>
      </c>
      <c r="F2734" s="5" t="str">
        <f ca="1">IFERROR(__xludf.DUMMYFUNCTION("""COMPUTED_VALUE"""),"صيدلية (أدوية ومستلزمات طبية)")</f>
        <v>صيدلية (أدوية ومستلزمات طبية)</v>
      </c>
      <c r="G273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34" s="5" t="str">
        <f ca="1">IFERROR(__xludf.DUMMYFUNCTION("""COMPUTED_VALUE"""),"قطعه رقم 1 منطقة النوادى شرق حى اللوتس شارع التسعين التجمع الخامس-القاهرة -المركز الرياضي محل رقم BG-4")</f>
        <v>قطعه رقم 1 منطقة النوادى شرق حى اللوتس شارع التسعين التجمع الخامس-القاهرة -المركز الرياضي محل رقم BG-4</v>
      </c>
      <c r="I2734" s="6"/>
      <c r="J2734" s="6" t="str">
        <f ca="1">IFERROR(__xludf.DUMMYFUNCTION("""COMPUTED_VALUE"""),"19600")</f>
        <v>19600</v>
      </c>
      <c r="K2734" s="6" t="str">
        <f ca="1">IFERROR(__xludf.DUMMYFUNCTION("""COMPUTED_VALUE"""),"7.5 % على المحلى ,5% على المستلزمات الطبية و التجميل")</f>
        <v>7.5 % على المحلى ,5% على المستلزمات الطبية و التجميل</v>
      </c>
    </row>
    <row r="2735" spans="1:11" x14ac:dyDescent="0.25">
      <c r="A2735" s="4" t="str">
        <f ca="1">IFERROR(__xludf.DUMMYFUNCTION("""COMPUTED_VALUE"""),"1683-B")</f>
        <v>1683-B</v>
      </c>
      <c r="B2735" s="5" t="str">
        <f ca="1">IFERROR(__xludf.DUMMYFUNCTION("""COMPUTED_VALUE"""),"القاهرة")</f>
        <v>القاهرة</v>
      </c>
      <c r="C2735" s="5" t="str">
        <f ca="1">IFERROR(__xludf.DUMMYFUNCTION("""COMPUTED_VALUE"""),"عين شمس")</f>
        <v>عين شمس</v>
      </c>
      <c r="D2735" s="5" t="str">
        <f ca="1">IFERROR(__xludf.DUMMYFUNCTION("""COMPUTED_VALUE"""),"صيدلية")</f>
        <v>صيدلية</v>
      </c>
      <c r="E2735" s="5" t="str">
        <f ca="1">IFERROR(__xludf.DUMMYFUNCTION("""COMPUTED_VALUE"""),"صيدلية")</f>
        <v>صيدلية</v>
      </c>
      <c r="F2735" s="5" t="str">
        <f ca="1">IFERROR(__xludf.DUMMYFUNCTION("""COMPUTED_VALUE"""),"صيدلية (أدوية ومستلزمات طبية)")</f>
        <v>صيدلية (أدوية ومستلزمات طبية)</v>
      </c>
      <c r="G273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35" s="5" t="str">
        <f ca="1">IFERROR(__xludf.DUMMYFUNCTION("""COMPUTED_VALUE"""),"72شارع الاربعين -منشية السد العالى -عين شمس -القاهرة")</f>
        <v>72شارع الاربعين -منشية السد العالى -عين شمس -القاهرة</v>
      </c>
      <c r="I2735" s="6"/>
      <c r="J2735" s="6" t="str">
        <f ca="1">IFERROR(__xludf.DUMMYFUNCTION("""COMPUTED_VALUE"""),"19600")</f>
        <v>19600</v>
      </c>
      <c r="K2735" s="6" t="str">
        <f ca="1">IFERROR(__xludf.DUMMYFUNCTION("""COMPUTED_VALUE"""),"7.5 % على المحلى ,5% على المستلزمات الطبية و التجميل")</f>
        <v>7.5 % على المحلى ,5% على المستلزمات الطبية و التجميل</v>
      </c>
    </row>
    <row r="2736" spans="1:11" x14ac:dyDescent="0.25">
      <c r="A2736" s="4" t="str">
        <f ca="1">IFERROR(__xludf.DUMMYFUNCTION("""COMPUTED_VALUE"""),"1683-B")</f>
        <v>1683-B</v>
      </c>
      <c r="B2736" s="5" t="str">
        <f ca="1">IFERROR(__xludf.DUMMYFUNCTION("""COMPUTED_VALUE"""),"القاهرة")</f>
        <v>القاهرة</v>
      </c>
      <c r="C2736" s="5" t="str">
        <f ca="1">IFERROR(__xludf.DUMMYFUNCTION("""COMPUTED_VALUE"""),"المعادى")</f>
        <v>المعادى</v>
      </c>
      <c r="D2736" s="5" t="str">
        <f ca="1">IFERROR(__xludf.DUMMYFUNCTION("""COMPUTED_VALUE"""),"صيدلية")</f>
        <v>صيدلية</v>
      </c>
      <c r="E2736" s="5" t="str">
        <f ca="1">IFERROR(__xludf.DUMMYFUNCTION("""COMPUTED_VALUE"""),"صيدلية")</f>
        <v>صيدلية</v>
      </c>
      <c r="F2736" s="5" t="str">
        <f ca="1">IFERROR(__xludf.DUMMYFUNCTION("""COMPUTED_VALUE"""),"صيدلية (أدوية ومستلزمات طبية)")</f>
        <v>صيدلية (أدوية ومستلزمات طبية)</v>
      </c>
      <c r="G273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36" s="5" t="str">
        <f ca="1">IFERROR(__xludf.DUMMYFUNCTION("""COMPUTED_VALUE"""),"رقم 2 شارع الجزائر - مطعم الشبراوى - الشطر العاشر - المعادي  - القاهرة")</f>
        <v>رقم 2 شارع الجزائر - مطعم الشبراوى - الشطر العاشر - المعادي  - القاهرة</v>
      </c>
      <c r="I2736" s="6"/>
      <c r="J2736" s="6" t="str">
        <f ca="1">IFERROR(__xludf.DUMMYFUNCTION("""COMPUTED_VALUE"""),"19600")</f>
        <v>19600</v>
      </c>
      <c r="K2736" s="6" t="str">
        <f ca="1">IFERROR(__xludf.DUMMYFUNCTION("""COMPUTED_VALUE"""),"7.5 % على المحلى ,5% على المستلزمات الطبية و التجميل")</f>
        <v>7.5 % على المحلى ,5% على المستلزمات الطبية و التجميل</v>
      </c>
    </row>
    <row r="2737" spans="1:11" x14ac:dyDescent="0.25">
      <c r="A2737" s="4" t="str">
        <f ca="1">IFERROR(__xludf.DUMMYFUNCTION("""COMPUTED_VALUE"""),"1683-B")</f>
        <v>1683-B</v>
      </c>
      <c r="B2737" s="5" t="str">
        <f ca="1">IFERROR(__xludf.DUMMYFUNCTION("""COMPUTED_VALUE"""),"القاهرة")</f>
        <v>القاهرة</v>
      </c>
      <c r="C2737" s="5" t="str">
        <f ca="1">IFERROR(__xludf.DUMMYFUNCTION("""COMPUTED_VALUE"""),"مصر الجديدة")</f>
        <v>مصر الجديدة</v>
      </c>
      <c r="D2737" s="5" t="str">
        <f ca="1">IFERROR(__xludf.DUMMYFUNCTION("""COMPUTED_VALUE"""),"صيدلية")</f>
        <v>صيدلية</v>
      </c>
      <c r="E2737" s="5" t="str">
        <f ca="1">IFERROR(__xludf.DUMMYFUNCTION("""COMPUTED_VALUE"""),"صيدلية")</f>
        <v>صيدلية</v>
      </c>
      <c r="F2737" s="5" t="str">
        <f ca="1">IFERROR(__xludf.DUMMYFUNCTION("""COMPUTED_VALUE"""),"صيدلية (أدوية ومستلزمات طبية)")</f>
        <v>صيدلية (أدوية ومستلزمات طبية)</v>
      </c>
      <c r="G273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37" s="5" t="str">
        <f ca="1">IFERROR(__xludf.DUMMYFUNCTION("""COMPUTED_VALUE"""),"14شارع محمد فريد -النزهة -مصر الجديدة -القاهرة")</f>
        <v>14شارع محمد فريد -النزهة -مصر الجديدة -القاهرة</v>
      </c>
      <c r="I2737" s="6"/>
      <c r="J2737" s="6" t="str">
        <f ca="1">IFERROR(__xludf.DUMMYFUNCTION("""COMPUTED_VALUE"""),"19600")</f>
        <v>19600</v>
      </c>
      <c r="K2737" s="6" t="str">
        <f ca="1">IFERROR(__xludf.DUMMYFUNCTION("""COMPUTED_VALUE"""),"7.5 % على المحلى ,5% على المستلزمات الطبية و التجميل")</f>
        <v>7.5 % على المحلى ,5% على المستلزمات الطبية و التجميل</v>
      </c>
    </row>
    <row r="2738" spans="1:11" x14ac:dyDescent="0.25">
      <c r="A2738" s="4" t="str">
        <f ca="1">IFERROR(__xludf.DUMMYFUNCTION("""COMPUTED_VALUE"""),"1683-B")</f>
        <v>1683-B</v>
      </c>
      <c r="B2738" s="5" t="str">
        <f ca="1">IFERROR(__xludf.DUMMYFUNCTION("""COMPUTED_VALUE"""),"القاهرة")</f>
        <v>القاهرة</v>
      </c>
      <c r="C2738" s="5" t="str">
        <f ca="1">IFERROR(__xludf.DUMMYFUNCTION("""COMPUTED_VALUE"""),"شبرا")</f>
        <v>شبرا</v>
      </c>
      <c r="D2738" s="5" t="str">
        <f ca="1">IFERROR(__xludf.DUMMYFUNCTION("""COMPUTED_VALUE"""),"صيدلية")</f>
        <v>صيدلية</v>
      </c>
      <c r="E2738" s="5" t="str">
        <f ca="1">IFERROR(__xludf.DUMMYFUNCTION("""COMPUTED_VALUE"""),"صيدلية")</f>
        <v>صيدلية</v>
      </c>
      <c r="F2738" s="5" t="str">
        <f ca="1">IFERROR(__xludf.DUMMYFUNCTION("""COMPUTED_VALUE"""),"صيدلية (أدوية ومستلزمات طبية)")</f>
        <v>صيدلية (أدوية ومستلزمات طبية)</v>
      </c>
      <c r="G273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38" s="5" t="str">
        <f ca="1">IFERROR(__xludf.DUMMYFUNCTION("""COMPUTED_VALUE"""),"رقم 32 شارع الترعة الغربية - بجوار فودافون - شبرا - القاهرة ( قبل شركة القاهرة للادوية )")</f>
        <v>رقم 32 شارع الترعة الغربية - بجوار فودافون - شبرا - القاهرة ( قبل شركة القاهرة للادوية )</v>
      </c>
      <c r="I2738" s="6"/>
      <c r="J2738" s="6" t="str">
        <f ca="1">IFERROR(__xludf.DUMMYFUNCTION("""COMPUTED_VALUE"""),"19600")</f>
        <v>19600</v>
      </c>
      <c r="K2738" s="6" t="str">
        <f ca="1">IFERROR(__xludf.DUMMYFUNCTION("""COMPUTED_VALUE"""),"7.5 % على المحلى ,5% على المستلزمات الطبية و التجميل")</f>
        <v>7.5 % على المحلى ,5% على المستلزمات الطبية و التجميل</v>
      </c>
    </row>
    <row r="2739" spans="1:11" x14ac:dyDescent="0.25">
      <c r="A2739" s="4" t="str">
        <f ca="1">IFERROR(__xludf.DUMMYFUNCTION("""COMPUTED_VALUE"""),"1683-B")</f>
        <v>1683-B</v>
      </c>
      <c r="B2739" s="5" t="str">
        <f ca="1">IFERROR(__xludf.DUMMYFUNCTION("""COMPUTED_VALUE"""),"القاهرة")</f>
        <v>القاهرة</v>
      </c>
      <c r="C2739" s="5" t="str">
        <f ca="1">IFERROR(__xludf.DUMMYFUNCTION("""COMPUTED_VALUE"""),"مدينة نصر")</f>
        <v>مدينة نصر</v>
      </c>
      <c r="D2739" s="5" t="str">
        <f ca="1">IFERROR(__xludf.DUMMYFUNCTION("""COMPUTED_VALUE"""),"صيدلية")</f>
        <v>صيدلية</v>
      </c>
      <c r="E2739" s="5" t="str">
        <f ca="1">IFERROR(__xludf.DUMMYFUNCTION("""COMPUTED_VALUE"""),"صيدلية")</f>
        <v>صيدلية</v>
      </c>
      <c r="F2739" s="5" t="str">
        <f ca="1">IFERROR(__xludf.DUMMYFUNCTION("""COMPUTED_VALUE"""),"صيدلية (أدوية ومستلزمات طبية)")</f>
        <v>صيدلية (أدوية ومستلزمات طبية)</v>
      </c>
      <c r="G273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39" s="5" t="str">
        <f ca="1">IFERROR(__xludf.DUMMYFUNCTION("""COMPUTED_VALUE"""),"26ش ابودوود الظاهري بجوار حديقة الطفل  مدينة نصر القاهرة")</f>
        <v>26ش ابودوود الظاهري بجوار حديقة الطفل  مدينة نصر القاهرة</v>
      </c>
      <c r="I2739" s="6"/>
      <c r="J2739" s="6" t="str">
        <f ca="1">IFERROR(__xludf.DUMMYFUNCTION("""COMPUTED_VALUE"""),"19600")</f>
        <v>19600</v>
      </c>
      <c r="K2739" s="6" t="str">
        <f ca="1">IFERROR(__xludf.DUMMYFUNCTION("""COMPUTED_VALUE"""),"7.5 % على المحلى ,5% على المستلزمات الطبية و التجميل")</f>
        <v>7.5 % على المحلى ,5% على المستلزمات الطبية و التجميل</v>
      </c>
    </row>
    <row r="2740" spans="1:11" x14ac:dyDescent="0.25">
      <c r="A2740" s="4" t="str">
        <f ca="1">IFERROR(__xludf.DUMMYFUNCTION("""COMPUTED_VALUE"""),"1683-B")</f>
        <v>1683-B</v>
      </c>
      <c r="B2740" s="5" t="str">
        <f ca="1">IFERROR(__xludf.DUMMYFUNCTION("""COMPUTED_VALUE"""),"القاهرة")</f>
        <v>القاهرة</v>
      </c>
      <c r="C2740" s="5" t="str">
        <f ca="1">IFERROR(__xludf.DUMMYFUNCTION("""COMPUTED_VALUE"""),"المعادى")</f>
        <v>المعادى</v>
      </c>
      <c r="D2740" s="5" t="str">
        <f ca="1">IFERROR(__xludf.DUMMYFUNCTION("""COMPUTED_VALUE"""),"صيدلية")</f>
        <v>صيدلية</v>
      </c>
      <c r="E2740" s="5" t="str">
        <f ca="1">IFERROR(__xludf.DUMMYFUNCTION("""COMPUTED_VALUE"""),"صيدلية")</f>
        <v>صيدلية</v>
      </c>
      <c r="F2740" s="5" t="str">
        <f ca="1">IFERROR(__xludf.DUMMYFUNCTION("""COMPUTED_VALUE"""),"صيدلية (أدوية ومستلزمات طبية)")</f>
        <v>صيدلية (أدوية ومستلزمات طبية)</v>
      </c>
      <c r="G274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40" s="5" t="str">
        <f ca="1">IFERROR(__xludf.DUMMYFUNCTION("""COMPUTED_VALUE"""),"رقم 5/11 شارع 216  - دجلة - المعادى - القاهرة")</f>
        <v>رقم 5/11 شارع 216  - دجلة - المعادى - القاهرة</v>
      </c>
      <c r="I2740" s="6"/>
      <c r="J2740" s="6" t="str">
        <f ca="1">IFERROR(__xludf.DUMMYFUNCTION("""COMPUTED_VALUE"""),"19600")</f>
        <v>19600</v>
      </c>
      <c r="K2740" s="6" t="str">
        <f ca="1">IFERROR(__xludf.DUMMYFUNCTION("""COMPUTED_VALUE"""),"7.5 % على المحلى ,5% على المستلزمات الطبية و التجميل")</f>
        <v>7.5 % على المحلى ,5% على المستلزمات الطبية و التجميل</v>
      </c>
    </row>
    <row r="2741" spans="1:11" x14ac:dyDescent="0.25">
      <c r="A2741" s="4" t="str">
        <f ca="1">IFERROR(__xludf.DUMMYFUNCTION("""COMPUTED_VALUE"""),"1683-B")</f>
        <v>1683-B</v>
      </c>
      <c r="B2741" s="5" t="str">
        <f ca="1">IFERROR(__xludf.DUMMYFUNCTION("""COMPUTED_VALUE"""),"الجيزة")</f>
        <v>الجيزة</v>
      </c>
      <c r="C2741" s="5" t="str">
        <f ca="1">IFERROR(__xludf.DUMMYFUNCTION("""COMPUTED_VALUE"""),"العجوزة")</f>
        <v>العجوزة</v>
      </c>
      <c r="D2741" s="5" t="str">
        <f ca="1">IFERROR(__xludf.DUMMYFUNCTION("""COMPUTED_VALUE"""),"صيدلية")</f>
        <v>صيدلية</v>
      </c>
      <c r="E2741" s="5" t="str">
        <f ca="1">IFERROR(__xludf.DUMMYFUNCTION("""COMPUTED_VALUE"""),"صيدلية")</f>
        <v>صيدلية</v>
      </c>
      <c r="F2741" s="5" t="str">
        <f ca="1">IFERROR(__xludf.DUMMYFUNCTION("""COMPUTED_VALUE"""),"صيدلية (أدوية ومستلزمات طبية)")</f>
        <v>صيدلية (أدوية ومستلزمات طبية)</v>
      </c>
      <c r="G274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41" s="5" t="str">
        <f ca="1">IFERROR(__xludf.DUMMYFUNCTION("""COMPUTED_VALUE"""),"26شارع الفالوجا - امام مدرسة القومية - العجوزة - الجيزة")</f>
        <v>26شارع الفالوجا - امام مدرسة القومية - العجوزة - الجيزة</v>
      </c>
      <c r="I2741" s="6"/>
      <c r="J2741" s="6" t="str">
        <f ca="1">IFERROR(__xludf.DUMMYFUNCTION("""COMPUTED_VALUE"""),"19600")</f>
        <v>19600</v>
      </c>
      <c r="K2741" s="6" t="str">
        <f ca="1">IFERROR(__xludf.DUMMYFUNCTION("""COMPUTED_VALUE"""),"7.5 % على المحلى ,5% على المستلزمات الطبية و التجميل")</f>
        <v>7.5 % على المحلى ,5% على المستلزمات الطبية و التجميل</v>
      </c>
    </row>
    <row r="2742" spans="1:11" x14ac:dyDescent="0.25">
      <c r="A2742" s="4" t="str">
        <f ca="1">IFERROR(__xludf.DUMMYFUNCTION("""COMPUTED_VALUE"""),"1683-B")</f>
        <v>1683-B</v>
      </c>
      <c r="B2742" s="5" t="str">
        <f ca="1">IFERROR(__xludf.DUMMYFUNCTION("""COMPUTED_VALUE"""),"القاهرة")</f>
        <v>القاهرة</v>
      </c>
      <c r="C2742" s="5" t="str">
        <f ca="1">IFERROR(__xludf.DUMMYFUNCTION("""COMPUTED_VALUE"""),"وسط البلد")</f>
        <v>وسط البلد</v>
      </c>
      <c r="D2742" s="5" t="str">
        <f ca="1">IFERROR(__xludf.DUMMYFUNCTION("""COMPUTED_VALUE"""),"صيدلية")</f>
        <v>صيدلية</v>
      </c>
      <c r="E2742" s="5" t="str">
        <f ca="1">IFERROR(__xludf.DUMMYFUNCTION("""COMPUTED_VALUE"""),"صيدلية")</f>
        <v>صيدلية</v>
      </c>
      <c r="F2742" s="5" t="str">
        <f ca="1">IFERROR(__xludf.DUMMYFUNCTION("""COMPUTED_VALUE"""),"صيدلية (أدوية ومستلزمات طبية)")</f>
        <v>صيدلية (أدوية ومستلزمات طبية)</v>
      </c>
      <c r="G274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42" s="5" t="str">
        <f ca="1">IFERROR(__xludf.DUMMYFUNCTION("""COMPUTED_VALUE"""),"مجري العيون  5 شارع القصر العيني  - خلف معهد الأورام")</f>
        <v>مجري العيون  5 شارع القصر العيني  - خلف معهد الأورام</v>
      </c>
      <c r="I2742" s="6"/>
      <c r="J2742" s="6" t="str">
        <f ca="1">IFERROR(__xludf.DUMMYFUNCTION("""COMPUTED_VALUE"""),"19600")</f>
        <v>19600</v>
      </c>
      <c r="K2742" s="6" t="str">
        <f ca="1">IFERROR(__xludf.DUMMYFUNCTION("""COMPUTED_VALUE"""),"7.5 % على المحلى ,5% على المستلزمات الطبية و التجميل")</f>
        <v>7.5 % على المحلى ,5% على المستلزمات الطبية و التجميل</v>
      </c>
    </row>
    <row r="2743" spans="1:11" x14ac:dyDescent="0.25">
      <c r="A2743" s="4" t="str">
        <f ca="1">IFERROR(__xludf.DUMMYFUNCTION("""COMPUTED_VALUE"""),"1683-B")</f>
        <v>1683-B</v>
      </c>
      <c r="B2743" s="5" t="str">
        <f ca="1">IFERROR(__xludf.DUMMYFUNCTION("""COMPUTED_VALUE"""),"القاهرة")</f>
        <v>القاهرة</v>
      </c>
      <c r="C2743" s="5" t="str">
        <f ca="1">IFERROR(__xludf.DUMMYFUNCTION("""COMPUTED_VALUE"""),"حلوان")</f>
        <v>حلوان</v>
      </c>
      <c r="D2743" s="5" t="str">
        <f ca="1">IFERROR(__xludf.DUMMYFUNCTION("""COMPUTED_VALUE"""),"صيدلية")</f>
        <v>صيدلية</v>
      </c>
      <c r="E2743" s="5" t="str">
        <f ca="1">IFERROR(__xludf.DUMMYFUNCTION("""COMPUTED_VALUE"""),"صيدلية")</f>
        <v>صيدلية</v>
      </c>
      <c r="F2743" s="5" t="str">
        <f ca="1">IFERROR(__xludf.DUMMYFUNCTION("""COMPUTED_VALUE"""),"صيدلية (أدوية ومستلزمات طبية)")</f>
        <v>صيدلية (أدوية ومستلزمات طبية)</v>
      </c>
      <c r="G274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43" s="5" t="str">
        <f ca="1">IFERROR(__xludf.DUMMYFUNCTION("""COMPUTED_VALUE"""),"برج زمزم - ٥٥ كورنيش النيل - المعادي – طرة البلد -  حلوان")</f>
        <v>برج زمزم - ٥٥ كورنيش النيل - المعادي – طرة البلد -  حلوان</v>
      </c>
      <c r="I2743" s="6"/>
      <c r="J2743" s="6" t="str">
        <f ca="1">IFERROR(__xludf.DUMMYFUNCTION("""COMPUTED_VALUE"""),"19600")</f>
        <v>19600</v>
      </c>
      <c r="K2743" s="6" t="str">
        <f ca="1">IFERROR(__xludf.DUMMYFUNCTION("""COMPUTED_VALUE"""),"7.5 % على المحلى ,5% على المستلزمات الطبية و التجميل")</f>
        <v>7.5 % على المحلى ,5% على المستلزمات الطبية و التجميل</v>
      </c>
    </row>
    <row r="2744" spans="1:11" x14ac:dyDescent="0.25">
      <c r="A2744" s="4" t="str">
        <f ca="1">IFERROR(__xludf.DUMMYFUNCTION("""COMPUTED_VALUE"""),"1683-B")</f>
        <v>1683-B</v>
      </c>
      <c r="B2744" s="5" t="str">
        <f ca="1">IFERROR(__xludf.DUMMYFUNCTION("""COMPUTED_VALUE"""),"الغربية")</f>
        <v>الغربية</v>
      </c>
      <c r="C2744" s="5" t="str">
        <f ca="1">IFERROR(__xludf.DUMMYFUNCTION("""COMPUTED_VALUE"""),"طنطا")</f>
        <v>طنطا</v>
      </c>
      <c r="D2744" s="5" t="str">
        <f ca="1">IFERROR(__xludf.DUMMYFUNCTION("""COMPUTED_VALUE"""),"صيدلية")</f>
        <v>صيدلية</v>
      </c>
      <c r="E2744" s="5" t="str">
        <f ca="1">IFERROR(__xludf.DUMMYFUNCTION("""COMPUTED_VALUE"""),"صيدلية")</f>
        <v>صيدلية</v>
      </c>
      <c r="F2744" s="5" t="str">
        <f ca="1">IFERROR(__xludf.DUMMYFUNCTION("""COMPUTED_VALUE"""),"صيدلية (أدوية ومستلزمات طبية)")</f>
        <v>صيدلية (أدوية ومستلزمات طبية)</v>
      </c>
      <c r="G274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44" s="5" t="str">
        <f ca="1">IFERROR(__xludf.DUMMYFUNCTION("""COMPUTED_VALUE"""),"محل رقم 101 سور استاد طنطا الرياضي - شارع الجيش طنطا")</f>
        <v>محل رقم 101 سور استاد طنطا الرياضي - شارع الجيش طنطا</v>
      </c>
      <c r="I2744" s="6"/>
      <c r="J2744" s="6" t="str">
        <f ca="1">IFERROR(__xludf.DUMMYFUNCTION("""COMPUTED_VALUE"""),"19600")</f>
        <v>19600</v>
      </c>
      <c r="K2744" s="6" t="str">
        <f ca="1">IFERROR(__xludf.DUMMYFUNCTION("""COMPUTED_VALUE"""),"7.5 % على المحلى ,5% على المستلزمات الطبية و التجميل")</f>
        <v>7.5 % على المحلى ,5% على المستلزمات الطبية و التجميل</v>
      </c>
    </row>
    <row r="2745" spans="1:11" x14ac:dyDescent="0.25">
      <c r="A2745" s="4" t="str">
        <f ca="1">IFERROR(__xludf.DUMMYFUNCTION("""COMPUTED_VALUE"""),"1683-B")</f>
        <v>1683-B</v>
      </c>
      <c r="B2745" s="5" t="str">
        <f ca="1">IFERROR(__xludf.DUMMYFUNCTION("""COMPUTED_VALUE"""),"الدقهلية")</f>
        <v>الدقهلية</v>
      </c>
      <c r="C2745" s="5" t="str">
        <f ca="1">IFERROR(__xludf.DUMMYFUNCTION("""COMPUTED_VALUE"""),"ميت غمر")</f>
        <v>ميت غمر</v>
      </c>
      <c r="D2745" s="5" t="str">
        <f ca="1">IFERROR(__xludf.DUMMYFUNCTION("""COMPUTED_VALUE"""),"صيدلية")</f>
        <v>صيدلية</v>
      </c>
      <c r="E2745" s="5" t="str">
        <f ca="1">IFERROR(__xludf.DUMMYFUNCTION("""COMPUTED_VALUE"""),"صيدلية")</f>
        <v>صيدلية</v>
      </c>
      <c r="F2745" s="5" t="str">
        <f ca="1">IFERROR(__xludf.DUMMYFUNCTION("""COMPUTED_VALUE"""),"صيدلية (أدوية ومستلزمات طبية)")</f>
        <v>صيدلية (أدوية ومستلزمات طبية)</v>
      </c>
      <c r="G274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45" s="5" t="str">
        <f ca="1">IFERROR(__xludf.DUMMYFUNCTION("""COMPUTED_VALUE"""),"ش احمد عرابي - ميت غمر - الدقهليه")</f>
        <v>ش احمد عرابي - ميت غمر - الدقهليه</v>
      </c>
      <c r="I2745" s="6"/>
      <c r="J2745" s="6" t="str">
        <f ca="1">IFERROR(__xludf.DUMMYFUNCTION("""COMPUTED_VALUE"""),"19600")</f>
        <v>19600</v>
      </c>
      <c r="K2745" s="6" t="str">
        <f ca="1">IFERROR(__xludf.DUMMYFUNCTION("""COMPUTED_VALUE"""),"7.5 % على المحلى ,5% على المستلزمات الطبية و التجميل")</f>
        <v>7.5 % على المحلى ,5% على المستلزمات الطبية و التجميل</v>
      </c>
    </row>
    <row r="2746" spans="1:11" x14ac:dyDescent="0.25">
      <c r="A2746" s="4" t="str">
        <f ca="1">IFERROR(__xludf.DUMMYFUNCTION("""COMPUTED_VALUE"""),"1683-B")</f>
        <v>1683-B</v>
      </c>
      <c r="B2746" s="5" t="str">
        <f ca="1">IFERROR(__xludf.DUMMYFUNCTION("""COMPUTED_VALUE"""),"الشرقية")</f>
        <v>الشرقية</v>
      </c>
      <c r="C2746" s="5" t="str">
        <f ca="1">IFERROR(__xludf.DUMMYFUNCTION("""COMPUTED_VALUE"""),"بلبيس")</f>
        <v>بلبيس</v>
      </c>
      <c r="D2746" s="5" t="str">
        <f ca="1">IFERROR(__xludf.DUMMYFUNCTION("""COMPUTED_VALUE"""),"صيدلية")</f>
        <v>صيدلية</v>
      </c>
      <c r="E2746" s="5" t="str">
        <f ca="1">IFERROR(__xludf.DUMMYFUNCTION("""COMPUTED_VALUE"""),"صيدلية")</f>
        <v>صيدلية</v>
      </c>
      <c r="F2746" s="5" t="str">
        <f ca="1">IFERROR(__xludf.DUMMYFUNCTION("""COMPUTED_VALUE"""),"صيدلية (أدوية ومستلزمات طبية)")</f>
        <v>صيدلية (أدوية ومستلزمات طبية)</v>
      </c>
      <c r="G274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46" s="5" t="str">
        <f ca="1">IFERROR(__xludf.DUMMYFUNCTION("""COMPUTED_VALUE"""),"محل رقم 11 شارع عبدالمنعم رياض - الساحة الشعبيه - بلبيس - محافظة الشرقيه")</f>
        <v>محل رقم 11 شارع عبدالمنعم رياض - الساحة الشعبيه - بلبيس - محافظة الشرقيه</v>
      </c>
      <c r="I2746" s="6"/>
      <c r="J2746" s="6" t="str">
        <f ca="1">IFERROR(__xludf.DUMMYFUNCTION("""COMPUTED_VALUE"""),"19600")</f>
        <v>19600</v>
      </c>
      <c r="K2746" s="6" t="str">
        <f ca="1">IFERROR(__xludf.DUMMYFUNCTION("""COMPUTED_VALUE"""),"7.5 % على المحلى ,5% على المستلزمات الطبية و التجميل")</f>
        <v>7.5 % على المحلى ,5% على المستلزمات الطبية و التجميل</v>
      </c>
    </row>
    <row r="2747" spans="1:11" x14ac:dyDescent="0.25">
      <c r="A2747" s="4" t="str">
        <f ca="1">IFERROR(__xludf.DUMMYFUNCTION("""COMPUTED_VALUE"""),"1683-B")</f>
        <v>1683-B</v>
      </c>
      <c r="B2747" s="5" t="str">
        <f ca="1">IFERROR(__xludf.DUMMYFUNCTION("""COMPUTED_VALUE"""),"الدقهلية")</f>
        <v>الدقهلية</v>
      </c>
      <c r="C2747" s="5" t="str">
        <f ca="1">IFERROR(__xludf.DUMMYFUNCTION("""COMPUTED_VALUE"""),"المنصورة")</f>
        <v>المنصورة</v>
      </c>
      <c r="D2747" s="5" t="str">
        <f ca="1">IFERROR(__xludf.DUMMYFUNCTION("""COMPUTED_VALUE"""),"صيدلية")</f>
        <v>صيدلية</v>
      </c>
      <c r="E2747" s="5" t="str">
        <f ca="1">IFERROR(__xludf.DUMMYFUNCTION("""COMPUTED_VALUE"""),"صيدلية")</f>
        <v>صيدلية</v>
      </c>
      <c r="F2747" s="5" t="str">
        <f ca="1">IFERROR(__xludf.DUMMYFUNCTION("""COMPUTED_VALUE"""),"صيدلية (أدوية ومستلزمات طبية)")</f>
        <v>صيدلية (أدوية ومستلزمات طبية)</v>
      </c>
      <c r="G274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47" s="5" t="str">
        <f ca="1">IFERROR(__xludf.DUMMYFUNCTION("""COMPUTED_VALUE"""),"امتداد شارع احمد ماهر برج المستشارين ناصية شارع تقسيم السيد خطاب اربعة جوار مسجد التقوي- المنصورة -دقهلية ")</f>
        <v xml:space="preserve">امتداد شارع احمد ماهر برج المستشارين ناصية شارع تقسيم السيد خطاب اربعة جوار مسجد التقوي- المنصورة -دقهلية </v>
      </c>
      <c r="I2747" s="6"/>
      <c r="J2747" s="6" t="str">
        <f ca="1">IFERROR(__xludf.DUMMYFUNCTION("""COMPUTED_VALUE"""),"19600")</f>
        <v>19600</v>
      </c>
      <c r="K2747" s="6" t="str">
        <f ca="1">IFERROR(__xludf.DUMMYFUNCTION("""COMPUTED_VALUE"""),"7.5 % على المحلى ,5% على المستلزمات الطبية و التجميل")</f>
        <v>7.5 % على المحلى ,5% على المستلزمات الطبية و التجميل</v>
      </c>
    </row>
    <row r="2748" spans="1:11" x14ac:dyDescent="0.25">
      <c r="A2748" s="4" t="str">
        <f ca="1">IFERROR(__xludf.DUMMYFUNCTION("""COMPUTED_VALUE"""),"1683-B")</f>
        <v>1683-B</v>
      </c>
      <c r="B2748" s="5" t="str">
        <f ca="1">IFERROR(__xludf.DUMMYFUNCTION("""COMPUTED_VALUE"""),"الشرقية")</f>
        <v>الشرقية</v>
      </c>
      <c r="C2748" s="5" t="str">
        <f ca="1">IFERROR(__xludf.DUMMYFUNCTION("""COMPUTED_VALUE"""),"منيا القمح")</f>
        <v>منيا القمح</v>
      </c>
      <c r="D2748" s="5" t="str">
        <f ca="1">IFERROR(__xludf.DUMMYFUNCTION("""COMPUTED_VALUE"""),"صيدلية")</f>
        <v>صيدلية</v>
      </c>
      <c r="E2748" s="5" t="str">
        <f ca="1">IFERROR(__xludf.DUMMYFUNCTION("""COMPUTED_VALUE"""),"صيدلية")</f>
        <v>صيدلية</v>
      </c>
      <c r="F2748" s="5" t="str">
        <f ca="1">IFERROR(__xludf.DUMMYFUNCTION("""COMPUTED_VALUE"""),"صيدلية (أدوية ومستلزمات طبية)")</f>
        <v>صيدلية (أدوية ومستلزمات طبية)</v>
      </c>
      <c r="G274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48" s="5" t="str">
        <f ca="1">IFERROR(__xludf.DUMMYFUNCTION("""COMPUTED_VALUE"""),"شارع سعد زغلول-عقار فوزى الصايغ- منيا القمح-الشرقية")</f>
        <v>شارع سعد زغلول-عقار فوزى الصايغ- منيا القمح-الشرقية</v>
      </c>
      <c r="I2748" s="6"/>
      <c r="J2748" s="6" t="str">
        <f ca="1">IFERROR(__xludf.DUMMYFUNCTION("""COMPUTED_VALUE"""),"19600")</f>
        <v>19600</v>
      </c>
      <c r="K2748" s="6" t="str">
        <f ca="1">IFERROR(__xludf.DUMMYFUNCTION("""COMPUTED_VALUE"""),"7.5 % على المحلى ,5% على المستلزمات الطبية و التجميل")</f>
        <v>7.5 % على المحلى ,5% على المستلزمات الطبية و التجميل</v>
      </c>
    </row>
    <row r="2749" spans="1:11" x14ac:dyDescent="0.25">
      <c r="A2749" s="4" t="str">
        <f ca="1">IFERROR(__xludf.DUMMYFUNCTION("""COMPUTED_VALUE"""),"1683-B")</f>
        <v>1683-B</v>
      </c>
      <c r="B2749" s="5" t="str">
        <f ca="1">IFERROR(__xludf.DUMMYFUNCTION("""COMPUTED_VALUE"""),"الشرقية")</f>
        <v>الشرقية</v>
      </c>
      <c r="C2749" s="5" t="str">
        <f ca="1">IFERROR(__xludf.DUMMYFUNCTION("""COMPUTED_VALUE"""),"فاقوس")</f>
        <v>فاقوس</v>
      </c>
      <c r="D2749" s="5" t="str">
        <f ca="1">IFERROR(__xludf.DUMMYFUNCTION("""COMPUTED_VALUE"""),"صيدلية")</f>
        <v>صيدلية</v>
      </c>
      <c r="E2749" s="5" t="str">
        <f ca="1">IFERROR(__xludf.DUMMYFUNCTION("""COMPUTED_VALUE"""),"صيدلية")</f>
        <v>صيدلية</v>
      </c>
      <c r="F2749" s="5" t="str">
        <f ca="1">IFERROR(__xludf.DUMMYFUNCTION("""COMPUTED_VALUE"""),"صيدلية (أدوية ومستلزمات طبية)")</f>
        <v>صيدلية (أدوية ومستلزمات طبية)</v>
      </c>
      <c r="G274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49" s="5" t="str">
        <f ca="1">IFERROR(__xludf.DUMMYFUNCTION("""COMPUTED_VALUE"""),"ناصية شارع ترعة المنيا-امام مدرسة الثانوية -فاقوس -الشرقية ")</f>
        <v xml:space="preserve">ناصية شارع ترعة المنيا-امام مدرسة الثانوية -فاقوس -الشرقية </v>
      </c>
      <c r="I2749" s="6"/>
      <c r="J2749" s="6" t="str">
        <f ca="1">IFERROR(__xludf.DUMMYFUNCTION("""COMPUTED_VALUE"""),"19600")</f>
        <v>19600</v>
      </c>
      <c r="K2749" s="6" t="str">
        <f ca="1">IFERROR(__xludf.DUMMYFUNCTION("""COMPUTED_VALUE"""),"7.5 % على المحلى ,5% على المستلزمات الطبية و التجميل")</f>
        <v>7.5 % على المحلى ,5% على المستلزمات الطبية و التجميل</v>
      </c>
    </row>
    <row r="2750" spans="1:11" x14ac:dyDescent="0.25">
      <c r="A2750" s="4" t="str">
        <f ca="1">IFERROR(__xludf.DUMMYFUNCTION("""COMPUTED_VALUE"""),"1683-B")</f>
        <v>1683-B</v>
      </c>
      <c r="B2750" s="5" t="str">
        <f ca="1">IFERROR(__xludf.DUMMYFUNCTION("""COMPUTED_VALUE"""),"الدقهلية")</f>
        <v>الدقهلية</v>
      </c>
      <c r="C2750" s="5" t="str">
        <f ca="1">IFERROR(__xludf.DUMMYFUNCTION("""COMPUTED_VALUE"""),"المنصورة")</f>
        <v>المنصورة</v>
      </c>
      <c r="D2750" s="5" t="str">
        <f ca="1">IFERROR(__xludf.DUMMYFUNCTION("""COMPUTED_VALUE"""),"صيدلية")</f>
        <v>صيدلية</v>
      </c>
      <c r="E2750" s="5" t="str">
        <f ca="1">IFERROR(__xludf.DUMMYFUNCTION("""COMPUTED_VALUE"""),"صيدلية")</f>
        <v>صيدلية</v>
      </c>
      <c r="F2750" s="5" t="str">
        <f ca="1">IFERROR(__xludf.DUMMYFUNCTION("""COMPUTED_VALUE"""),"صيدلية (أدوية ومستلزمات طبية)")</f>
        <v>صيدلية (أدوية ومستلزمات طبية)</v>
      </c>
      <c r="G275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50" s="5" t="str">
        <f ca="1">IFERROR(__xludf.DUMMYFUNCTION("""COMPUTED_VALUE"""),"2شارع جامع النصر من سعد زغلول -المنصورة -الدقهلية ")</f>
        <v xml:space="preserve">2شارع جامع النصر من سعد زغلول -المنصورة -الدقهلية </v>
      </c>
      <c r="I2750" s="6"/>
      <c r="J2750" s="6" t="str">
        <f ca="1">IFERROR(__xludf.DUMMYFUNCTION("""COMPUTED_VALUE"""),"19600")</f>
        <v>19600</v>
      </c>
      <c r="K2750" s="6" t="str">
        <f ca="1">IFERROR(__xludf.DUMMYFUNCTION("""COMPUTED_VALUE"""),"7.5 % على المحلى ,5% على المستلزمات الطبية و التجميل")</f>
        <v>7.5 % على المحلى ,5% على المستلزمات الطبية و التجميل</v>
      </c>
    </row>
    <row r="2751" spans="1:11" x14ac:dyDescent="0.25">
      <c r="A2751" s="4" t="str">
        <f ca="1">IFERROR(__xludf.DUMMYFUNCTION("""COMPUTED_VALUE"""),"1683-B")</f>
        <v>1683-B</v>
      </c>
      <c r="B2751" s="5" t="str">
        <f ca="1">IFERROR(__xludf.DUMMYFUNCTION("""COMPUTED_VALUE"""),"الدقهلية")</f>
        <v>الدقهلية</v>
      </c>
      <c r="C2751" s="5" t="str">
        <f ca="1">IFERROR(__xludf.DUMMYFUNCTION("""COMPUTED_VALUE"""),"المنصورة")</f>
        <v>المنصورة</v>
      </c>
      <c r="D2751" s="5" t="str">
        <f ca="1">IFERROR(__xludf.DUMMYFUNCTION("""COMPUTED_VALUE"""),"صيدلية")</f>
        <v>صيدلية</v>
      </c>
      <c r="E2751" s="5" t="str">
        <f ca="1">IFERROR(__xludf.DUMMYFUNCTION("""COMPUTED_VALUE"""),"صيدلية")</f>
        <v>صيدلية</v>
      </c>
      <c r="F2751" s="5" t="str">
        <f ca="1">IFERROR(__xludf.DUMMYFUNCTION("""COMPUTED_VALUE"""),"صيدلية (أدوية ومستلزمات طبية)")</f>
        <v>صيدلية (أدوية ومستلزمات طبية)</v>
      </c>
      <c r="G275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51" s="5" t="str">
        <f ca="1">IFERROR(__xludf.DUMMYFUNCTION("""COMPUTED_VALUE"""),"طلخا - شارع المعتصم من شارع المعاهد - المنصورة - الدقهلية ")</f>
        <v xml:space="preserve">طلخا - شارع المعتصم من شارع المعاهد - المنصورة - الدقهلية </v>
      </c>
      <c r="I2751" s="6"/>
      <c r="J2751" s="6" t="str">
        <f ca="1">IFERROR(__xludf.DUMMYFUNCTION("""COMPUTED_VALUE"""),"19600")</f>
        <v>19600</v>
      </c>
      <c r="K2751" s="6" t="str">
        <f ca="1">IFERROR(__xludf.DUMMYFUNCTION("""COMPUTED_VALUE"""),"7.5 % على المحلى ,5% على المستلزمات الطبية و التجميل")</f>
        <v>7.5 % على المحلى ,5% على المستلزمات الطبية و التجميل</v>
      </c>
    </row>
    <row r="2752" spans="1:11" x14ac:dyDescent="0.25">
      <c r="A2752" s="4" t="str">
        <f ca="1">IFERROR(__xludf.DUMMYFUNCTION("""COMPUTED_VALUE"""),"1683-B")</f>
        <v>1683-B</v>
      </c>
      <c r="B2752" s="5" t="str">
        <f ca="1">IFERROR(__xludf.DUMMYFUNCTION("""COMPUTED_VALUE"""),"الدقهلية")</f>
        <v>الدقهلية</v>
      </c>
      <c r="C2752" s="5" t="str">
        <f ca="1">IFERROR(__xludf.DUMMYFUNCTION("""COMPUTED_VALUE"""),"المنصورة")</f>
        <v>المنصورة</v>
      </c>
      <c r="D2752" s="5" t="str">
        <f ca="1">IFERROR(__xludf.DUMMYFUNCTION("""COMPUTED_VALUE"""),"صيدلية")</f>
        <v>صيدلية</v>
      </c>
      <c r="E2752" s="5" t="str">
        <f ca="1">IFERROR(__xludf.DUMMYFUNCTION("""COMPUTED_VALUE"""),"صيدلية")</f>
        <v>صيدلية</v>
      </c>
      <c r="F2752" s="5" t="str">
        <f ca="1">IFERROR(__xludf.DUMMYFUNCTION("""COMPUTED_VALUE"""),"صيدلية (أدوية ومستلزمات طبية)")</f>
        <v>صيدلية (أدوية ومستلزمات طبية)</v>
      </c>
      <c r="G275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52" s="5" t="str">
        <f ca="1">IFERROR(__xludf.DUMMYFUNCTION("""COMPUTED_VALUE"""),"عقار 2 ب تنظيم - ميدان المحطة -امام محطة قطار المنصورة - المنصورة - الدقهلية ")</f>
        <v xml:space="preserve">عقار 2 ب تنظيم - ميدان المحطة -امام محطة قطار المنصورة - المنصورة - الدقهلية </v>
      </c>
      <c r="I2752" s="6"/>
      <c r="J2752" s="6" t="str">
        <f ca="1">IFERROR(__xludf.DUMMYFUNCTION("""COMPUTED_VALUE"""),"19600")</f>
        <v>19600</v>
      </c>
      <c r="K2752" s="6" t="str">
        <f ca="1">IFERROR(__xludf.DUMMYFUNCTION("""COMPUTED_VALUE"""),"7.5 % على المحلى ,5% على المستلزمات الطبية و التجميل")</f>
        <v>7.5 % على المحلى ,5% على المستلزمات الطبية و التجميل</v>
      </c>
    </row>
    <row r="2753" spans="1:11" x14ac:dyDescent="0.25">
      <c r="A2753" s="4" t="str">
        <f ca="1">IFERROR(__xludf.DUMMYFUNCTION("""COMPUTED_VALUE"""),"1683-B")</f>
        <v>1683-B</v>
      </c>
      <c r="B2753" s="5" t="str">
        <f ca="1">IFERROR(__xludf.DUMMYFUNCTION("""COMPUTED_VALUE"""),"الغربية")</f>
        <v>الغربية</v>
      </c>
      <c r="C2753" s="5" t="str">
        <f ca="1">IFERROR(__xludf.DUMMYFUNCTION("""COMPUTED_VALUE"""),"زفتى")</f>
        <v>زفتى</v>
      </c>
      <c r="D2753" s="5" t="str">
        <f ca="1">IFERROR(__xludf.DUMMYFUNCTION("""COMPUTED_VALUE"""),"صيدلية")</f>
        <v>صيدلية</v>
      </c>
      <c r="E2753" s="5" t="str">
        <f ca="1">IFERROR(__xludf.DUMMYFUNCTION("""COMPUTED_VALUE"""),"صيدلية")</f>
        <v>صيدلية</v>
      </c>
      <c r="F2753" s="5" t="str">
        <f ca="1">IFERROR(__xludf.DUMMYFUNCTION("""COMPUTED_VALUE"""),"صيدلية (أدوية ومستلزمات طبية)")</f>
        <v>صيدلية (أدوية ومستلزمات طبية)</v>
      </c>
      <c r="G275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53" s="5" t="str">
        <f ca="1">IFERROR(__xludf.DUMMYFUNCTION("""COMPUTED_VALUE"""),"زفتى – شارع البحر – بجوار مسجد شلبى – الغربية")</f>
        <v>زفتى – شارع البحر – بجوار مسجد شلبى – الغربية</v>
      </c>
      <c r="I2753" s="6"/>
      <c r="J2753" s="6" t="str">
        <f ca="1">IFERROR(__xludf.DUMMYFUNCTION("""COMPUTED_VALUE"""),"19600")</f>
        <v>19600</v>
      </c>
      <c r="K2753" s="6" t="str">
        <f ca="1">IFERROR(__xludf.DUMMYFUNCTION("""COMPUTED_VALUE"""),"7.5 % على المحلى ,5% على المستلزمات الطبية و التجميل")</f>
        <v>7.5 % على المحلى ,5% على المستلزمات الطبية و التجميل</v>
      </c>
    </row>
    <row r="2754" spans="1:11" x14ac:dyDescent="0.25">
      <c r="A2754" s="4" t="str">
        <f ca="1">IFERROR(__xludf.DUMMYFUNCTION("""COMPUTED_VALUE"""),"1683-B")</f>
        <v>1683-B</v>
      </c>
      <c r="B2754" s="5" t="str">
        <f ca="1">IFERROR(__xludf.DUMMYFUNCTION("""COMPUTED_VALUE"""),"الشرقية")</f>
        <v>الشرقية</v>
      </c>
      <c r="C2754" s="5" t="str">
        <f ca="1">IFERROR(__xludf.DUMMYFUNCTION("""COMPUTED_VALUE"""),"الزقازيق")</f>
        <v>الزقازيق</v>
      </c>
      <c r="D2754" s="5" t="str">
        <f ca="1">IFERROR(__xludf.DUMMYFUNCTION("""COMPUTED_VALUE"""),"صيدلية")</f>
        <v>صيدلية</v>
      </c>
      <c r="E2754" s="5" t="str">
        <f ca="1">IFERROR(__xludf.DUMMYFUNCTION("""COMPUTED_VALUE"""),"صيدلية")</f>
        <v>صيدلية</v>
      </c>
      <c r="F2754" s="5" t="str">
        <f ca="1">IFERROR(__xludf.DUMMYFUNCTION("""COMPUTED_VALUE"""),"صيدلية (أدوية ومستلزمات طبية)")</f>
        <v>صيدلية (أدوية ومستلزمات طبية)</v>
      </c>
      <c r="G275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54" s="5" t="str">
        <f ca="1">IFERROR(__xludf.DUMMYFUNCTION("""COMPUTED_VALUE"""),"شارع موقف المنصورة – اسفل المستشفى التخصصى للحوادث - الزقازيق -الشرقية")</f>
        <v>شارع موقف المنصورة – اسفل المستشفى التخصصى للحوادث - الزقازيق -الشرقية</v>
      </c>
      <c r="I2754" s="6"/>
      <c r="J2754" s="6" t="str">
        <f ca="1">IFERROR(__xludf.DUMMYFUNCTION("""COMPUTED_VALUE"""),"19600")</f>
        <v>19600</v>
      </c>
      <c r="K2754" s="6" t="str">
        <f ca="1">IFERROR(__xludf.DUMMYFUNCTION("""COMPUTED_VALUE"""),"7.5 % على المحلى ,5% على المستلزمات الطبية و التجميل")</f>
        <v>7.5 % على المحلى ,5% على المستلزمات الطبية و التجميل</v>
      </c>
    </row>
    <row r="2755" spans="1:11" x14ac:dyDescent="0.25">
      <c r="A2755" s="4" t="str">
        <f ca="1">IFERROR(__xludf.DUMMYFUNCTION("""COMPUTED_VALUE"""),"1683-B")</f>
        <v>1683-B</v>
      </c>
      <c r="B2755" s="5" t="str">
        <f ca="1">IFERROR(__xludf.DUMMYFUNCTION("""COMPUTED_VALUE"""),"الغربية")</f>
        <v>الغربية</v>
      </c>
      <c r="C2755" s="5" t="str">
        <f ca="1">IFERROR(__xludf.DUMMYFUNCTION("""COMPUTED_VALUE"""),"كفر الزيات")</f>
        <v>كفر الزيات</v>
      </c>
      <c r="D2755" s="5" t="str">
        <f ca="1">IFERROR(__xludf.DUMMYFUNCTION("""COMPUTED_VALUE"""),"صيدلية")</f>
        <v>صيدلية</v>
      </c>
      <c r="E2755" s="5" t="str">
        <f ca="1">IFERROR(__xludf.DUMMYFUNCTION("""COMPUTED_VALUE"""),"صيدلية")</f>
        <v>صيدلية</v>
      </c>
      <c r="F2755" s="5" t="str">
        <f ca="1">IFERROR(__xludf.DUMMYFUNCTION("""COMPUTED_VALUE"""),"صيدلية (أدوية ومستلزمات طبية)")</f>
        <v>صيدلية (أدوية ومستلزمات طبية)</v>
      </c>
      <c r="G275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55" s="5" t="str">
        <f ca="1">IFERROR(__xludf.DUMMYFUNCTION("""COMPUTED_VALUE"""),"شارع الجيش - بجوار المستشفى العام - كفر الزيات(البحيرة)")</f>
        <v>شارع الجيش - بجوار المستشفى العام - كفر الزيات(البحيرة)</v>
      </c>
      <c r="I2755" s="6"/>
      <c r="J2755" s="6" t="str">
        <f ca="1">IFERROR(__xludf.DUMMYFUNCTION("""COMPUTED_VALUE"""),"19600")</f>
        <v>19600</v>
      </c>
      <c r="K2755" s="6" t="str">
        <f ca="1">IFERROR(__xludf.DUMMYFUNCTION("""COMPUTED_VALUE"""),"7.5 % على المحلى ,5% على المستلزمات الطبية و التجميل")</f>
        <v>7.5 % على المحلى ,5% على المستلزمات الطبية و التجميل</v>
      </c>
    </row>
    <row r="2756" spans="1:11" x14ac:dyDescent="0.25">
      <c r="A2756" s="4" t="str">
        <f ca="1">IFERROR(__xludf.DUMMYFUNCTION("""COMPUTED_VALUE"""),"1683-B")</f>
        <v>1683-B</v>
      </c>
      <c r="B2756" s="5" t="str">
        <f ca="1">IFERROR(__xludf.DUMMYFUNCTION("""COMPUTED_VALUE"""),"الإسماعيلية")</f>
        <v>الإسماعيلية</v>
      </c>
      <c r="C2756" s="5" t="str">
        <f ca="1">IFERROR(__xludf.DUMMYFUNCTION("""COMPUTED_VALUE"""),"الإسماعيلية")</f>
        <v>الإسماعيلية</v>
      </c>
      <c r="D2756" s="5" t="str">
        <f ca="1">IFERROR(__xludf.DUMMYFUNCTION("""COMPUTED_VALUE"""),"صيدلية")</f>
        <v>صيدلية</v>
      </c>
      <c r="E2756" s="5" t="str">
        <f ca="1">IFERROR(__xludf.DUMMYFUNCTION("""COMPUTED_VALUE"""),"صيدلية")</f>
        <v>صيدلية</v>
      </c>
      <c r="F2756" s="5" t="str">
        <f ca="1">IFERROR(__xludf.DUMMYFUNCTION("""COMPUTED_VALUE"""),"صيدلية (أدوية ومستلزمات طبية)")</f>
        <v>صيدلية (أدوية ومستلزمات طبية)</v>
      </c>
      <c r="G275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56" s="5" t="str">
        <f ca="1">IFERROR(__xludf.DUMMYFUNCTION("""COMPUTED_VALUE"""),"شارع الجيش-الكورنيش الجديدة-ناصية الحلوس - كارفور الاسماعلية -الاسماعلية")</f>
        <v>شارع الجيش-الكورنيش الجديدة-ناصية الحلوس - كارفور الاسماعلية -الاسماعلية</v>
      </c>
      <c r="I2756" s="6"/>
      <c r="J2756" s="6" t="str">
        <f ca="1">IFERROR(__xludf.DUMMYFUNCTION("""COMPUTED_VALUE"""),"19600")</f>
        <v>19600</v>
      </c>
      <c r="K2756" s="6" t="str">
        <f ca="1">IFERROR(__xludf.DUMMYFUNCTION("""COMPUTED_VALUE"""),"7.5 % على المحلى ,5% على المستلزمات الطبية و التجميل")</f>
        <v>7.5 % على المحلى ,5% على المستلزمات الطبية و التجميل</v>
      </c>
    </row>
    <row r="2757" spans="1:11" x14ac:dyDescent="0.25">
      <c r="A2757" s="4" t="str">
        <f ca="1">IFERROR(__xludf.DUMMYFUNCTION("""COMPUTED_VALUE"""),"1683-B")</f>
        <v>1683-B</v>
      </c>
      <c r="B2757" s="5" t="str">
        <f ca="1">IFERROR(__xludf.DUMMYFUNCTION("""COMPUTED_VALUE"""),"بني سويف")</f>
        <v>بني سويف</v>
      </c>
      <c r="C2757" s="5" t="str">
        <f ca="1">IFERROR(__xludf.DUMMYFUNCTION("""COMPUTED_VALUE"""),"بني سويف")</f>
        <v>بني سويف</v>
      </c>
      <c r="D2757" s="5" t="str">
        <f ca="1">IFERROR(__xludf.DUMMYFUNCTION("""COMPUTED_VALUE"""),"صيدلية")</f>
        <v>صيدلية</v>
      </c>
      <c r="E2757" s="5" t="str">
        <f ca="1">IFERROR(__xludf.DUMMYFUNCTION("""COMPUTED_VALUE"""),"صيدلية")</f>
        <v>صيدلية</v>
      </c>
      <c r="F2757" s="5" t="str">
        <f ca="1">IFERROR(__xludf.DUMMYFUNCTION("""COMPUTED_VALUE"""),"صيدلية (أدوية ومستلزمات طبية)")</f>
        <v>صيدلية (أدوية ومستلزمات طبية)</v>
      </c>
      <c r="G275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57" s="5" t="str">
        <f ca="1">IFERROR(__xludf.DUMMYFUNCTION("""COMPUTED_VALUE"""),"شارع احمد عرابى -سور النادى الرياضى -بنى سويف")</f>
        <v>شارع احمد عرابى -سور النادى الرياضى -بنى سويف</v>
      </c>
      <c r="I2757" s="6"/>
      <c r="J2757" s="6" t="str">
        <f ca="1">IFERROR(__xludf.DUMMYFUNCTION("""COMPUTED_VALUE"""),"19600")</f>
        <v>19600</v>
      </c>
      <c r="K2757" s="6" t="str">
        <f ca="1">IFERROR(__xludf.DUMMYFUNCTION("""COMPUTED_VALUE"""),"7.5 % على المحلى ,5% على المستلزمات الطبية و التجميل")</f>
        <v>7.5 % على المحلى ,5% على المستلزمات الطبية و التجميل</v>
      </c>
    </row>
    <row r="2758" spans="1:11" x14ac:dyDescent="0.25">
      <c r="A2758" s="4" t="str">
        <f ca="1">IFERROR(__xludf.DUMMYFUNCTION("""COMPUTED_VALUE"""),"1683-B")</f>
        <v>1683-B</v>
      </c>
      <c r="B2758" s="5" t="str">
        <f ca="1">IFERROR(__xludf.DUMMYFUNCTION("""COMPUTED_VALUE"""),"قنا")</f>
        <v>قنا</v>
      </c>
      <c r="C2758" s="5" t="str">
        <f ca="1">IFERROR(__xludf.DUMMYFUNCTION("""COMPUTED_VALUE"""),"قنا")</f>
        <v>قنا</v>
      </c>
      <c r="D2758" s="5" t="str">
        <f ca="1">IFERROR(__xludf.DUMMYFUNCTION("""COMPUTED_VALUE"""),"صيدلية")</f>
        <v>صيدلية</v>
      </c>
      <c r="E2758" s="5" t="str">
        <f ca="1">IFERROR(__xludf.DUMMYFUNCTION("""COMPUTED_VALUE"""),"صيدلية")</f>
        <v>صيدلية</v>
      </c>
      <c r="F2758" s="5" t="str">
        <f ca="1">IFERROR(__xludf.DUMMYFUNCTION("""COMPUTED_VALUE"""),"صيدلية (أدوية ومستلزمات طبية)")</f>
        <v>صيدلية (أدوية ومستلزمات طبية)</v>
      </c>
      <c r="G275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58" s="5" t="str">
        <f ca="1">IFERROR(__xludf.DUMMYFUNCTION("""COMPUTED_VALUE"""),"شارع 30 مارس - امام محطة القطار – مركز نجع حمادى -محافظة قنا 
")</f>
        <v xml:space="preserve">شارع 30 مارس - امام محطة القطار – مركز نجع حمادى -محافظة قنا 
</v>
      </c>
      <c r="I2758" s="6"/>
      <c r="J2758" s="6" t="str">
        <f ca="1">IFERROR(__xludf.DUMMYFUNCTION("""COMPUTED_VALUE"""),"19600")</f>
        <v>19600</v>
      </c>
      <c r="K2758" s="6" t="str">
        <f ca="1">IFERROR(__xludf.DUMMYFUNCTION("""COMPUTED_VALUE"""),"7.5 % على المحلى ,5% على المستلزمات الطبية و التجميل")</f>
        <v>7.5 % على المحلى ,5% على المستلزمات الطبية و التجميل</v>
      </c>
    </row>
    <row r="2759" spans="1:11" x14ac:dyDescent="0.25">
      <c r="A2759" s="4" t="str">
        <f ca="1">IFERROR(__xludf.DUMMYFUNCTION("""COMPUTED_VALUE"""),"1683-B")</f>
        <v>1683-B</v>
      </c>
      <c r="B2759" s="5" t="str">
        <f ca="1">IFERROR(__xludf.DUMMYFUNCTION("""COMPUTED_VALUE"""),"أسيوط")</f>
        <v>أسيوط</v>
      </c>
      <c r="C2759" s="5" t="str">
        <f ca="1">IFERROR(__xludf.DUMMYFUNCTION("""COMPUTED_VALUE"""),"ابو تيج")</f>
        <v>ابو تيج</v>
      </c>
      <c r="D2759" s="5" t="str">
        <f ca="1">IFERROR(__xludf.DUMMYFUNCTION("""COMPUTED_VALUE"""),"صيدلية")</f>
        <v>صيدلية</v>
      </c>
      <c r="E2759" s="5" t="str">
        <f ca="1">IFERROR(__xludf.DUMMYFUNCTION("""COMPUTED_VALUE"""),"صيدلية")</f>
        <v>صيدلية</v>
      </c>
      <c r="F2759" s="5" t="str">
        <f ca="1">IFERROR(__xludf.DUMMYFUNCTION("""COMPUTED_VALUE"""),"صيدلية (أدوية ومستلزمات طبية)")</f>
        <v>صيدلية (أدوية ومستلزمات طبية)</v>
      </c>
      <c r="G275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59" s="5" t="str">
        <f ca="1">IFERROR(__xludf.DUMMYFUNCTION("""COMPUTED_VALUE"""),"رقم 2/27  طريق سوهاج اسيوط بحرى - امام السجل المدنى - ابو تيج- محافظة اسيوط")</f>
        <v>رقم 2/27  طريق سوهاج اسيوط بحرى - امام السجل المدنى - ابو تيج- محافظة اسيوط</v>
      </c>
      <c r="I2759" s="6"/>
      <c r="J2759" s="6" t="str">
        <f ca="1">IFERROR(__xludf.DUMMYFUNCTION("""COMPUTED_VALUE"""),"19600")</f>
        <v>19600</v>
      </c>
      <c r="K2759" s="6" t="str">
        <f ca="1">IFERROR(__xludf.DUMMYFUNCTION("""COMPUTED_VALUE"""),"7.5 % على المحلى ,5% على المستلزمات الطبية و التجميل")</f>
        <v>7.5 % على المحلى ,5% على المستلزمات الطبية و التجميل</v>
      </c>
    </row>
    <row r="2760" spans="1:11" x14ac:dyDescent="0.25">
      <c r="A2760" s="4" t="str">
        <f ca="1">IFERROR(__xludf.DUMMYFUNCTION("""COMPUTED_VALUE"""),"1683-B")</f>
        <v>1683-B</v>
      </c>
      <c r="B2760" s="5" t="str">
        <f ca="1">IFERROR(__xludf.DUMMYFUNCTION("""COMPUTED_VALUE"""),"المنيا")</f>
        <v>المنيا</v>
      </c>
      <c r="C2760" s="5" t="str">
        <f ca="1">IFERROR(__xludf.DUMMYFUNCTION("""COMPUTED_VALUE"""),"سمالوط")</f>
        <v>سمالوط</v>
      </c>
      <c r="D2760" s="5" t="str">
        <f ca="1">IFERROR(__xludf.DUMMYFUNCTION("""COMPUTED_VALUE"""),"صيدلية")</f>
        <v>صيدلية</v>
      </c>
      <c r="E2760" s="5" t="str">
        <f ca="1">IFERROR(__xludf.DUMMYFUNCTION("""COMPUTED_VALUE"""),"صيدلية")</f>
        <v>صيدلية</v>
      </c>
      <c r="F2760" s="5" t="str">
        <f ca="1">IFERROR(__xludf.DUMMYFUNCTION("""COMPUTED_VALUE"""),"صيدلية (أدوية ومستلزمات طبية)")</f>
        <v>صيدلية (أدوية ومستلزمات طبية)</v>
      </c>
      <c r="G276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60" s="5" t="str">
        <f ca="1">IFERROR(__xludf.DUMMYFUNCTION("""COMPUTED_VALUE"""),"شارع الجمهورية -  بجوار مسشتفى الراعى الصالح - سمالوط")</f>
        <v>شارع الجمهورية -  بجوار مسشتفى الراعى الصالح - سمالوط</v>
      </c>
      <c r="I2760" s="6"/>
      <c r="J2760" s="6" t="str">
        <f ca="1">IFERROR(__xludf.DUMMYFUNCTION("""COMPUTED_VALUE"""),"19600")</f>
        <v>19600</v>
      </c>
      <c r="K2760" s="6" t="str">
        <f ca="1">IFERROR(__xludf.DUMMYFUNCTION("""COMPUTED_VALUE"""),"7.5 % على المحلى ,5% على المستلزمات الطبية و التجميل")</f>
        <v>7.5 % على المحلى ,5% على المستلزمات الطبية و التجميل</v>
      </c>
    </row>
    <row r="2761" spans="1:11" x14ac:dyDescent="0.25">
      <c r="A2761" s="4" t="str">
        <f ca="1">IFERROR(__xludf.DUMMYFUNCTION("""COMPUTED_VALUE"""),"1683-B")</f>
        <v>1683-B</v>
      </c>
      <c r="B2761" s="5" t="str">
        <f ca="1">IFERROR(__xludf.DUMMYFUNCTION("""COMPUTED_VALUE"""),"المنيا")</f>
        <v>المنيا</v>
      </c>
      <c r="C2761" s="5" t="str">
        <f ca="1">IFERROR(__xludf.DUMMYFUNCTION("""COMPUTED_VALUE"""),"ملوي")</f>
        <v>ملوي</v>
      </c>
      <c r="D2761" s="5" t="str">
        <f ca="1">IFERROR(__xludf.DUMMYFUNCTION("""COMPUTED_VALUE"""),"صيدلية")</f>
        <v>صيدلية</v>
      </c>
      <c r="E2761" s="5" t="str">
        <f ca="1">IFERROR(__xludf.DUMMYFUNCTION("""COMPUTED_VALUE"""),"صيدلية")</f>
        <v>صيدلية</v>
      </c>
      <c r="F2761" s="5" t="str">
        <f ca="1">IFERROR(__xludf.DUMMYFUNCTION("""COMPUTED_VALUE"""),"صيدلية (أدوية ومستلزمات طبية)")</f>
        <v>صيدلية (أدوية ومستلزمات طبية)</v>
      </c>
      <c r="G276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61" s="5" t="str">
        <f ca="1">IFERROR(__xludf.DUMMYFUNCTION("""COMPUTED_VALUE"""),"1 شارع الجلاء - امام قسم الشرطة ملوي -  مركز ملوى- المنيا ")</f>
        <v xml:space="preserve">1 شارع الجلاء - امام قسم الشرطة ملوي -  مركز ملوى- المنيا </v>
      </c>
      <c r="I2761" s="6"/>
      <c r="J2761" s="6" t="str">
        <f ca="1">IFERROR(__xludf.DUMMYFUNCTION("""COMPUTED_VALUE"""),"19600")</f>
        <v>19600</v>
      </c>
      <c r="K2761" s="6" t="str">
        <f ca="1">IFERROR(__xludf.DUMMYFUNCTION("""COMPUTED_VALUE"""),"7.5 % على المحلى ,5% على المستلزمات الطبية و التجميل")</f>
        <v>7.5 % على المحلى ,5% على المستلزمات الطبية و التجميل</v>
      </c>
    </row>
    <row r="2762" spans="1:11" x14ac:dyDescent="0.25">
      <c r="A2762" s="4" t="str">
        <f ca="1">IFERROR(__xludf.DUMMYFUNCTION("""COMPUTED_VALUE"""),"1683-B")</f>
        <v>1683-B</v>
      </c>
      <c r="B2762" s="5" t="str">
        <f ca="1">IFERROR(__xludf.DUMMYFUNCTION("""COMPUTED_VALUE"""),"الفيوم")</f>
        <v>الفيوم</v>
      </c>
      <c r="C2762" s="5" t="str">
        <f ca="1">IFERROR(__xludf.DUMMYFUNCTION("""COMPUTED_VALUE"""),"الفيوم")</f>
        <v>الفيوم</v>
      </c>
      <c r="D2762" s="5" t="str">
        <f ca="1">IFERROR(__xludf.DUMMYFUNCTION("""COMPUTED_VALUE"""),"صيدلية")</f>
        <v>صيدلية</v>
      </c>
      <c r="E2762" s="5" t="str">
        <f ca="1">IFERROR(__xludf.DUMMYFUNCTION("""COMPUTED_VALUE"""),"صيدلية")</f>
        <v>صيدلية</v>
      </c>
      <c r="F2762" s="5" t="str">
        <f ca="1">IFERROR(__xludf.DUMMYFUNCTION("""COMPUTED_VALUE"""),"صيدلية (أدوية ومستلزمات طبية)")</f>
        <v>صيدلية (أدوية ومستلزمات طبية)</v>
      </c>
      <c r="G276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62" s="5" t="str">
        <f ca="1">IFERROR(__xludf.DUMMYFUNCTION("""COMPUTED_VALUE"""),"شارع الجمهورية – مركز أبشواى - الفيوم ")</f>
        <v xml:space="preserve">شارع الجمهورية – مركز أبشواى - الفيوم </v>
      </c>
      <c r="I2762" s="6"/>
      <c r="J2762" s="6" t="str">
        <f ca="1">IFERROR(__xludf.DUMMYFUNCTION("""COMPUTED_VALUE"""),"19600")</f>
        <v>19600</v>
      </c>
      <c r="K2762" s="6" t="str">
        <f ca="1">IFERROR(__xludf.DUMMYFUNCTION("""COMPUTED_VALUE"""),"7.5 % على المحلى ,5% على المستلزمات الطبية و التجميل")</f>
        <v>7.5 % على المحلى ,5% على المستلزمات الطبية و التجميل</v>
      </c>
    </row>
    <row r="2763" spans="1:11" x14ac:dyDescent="0.25">
      <c r="A2763" s="4" t="str">
        <f ca="1">IFERROR(__xludf.DUMMYFUNCTION("""COMPUTED_VALUE"""),"1683-B")</f>
        <v>1683-B</v>
      </c>
      <c r="B2763" s="5" t="str">
        <f ca="1">IFERROR(__xludf.DUMMYFUNCTION("""COMPUTED_VALUE"""),"الاسكندرية")</f>
        <v>الاسكندرية</v>
      </c>
      <c r="C2763" s="5" t="str">
        <f ca="1">IFERROR(__xludf.DUMMYFUNCTION("""COMPUTED_VALUE"""),"رشدي")</f>
        <v>رشدي</v>
      </c>
      <c r="D2763" s="5" t="str">
        <f ca="1">IFERROR(__xludf.DUMMYFUNCTION("""COMPUTED_VALUE"""),"صيدلية")</f>
        <v>صيدلية</v>
      </c>
      <c r="E2763" s="5" t="str">
        <f ca="1">IFERROR(__xludf.DUMMYFUNCTION("""COMPUTED_VALUE"""),"صيدلية")</f>
        <v>صيدلية</v>
      </c>
      <c r="F2763" s="5" t="str">
        <f ca="1">IFERROR(__xludf.DUMMYFUNCTION("""COMPUTED_VALUE"""),"صيدلية (أدوية ومستلزمات طبية)")</f>
        <v>صيدلية (أدوية ومستلزمات طبية)</v>
      </c>
      <c r="G276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63" s="5" t="str">
        <f ca="1">IFERROR(__xludf.DUMMYFUNCTION("""COMPUTED_VALUE"""),"٤٦٤ طريق الحريه - امام بنزينة موبيل - رشدى - الإسكندرية")</f>
        <v>٤٦٤ طريق الحريه - امام بنزينة موبيل - رشدى - الإسكندرية</v>
      </c>
      <c r="I2763" s="6"/>
      <c r="J2763" s="6" t="str">
        <f ca="1">IFERROR(__xludf.DUMMYFUNCTION("""COMPUTED_VALUE"""),"19600")</f>
        <v>19600</v>
      </c>
      <c r="K2763" s="6" t="str">
        <f ca="1">IFERROR(__xludf.DUMMYFUNCTION("""COMPUTED_VALUE"""),"7.5 % على المحلى ,5% على المستلزمات الطبية و التجميل")</f>
        <v>7.5 % على المحلى ,5% على المستلزمات الطبية و التجميل</v>
      </c>
    </row>
    <row r="2764" spans="1:11" x14ac:dyDescent="0.25">
      <c r="A2764" s="4" t="str">
        <f ca="1">IFERROR(__xludf.DUMMYFUNCTION("""COMPUTED_VALUE"""),"1683-B")</f>
        <v>1683-B</v>
      </c>
      <c r="B2764" s="5" t="str">
        <f ca="1">IFERROR(__xludf.DUMMYFUNCTION("""COMPUTED_VALUE"""),"مرسى مطروح")</f>
        <v>مرسى مطروح</v>
      </c>
      <c r="C2764" s="5" t="str">
        <f ca="1">IFERROR(__xludf.DUMMYFUNCTION("""COMPUTED_VALUE"""),"مرسى مطروح")</f>
        <v>مرسى مطروح</v>
      </c>
      <c r="D2764" s="5" t="str">
        <f ca="1">IFERROR(__xludf.DUMMYFUNCTION("""COMPUTED_VALUE"""),"صيدلية")</f>
        <v>صيدلية</v>
      </c>
      <c r="E2764" s="5" t="str">
        <f ca="1">IFERROR(__xludf.DUMMYFUNCTION("""COMPUTED_VALUE"""),"صيدلية")</f>
        <v>صيدلية</v>
      </c>
      <c r="F2764" s="5" t="str">
        <f ca="1">IFERROR(__xludf.DUMMYFUNCTION("""COMPUTED_VALUE"""),"صيدلية (أدوية ومستلزمات طبية)")</f>
        <v>صيدلية (أدوية ومستلزمات طبية)</v>
      </c>
      <c r="G276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64" s="5" t="str">
        <f ca="1">IFERROR(__xludf.DUMMYFUNCTION("""COMPUTED_VALUE"""),"رقم 26 شارع علم الروم  - بجوار مؤسسة مصر الخير - مرسى مطروح")</f>
        <v>رقم 26 شارع علم الروم  - بجوار مؤسسة مصر الخير - مرسى مطروح</v>
      </c>
      <c r="I2764" s="6"/>
      <c r="J2764" s="6" t="str">
        <f ca="1">IFERROR(__xludf.DUMMYFUNCTION("""COMPUTED_VALUE"""),"19600")</f>
        <v>19600</v>
      </c>
      <c r="K2764" s="6" t="str">
        <f ca="1">IFERROR(__xludf.DUMMYFUNCTION("""COMPUTED_VALUE"""),"7.5 % على المحلى ,5% على المستلزمات الطبية و التجميل")</f>
        <v>7.5 % على المحلى ,5% على المستلزمات الطبية و التجميل</v>
      </c>
    </row>
    <row r="2765" spans="1:11" x14ac:dyDescent="0.25">
      <c r="A2765" s="4" t="str">
        <f ca="1">IFERROR(__xludf.DUMMYFUNCTION("""COMPUTED_VALUE"""),"1683-B")</f>
        <v>1683-B</v>
      </c>
      <c r="B2765" s="5" t="str">
        <f ca="1">IFERROR(__xludf.DUMMYFUNCTION("""COMPUTED_VALUE"""),"القاهرة")</f>
        <v>القاهرة</v>
      </c>
      <c r="C2765" s="5" t="str">
        <f ca="1">IFERROR(__xludf.DUMMYFUNCTION("""COMPUTED_VALUE"""),"مصر الجديدة")</f>
        <v>مصر الجديدة</v>
      </c>
      <c r="D2765" s="5" t="str">
        <f ca="1">IFERROR(__xludf.DUMMYFUNCTION("""COMPUTED_VALUE"""),"صيدلية")</f>
        <v>صيدلية</v>
      </c>
      <c r="E2765" s="5" t="str">
        <f ca="1">IFERROR(__xludf.DUMMYFUNCTION("""COMPUTED_VALUE"""),"صيدلية")</f>
        <v>صيدلية</v>
      </c>
      <c r="F2765" s="5" t="str">
        <f ca="1">IFERROR(__xludf.DUMMYFUNCTION("""COMPUTED_VALUE"""),"صيدلية (أدوية ومستلزمات طبية)")</f>
        <v>صيدلية (أدوية ومستلزمات طبية)</v>
      </c>
      <c r="G276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65" s="5" t="str">
        <f ca="1">IFERROR(__xludf.DUMMYFUNCTION("""COMPUTED_VALUE"""),"٧ شارع أنقرة - أمام المركز الرياضي -  شيراتون المطار - القاهرة")</f>
        <v>٧ شارع أنقرة - أمام المركز الرياضي -  شيراتون المطار - القاهرة</v>
      </c>
      <c r="I2765" s="6"/>
      <c r="J2765" s="6" t="str">
        <f ca="1">IFERROR(__xludf.DUMMYFUNCTION("""COMPUTED_VALUE"""),"19600")</f>
        <v>19600</v>
      </c>
      <c r="K2765" s="6" t="str">
        <f ca="1">IFERROR(__xludf.DUMMYFUNCTION("""COMPUTED_VALUE"""),"7.5 % على المحلى ,5% على المستلزمات الطبية و التجميل")</f>
        <v>7.5 % على المحلى ,5% على المستلزمات الطبية و التجميل</v>
      </c>
    </row>
    <row r="2766" spans="1:11" x14ac:dyDescent="0.25">
      <c r="A2766" s="4" t="str">
        <f ca="1">IFERROR(__xludf.DUMMYFUNCTION("""COMPUTED_VALUE"""),"1683-B")</f>
        <v>1683-B</v>
      </c>
      <c r="B2766" s="5" t="str">
        <f ca="1">IFERROR(__xludf.DUMMYFUNCTION("""COMPUTED_VALUE"""),"القاهرة")</f>
        <v>القاهرة</v>
      </c>
      <c r="C2766" s="5" t="str">
        <f ca="1">IFERROR(__xludf.DUMMYFUNCTION("""COMPUTED_VALUE"""),"وسط البلد")</f>
        <v>وسط البلد</v>
      </c>
      <c r="D2766" s="5" t="str">
        <f ca="1">IFERROR(__xludf.DUMMYFUNCTION("""COMPUTED_VALUE"""),"صيدلية")</f>
        <v>صيدلية</v>
      </c>
      <c r="E2766" s="5" t="str">
        <f ca="1">IFERROR(__xludf.DUMMYFUNCTION("""COMPUTED_VALUE"""),"صيدلية")</f>
        <v>صيدلية</v>
      </c>
      <c r="F2766" s="5" t="str">
        <f ca="1">IFERROR(__xludf.DUMMYFUNCTION("""COMPUTED_VALUE"""),"صيدلية (أدوية ومستلزمات طبية)")</f>
        <v>صيدلية (أدوية ومستلزمات طبية)</v>
      </c>
      <c r="G2766"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66" s="5" t="str">
        <f ca="1">IFERROR(__xludf.DUMMYFUNCTION("""COMPUTED_VALUE"""),"رقم 47 ش رمسيس - وسط البلد-القاهرة ")</f>
        <v xml:space="preserve">رقم 47 ش رمسيس - وسط البلد-القاهرة </v>
      </c>
      <c r="I2766" s="6"/>
      <c r="J2766" s="6" t="str">
        <f ca="1">IFERROR(__xludf.DUMMYFUNCTION("""COMPUTED_VALUE"""),"19600")</f>
        <v>19600</v>
      </c>
      <c r="K2766" s="6" t="str">
        <f ca="1">IFERROR(__xludf.DUMMYFUNCTION("""COMPUTED_VALUE"""),"7.5 % على المحلى ,5% على المستلزمات الطبية و التجميل")</f>
        <v>7.5 % على المحلى ,5% على المستلزمات الطبية و التجميل</v>
      </c>
    </row>
    <row r="2767" spans="1:11" x14ac:dyDescent="0.25">
      <c r="A2767" s="4" t="str">
        <f ca="1">IFERROR(__xludf.DUMMYFUNCTION("""COMPUTED_VALUE"""),"1683-B")</f>
        <v>1683-B</v>
      </c>
      <c r="B2767" s="5" t="str">
        <f ca="1">IFERROR(__xludf.DUMMYFUNCTION("""COMPUTED_VALUE"""),"القاهرة")</f>
        <v>القاهرة</v>
      </c>
      <c r="C2767" s="5" t="str">
        <f ca="1">IFERROR(__xludf.DUMMYFUNCTION("""COMPUTED_VALUE"""),"حلمية الزيتون")</f>
        <v>حلمية الزيتون</v>
      </c>
      <c r="D2767" s="5" t="str">
        <f ca="1">IFERROR(__xludf.DUMMYFUNCTION("""COMPUTED_VALUE"""),"صيدلية")</f>
        <v>صيدلية</v>
      </c>
      <c r="E2767" s="5" t="str">
        <f ca="1">IFERROR(__xludf.DUMMYFUNCTION("""COMPUTED_VALUE"""),"صيدلية")</f>
        <v>صيدلية</v>
      </c>
      <c r="F2767" s="5" t="str">
        <f ca="1">IFERROR(__xludf.DUMMYFUNCTION("""COMPUTED_VALUE"""),"صيدلية (أدوية ومستلزمات طبية)")</f>
        <v>صيدلية (أدوية ومستلزمات طبية)</v>
      </c>
      <c r="G2767"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67" s="5" t="str">
        <f ca="1">IFERROR(__xludf.DUMMYFUNCTION("""COMPUTED_VALUE"""),"رقم 19 شارع الكابلات - اول ناصية درويش العربى - قسم الزيتون - القاهرة")</f>
        <v>رقم 19 شارع الكابلات - اول ناصية درويش العربى - قسم الزيتون - القاهرة</v>
      </c>
      <c r="I2767" s="6"/>
      <c r="J2767" s="6" t="str">
        <f ca="1">IFERROR(__xludf.DUMMYFUNCTION("""COMPUTED_VALUE"""),"19600")</f>
        <v>19600</v>
      </c>
      <c r="K2767" s="6" t="str">
        <f ca="1">IFERROR(__xludf.DUMMYFUNCTION("""COMPUTED_VALUE"""),"7.5 % على المحلى ,5% على المستلزمات الطبية و التجميل")</f>
        <v>7.5 % على المحلى ,5% على المستلزمات الطبية و التجميل</v>
      </c>
    </row>
    <row r="2768" spans="1:11" x14ac:dyDescent="0.25">
      <c r="A2768" s="4" t="str">
        <f ca="1">IFERROR(__xludf.DUMMYFUNCTION("""COMPUTED_VALUE"""),"1683-B")</f>
        <v>1683-B</v>
      </c>
      <c r="B2768" s="5" t="str">
        <f ca="1">IFERROR(__xludf.DUMMYFUNCTION("""COMPUTED_VALUE"""),"القليوبية")</f>
        <v>القليوبية</v>
      </c>
      <c r="C2768" s="5" t="str">
        <f ca="1">IFERROR(__xludf.DUMMYFUNCTION("""COMPUTED_VALUE"""),"مدينة العبور")</f>
        <v>مدينة العبور</v>
      </c>
      <c r="D2768" s="5" t="str">
        <f ca="1">IFERROR(__xludf.DUMMYFUNCTION("""COMPUTED_VALUE"""),"صيدلية")</f>
        <v>صيدلية</v>
      </c>
      <c r="E2768" s="5" t="str">
        <f ca="1">IFERROR(__xludf.DUMMYFUNCTION("""COMPUTED_VALUE"""),"صيدلية")</f>
        <v>صيدلية</v>
      </c>
      <c r="F2768" s="5" t="str">
        <f ca="1">IFERROR(__xludf.DUMMYFUNCTION("""COMPUTED_VALUE"""),"صيدلية (أدوية ومستلزمات طبية)")</f>
        <v>صيدلية (أدوية ومستلزمات طبية)</v>
      </c>
      <c r="G2768"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68" s="5" t="str">
        <f ca="1">IFERROR(__xludf.DUMMYFUNCTION("""COMPUTED_VALUE"""),"ش العبور - مساكن القاهرة - عملية 1500  -  امام مدرسة طه حسين - مدينة النهضة
")</f>
        <v xml:space="preserve">ش العبور - مساكن القاهرة - عملية 1500  -  امام مدرسة طه حسين - مدينة النهضة
</v>
      </c>
      <c r="I2768" s="6"/>
      <c r="J2768" s="6" t="str">
        <f ca="1">IFERROR(__xludf.DUMMYFUNCTION("""COMPUTED_VALUE"""),"19600")</f>
        <v>19600</v>
      </c>
      <c r="K2768" s="6" t="str">
        <f ca="1">IFERROR(__xludf.DUMMYFUNCTION("""COMPUTED_VALUE"""),"7.5 % على المحلى ,5% على المستلزمات الطبية و التجميل")</f>
        <v>7.5 % على المحلى ,5% على المستلزمات الطبية و التجميل</v>
      </c>
    </row>
    <row r="2769" spans="1:11" x14ac:dyDescent="0.25">
      <c r="A2769" s="4" t="str">
        <f ca="1">IFERROR(__xludf.DUMMYFUNCTION("""COMPUTED_VALUE"""),"1683-B")</f>
        <v>1683-B</v>
      </c>
      <c r="B2769" s="5" t="str">
        <f ca="1">IFERROR(__xludf.DUMMYFUNCTION("""COMPUTED_VALUE"""),"المنوفية")</f>
        <v>المنوفية</v>
      </c>
      <c r="C2769" s="5" t="str">
        <f ca="1">IFERROR(__xludf.DUMMYFUNCTION("""COMPUTED_VALUE"""),"منوف")</f>
        <v>منوف</v>
      </c>
      <c r="D2769" s="5" t="str">
        <f ca="1">IFERROR(__xludf.DUMMYFUNCTION("""COMPUTED_VALUE"""),"صيدلية")</f>
        <v>صيدلية</v>
      </c>
      <c r="E2769" s="5" t="str">
        <f ca="1">IFERROR(__xludf.DUMMYFUNCTION("""COMPUTED_VALUE"""),"صيدلية")</f>
        <v>صيدلية</v>
      </c>
      <c r="F2769" s="5" t="str">
        <f ca="1">IFERROR(__xludf.DUMMYFUNCTION("""COMPUTED_VALUE"""),"صيدلية (أدوية ومستلزمات طبية)")</f>
        <v>صيدلية (أدوية ومستلزمات طبية)</v>
      </c>
      <c r="G2769"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69" s="5" t="str">
        <f ca="1">IFERROR(__xludf.DUMMYFUNCTION("""COMPUTED_VALUE"""),"ش الزراعة - بجوار مستشفى هرمل -مركز  منوف – محافظة  المنوفية")</f>
        <v>ش الزراعة - بجوار مستشفى هرمل -مركز  منوف – محافظة  المنوفية</v>
      </c>
      <c r="I2769" s="6"/>
      <c r="J2769" s="6" t="str">
        <f ca="1">IFERROR(__xludf.DUMMYFUNCTION("""COMPUTED_VALUE"""),"19600")</f>
        <v>19600</v>
      </c>
      <c r="K2769" s="6" t="str">
        <f ca="1">IFERROR(__xludf.DUMMYFUNCTION("""COMPUTED_VALUE"""),"7.5 % على المحلى ,5% على المستلزمات الطبية و التجميل")</f>
        <v>7.5 % على المحلى ,5% على المستلزمات الطبية و التجميل</v>
      </c>
    </row>
    <row r="2770" spans="1:11" x14ac:dyDescent="0.25">
      <c r="A2770" s="4" t="str">
        <f ca="1">IFERROR(__xludf.DUMMYFUNCTION("""COMPUTED_VALUE"""),"1683-B")</f>
        <v>1683-B</v>
      </c>
      <c r="B2770" s="5" t="str">
        <f ca="1">IFERROR(__xludf.DUMMYFUNCTION("""COMPUTED_VALUE"""),"البحيرة")</f>
        <v>البحيرة</v>
      </c>
      <c r="C2770" s="5" t="str">
        <f ca="1">IFERROR(__xludf.DUMMYFUNCTION("""COMPUTED_VALUE"""),"رشيد")</f>
        <v>رشيد</v>
      </c>
      <c r="D2770" s="5" t="str">
        <f ca="1">IFERROR(__xludf.DUMMYFUNCTION("""COMPUTED_VALUE"""),"صيدلية")</f>
        <v>صيدلية</v>
      </c>
      <c r="E2770" s="5" t="str">
        <f ca="1">IFERROR(__xludf.DUMMYFUNCTION("""COMPUTED_VALUE"""),"صيدلية")</f>
        <v>صيدلية</v>
      </c>
      <c r="F2770" s="5" t="str">
        <f ca="1">IFERROR(__xludf.DUMMYFUNCTION("""COMPUTED_VALUE"""),"صيدلية (أدوية ومستلزمات طبية)")</f>
        <v>صيدلية (أدوية ومستلزمات طبية)</v>
      </c>
      <c r="G2770"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70" s="5" t="str">
        <f ca="1">IFERROR(__xludf.DUMMYFUNCTION("""COMPUTED_VALUE"""),"شارع صلاح سالم - ميدان الحريه – مركز رشيد- محافظة البحيرة ")</f>
        <v xml:space="preserve">شارع صلاح سالم - ميدان الحريه – مركز رشيد- محافظة البحيرة </v>
      </c>
      <c r="I2770" s="6"/>
      <c r="J2770" s="6" t="str">
        <f ca="1">IFERROR(__xludf.DUMMYFUNCTION("""COMPUTED_VALUE"""),"19600")</f>
        <v>19600</v>
      </c>
      <c r="K2770" s="6" t="str">
        <f ca="1">IFERROR(__xludf.DUMMYFUNCTION("""COMPUTED_VALUE"""),"7.5 % على المحلى ,5% على المستلزمات الطبية و التجميل")</f>
        <v>7.5 % على المحلى ,5% على المستلزمات الطبية و التجميل</v>
      </c>
    </row>
    <row r="2771" spans="1:11" x14ac:dyDescent="0.25">
      <c r="A2771" s="4" t="str">
        <f ca="1">IFERROR(__xludf.DUMMYFUNCTION("""COMPUTED_VALUE"""),"1683-B")</f>
        <v>1683-B</v>
      </c>
      <c r="B2771" s="5" t="str">
        <f ca="1">IFERROR(__xludf.DUMMYFUNCTION("""COMPUTED_VALUE"""),"الشرقية")</f>
        <v>الشرقية</v>
      </c>
      <c r="C2771" s="5" t="str">
        <f ca="1">IFERROR(__xludf.DUMMYFUNCTION("""COMPUTED_VALUE"""),"كفر صقر")</f>
        <v>كفر صقر</v>
      </c>
      <c r="D2771" s="5" t="str">
        <f ca="1">IFERROR(__xludf.DUMMYFUNCTION("""COMPUTED_VALUE"""),"صيدلية")</f>
        <v>صيدلية</v>
      </c>
      <c r="E2771" s="5" t="str">
        <f ca="1">IFERROR(__xludf.DUMMYFUNCTION("""COMPUTED_VALUE"""),"صيدلية")</f>
        <v>صيدلية</v>
      </c>
      <c r="F2771" s="5" t="str">
        <f ca="1">IFERROR(__xludf.DUMMYFUNCTION("""COMPUTED_VALUE"""),"صيدلية (أدوية ومستلزمات طبية)")</f>
        <v>صيدلية (أدوية ومستلزمات طبية)</v>
      </c>
      <c r="G2771"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71" s="5" t="str">
        <f ca="1">IFERROR(__xludf.DUMMYFUNCTION("""COMPUTED_VALUE"""),"19شارع التحرير-ولطفى بدوى -مركز كفر صقر -محافظة الشرقية ")</f>
        <v xml:space="preserve">19شارع التحرير-ولطفى بدوى -مركز كفر صقر -محافظة الشرقية </v>
      </c>
      <c r="I2771" s="6"/>
      <c r="J2771" s="6" t="str">
        <f ca="1">IFERROR(__xludf.DUMMYFUNCTION("""COMPUTED_VALUE"""),"19600")</f>
        <v>19600</v>
      </c>
      <c r="K2771" s="6" t="str">
        <f ca="1">IFERROR(__xludf.DUMMYFUNCTION("""COMPUTED_VALUE"""),"7.5 % على المحلى ,5% على المستلزمات الطبية و التجميل")</f>
        <v>7.5 % على المحلى ,5% على المستلزمات الطبية و التجميل</v>
      </c>
    </row>
    <row r="2772" spans="1:11" x14ac:dyDescent="0.25">
      <c r="A2772" s="4" t="str">
        <f ca="1">IFERROR(__xludf.DUMMYFUNCTION("""COMPUTED_VALUE"""),"1683-B")</f>
        <v>1683-B</v>
      </c>
      <c r="B2772" s="5" t="str">
        <f ca="1">IFERROR(__xludf.DUMMYFUNCTION("""COMPUTED_VALUE"""),"البحيرة")</f>
        <v>البحيرة</v>
      </c>
      <c r="C2772" s="5" t="str">
        <f ca="1">IFERROR(__xludf.DUMMYFUNCTION("""COMPUTED_VALUE"""),"ايتاي البارود")</f>
        <v>ايتاي البارود</v>
      </c>
      <c r="D2772" s="5" t="str">
        <f ca="1">IFERROR(__xludf.DUMMYFUNCTION("""COMPUTED_VALUE"""),"صيدلية")</f>
        <v>صيدلية</v>
      </c>
      <c r="E2772" s="5" t="str">
        <f ca="1">IFERROR(__xludf.DUMMYFUNCTION("""COMPUTED_VALUE"""),"صيدلية")</f>
        <v>صيدلية</v>
      </c>
      <c r="F2772" s="5" t="str">
        <f ca="1">IFERROR(__xludf.DUMMYFUNCTION("""COMPUTED_VALUE"""),"صيدلية (أدوية ومستلزمات طبية)")</f>
        <v>صيدلية (أدوية ومستلزمات طبية)</v>
      </c>
      <c r="G2772"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72" s="5" t="str">
        <f ca="1">IFERROR(__xludf.DUMMYFUNCTION("""COMPUTED_VALUE"""),"شارع رمسيس - امام مسجد الفتح - ايتاى البارود-البحيرة")</f>
        <v>شارع رمسيس - امام مسجد الفتح - ايتاى البارود-البحيرة</v>
      </c>
      <c r="I2772" s="6"/>
      <c r="J2772" s="6" t="str">
        <f ca="1">IFERROR(__xludf.DUMMYFUNCTION("""COMPUTED_VALUE"""),"19600")</f>
        <v>19600</v>
      </c>
      <c r="K2772" s="6" t="str">
        <f ca="1">IFERROR(__xludf.DUMMYFUNCTION("""COMPUTED_VALUE"""),"7.5 % على المحلى ,5% على المستلزمات الطبية و التجميل")</f>
        <v>7.5 % على المحلى ,5% على المستلزمات الطبية و التجميل</v>
      </c>
    </row>
    <row r="2773" spans="1:11" x14ac:dyDescent="0.25">
      <c r="A2773" s="4" t="str">
        <f ca="1">IFERROR(__xludf.DUMMYFUNCTION("""COMPUTED_VALUE"""),"1683-B")</f>
        <v>1683-B</v>
      </c>
      <c r="B2773" s="5" t="str">
        <f ca="1">IFERROR(__xludf.DUMMYFUNCTION("""COMPUTED_VALUE"""),"السويس")</f>
        <v>السويس</v>
      </c>
      <c r="C2773" s="5" t="str">
        <f ca="1">IFERROR(__xludf.DUMMYFUNCTION("""COMPUTED_VALUE"""),"السويس")</f>
        <v>السويس</v>
      </c>
      <c r="D2773" s="5" t="str">
        <f ca="1">IFERROR(__xludf.DUMMYFUNCTION("""COMPUTED_VALUE"""),"صيدلية")</f>
        <v>صيدلية</v>
      </c>
      <c r="E2773" s="5" t="str">
        <f ca="1">IFERROR(__xludf.DUMMYFUNCTION("""COMPUTED_VALUE"""),"صيدلية")</f>
        <v>صيدلية</v>
      </c>
      <c r="F2773" s="5" t="str">
        <f ca="1">IFERROR(__xludf.DUMMYFUNCTION("""COMPUTED_VALUE"""),"صيدلية (أدوية ومستلزمات طبية)")</f>
        <v>صيدلية (أدوية ومستلزمات طبية)</v>
      </c>
      <c r="G2773"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73" s="5" t="str">
        <f ca="1">IFERROR(__xludf.DUMMYFUNCTION("""COMPUTED_VALUE"""),"4 شارع الجاسر - امام قرية الحجاج - الملاحه - السويس")</f>
        <v>4 شارع الجاسر - امام قرية الحجاج - الملاحه - السويس</v>
      </c>
      <c r="I2773" s="6"/>
      <c r="J2773" s="6" t="str">
        <f ca="1">IFERROR(__xludf.DUMMYFUNCTION("""COMPUTED_VALUE"""),"19600")</f>
        <v>19600</v>
      </c>
      <c r="K2773" s="6" t="str">
        <f ca="1">IFERROR(__xludf.DUMMYFUNCTION("""COMPUTED_VALUE"""),"7.5 % على المحلى ,5% على المستلزمات الطبية و التجميل")</f>
        <v>7.5 % على المحلى ,5% على المستلزمات الطبية و التجميل</v>
      </c>
    </row>
    <row r="2774" spans="1:11" x14ac:dyDescent="0.25">
      <c r="A2774" s="4" t="str">
        <f ca="1">IFERROR(__xludf.DUMMYFUNCTION("""COMPUTED_VALUE"""),"1683-B")</f>
        <v>1683-B</v>
      </c>
      <c r="B2774" s="5" t="str">
        <f ca="1">IFERROR(__xludf.DUMMYFUNCTION("""COMPUTED_VALUE"""),"أسيوط")</f>
        <v>أسيوط</v>
      </c>
      <c r="C2774" s="5" t="str">
        <f ca="1">IFERROR(__xludf.DUMMYFUNCTION("""COMPUTED_VALUE"""),"ديروط")</f>
        <v>ديروط</v>
      </c>
      <c r="D2774" s="5" t="str">
        <f ca="1">IFERROR(__xludf.DUMMYFUNCTION("""COMPUTED_VALUE"""),"صيدلية")</f>
        <v>صيدلية</v>
      </c>
      <c r="E2774" s="5" t="str">
        <f ca="1">IFERROR(__xludf.DUMMYFUNCTION("""COMPUTED_VALUE"""),"صيدلية")</f>
        <v>صيدلية</v>
      </c>
      <c r="F2774" s="5" t="str">
        <f ca="1">IFERROR(__xludf.DUMMYFUNCTION("""COMPUTED_VALUE"""),"صيدلية (أدوية ومستلزمات طبية)")</f>
        <v>صيدلية (أدوية ومستلزمات طبية)</v>
      </c>
      <c r="G2774"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74" s="5" t="str">
        <f ca="1">IFERROR(__xludf.DUMMYFUNCTION("""COMPUTED_VALUE"""),"مركز ديروط -ميدان المحطة – محافظة اسيوط")</f>
        <v>مركز ديروط -ميدان المحطة – محافظة اسيوط</v>
      </c>
      <c r="I2774" s="6"/>
      <c r="J2774" s="6" t="str">
        <f ca="1">IFERROR(__xludf.DUMMYFUNCTION("""COMPUTED_VALUE"""),"19600")</f>
        <v>19600</v>
      </c>
      <c r="K2774" s="6" t="str">
        <f ca="1">IFERROR(__xludf.DUMMYFUNCTION("""COMPUTED_VALUE"""),"7.5 % على المحلى ,5% على المستلزمات الطبية و التجميل")</f>
        <v>7.5 % على المحلى ,5% على المستلزمات الطبية و التجميل</v>
      </c>
    </row>
    <row r="2775" spans="1:11" x14ac:dyDescent="0.25">
      <c r="A2775" s="4" t="str">
        <f ca="1">IFERROR(__xludf.DUMMYFUNCTION("""COMPUTED_VALUE"""),"1683-B")</f>
        <v>1683-B</v>
      </c>
      <c r="B2775" s="5" t="str">
        <f ca="1">IFERROR(__xludf.DUMMYFUNCTION("""COMPUTED_VALUE"""),"أسوان")</f>
        <v>أسوان</v>
      </c>
      <c r="C2775" s="5" t="str">
        <f ca="1">IFERROR(__xludf.DUMMYFUNCTION("""COMPUTED_VALUE"""),"ادفو")</f>
        <v>ادفو</v>
      </c>
      <c r="D2775" s="5" t="str">
        <f ca="1">IFERROR(__xludf.DUMMYFUNCTION("""COMPUTED_VALUE"""),"صيدلية")</f>
        <v>صيدلية</v>
      </c>
      <c r="E2775" s="5" t="str">
        <f ca="1">IFERROR(__xludf.DUMMYFUNCTION("""COMPUTED_VALUE"""),"صيدلية")</f>
        <v>صيدلية</v>
      </c>
      <c r="F2775" s="5" t="str">
        <f ca="1">IFERROR(__xludf.DUMMYFUNCTION("""COMPUTED_VALUE"""),"صيدلية (أدوية ومستلزمات طبية)")</f>
        <v>صيدلية (أدوية ومستلزمات طبية)</v>
      </c>
      <c r="G2775" s="5" t="str">
        <f ca="1">IFERROR(__xludf.DUMMYFUNCTION("""COMPUTED_VALUE"""),"شركة ايي زد فارما لتجارة الادوية والمستلزمات الطبية اداره الصيدليات  ( صيدلية العزبي )")</f>
        <v>شركة ايي زد فارما لتجارة الادوية والمستلزمات الطبية اداره الصيدليات  ( صيدلية العزبي )</v>
      </c>
      <c r="H2775" s="5" t="str">
        <f ca="1">IFERROR(__xludf.DUMMYFUNCTION("""COMPUTED_VALUE"""),"شارع  مجلس المدينة – مركز ادفو- محافظة اسوان")</f>
        <v>شارع  مجلس المدينة – مركز ادفو- محافظة اسوان</v>
      </c>
      <c r="I2775" s="6"/>
      <c r="J2775" s="6" t="str">
        <f ca="1">IFERROR(__xludf.DUMMYFUNCTION("""COMPUTED_VALUE"""),"19600")</f>
        <v>19600</v>
      </c>
      <c r="K2775" s="6" t="str">
        <f ca="1">IFERROR(__xludf.DUMMYFUNCTION("""COMPUTED_VALUE"""),"7.5 % على المحلى ,5% على المستلزمات الطبية و التجميل")</f>
        <v>7.5 % على المحلى ,5% على المستلزمات الطبية و التجميل</v>
      </c>
    </row>
    <row r="2776" spans="1:11" x14ac:dyDescent="0.25">
      <c r="A2776" s="4" t="str">
        <f ca="1">IFERROR(__xludf.DUMMYFUNCTION("""COMPUTED_VALUE"""),"107076")</f>
        <v>107076</v>
      </c>
      <c r="B2776" s="5" t="str">
        <f ca="1">IFERROR(__xludf.DUMMYFUNCTION("""COMPUTED_VALUE"""),"سوهاج")</f>
        <v>سوهاج</v>
      </c>
      <c r="C2776" s="5" t="str">
        <f ca="1">IFERROR(__xludf.DUMMYFUNCTION("""COMPUTED_VALUE"""),"جرجا")</f>
        <v>جرجا</v>
      </c>
      <c r="D2776" s="5" t="str">
        <f ca="1">IFERROR(__xludf.DUMMYFUNCTION("""COMPUTED_VALUE"""),"صيدلية")</f>
        <v>صيدلية</v>
      </c>
      <c r="E2776" s="5" t="str">
        <f ca="1">IFERROR(__xludf.DUMMYFUNCTION("""COMPUTED_VALUE"""),"صيدلية")</f>
        <v>صيدلية</v>
      </c>
      <c r="F2776" s="5" t="str">
        <f ca="1">IFERROR(__xludf.DUMMYFUNCTION("""COMPUTED_VALUE"""),"صيدلية (أدوية ومستلزمات طبية)")</f>
        <v>صيدلية (أدوية ومستلزمات طبية)</v>
      </c>
      <c r="G2776" s="5" t="str">
        <f ca="1">IFERROR(__xludf.DUMMYFUNCTION("""COMPUTED_VALUE"""),"صيدلية د/ مارينا الهام انيس حنس (صيدلية الحياة)")</f>
        <v>صيدلية د/ مارينا الهام انيس حنس (صيدلية الحياة)</v>
      </c>
      <c r="H2776" s="5" t="str">
        <f ca="1">IFERROR(__xludf.DUMMYFUNCTION("""COMPUTED_VALUE"""),"الحوزة ش عمر بن العزيز - جرجا - سوهاج")</f>
        <v>الحوزة ش عمر بن العزيز - جرجا - سوهاج</v>
      </c>
      <c r="I2776" s="6" t="str">
        <f ca="1">IFERROR(__xludf.DUMMYFUNCTION("""COMPUTED_VALUE"""),"0934677257")</f>
        <v>0934677257</v>
      </c>
      <c r="J2776" s="6"/>
      <c r="K2776" s="6" t="str">
        <f ca="1">IFERROR(__xludf.DUMMYFUNCTION("""COMPUTED_VALUE"""),"14 % على المحلى ,8% على المستورد")</f>
        <v>14 % على المحلى ,8% على المستورد</v>
      </c>
    </row>
    <row r="2777" spans="1:11" x14ac:dyDescent="0.25">
      <c r="A2777" s="4" t="str">
        <f ca="1">IFERROR(__xludf.DUMMYFUNCTION("""COMPUTED_VALUE"""),"107077")</f>
        <v>107077</v>
      </c>
      <c r="B2777" s="5" t="str">
        <f ca="1">IFERROR(__xludf.DUMMYFUNCTION("""COMPUTED_VALUE"""),"كفر الشيخ")</f>
        <v>كفر الشيخ</v>
      </c>
      <c r="C2777" s="5" t="str">
        <f ca="1">IFERROR(__xludf.DUMMYFUNCTION("""COMPUTED_VALUE"""),"دسوق")</f>
        <v>دسوق</v>
      </c>
      <c r="D2777" s="5" t="str">
        <f ca="1">IFERROR(__xludf.DUMMYFUNCTION("""COMPUTED_VALUE"""),"هيئة الأطباء")</f>
        <v>هيئة الأطباء</v>
      </c>
      <c r="E2777" s="5" t="str">
        <f ca="1">IFERROR(__xludf.DUMMYFUNCTION("""COMPUTED_VALUE"""),"جراحة")</f>
        <v>جراحة</v>
      </c>
      <c r="F2777" s="5" t="str">
        <f ca="1">IFERROR(__xludf.DUMMYFUNCTION("""COMPUTED_VALUE"""),"جراحة عظام")</f>
        <v>جراحة عظام</v>
      </c>
      <c r="G2777" s="5" t="str">
        <f ca="1">IFERROR(__xludf.DUMMYFUNCTION("""COMPUTED_VALUE"""),"د/ اسامة رمضان محمود الشلاوي")</f>
        <v>د/ اسامة رمضان محمود الشلاوي</v>
      </c>
      <c r="H2777" s="5" t="str">
        <f ca="1">IFERROR(__xludf.DUMMYFUNCTION("""COMPUTED_VALUE"""),"ش الشركات طريق قلين - دسوق - كفرالشيخ")</f>
        <v>ش الشركات طريق قلين - دسوق - كفرالشيخ</v>
      </c>
      <c r="I2777" s="6" t="str">
        <f ca="1">IFERROR(__xludf.DUMMYFUNCTION("""COMPUTED_VALUE"""),"01092973414")</f>
        <v>01092973414</v>
      </c>
      <c r="J2777" s="6"/>
      <c r="K2777" s="6" t="str">
        <f ca="1">IFERROR(__xludf.DUMMYFUNCTION("""COMPUTED_VALUE"""),"خصم 30% علي الأسعار النقدي")</f>
        <v>خصم 30% علي الأسعار النقدي</v>
      </c>
    </row>
    <row r="2778" spans="1:11" x14ac:dyDescent="0.25">
      <c r="A2778" s="4" t="str">
        <f ca="1">IFERROR(__xludf.DUMMYFUNCTION("""COMPUTED_VALUE"""),"107077-B")</f>
        <v>107077-B</v>
      </c>
      <c r="B2778" s="5" t="str">
        <f ca="1">IFERROR(__xludf.DUMMYFUNCTION("""COMPUTED_VALUE"""),"البحيرة")</f>
        <v>البحيرة</v>
      </c>
      <c r="C2778" s="5" t="str">
        <f ca="1">IFERROR(__xludf.DUMMYFUNCTION("""COMPUTED_VALUE"""),"المحمودية")</f>
        <v>المحمودية</v>
      </c>
      <c r="D2778" s="5" t="str">
        <f ca="1">IFERROR(__xludf.DUMMYFUNCTION("""COMPUTED_VALUE"""),"هيئة الأطباء")</f>
        <v>هيئة الأطباء</v>
      </c>
      <c r="E2778" s="5" t="str">
        <f ca="1">IFERROR(__xludf.DUMMYFUNCTION("""COMPUTED_VALUE"""),"جراحة")</f>
        <v>جراحة</v>
      </c>
      <c r="F2778" s="5" t="str">
        <f ca="1">IFERROR(__xludf.DUMMYFUNCTION("""COMPUTED_VALUE"""),"جراحة عظام")</f>
        <v>جراحة عظام</v>
      </c>
      <c r="G2778" s="5" t="str">
        <f ca="1">IFERROR(__xludf.DUMMYFUNCTION("""COMPUTED_VALUE"""),"د/ اسامة رمضان محمود الشلاوي")</f>
        <v>د/ اسامة رمضان محمود الشلاوي</v>
      </c>
      <c r="H2778" s="5" t="str">
        <f ca="1">IFERROR(__xludf.DUMMYFUNCTION("""COMPUTED_VALUE"""),"ش المستشفي أعلي صيدلية عمار - الرحمانية - البحيرة")</f>
        <v>ش المستشفي أعلي صيدلية عمار - الرحمانية - البحيرة</v>
      </c>
      <c r="I2778" s="6" t="str">
        <f ca="1">IFERROR(__xludf.DUMMYFUNCTION("""COMPUTED_VALUE"""),"01092973414")</f>
        <v>01092973414</v>
      </c>
      <c r="J2778" s="6"/>
      <c r="K2778" s="6" t="str">
        <f ca="1">IFERROR(__xludf.DUMMYFUNCTION("""COMPUTED_VALUE"""),"خصم 30% علي الأسعار النقدي")</f>
        <v>خصم 30% علي الأسعار النقدي</v>
      </c>
    </row>
    <row r="2779" spans="1:11" x14ac:dyDescent="0.25">
      <c r="A2779" s="4" t="str">
        <f ca="1">IFERROR(__xludf.DUMMYFUNCTION("""COMPUTED_VALUE"""),"107078")</f>
        <v>107078</v>
      </c>
      <c r="B2779" s="5" t="str">
        <f ca="1">IFERROR(__xludf.DUMMYFUNCTION("""COMPUTED_VALUE"""),"الشرقية")</f>
        <v>الشرقية</v>
      </c>
      <c r="C2779" s="5" t="str">
        <f ca="1">IFERROR(__xludf.DUMMYFUNCTION("""COMPUTED_VALUE"""),"الزقازيق")</f>
        <v>الزقازيق</v>
      </c>
      <c r="D2779" s="5" t="str">
        <f ca="1">IFERROR(__xludf.DUMMYFUNCTION("""COMPUTED_VALUE"""),"مستشفى")</f>
        <v>مستشفى</v>
      </c>
      <c r="E2779" s="5" t="str">
        <f ca="1">IFERROR(__xludf.DUMMYFUNCTION("""COMPUTED_VALUE"""),"مستشفي طبي متخصص")</f>
        <v>مستشفي طبي متخصص</v>
      </c>
      <c r="F2779" s="5" t="str">
        <f ca="1">IFERROR(__xludf.DUMMYFUNCTION("""COMPUTED_VALUE"""),"قلب واوعية دموية")</f>
        <v>قلب واوعية دموية</v>
      </c>
      <c r="G2779" s="5" t="str">
        <f ca="1">IFERROR(__xludf.DUMMYFUNCTION("""COMPUTED_VALUE"""),"مركز دلتا للقلب و القسطرة")</f>
        <v>مركز دلتا للقلب و القسطرة</v>
      </c>
      <c r="H2779" s="5" t="str">
        <f ca="1">IFERROR(__xludf.DUMMYFUNCTION("""COMPUTED_VALUE"""),"الدور 3 و 4 علوي برج الياسمين  ش قناة السويس الجديدة - الزقازيق - الشرقية")</f>
        <v>الدور 3 و 4 علوي برج الياسمين  ش قناة السويس الجديدة - الزقازيق - الشرقية</v>
      </c>
      <c r="I2779" s="6" t="str">
        <f ca="1">IFERROR(__xludf.DUMMYFUNCTION("""COMPUTED_VALUE"""),"01027755580")</f>
        <v>01027755580</v>
      </c>
      <c r="J2779" s="6"/>
      <c r="K2779" s="6" t="str">
        <f ca="1">IFERROR(__xludf.DUMMYFUNCTION("""COMPUTED_VALUE"""),"خصم 30% علي الأسعار النقدي")</f>
        <v>خصم 30% علي الأسعار النقدي</v>
      </c>
    </row>
    <row r="2780" spans="1:11" x14ac:dyDescent="0.25">
      <c r="A2780" s="4" t="str">
        <f ca="1">IFERROR(__xludf.DUMMYFUNCTION("""COMPUTED_VALUE"""),"104248-B")</f>
        <v>104248-B</v>
      </c>
      <c r="B2780" s="5" t="str">
        <f ca="1">IFERROR(__xludf.DUMMYFUNCTION("""COMPUTED_VALUE"""),"الجيزة")</f>
        <v>الجيزة</v>
      </c>
      <c r="C2780" s="5" t="str">
        <f ca="1">IFERROR(__xludf.DUMMYFUNCTION("""COMPUTED_VALUE"""),"المهندسين")</f>
        <v>المهندسين</v>
      </c>
      <c r="D2780" s="5" t="str">
        <f ca="1">IFERROR(__xludf.DUMMYFUNCTION("""COMPUTED_VALUE"""),"شركة")</f>
        <v>شركة</v>
      </c>
      <c r="E2780" s="5" t="str">
        <f ca="1">IFERROR(__xludf.DUMMYFUNCTION("""COMPUTED_VALUE"""),"شركة اجهزة طبية")</f>
        <v>شركة اجهزة طبية</v>
      </c>
      <c r="F2780" s="5" t="str">
        <f ca="1">IFERROR(__xludf.DUMMYFUNCTION("""COMPUTED_VALUE"""),"مركز بصريات")</f>
        <v>مركز بصريات</v>
      </c>
      <c r="G2780" s="5" t="str">
        <f ca="1">IFERROR(__xludf.DUMMYFUNCTION("""COMPUTED_VALUE"""),"شركة منير نصيف للبصريات")</f>
        <v>شركة منير نصيف للبصريات</v>
      </c>
      <c r="H2780" s="5" t="str">
        <f ca="1">IFERROR(__xludf.DUMMYFUNCTION("""COMPUTED_VALUE"""),"6أ شارع لبنان ناصية شارع الحجاز")</f>
        <v>6أ شارع لبنان ناصية شارع الحجاز</v>
      </c>
      <c r="I2780" s="6" t="str">
        <f ca="1">IFERROR(__xludf.DUMMYFUNCTION("""COMPUTED_VALUE"""),"0233031130")</f>
        <v>0233031130</v>
      </c>
      <c r="J2780" s="6"/>
      <c r="K2780" s="6" t="str">
        <f ca="1">IFERROR(__xludf.DUMMYFUNCTION("""COMPUTED_VALUE"""),"30% على النظارات الشمسية والطبية والعدسات المحلية")</f>
        <v>30% على النظارات الشمسية والطبية والعدسات المحلية</v>
      </c>
    </row>
    <row r="2781" spans="1:11" x14ac:dyDescent="0.25">
      <c r="A2781" s="4" t="str">
        <f ca="1">IFERROR(__xludf.DUMMYFUNCTION("""COMPUTED_VALUE"""),"104248-B")</f>
        <v>104248-B</v>
      </c>
      <c r="B2781" s="5" t="str">
        <f ca="1">IFERROR(__xludf.DUMMYFUNCTION("""COMPUTED_VALUE"""),"القاهرة")</f>
        <v>القاهرة</v>
      </c>
      <c r="C2781" s="5" t="str">
        <f ca="1">IFERROR(__xludf.DUMMYFUNCTION("""COMPUTED_VALUE"""),"القاهرة الجديدة")</f>
        <v>القاهرة الجديدة</v>
      </c>
      <c r="D2781" s="5" t="str">
        <f ca="1">IFERROR(__xludf.DUMMYFUNCTION("""COMPUTED_VALUE"""),"شركة")</f>
        <v>شركة</v>
      </c>
      <c r="E2781" s="5" t="str">
        <f ca="1">IFERROR(__xludf.DUMMYFUNCTION("""COMPUTED_VALUE"""),"شركة اجهزة طبية")</f>
        <v>شركة اجهزة طبية</v>
      </c>
      <c r="F2781" s="5" t="str">
        <f ca="1">IFERROR(__xludf.DUMMYFUNCTION("""COMPUTED_VALUE"""),"مركز بصريات")</f>
        <v>مركز بصريات</v>
      </c>
      <c r="G2781" s="5" t="str">
        <f ca="1">IFERROR(__xludf.DUMMYFUNCTION("""COMPUTED_VALUE"""),"شركة منير نصيف للبصريات")</f>
        <v>شركة منير نصيف للبصريات</v>
      </c>
      <c r="H2781" s="5" t="str">
        <f ca="1">IFERROR(__xludf.DUMMYFUNCTION("""COMPUTED_VALUE"""),"الوحدة رقم AC-05 الدور الأرضي ... Open Air Mall")</f>
        <v>الوحدة رقم AC-05 الدور الأرضي ... Open Air Mall</v>
      </c>
      <c r="I2781" s="6" t="str">
        <f ca="1">IFERROR(__xludf.DUMMYFUNCTION("""COMPUTED_VALUE"""),"01282819292")</f>
        <v>01282819292</v>
      </c>
      <c r="J2781" s="6"/>
      <c r="K2781" s="6" t="str">
        <f ca="1">IFERROR(__xludf.DUMMYFUNCTION("""COMPUTED_VALUE"""),"30% على النظارات الشمسية والطبية والعدسات المحلية")</f>
        <v>30% على النظارات الشمسية والطبية والعدسات المحلية</v>
      </c>
    </row>
    <row r="2782" spans="1:11" x14ac:dyDescent="0.25">
      <c r="A2782" s="4" t="str">
        <f ca="1">IFERROR(__xludf.DUMMYFUNCTION("""COMPUTED_VALUE"""),"104248-B")</f>
        <v>104248-B</v>
      </c>
      <c r="B2782" s="5" t="str">
        <f ca="1">IFERROR(__xludf.DUMMYFUNCTION("""COMPUTED_VALUE"""),"الجيزة")</f>
        <v>الجيزة</v>
      </c>
      <c r="C2782" s="5" t="str">
        <f ca="1">IFERROR(__xludf.DUMMYFUNCTION("""COMPUTED_VALUE"""),"السادس من اكتوبر")</f>
        <v>السادس من اكتوبر</v>
      </c>
      <c r="D2782" s="5" t="str">
        <f ca="1">IFERROR(__xludf.DUMMYFUNCTION("""COMPUTED_VALUE"""),"شركة")</f>
        <v>شركة</v>
      </c>
      <c r="E2782" s="5" t="str">
        <f ca="1">IFERROR(__xludf.DUMMYFUNCTION("""COMPUTED_VALUE"""),"شركة اجهزة طبية")</f>
        <v>شركة اجهزة طبية</v>
      </c>
      <c r="F2782" s="5" t="str">
        <f ca="1">IFERROR(__xludf.DUMMYFUNCTION("""COMPUTED_VALUE"""),"مركز بصريات")</f>
        <v>مركز بصريات</v>
      </c>
      <c r="G2782" s="5" t="str">
        <f ca="1">IFERROR(__xludf.DUMMYFUNCTION("""COMPUTED_VALUE"""),"شركة منير نصيف للبصريات")</f>
        <v>شركة منير نصيف للبصريات</v>
      </c>
      <c r="H2782" s="5" t="str">
        <f ca="1">IFERROR(__xludf.DUMMYFUNCTION("""COMPUTED_VALUE"""),"الوحدة رقم Mall of Arabia … T0001274")</f>
        <v>الوحدة رقم Mall of Arabia … T0001274</v>
      </c>
      <c r="I2782" s="6" t="str">
        <f ca="1">IFERROR(__xludf.DUMMYFUNCTION("""COMPUTED_VALUE"""),"01019545114")</f>
        <v>01019545114</v>
      </c>
      <c r="J2782" s="6"/>
      <c r="K2782" s="6" t="str">
        <f ca="1">IFERROR(__xludf.DUMMYFUNCTION("""COMPUTED_VALUE"""),"30% على النظارات الشمسية والطبية والعدسات المحلية")</f>
        <v>30% على النظارات الشمسية والطبية والعدسات المحلية</v>
      </c>
    </row>
    <row r="2783" spans="1:11" x14ac:dyDescent="0.25">
      <c r="A2783" s="4" t="str">
        <f ca="1">IFERROR(__xludf.DUMMYFUNCTION("""COMPUTED_VALUE"""),"104248-B")</f>
        <v>104248-B</v>
      </c>
      <c r="B2783" s="5" t="str">
        <f ca="1">IFERROR(__xludf.DUMMYFUNCTION("""COMPUTED_VALUE"""),"البحر الاحمر")</f>
        <v>البحر الاحمر</v>
      </c>
      <c r="C2783" s="5" t="str">
        <f ca="1">IFERROR(__xludf.DUMMYFUNCTION("""COMPUTED_VALUE"""),"الغردقة")</f>
        <v>الغردقة</v>
      </c>
      <c r="D2783" s="5" t="str">
        <f ca="1">IFERROR(__xludf.DUMMYFUNCTION("""COMPUTED_VALUE"""),"شركة")</f>
        <v>شركة</v>
      </c>
      <c r="E2783" s="5" t="str">
        <f ca="1">IFERROR(__xludf.DUMMYFUNCTION("""COMPUTED_VALUE"""),"شركة اجهزة طبية")</f>
        <v>شركة اجهزة طبية</v>
      </c>
      <c r="F2783" s="5" t="str">
        <f ca="1">IFERROR(__xludf.DUMMYFUNCTION("""COMPUTED_VALUE"""),"مركز بصريات")</f>
        <v>مركز بصريات</v>
      </c>
      <c r="G2783" s="5" t="str">
        <f ca="1">IFERROR(__xludf.DUMMYFUNCTION("""COMPUTED_VALUE"""),"شركة منير نصيف للبصريات")</f>
        <v>شركة منير نصيف للبصريات</v>
      </c>
      <c r="H2783" s="5" t="str">
        <f ca="1">IFERROR(__xludf.DUMMYFUNCTION("""COMPUTED_VALUE"""),"مستشفي الوطني للعيون - طريق المطار")</f>
        <v>مستشفي الوطني للعيون - طريق المطار</v>
      </c>
      <c r="I2783" s="6" t="str">
        <f ca="1">IFERROR(__xludf.DUMMYFUNCTION("""COMPUTED_VALUE"""),"01091443481")</f>
        <v>01091443481</v>
      </c>
      <c r="J2783" s="6"/>
      <c r="K2783" s="6" t="str">
        <f ca="1">IFERROR(__xludf.DUMMYFUNCTION("""COMPUTED_VALUE"""),"30% على النظارات الشمسية والطبية والعدسات المحلية")</f>
        <v>30% على النظارات الشمسية والطبية والعدسات المحلية</v>
      </c>
    </row>
    <row r="2784" spans="1:11" x14ac:dyDescent="0.25">
      <c r="A2784" s="4" t="str">
        <f ca="1">IFERROR(__xludf.DUMMYFUNCTION("""COMPUTED_VALUE"""),"107099")</f>
        <v>107099</v>
      </c>
      <c r="B2784" s="5" t="str">
        <f ca="1">IFERROR(__xludf.DUMMYFUNCTION("""COMPUTED_VALUE"""),"القاهرة")</f>
        <v>القاهرة</v>
      </c>
      <c r="C2784" s="5" t="str">
        <f ca="1">IFERROR(__xludf.DUMMYFUNCTION("""COMPUTED_VALUE"""),"حدائق القبة")</f>
        <v>حدائق القبة</v>
      </c>
      <c r="D2784" s="5" t="str">
        <f ca="1">IFERROR(__xludf.DUMMYFUNCTION("""COMPUTED_VALUE"""),"هيئة الأطباء")</f>
        <v>هيئة الأطباء</v>
      </c>
      <c r="E2784" s="5" t="str">
        <f ca="1">IFERROR(__xludf.DUMMYFUNCTION("""COMPUTED_VALUE"""),"اسنان")</f>
        <v>اسنان</v>
      </c>
      <c r="F2784" s="5" t="str">
        <f ca="1">IFERROR(__xludf.DUMMYFUNCTION("""COMPUTED_VALUE"""),"جراحة الفم والأسنان")</f>
        <v>جراحة الفم والأسنان</v>
      </c>
      <c r="G2784" s="5" t="str">
        <f ca="1">IFERROR(__xludf.DUMMYFUNCTION("""COMPUTED_VALUE"""),"د. محمد سعيد دغيدي عبد الكريم")</f>
        <v>د. محمد سعيد دغيدي عبد الكريم</v>
      </c>
      <c r="H2784" s="5" t="str">
        <f ca="1">IFERROR(__xludf.DUMMYFUNCTION("""COMPUTED_VALUE"""),"62 شارع مصر و السودان - حدائق القبة - القاهرة")</f>
        <v>62 شارع مصر و السودان - حدائق القبة - القاهرة</v>
      </c>
      <c r="I2784" s="6" t="str">
        <f ca="1">IFERROR(__xludf.DUMMYFUNCTION("""COMPUTED_VALUE"""),"01001922253")</f>
        <v>01001922253</v>
      </c>
      <c r="J2784" s="6"/>
      <c r="K2784" s="6" t="str">
        <f ca="1">IFERROR(__xludf.DUMMYFUNCTION("""COMPUTED_VALUE"""),"خصم 30% علي الأسعار النقدي")</f>
        <v>خصم 30% علي الأسعار النقدي</v>
      </c>
    </row>
    <row r="2785" spans="1:11" x14ac:dyDescent="0.25">
      <c r="A2785" s="4" t="str">
        <f ca="1">IFERROR(__xludf.DUMMYFUNCTION("""COMPUTED_VALUE"""),"107100")</f>
        <v>107100</v>
      </c>
      <c r="B2785" s="5" t="str">
        <f ca="1">IFERROR(__xludf.DUMMYFUNCTION("""COMPUTED_VALUE"""),"المنوفية")</f>
        <v>المنوفية</v>
      </c>
      <c r="C2785" s="5" t="str">
        <f ca="1">IFERROR(__xludf.DUMMYFUNCTION("""COMPUTED_VALUE"""),"تلا")</f>
        <v>تلا</v>
      </c>
      <c r="D2785" s="5" t="str">
        <f ca="1">IFERROR(__xludf.DUMMYFUNCTION("""COMPUTED_VALUE"""),"صيدلية")</f>
        <v>صيدلية</v>
      </c>
      <c r="E2785" s="5" t="str">
        <f ca="1">IFERROR(__xludf.DUMMYFUNCTION("""COMPUTED_VALUE"""),"صيدلية")</f>
        <v>صيدلية</v>
      </c>
      <c r="F2785" s="5" t="str">
        <f ca="1">IFERROR(__xludf.DUMMYFUNCTION("""COMPUTED_VALUE"""),"صيدلية (أدوية ومستلزمات طبية)")</f>
        <v>صيدلية (أدوية ومستلزمات طبية)</v>
      </c>
      <c r="G2785" s="5" t="str">
        <f ca="1">IFERROR(__xludf.DUMMYFUNCTION("""COMPUTED_VALUE"""),"صيدلية رضوي رمضان معوض العبد")</f>
        <v>صيدلية رضوي رمضان معوض العبد</v>
      </c>
      <c r="H2785" s="5" t="str">
        <f ca="1">IFERROR(__xludf.DUMMYFUNCTION("""COMPUTED_VALUE"""),"ش الشيخ فؤاد - تلا - المنوفية")</f>
        <v>ش الشيخ فؤاد - تلا - المنوفية</v>
      </c>
      <c r="I2785" s="6" t="str">
        <f ca="1">IFERROR(__xludf.DUMMYFUNCTION("""COMPUTED_VALUE"""),"01149193708")</f>
        <v>01149193708</v>
      </c>
      <c r="J2785" s="6"/>
      <c r="K2785" s="6" t="str">
        <f ca="1">IFERROR(__xludf.DUMMYFUNCTION("""COMPUTED_VALUE"""),"13 % على المحلى ,7% على المستورد")</f>
        <v>13 % على المحلى ,7% على المستورد</v>
      </c>
    </row>
    <row r="2786" spans="1:11" x14ac:dyDescent="0.25">
      <c r="A2786" s="4" t="str">
        <f ca="1">IFERROR(__xludf.DUMMYFUNCTION("""COMPUTED_VALUE"""),"107101")</f>
        <v>107101</v>
      </c>
      <c r="B2786" s="5" t="str">
        <f ca="1">IFERROR(__xludf.DUMMYFUNCTION("""COMPUTED_VALUE"""),"الدقهلية")</f>
        <v>الدقهلية</v>
      </c>
      <c r="C2786" s="5" t="str">
        <f ca="1">IFERROR(__xludf.DUMMYFUNCTION("""COMPUTED_VALUE"""),"المنزلة")</f>
        <v>المنزلة</v>
      </c>
      <c r="D2786" s="5" t="str">
        <f ca="1">IFERROR(__xludf.DUMMYFUNCTION("""COMPUTED_VALUE"""),"صيدلية")</f>
        <v>صيدلية</v>
      </c>
      <c r="E2786" s="5" t="str">
        <f ca="1">IFERROR(__xludf.DUMMYFUNCTION("""COMPUTED_VALUE"""),"صيدلية")</f>
        <v>صيدلية</v>
      </c>
      <c r="F2786" s="5" t="str">
        <f ca="1">IFERROR(__xludf.DUMMYFUNCTION("""COMPUTED_VALUE"""),"صيدلية (أدوية ومستلزمات طبية)")</f>
        <v>صيدلية (أدوية ومستلزمات طبية)</v>
      </c>
      <c r="G2786" s="5" t="str">
        <f ca="1">IFERROR(__xludf.DUMMYFUNCTION("""COMPUTED_VALUE"""),"دعاء محمد أبو السعود عبده النشار (صيدلية الدكتورة دعاء محمد النشار)")</f>
        <v>دعاء محمد أبو السعود عبده النشار (صيدلية الدكتورة دعاء محمد النشار)</v>
      </c>
      <c r="H2786" s="5" t="str">
        <f ca="1">IFERROR(__xludf.DUMMYFUNCTION("""COMPUTED_VALUE"""),"ش سامي شلبايه - المنزلة - الدقهلية")</f>
        <v>ش سامي شلبايه - المنزلة - الدقهلية</v>
      </c>
      <c r="I2786" s="6" t="str">
        <f ca="1">IFERROR(__xludf.DUMMYFUNCTION("""COMPUTED_VALUE"""),"01550693300")</f>
        <v>01550693300</v>
      </c>
      <c r="J2786" s="6"/>
      <c r="K2786" s="6" t="str">
        <f ca="1">IFERROR(__xludf.DUMMYFUNCTION("""COMPUTED_VALUE"""),"14 % على المحلى ,8% على المستورد")</f>
        <v>14 % على المحلى ,8% على المستورد</v>
      </c>
    </row>
    <row r="2787" spans="1:11" x14ac:dyDescent="0.25">
      <c r="A2787" s="4" t="str">
        <f ca="1">IFERROR(__xludf.DUMMYFUNCTION("""COMPUTED_VALUE"""),"107102")</f>
        <v>107102</v>
      </c>
      <c r="B2787" s="5" t="str">
        <f ca="1">IFERROR(__xludf.DUMMYFUNCTION("""COMPUTED_VALUE"""),"القاهرة")</f>
        <v>القاهرة</v>
      </c>
      <c r="C2787" s="5" t="str">
        <f ca="1">IFERROR(__xludf.DUMMYFUNCTION("""COMPUTED_VALUE"""),"شبرا")</f>
        <v>شبرا</v>
      </c>
      <c r="D2787" s="5" t="str">
        <f ca="1">IFERROR(__xludf.DUMMYFUNCTION("""COMPUTED_VALUE"""),"مستشفى")</f>
        <v>مستشفى</v>
      </c>
      <c r="E2787" s="5" t="str">
        <f ca="1">IFERROR(__xludf.DUMMYFUNCTION("""COMPUTED_VALUE"""),"مستشفي طبي متخصص")</f>
        <v>مستشفي طبي متخصص</v>
      </c>
      <c r="F2787" s="5" t="str">
        <f ca="1">IFERROR(__xludf.DUMMYFUNCTION("""COMPUTED_VALUE"""),"مناظير الجهاز الهضمي")</f>
        <v>مناظير الجهاز الهضمي</v>
      </c>
      <c r="G2787" s="5" t="str">
        <f ca="1">IFERROR(__xludf.DUMMYFUNCTION("""COMPUTED_VALUE"""),"الحياة سكوب لمناظير الجهاز الهضمي")</f>
        <v>الحياة سكوب لمناظير الجهاز الهضمي</v>
      </c>
      <c r="H2787" s="5" t="str">
        <f ca="1">IFERROR(__xludf.DUMMYFUNCTION("""COMPUTED_VALUE"""),"270 شارع شبرا - الدور الثاني - شقة 8 - شبرا - القاهرة")</f>
        <v>270 شارع شبرا - الدور الثاني - شقة 8 - شبرا - القاهرة</v>
      </c>
      <c r="I2787" s="6" t="str">
        <f ca="1">IFERROR(__xludf.DUMMYFUNCTION("""COMPUTED_VALUE"""),"01017004004")</f>
        <v>01017004004</v>
      </c>
      <c r="J2787" s="6"/>
      <c r="K2787" s="6" t="str">
        <f ca="1">IFERROR(__xludf.DUMMYFUNCTION("""COMPUTED_VALUE"""),"خصم 35% علي الأسعار النقدي")</f>
        <v>خصم 35% علي الأسعار النقدي</v>
      </c>
    </row>
    <row r="2788" spans="1:11" x14ac:dyDescent="0.25">
      <c r="A2788" s="4" t="str">
        <f ca="1">IFERROR(__xludf.DUMMYFUNCTION("""COMPUTED_VALUE"""),"107102-B")</f>
        <v>107102-B</v>
      </c>
      <c r="B2788" s="5" t="str">
        <f ca="1">IFERROR(__xludf.DUMMYFUNCTION("""COMPUTED_VALUE"""),"الجيزة")</f>
        <v>الجيزة</v>
      </c>
      <c r="C2788" s="5" t="str">
        <f ca="1">IFERROR(__xludf.DUMMYFUNCTION("""COMPUTED_VALUE"""),"الهرم")</f>
        <v>الهرم</v>
      </c>
      <c r="D2788" s="5" t="str">
        <f ca="1">IFERROR(__xludf.DUMMYFUNCTION("""COMPUTED_VALUE"""),"مستشفى")</f>
        <v>مستشفى</v>
      </c>
      <c r="E2788" s="5" t="str">
        <f ca="1">IFERROR(__xludf.DUMMYFUNCTION("""COMPUTED_VALUE"""),"مستشفي طبي متخصص")</f>
        <v>مستشفي طبي متخصص</v>
      </c>
      <c r="F2788" s="5" t="str">
        <f ca="1">IFERROR(__xludf.DUMMYFUNCTION("""COMPUTED_VALUE"""),"مناظير الجهاز الهضمي")</f>
        <v>مناظير الجهاز الهضمي</v>
      </c>
      <c r="G2788" s="5" t="str">
        <f ca="1">IFERROR(__xludf.DUMMYFUNCTION("""COMPUTED_VALUE"""),"الحياة سكوب لمناظير الجهاز الهضمي")</f>
        <v>الحياة سكوب لمناظير الجهاز الهضمي</v>
      </c>
      <c r="H2788" s="5" t="str">
        <f ca="1">IFERROR(__xludf.DUMMYFUNCTION("""COMPUTED_VALUE"""),"242 شارع الهرم - الدور الخامس - الهرم - الجيزة")</f>
        <v>242 شارع الهرم - الدور الخامس - الهرم - الجيزة</v>
      </c>
      <c r="I2788" s="6" t="str">
        <f ca="1">IFERROR(__xludf.DUMMYFUNCTION("""COMPUTED_VALUE"""),"01017004004")</f>
        <v>01017004004</v>
      </c>
      <c r="J2788" s="6"/>
      <c r="K2788" s="6" t="str">
        <f ca="1">IFERROR(__xludf.DUMMYFUNCTION("""COMPUTED_VALUE"""),"خصم 35% علي الأسعار النقدي")</f>
        <v>خصم 35% علي الأسعار النقدي</v>
      </c>
    </row>
    <row r="2789" spans="1:11" x14ac:dyDescent="0.25">
      <c r="A2789" s="4" t="str">
        <f ca="1">IFERROR(__xludf.DUMMYFUNCTION("""COMPUTED_VALUE"""),"107103")</f>
        <v>107103</v>
      </c>
      <c r="B2789" s="5" t="str">
        <f ca="1">IFERROR(__xludf.DUMMYFUNCTION("""COMPUTED_VALUE"""),"الدقهلية")</f>
        <v>الدقهلية</v>
      </c>
      <c r="C2789" s="5" t="str">
        <f ca="1">IFERROR(__xludf.DUMMYFUNCTION("""COMPUTED_VALUE"""),"شربين")</f>
        <v>شربين</v>
      </c>
      <c r="D2789" s="5" t="str">
        <f ca="1">IFERROR(__xludf.DUMMYFUNCTION("""COMPUTED_VALUE"""),"هيئة الأطباء")</f>
        <v>هيئة الأطباء</v>
      </c>
      <c r="E2789" s="5" t="str">
        <f ca="1">IFERROR(__xludf.DUMMYFUNCTION("""COMPUTED_VALUE"""),"باطنة")</f>
        <v>باطنة</v>
      </c>
      <c r="F2789" s="5" t="str">
        <f ca="1">IFERROR(__xludf.DUMMYFUNCTION("""COMPUTED_VALUE"""),"باطنة عامة")</f>
        <v>باطنة عامة</v>
      </c>
      <c r="G2789" s="5" t="str">
        <f ca="1">IFERROR(__xludf.DUMMYFUNCTION("""COMPUTED_VALUE"""),"د/ هاني جمال أبو زيد متولي")</f>
        <v>د/ هاني جمال أبو زيد متولي</v>
      </c>
      <c r="H2789" s="5" t="str">
        <f ca="1">IFERROR(__xludf.DUMMYFUNCTION("""COMPUTED_VALUE"""),"1 شربين ش الجزائر برج شربين الطبي - شربين - الدقهلية")</f>
        <v>1 شربين ش الجزائر برج شربين الطبي - شربين - الدقهلية</v>
      </c>
      <c r="I2789" s="6" t="str">
        <f ca="1">IFERROR(__xludf.DUMMYFUNCTION("""COMPUTED_VALUE"""),"01221724241")</f>
        <v>01221724241</v>
      </c>
      <c r="J2789" s="6"/>
      <c r="K2789" s="6" t="str">
        <f ca="1">IFERROR(__xludf.DUMMYFUNCTION("""COMPUTED_VALUE"""),"خصم 30% علي الأسعار النقدي")</f>
        <v>خصم 30% علي الأسعار النقدي</v>
      </c>
    </row>
    <row r="2790" spans="1:11" x14ac:dyDescent="0.25">
      <c r="A2790" s="4" t="str">
        <f ca="1">IFERROR(__xludf.DUMMYFUNCTION("""COMPUTED_VALUE"""),"107103-B")</f>
        <v>107103-B</v>
      </c>
      <c r="B2790" s="5" t="str">
        <f ca="1">IFERROR(__xludf.DUMMYFUNCTION("""COMPUTED_VALUE"""),"الدقهلية")</f>
        <v>الدقهلية</v>
      </c>
      <c r="C2790" s="5" t="str">
        <f ca="1">IFERROR(__xludf.DUMMYFUNCTION("""COMPUTED_VALUE"""),"المنصورة")</f>
        <v>المنصورة</v>
      </c>
      <c r="D2790" s="5" t="str">
        <f ca="1">IFERROR(__xludf.DUMMYFUNCTION("""COMPUTED_VALUE"""),"هيئة الأطباء")</f>
        <v>هيئة الأطباء</v>
      </c>
      <c r="E2790" s="5" t="str">
        <f ca="1">IFERROR(__xludf.DUMMYFUNCTION("""COMPUTED_VALUE"""),"باطنة")</f>
        <v>باطنة</v>
      </c>
      <c r="F2790" s="5" t="str">
        <f ca="1">IFERROR(__xludf.DUMMYFUNCTION("""COMPUTED_VALUE"""),"باطنة عامة")</f>
        <v>باطنة عامة</v>
      </c>
      <c r="G2790" s="5" t="str">
        <f ca="1">IFERROR(__xludf.DUMMYFUNCTION("""COMPUTED_VALUE"""),"د/ هاني جمال أبو زيد متولي")</f>
        <v>د/ هاني جمال أبو زيد متولي</v>
      </c>
      <c r="H2790" s="5" t="str">
        <f ca="1">IFERROR(__xludf.DUMMYFUNCTION("""COMPUTED_VALUE"""),"المنصوره ش بنك مصر برج بدر الدور الخامس فوق صيدليه خليفه")</f>
        <v>المنصوره ش بنك مصر برج بدر الدور الخامس فوق صيدليه خليفه</v>
      </c>
      <c r="I2790" s="6" t="str">
        <f ca="1">IFERROR(__xludf.DUMMYFUNCTION("""COMPUTED_VALUE"""),"01221724241")</f>
        <v>01221724241</v>
      </c>
      <c r="J2790" s="6"/>
      <c r="K2790" s="6" t="str">
        <f ca="1">IFERROR(__xludf.DUMMYFUNCTION("""COMPUTED_VALUE"""),"خصم 30% علي الأسعار النقدي")</f>
        <v>خصم 30% علي الأسعار النقدي</v>
      </c>
    </row>
    <row r="2791" spans="1:11" x14ac:dyDescent="0.25">
      <c r="A2791" s="4" t="str">
        <f ca="1">IFERROR(__xludf.DUMMYFUNCTION("""COMPUTED_VALUE"""),"107104")</f>
        <v>107104</v>
      </c>
      <c r="B2791" s="5" t="str">
        <f ca="1">IFERROR(__xludf.DUMMYFUNCTION("""COMPUTED_VALUE"""),"جنوب سيناء")</f>
        <v>جنوب سيناء</v>
      </c>
      <c r="C2791" s="5" t="str">
        <f ca="1">IFERROR(__xludf.DUMMYFUNCTION("""COMPUTED_VALUE"""),"الطور")</f>
        <v>الطور</v>
      </c>
      <c r="D2791" s="5" t="str">
        <f ca="1">IFERROR(__xludf.DUMMYFUNCTION("""COMPUTED_VALUE"""),"معمل")</f>
        <v>معمل</v>
      </c>
      <c r="E2791" s="5" t="str">
        <f ca="1">IFERROR(__xludf.DUMMYFUNCTION("""COMPUTED_VALUE"""),"معمل")</f>
        <v>معمل</v>
      </c>
      <c r="F2791" s="5" t="str">
        <f ca="1">IFERROR(__xludf.DUMMYFUNCTION("""COMPUTED_VALUE"""),"معمل التحاليل الطبية")</f>
        <v>معمل التحاليل الطبية</v>
      </c>
      <c r="G2791" s="5" t="str">
        <f ca="1">IFERROR(__xludf.DUMMYFUNCTION("""COMPUTED_VALUE"""),"معامل البرق للتحاليل الطبيه")</f>
        <v>معامل البرق للتحاليل الطبيه</v>
      </c>
      <c r="H2791" s="5" t="str">
        <f ca="1">IFERROR(__xludf.DUMMYFUNCTION("""COMPUTED_VALUE"""),"شارع السياحة امام حديقة الفردوس")</f>
        <v>شارع السياحة امام حديقة الفردوس</v>
      </c>
      <c r="I2791" s="6" t="str">
        <f ca="1">IFERROR(__xludf.DUMMYFUNCTION("""COMPUTED_VALUE"""),"1551188634")</f>
        <v>1551188634</v>
      </c>
      <c r="J2791" s="6"/>
      <c r="K2791" s="6" t="str">
        <f ca="1">IFERROR(__xludf.DUMMYFUNCTION("""COMPUTED_VALUE"""),"خصم 30% علي الأسعار النقدي")</f>
        <v>خصم 30% علي الأسعار النقدي</v>
      </c>
    </row>
    <row r="2792" spans="1:11" x14ac:dyDescent="0.25">
      <c r="A2792" s="4" t="str">
        <f ca="1">IFERROR(__xludf.DUMMYFUNCTION("""COMPUTED_VALUE"""),"107104-B")</f>
        <v>107104-B</v>
      </c>
      <c r="B2792" s="5" t="str">
        <f ca="1">IFERROR(__xludf.DUMMYFUNCTION("""COMPUTED_VALUE"""),"الجيزة")</f>
        <v>الجيزة</v>
      </c>
      <c r="C2792" s="5" t="str">
        <f ca="1">IFERROR(__xludf.DUMMYFUNCTION("""COMPUTED_VALUE"""),"الدقي")</f>
        <v>الدقي</v>
      </c>
      <c r="D2792" s="5" t="str">
        <f ca="1">IFERROR(__xludf.DUMMYFUNCTION("""COMPUTED_VALUE"""),"معمل")</f>
        <v>معمل</v>
      </c>
      <c r="E2792" s="5" t="str">
        <f ca="1">IFERROR(__xludf.DUMMYFUNCTION("""COMPUTED_VALUE"""),"معمل")</f>
        <v>معمل</v>
      </c>
      <c r="F2792" s="5" t="str">
        <f ca="1">IFERROR(__xludf.DUMMYFUNCTION("""COMPUTED_VALUE"""),"معمل التحاليل الطبية")</f>
        <v>معمل التحاليل الطبية</v>
      </c>
      <c r="G2792" s="5" t="str">
        <f ca="1">IFERROR(__xludf.DUMMYFUNCTION("""COMPUTED_VALUE"""),"معامل البرق للتحاليل الطبيه")</f>
        <v>معامل البرق للتحاليل الطبيه</v>
      </c>
      <c r="H2792" s="5" t="str">
        <f ca="1">IFERROR(__xludf.DUMMYFUNCTION("""COMPUTED_VALUE"""),"5 ش ايران امام المطعم اليمنى - الدور الاول")</f>
        <v>5 ش ايران امام المطعم اليمنى - الدور الاول</v>
      </c>
      <c r="I2792" s="6" t="str">
        <f ca="1">IFERROR(__xludf.DUMMYFUNCTION("""COMPUTED_VALUE"""),"1551400007")</f>
        <v>1551400007</v>
      </c>
      <c r="J2792" s="6"/>
      <c r="K2792" s="6" t="str">
        <f ca="1">IFERROR(__xludf.DUMMYFUNCTION("""COMPUTED_VALUE"""),"خصم 30% علي الأسعار النقدي")</f>
        <v>خصم 30% علي الأسعار النقدي</v>
      </c>
    </row>
    <row r="2793" spans="1:11" x14ac:dyDescent="0.25">
      <c r="A2793" s="4" t="str">
        <f ca="1">IFERROR(__xludf.DUMMYFUNCTION("""COMPUTED_VALUE"""),"107104-B")</f>
        <v>107104-B</v>
      </c>
      <c r="B2793" s="5" t="str">
        <f ca="1">IFERROR(__xludf.DUMMYFUNCTION("""COMPUTED_VALUE"""),"القاهرة")</f>
        <v>القاهرة</v>
      </c>
      <c r="C2793" s="5" t="str">
        <f ca="1">IFERROR(__xludf.DUMMYFUNCTION("""COMPUTED_VALUE"""),"المنيل")</f>
        <v>المنيل</v>
      </c>
      <c r="D2793" s="5" t="str">
        <f ca="1">IFERROR(__xludf.DUMMYFUNCTION("""COMPUTED_VALUE"""),"معمل")</f>
        <v>معمل</v>
      </c>
      <c r="E2793" s="5" t="str">
        <f ca="1">IFERROR(__xludf.DUMMYFUNCTION("""COMPUTED_VALUE"""),"معمل")</f>
        <v>معمل</v>
      </c>
      <c r="F2793" s="5" t="str">
        <f ca="1">IFERROR(__xludf.DUMMYFUNCTION("""COMPUTED_VALUE"""),"معمل التحاليل الطبية")</f>
        <v>معمل التحاليل الطبية</v>
      </c>
      <c r="G2793" s="5" t="str">
        <f ca="1">IFERROR(__xludf.DUMMYFUNCTION("""COMPUTED_VALUE"""),"معامل البرق للتحاليل الطبيه")</f>
        <v>معامل البرق للتحاليل الطبيه</v>
      </c>
      <c r="H2793" s="5" t="str">
        <f ca="1">IFERROR(__xludf.DUMMYFUNCTION("""COMPUTED_VALUE"""),"72 ش المنيل ميدان الباشا - الدور الثالث")</f>
        <v>72 ش المنيل ميدان الباشا - الدور الثالث</v>
      </c>
      <c r="I2793" s="6" t="str">
        <f ca="1">IFERROR(__xludf.DUMMYFUNCTION("""COMPUTED_VALUE"""),"1551400006")</f>
        <v>1551400006</v>
      </c>
      <c r="J2793" s="6"/>
      <c r="K2793" s="6" t="str">
        <f ca="1">IFERROR(__xludf.DUMMYFUNCTION("""COMPUTED_VALUE"""),"خصم 30% علي الأسعار النقدي")</f>
        <v>خصم 30% علي الأسعار النقدي</v>
      </c>
    </row>
    <row r="2794" spans="1:11" x14ac:dyDescent="0.25">
      <c r="A2794" s="4" t="str">
        <f ca="1">IFERROR(__xludf.DUMMYFUNCTION("""COMPUTED_VALUE"""),"107104-B")</f>
        <v>107104-B</v>
      </c>
      <c r="B2794" s="5" t="str">
        <f ca="1">IFERROR(__xludf.DUMMYFUNCTION("""COMPUTED_VALUE"""),"الجيزة")</f>
        <v>الجيزة</v>
      </c>
      <c r="C2794" s="5" t="str">
        <f ca="1">IFERROR(__xludf.DUMMYFUNCTION("""COMPUTED_VALUE"""),"فيصل")</f>
        <v>فيصل</v>
      </c>
      <c r="D2794" s="5" t="str">
        <f ca="1">IFERROR(__xludf.DUMMYFUNCTION("""COMPUTED_VALUE"""),"معمل")</f>
        <v>معمل</v>
      </c>
      <c r="E2794" s="5" t="str">
        <f ca="1">IFERROR(__xludf.DUMMYFUNCTION("""COMPUTED_VALUE"""),"معمل")</f>
        <v>معمل</v>
      </c>
      <c r="F2794" s="5" t="str">
        <f ca="1">IFERROR(__xludf.DUMMYFUNCTION("""COMPUTED_VALUE"""),"معمل التحاليل الطبية")</f>
        <v>معمل التحاليل الطبية</v>
      </c>
      <c r="G2794" s="5" t="str">
        <f ca="1">IFERROR(__xludf.DUMMYFUNCTION("""COMPUTED_VALUE"""),"معامل البرق للتحاليل الطبيه")</f>
        <v>معامل البرق للتحاليل الطبيه</v>
      </c>
      <c r="H2794" s="5" t="str">
        <f ca="1">IFERROR(__xludf.DUMMYFUNCTION("""COMPUTED_VALUE"""),"اول فيصل برج الاطباء - الدور الثاني")</f>
        <v>اول فيصل برج الاطباء - الدور الثاني</v>
      </c>
      <c r="I2794" s="6" t="str">
        <f ca="1">IFERROR(__xludf.DUMMYFUNCTION("""COMPUTED_VALUE"""),"0235703209")</f>
        <v>0235703209</v>
      </c>
      <c r="J2794" s="6"/>
      <c r="K2794" s="6" t="str">
        <f ca="1">IFERROR(__xludf.DUMMYFUNCTION("""COMPUTED_VALUE"""),"خصم 30% علي الأسعار النقدي")</f>
        <v>خصم 30% علي الأسعار النقدي</v>
      </c>
    </row>
    <row r="2795" spans="1:11" x14ac:dyDescent="0.25">
      <c r="A2795" s="4" t="str">
        <f ca="1">IFERROR(__xludf.DUMMYFUNCTION("""COMPUTED_VALUE"""),"107104-B")</f>
        <v>107104-B</v>
      </c>
      <c r="B2795" s="5" t="str">
        <f ca="1">IFERROR(__xludf.DUMMYFUNCTION("""COMPUTED_VALUE"""),"الجيزة")</f>
        <v>الجيزة</v>
      </c>
      <c r="C2795" s="5" t="str">
        <f ca="1">IFERROR(__xludf.DUMMYFUNCTION("""COMPUTED_VALUE"""),"فيصل")</f>
        <v>فيصل</v>
      </c>
      <c r="D2795" s="5" t="str">
        <f ca="1">IFERROR(__xludf.DUMMYFUNCTION("""COMPUTED_VALUE"""),"معمل")</f>
        <v>معمل</v>
      </c>
      <c r="E2795" s="5" t="str">
        <f ca="1">IFERROR(__xludf.DUMMYFUNCTION("""COMPUTED_VALUE"""),"معمل")</f>
        <v>معمل</v>
      </c>
      <c r="F2795" s="5" t="str">
        <f ca="1">IFERROR(__xludf.DUMMYFUNCTION("""COMPUTED_VALUE"""),"معمل التحاليل الطبية")</f>
        <v>معمل التحاليل الطبية</v>
      </c>
      <c r="G2795" s="5" t="str">
        <f ca="1">IFERROR(__xludf.DUMMYFUNCTION("""COMPUTED_VALUE"""),"معامل البرق للتحاليل الطبيه")</f>
        <v>معامل البرق للتحاليل الطبيه</v>
      </c>
      <c r="H2795" s="5" t="str">
        <f ca="1">IFERROR(__xludf.DUMMYFUNCTION("""COMPUTED_VALUE"""),"427 شارع فيصل امام ناصية العشرين اعلى مطعم الشبراوى - الدور الاول")</f>
        <v>427 شارع فيصل امام ناصية العشرين اعلى مطعم الشبراوى - الدور الاول</v>
      </c>
      <c r="I2795" s="6" t="str">
        <f ca="1">IFERROR(__xludf.DUMMYFUNCTION("""COMPUTED_VALUE"""),"0233930322")</f>
        <v>0233930322</v>
      </c>
      <c r="J2795" s="6"/>
      <c r="K2795" s="6" t="str">
        <f ca="1">IFERROR(__xludf.DUMMYFUNCTION("""COMPUTED_VALUE"""),"خصم 30% علي الأسعار النقدي")</f>
        <v>خصم 30% علي الأسعار النقدي</v>
      </c>
    </row>
    <row r="2796" spans="1:11" x14ac:dyDescent="0.25">
      <c r="A2796" s="4" t="str">
        <f ca="1">IFERROR(__xludf.DUMMYFUNCTION("""COMPUTED_VALUE"""),"107104-B")</f>
        <v>107104-B</v>
      </c>
      <c r="B2796" s="5" t="str">
        <f ca="1">IFERROR(__xludf.DUMMYFUNCTION("""COMPUTED_VALUE"""),"الجيزة")</f>
        <v>الجيزة</v>
      </c>
      <c r="C2796" s="5" t="str">
        <f ca="1">IFERROR(__xludf.DUMMYFUNCTION("""COMPUTED_VALUE"""),"العجوزة")</f>
        <v>العجوزة</v>
      </c>
      <c r="D2796" s="5" t="str">
        <f ca="1">IFERROR(__xludf.DUMMYFUNCTION("""COMPUTED_VALUE"""),"معمل")</f>
        <v>معمل</v>
      </c>
      <c r="E2796" s="5" t="str">
        <f ca="1">IFERROR(__xludf.DUMMYFUNCTION("""COMPUTED_VALUE"""),"معمل")</f>
        <v>معمل</v>
      </c>
      <c r="F2796" s="5" t="str">
        <f ca="1">IFERROR(__xludf.DUMMYFUNCTION("""COMPUTED_VALUE"""),"معمل التحاليل الطبية")</f>
        <v>معمل التحاليل الطبية</v>
      </c>
      <c r="G2796" s="5" t="str">
        <f ca="1">IFERROR(__xludf.DUMMYFUNCTION("""COMPUTED_VALUE"""),"معامل البرق للتحاليل الطبيه")</f>
        <v>معامل البرق للتحاليل الطبيه</v>
      </c>
      <c r="H2796" s="5" t="str">
        <f ca="1">IFERROR(__xludf.DUMMYFUNCTION("""COMPUTED_VALUE"""),"المزلقان  - برج اللوا  اعلى مطعم جحا - الدور الثالث")</f>
        <v>المزلقان  - برج اللوا  اعلى مطعم جحا - الدور الثالث</v>
      </c>
      <c r="I2796" s="6" t="str">
        <f ca="1">IFERROR(__xludf.DUMMYFUNCTION("""COMPUTED_VALUE"""),"0237369029")</f>
        <v>0237369029</v>
      </c>
      <c r="J2796" s="6"/>
      <c r="K2796" s="6" t="str">
        <f ca="1">IFERROR(__xludf.DUMMYFUNCTION("""COMPUTED_VALUE"""),"خصم 30% علي الأسعار النقدي")</f>
        <v>خصم 30% علي الأسعار النقدي</v>
      </c>
    </row>
    <row r="2797" spans="1:11" x14ac:dyDescent="0.25">
      <c r="A2797" s="4" t="str">
        <f ca="1">IFERROR(__xludf.DUMMYFUNCTION("""COMPUTED_VALUE"""),"107104-B")</f>
        <v>107104-B</v>
      </c>
      <c r="B2797" s="5" t="str">
        <f ca="1">IFERROR(__xludf.DUMMYFUNCTION("""COMPUTED_VALUE"""),"السويس")</f>
        <v>السويس</v>
      </c>
      <c r="C2797" s="5" t="str">
        <f ca="1">IFERROR(__xludf.DUMMYFUNCTION("""COMPUTED_VALUE"""),"السويس")</f>
        <v>السويس</v>
      </c>
      <c r="D2797" s="5" t="str">
        <f ca="1">IFERROR(__xludf.DUMMYFUNCTION("""COMPUTED_VALUE"""),"معمل")</f>
        <v>معمل</v>
      </c>
      <c r="E2797" s="5" t="str">
        <f ca="1">IFERROR(__xludf.DUMMYFUNCTION("""COMPUTED_VALUE"""),"معمل")</f>
        <v>معمل</v>
      </c>
      <c r="F2797" s="5" t="str">
        <f ca="1">IFERROR(__xludf.DUMMYFUNCTION("""COMPUTED_VALUE"""),"معمل التحاليل الطبية")</f>
        <v>معمل التحاليل الطبية</v>
      </c>
      <c r="G2797" s="5" t="str">
        <f ca="1">IFERROR(__xludf.DUMMYFUNCTION("""COMPUTED_VALUE"""),"معامل البرق للتحاليل الطبيه")</f>
        <v>معامل البرق للتحاليل الطبيه</v>
      </c>
      <c r="H2797" s="5" t="str">
        <f ca="1">IFERROR(__xludf.DUMMYFUNCTION("""COMPUTED_VALUE"""),"برج السويس شارع الجيش امام مدرسة الفرنسيسكان")</f>
        <v>برج السويس شارع الجيش امام مدرسة الفرنسيسكان</v>
      </c>
      <c r="I2797" s="6" t="str">
        <f ca="1">IFERROR(__xludf.DUMMYFUNCTION("""COMPUTED_VALUE"""),"0623416118")</f>
        <v>0623416118</v>
      </c>
      <c r="J2797" s="6"/>
      <c r="K2797" s="6" t="str">
        <f ca="1">IFERROR(__xludf.DUMMYFUNCTION("""COMPUTED_VALUE"""),"خصم 30% علي الأسعار النقدي")</f>
        <v>خصم 30% علي الأسعار النقدي</v>
      </c>
    </row>
    <row r="2798" spans="1:11" x14ac:dyDescent="0.25">
      <c r="A2798" s="4" t="str">
        <f ca="1">IFERROR(__xludf.DUMMYFUNCTION("""COMPUTED_VALUE"""),"107104-B")</f>
        <v>107104-B</v>
      </c>
      <c r="B2798" s="5" t="str">
        <f ca="1">IFERROR(__xludf.DUMMYFUNCTION("""COMPUTED_VALUE"""),"القاهرة")</f>
        <v>القاهرة</v>
      </c>
      <c r="C2798" s="5" t="str">
        <f ca="1">IFERROR(__xludf.DUMMYFUNCTION("""COMPUTED_VALUE"""),"مدينة نصر")</f>
        <v>مدينة نصر</v>
      </c>
      <c r="D2798" s="5" t="str">
        <f ca="1">IFERROR(__xludf.DUMMYFUNCTION("""COMPUTED_VALUE"""),"معمل")</f>
        <v>معمل</v>
      </c>
      <c r="E2798" s="5" t="str">
        <f ca="1">IFERROR(__xludf.DUMMYFUNCTION("""COMPUTED_VALUE"""),"معمل")</f>
        <v>معمل</v>
      </c>
      <c r="F2798" s="5" t="str">
        <f ca="1">IFERROR(__xludf.DUMMYFUNCTION("""COMPUTED_VALUE"""),"معمل التحاليل الطبية")</f>
        <v>معمل التحاليل الطبية</v>
      </c>
      <c r="G2798" s="5" t="str">
        <f ca="1">IFERROR(__xludf.DUMMYFUNCTION("""COMPUTED_VALUE"""),"معامل البرق للتحاليل الطبيه")</f>
        <v>معامل البرق للتحاليل الطبيه</v>
      </c>
      <c r="H2798" s="5" t="str">
        <f ca="1">IFERROR(__xludf.DUMMYFUNCTION("""COMPUTED_VALUE"""),"طريق النصر امام بندة بجوار سيتي سنتر")</f>
        <v>طريق النصر امام بندة بجوار سيتي سنتر</v>
      </c>
      <c r="I2798" s="6" t="str">
        <f ca="1">IFERROR(__xludf.DUMMYFUNCTION("""COMPUTED_VALUE"""),"0223051467")</f>
        <v>0223051467</v>
      </c>
      <c r="J2798" s="6"/>
      <c r="K2798" s="6" t="str">
        <f ca="1">IFERROR(__xludf.DUMMYFUNCTION("""COMPUTED_VALUE"""),"خصم 30% علي الأسعار النقدي")</f>
        <v>خصم 30% علي الأسعار النقدي</v>
      </c>
    </row>
    <row r="2799" spans="1:11" x14ac:dyDescent="0.25">
      <c r="A2799" s="4" t="str">
        <f ca="1">IFERROR(__xludf.DUMMYFUNCTION("""COMPUTED_VALUE"""),"107104-B")</f>
        <v>107104-B</v>
      </c>
      <c r="B2799" s="5" t="str">
        <f ca="1">IFERROR(__xludf.DUMMYFUNCTION("""COMPUTED_VALUE"""),"الجيزة")</f>
        <v>الجيزة</v>
      </c>
      <c r="C2799" s="5" t="str">
        <f ca="1">IFERROR(__xludf.DUMMYFUNCTION("""COMPUTED_VALUE"""),"العمرانية")</f>
        <v>العمرانية</v>
      </c>
      <c r="D2799" s="5" t="str">
        <f ca="1">IFERROR(__xludf.DUMMYFUNCTION("""COMPUTED_VALUE"""),"معمل")</f>
        <v>معمل</v>
      </c>
      <c r="E2799" s="5" t="str">
        <f ca="1">IFERROR(__xludf.DUMMYFUNCTION("""COMPUTED_VALUE"""),"معمل")</f>
        <v>معمل</v>
      </c>
      <c r="F2799" s="5" t="str">
        <f ca="1">IFERROR(__xludf.DUMMYFUNCTION("""COMPUTED_VALUE"""),"معمل التحاليل الطبية")</f>
        <v>معمل التحاليل الطبية</v>
      </c>
      <c r="G2799" s="5" t="str">
        <f ca="1">IFERROR(__xludf.DUMMYFUNCTION("""COMPUTED_VALUE"""),"معامل البرق للتحاليل الطبيه")</f>
        <v>معامل البرق للتحاليل الطبيه</v>
      </c>
      <c r="H2799" s="5" t="str">
        <f ca="1">IFERROR(__xludf.DUMMYFUNCTION("""COMPUTED_VALUE"""),"383 ا الملك فيصل الجيزة")</f>
        <v>383 ا الملك فيصل الجيزة</v>
      </c>
      <c r="I2799" s="6" t="str">
        <f ca="1">IFERROR(__xludf.DUMMYFUNCTION("""COMPUTED_VALUE"""),"237814982")</f>
        <v>237814982</v>
      </c>
      <c r="J2799" s="6"/>
      <c r="K2799" s="6" t="str">
        <f ca="1">IFERROR(__xludf.DUMMYFUNCTION("""COMPUTED_VALUE"""),"خصم 30% علي الأسعار النقدي")</f>
        <v>خصم 30% علي الأسعار النقدي</v>
      </c>
    </row>
    <row r="2800" spans="1:11" x14ac:dyDescent="0.25">
      <c r="A2800" s="4" t="str">
        <f ca="1">IFERROR(__xludf.DUMMYFUNCTION("""COMPUTED_VALUE"""),"107104-B")</f>
        <v>107104-B</v>
      </c>
      <c r="B2800" s="5" t="str">
        <f ca="1">IFERROR(__xludf.DUMMYFUNCTION("""COMPUTED_VALUE"""),"الاسكندرية")</f>
        <v>الاسكندرية</v>
      </c>
      <c r="C2800" s="5" t="str">
        <f ca="1">IFERROR(__xludf.DUMMYFUNCTION("""COMPUTED_VALUE"""),"سموحة")</f>
        <v>سموحة</v>
      </c>
      <c r="D2800" s="5" t="str">
        <f ca="1">IFERROR(__xludf.DUMMYFUNCTION("""COMPUTED_VALUE"""),"معمل")</f>
        <v>معمل</v>
      </c>
      <c r="E2800" s="5" t="str">
        <f ca="1">IFERROR(__xludf.DUMMYFUNCTION("""COMPUTED_VALUE"""),"معمل")</f>
        <v>معمل</v>
      </c>
      <c r="F2800" s="5" t="str">
        <f ca="1">IFERROR(__xludf.DUMMYFUNCTION("""COMPUTED_VALUE"""),"معمل التحاليل الطبية")</f>
        <v>معمل التحاليل الطبية</v>
      </c>
      <c r="G2800" s="5" t="str">
        <f ca="1">IFERROR(__xludf.DUMMYFUNCTION("""COMPUTED_VALUE"""),"معامل البرق للتحاليل الطبيه")</f>
        <v>معامل البرق للتحاليل الطبيه</v>
      </c>
      <c r="H2800" s="5" t="str">
        <f ca="1">IFERROR(__xludf.DUMMYFUNCTION("""COMPUTED_VALUE"""),"شارع فكتور عمانويل الدور 2 سموحه امام نادي سموحة")</f>
        <v>شارع فكتور عمانويل الدور 2 سموحه امام نادي سموحة</v>
      </c>
      <c r="I2800" s="6" t="str">
        <f ca="1">IFERROR(__xludf.DUMMYFUNCTION("""COMPUTED_VALUE"""),"1551188635")</f>
        <v>1551188635</v>
      </c>
      <c r="J2800" s="6"/>
      <c r="K2800" s="6" t="str">
        <f ca="1">IFERROR(__xludf.DUMMYFUNCTION("""COMPUTED_VALUE"""),"خصم 30% علي الأسعار النقدي")</f>
        <v>خصم 30% علي الأسعار النقدي</v>
      </c>
    </row>
    <row r="2801" spans="1:11" x14ac:dyDescent="0.25">
      <c r="A2801" s="4" t="str">
        <f ca="1">IFERROR(__xludf.DUMMYFUNCTION("""COMPUTED_VALUE"""),"104248-B")</f>
        <v>104248-B</v>
      </c>
      <c r="B2801" s="5" t="str">
        <f ca="1">IFERROR(__xludf.DUMMYFUNCTION("""COMPUTED_VALUE"""),"مرسى مطروح")</f>
        <v>مرسى مطروح</v>
      </c>
      <c r="C2801" s="5" t="str">
        <f ca="1">IFERROR(__xludf.DUMMYFUNCTION("""COMPUTED_VALUE"""),"الساحل الشمالي")</f>
        <v>الساحل الشمالي</v>
      </c>
      <c r="D2801" s="5" t="str">
        <f ca="1">IFERROR(__xludf.DUMMYFUNCTION("""COMPUTED_VALUE"""),"شركة")</f>
        <v>شركة</v>
      </c>
      <c r="E2801" s="5" t="str">
        <f ca="1">IFERROR(__xludf.DUMMYFUNCTION("""COMPUTED_VALUE"""),"شركة اجهزة طبية")</f>
        <v>شركة اجهزة طبية</v>
      </c>
      <c r="F2801" s="5" t="str">
        <f ca="1">IFERROR(__xludf.DUMMYFUNCTION("""COMPUTED_VALUE"""),"مركز بصريات")</f>
        <v>مركز بصريات</v>
      </c>
      <c r="G2801" s="5" t="str">
        <f ca="1">IFERROR(__xludf.DUMMYFUNCTION("""COMPUTED_VALUE"""),"شركة منير نصيف للبصريات")</f>
        <v>شركة منير نصيف للبصريات</v>
      </c>
      <c r="H2801" s="5" t="str">
        <f ca="1">IFERROR(__xludf.DUMMYFUNCTION("""COMPUTED_VALUE"""),"سكوير مول (من 6/1 الي 9/30)")</f>
        <v>سكوير مول (من 6/1 الي 9/30)</v>
      </c>
      <c r="I2801" s="6" t="str">
        <f ca="1">IFERROR(__xludf.DUMMYFUNCTION("""COMPUTED_VALUE"""),"01003707322")</f>
        <v>01003707322</v>
      </c>
      <c r="J2801" s="6"/>
      <c r="K2801" s="6" t="str">
        <f ca="1">IFERROR(__xludf.DUMMYFUNCTION("""COMPUTED_VALUE"""),"30% على النظارات الشمسية والطبية والعدسات المحلية")</f>
        <v>30% على النظارات الشمسية والطبية والعدسات المحلية</v>
      </c>
    </row>
    <row r="2802" spans="1:11" x14ac:dyDescent="0.25">
      <c r="A2802" s="4" t="str">
        <f ca="1">IFERROR(__xludf.DUMMYFUNCTION("""COMPUTED_VALUE"""),"107121")</f>
        <v>107121</v>
      </c>
      <c r="B2802" s="5" t="str">
        <f ca="1">IFERROR(__xludf.DUMMYFUNCTION("""COMPUTED_VALUE"""),"الجيزة")</f>
        <v>الجيزة</v>
      </c>
      <c r="C2802" s="5" t="str">
        <f ca="1">IFERROR(__xludf.DUMMYFUNCTION("""COMPUTED_VALUE"""),"فيصل")</f>
        <v>فيصل</v>
      </c>
      <c r="D2802" s="5" t="str">
        <f ca="1">IFERROR(__xludf.DUMMYFUNCTION("""COMPUTED_VALUE"""),"هيئة الأطباء")</f>
        <v>هيئة الأطباء</v>
      </c>
      <c r="E2802" s="5" t="str">
        <f ca="1">IFERROR(__xludf.DUMMYFUNCTION("""COMPUTED_VALUE"""),"جراحة")</f>
        <v>جراحة</v>
      </c>
      <c r="F2802" s="5" t="str">
        <f ca="1">IFERROR(__xludf.DUMMYFUNCTION("""COMPUTED_VALUE"""),"جراحة عامة")</f>
        <v>جراحة عامة</v>
      </c>
      <c r="G2802" s="5" t="str">
        <f ca="1">IFERROR(__xludf.DUMMYFUNCTION("""COMPUTED_VALUE"""),"د. هيثم محمد حافظ محمد الخولي")</f>
        <v>د. هيثم محمد حافظ محمد الخولي</v>
      </c>
      <c r="H2802" s="5" t="str">
        <f ca="1">IFERROR(__xludf.DUMMYFUNCTION("""COMPUTED_VALUE"""),"446 ش الملك فيصل برج النصر - الدور السابع")</f>
        <v>446 ش الملك فيصل برج النصر - الدور السابع</v>
      </c>
      <c r="I2802" s="6" t="str">
        <f ca="1">IFERROR(__xludf.DUMMYFUNCTION("""COMPUTED_VALUE"""),"01007357700")</f>
        <v>01007357700</v>
      </c>
      <c r="J2802" s="6"/>
      <c r="K2802" s="6" t="str">
        <f ca="1">IFERROR(__xludf.DUMMYFUNCTION("""COMPUTED_VALUE"""),"خصم 40% علي الأسعار النقدي")</f>
        <v>خصم 40% علي الأسعار النقدي</v>
      </c>
    </row>
    <row r="2803" spans="1:11" x14ac:dyDescent="0.25">
      <c r="A2803" s="4" t="str">
        <f ca="1">IFERROR(__xludf.DUMMYFUNCTION("""COMPUTED_VALUE"""),"105515-B")</f>
        <v>105515-B</v>
      </c>
      <c r="B2803" s="5" t="str">
        <f ca="1">IFERROR(__xludf.DUMMYFUNCTION("""COMPUTED_VALUE"""),"الجيزة")</f>
        <v>الجيزة</v>
      </c>
      <c r="C2803" s="5" t="str">
        <f ca="1">IFERROR(__xludf.DUMMYFUNCTION("""COMPUTED_VALUE"""),"السادس من اكتوبر")</f>
        <v>السادس من اكتوبر</v>
      </c>
      <c r="D2803" s="5" t="str">
        <f ca="1">IFERROR(__xludf.DUMMYFUNCTION("""COMPUTED_VALUE"""),"مركز علاج طبيعي")</f>
        <v>مركز علاج طبيعي</v>
      </c>
      <c r="E2803" s="5" t="str">
        <f ca="1">IFERROR(__xludf.DUMMYFUNCTION("""COMPUTED_VALUE"""),"علاج طبيعي")</f>
        <v>علاج طبيعي</v>
      </c>
      <c r="F2803" s="5" t="str">
        <f ca="1">IFERROR(__xludf.DUMMYFUNCTION("""COMPUTED_VALUE"""),"جلسات العلاج الطبيعي")</f>
        <v>جلسات العلاج الطبيعي</v>
      </c>
      <c r="G2803" s="5" t="str">
        <f ca="1">IFERROR(__xludf.DUMMYFUNCTION("""COMPUTED_VALUE"""),"د/ عبدالله اسامه عبدالله عبدالمجيد عطا (مركز حياه للعلاج الطبيعى)")</f>
        <v>د/ عبدالله اسامه عبدالله عبدالمجيد عطا (مركز حياه للعلاج الطبيعى)</v>
      </c>
      <c r="H2803" s="5" t="str">
        <f ca="1">IFERROR(__xludf.DUMMYFUNCTION("""COMPUTED_VALUE"""),"6 اكتوبر - الحي الثالث - المحور المركزي")</f>
        <v>6 اكتوبر - الحي الثالث - المحور المركزي</v>
      </c>
      <c r="I2803" s="6" t="str">
        <f ca="1">IFERROR(__xludf.DUMMYFUNCTION("""COMPUTED_VALUE"""),"01004222094")</f>
        <v>01004222094</v>
      </c>
      <c r="J2803" s="6"/>
      <c r="K2803" s="6" t="str">
        <f ca="1">IFERROR(__xludf.DUMMYFUNCTION("""COMPUTED_VALUE"""),"خصم 25% علي الاسعار النقدي")</f>
        <v>خصم 25% علي الاسعار النقدي</v>
      </c>
    </row>
    <row r="2804" spans="1:11" x14ac:dyDescent="0.25">
      <c r="A2804" s="4" t="str">
        <f ca="1">IFERROR(__xludf.DUMMYFUNCTION("""COMPUTED_VALUE"""),"105515-B")</f>
        <v>105515-B</v>
      </c>
      <c r="B2804" s="5" t="str">
        <f ca="1">IFERROR(__xludf.DUMMYFUNCTION("""COMPUTED_VALUE"""),"الجيزة")</f>
        <v>الجيزة</v>
      </c>
      <c r="C2804" s="5" t="str">
        <f ca="1">IFERROR(__xludf.DUMMYFUNCTION("""COMPUTED_VALUE"""),"المهندسين")</f>
        <v>المهندسين</v>
      </c>
      <c r="D2804" s="5" t="str">
        <f ca="1">IFERROR(__xludf.DUMMYFUNCTION("""COMPUTED_VALUE"""),"مركز علاج طبيعي")</f>
        <v>مركز علاج طبيعي</v>
      </c>
      <c r="E2804" s="5" t="str">
        <f ca="1">IFERROR(__xludf.DUMMYFUNCTION("""COMPUTED_VALUE"""),"علاج طبيعي")</f>
        <v>علاج طبيعي</v>
      </c>
      <c r="F2804" s="5" t="str">
        <f ca="1">IFERROR(__xludf.DUMMYFUNCTION("""COMPUTED_VALUE"""),"جلسات العلاج الطبيعي")</f>
        <v>جلسات العلاج الطبيعي</v>
      </c>
      <c r="G2804" s="5" t="str">
        <f ca="1">IFERROR(__xludf.DUMMYFUNCTION("""COMPUTED_VALUE"""),"د/ عبدالله اسامه عبدالله عبدالمجيد عطا (مركز حياه للعلاج الطبيعى)")</f>
        <v>د/ عبدالله اسامه عبدالله عبدالمجيد عطا (مركز حياه للعلاج الطبيعى)</v>
      </c>
      <c r="H2804" s="5" t="str">
        <f ca="1">IFERROR(__xludf.DUMMYFUNCTION("""COMPUTED_VALUE"""),"المهندسين ميدان لبنان 10 ش الجهاد")</f>
        <v>المهندسين ميدان لبنان 10 ش الجهاد</v>
      </c>
      <c r="I2804" s="6" t="str">
        <f ca="1">IFERROR(__xludf.DUMMYFUNCTION("""COMPUTED_VALUE"""),"01017115870")</f>
        <v>01017115870</v>
      </c>
      <c r="J2804" s="6"/>
      <c r="K2804" s="6" t="str">
        <f ca="1">IFERROR(__xludf.DUMMYFUNCTION("""COMPUTED_VALUE"""),"خصم 25% علي الاسعار النقدي")</f>
        <v>خصم 25% علي الاسعار النقدي</v>
      </c>
    </row>
    <row r="2805" spans="1:11" x14ac:dyDescent="0.25">
      <c r="A2805" s="4" t="str">
        <f ca="1">IFERROR(__xludf.DUMMYFUNCTION("""COMPUTED_VALUE"""),"105515-B")</f>
        <v>105515-B</v>
      </c>
      <c r="B2805" s="5" t="str">
        <f ca="1">IFERROR(__xludf.DUMMYFUNCTION("""COMPUTED_VALUE"""),"القاهرة")</f>
        <v>القاهرة</v>
      </c>
      <c r="C2805" s="5" t="str">
        <f ca="1">IFERROR(__xludf.DUMMYFUNCTION("""COMPUTED_VALUE"""),"مدينة الشروق")</f>
        <v>مدينة الشروق</v>
      </c>
      <c r="D2805" s="5" t="str">
        <f ca="1">IFERROR(__xludf.DUMMYFUNCTION("""COMPUTED_VALUE"""),"مركز علاج طبيعي")</f>
        <v>مركز علاج طبيعي</v>
      </c>
      <c r="E2805" s="5" t="str">
        <f ca="1">IFERROR(__xludf.DUMMYFUNCTION("""COMPUTED_VALUE"""),"علاج طبيعي")</f>
        <v>علاج طبيعي</v>
      </c>
      <c r="F2805" s="5" t="str">
        <f ca="1">IFERROR(__xludf.DUMMYFUNCTION("""COMPUTED_VALUE"""),"جلسات العلاج الطبيعي")</f>
        <v>جلسات العلاج الطبيعي</v>
      </c>
      <c r="G2805" s="5" t="str">
        <f ca="1">IFERROR(__xludf.DUMMYFUNCTION("""COMPUTED_VALUE"""),"د/ عبدالله اسامه عبدالله عبدالمجيد عطا (مركز حياه للعلاج الطبيعى)")</f>
        <v>د/ عبدالله اسامه عبدالله عبدالمجيد عطا (مركز حياه للعلاج الطبيعى)</v>
      </c>
      <c r="H2805" s="5" t="str">
        <f ca="1">IFERROR(__xludf.DUMMYFUNCTION("""COMPUTED_VALUE"""),"الشروق الاتحاد التعاوني عماره 46")</f>
        <v>الشروق الاتحاد التعاوني عماره 46</v>
      </c>
      <c r="I2805" s="6" t="str">
        <f ca="1">IFERROR(__xludf.DUMMYFUNCTION("""COMPUTED_VALUE"""),"01061452774")</f>
        <v>01061452774</v>
      </c>
      <c r="J2805" s="6"/>
      <c r="K2805" s="6" t="str">
        <f ca="1">IFERROR(__xludf.DUMMYFUNCTION("""COMPUTED_VALUE"""),"خصم 25% علي الاسعار النقدي")</f>
        <v>خصم 25% علي الاسعار النقدي</v>
      </c>
    </row>
    <row r="2806" spans="1:11" x14ac:dyDescent="0.25">
      <c r="A2806" s="4" t="str">
        <f ca="1">IFERROR(__xludf.DUMMYFUNCTION("""COMPUTED_VALUE"""),"105919-B")</f>
        <v>105919-B</v>
      </c>
      <c r="B2806" s="5" t="str">
        <f ca="1">IFERROR(__xludf.DUMMYFUNCTION("""COMPUTED_VALUE"""),"الاسكندرية")</f>
        <v>الاسكندرية</v>
      </c>
      <c r="C2806" s="5" t="str">
        <f ca="1">IFERROR(__xludf.DUMMYFUNCTION("""COMPUTED_VALUE"""),"المنتزة")</f>
        <v>المنتزة</v>
      </c>
      <c r="D2806" s="5" t="str">
        <f ca="1">IFERROR(__xludf.DUMMYFUNCTION("""COMPUTED_VALUE"""),"هيئة الأطباء")</f>
        <v>هيئة الأطباء</v>
      </c>
      <c r="E2806" s="5" t="str">
        <f ca="1">IFERROR(__xludf.DUMMYFUNCTION("""COMPUTED_VALUE"""),"اسنان")</f>
        <v>اسنان</v>
      </c>
      <c r="F2806" s="5" t="str">
        <f ca="1">IFERROR(__xludf.DUMMYFUNCTION("""COMPUTED_VALUE"""),"جراحة الفم والأسنان")</f>
        <v>جراحة الفم والأسنان</v>
      </c>
      <c r="G2806" s="5" t="str">
        <f ca="1">IFERROR(__xludf.DUMMYFUNCTION("""COMPUTED_VALUE"""),"د/ اسلام احمد محمود رشوان")</f>
        <v>د/ اسلام احمد محمود رشوان</v>
      </c>
      <c r="H2806" s="5" t="str">
        <f ca="1">IFERROR(__xludf.DUMMYFUNCTION("""COMPUTED_VALUE"""),"قطعه  ش 30 ارض الفضالي برج ام القوى")</f>
        <v>قطعه  ش 30 ارض الفضالي برج ام القوى</v>
      </c>
      <c r="I2806" s="6" t="str">
        <f ca="1">IFERROR(__xludf.DUMMYFUNCTION("""COMPUTED_VALUE"""),"01559554403")</f>
        <v>01559554403</v>
      </c>
      <c r="J2806" s="6"/>
      <c r="K2806" s="6" t="str">
        <f ca="1">IFERROR(__xludf.DUMMYFUNCTION("""COMPUTED_VALUE"""),"خصم 30%علي الأسعار النقدي المعلنة")</f>
        <v>خصم 30%علي الأسعار النقدي المعلنة</v>
      </c>
    </row>
    <row r="2807" spans="1:11" x14ac:dyDescent="0.25">
      <c r="A2807" s="4" t="str">
        <f ca="1">IFERROR(__xludf.DUMMYFUNCTION("""COMPUTED_VALUE"""),"103767-B")</f>
        <v>103767-B</v>
      </c>
      <c r="B2807" s="5" t="str">
        <f ca="1">IFERROR(__xludf.DUMMYFUNCTION("""COMPUTED_VALUE"""),"المنوفية")</f>
        <v>المنوفية</v>
      </c>
      <c r="C2807" s="5" t="str">
        <f ca="1">IFERROR(__xludf.DUMMYFUNCTION("""COMPUTED_VALUE"""),"شبين الكوم")</f>
        <v>شبين الكوم</v>
      </c>
      <c r="D2807" s="5" t="str">
        <f ca="1">IFERROR(__xludf.DUMMYFUNCTION("""COMPUTED_VALUE"""),"مستشفى")</f>
        <v>مستشفى</v>
      </c>
      <c r="E2807" s="5" t="str">
        <f ca="1">IFERROR(__xludf.DUMMYFUNCTION("""COMPUTED_VALUE"""),"مستشفي طبي متخصص")</f>
        <v>مستشفي طبي متخصص</v>
      </c>
      <c r="F2807" s="5" t="str">
        <f ca="1">IFERROR(__xludf.DUMMYFUNCTION("""COMPUTED_VALUE"""),"جراحة مسالك بولية وتناسلية")</f>
        <v>جراحة مسالك بولية وتناسلية</v>
      </c>
      <c r="G2807" s="5" t="str">
        <f ca="1">IFERROR(__xludf.DUMMYFUNCTION("""COMPUTED_VALUE"""),"د/ علي عبد المحفوظ زهرة ( مركز جراحة الكلى والمسالك - المنوفية)")</f>
        <v>د/ علي عبد المحفوظ زهرة ( مركز جراحة الكلى والمسالك - المنوفية)</v>
      </c>
      <c r="H2807" s="5" t="str">
        <f ca="1">IFERROR(__xludf.DUMMYFUNCTION("""COMPUTED_VALUE"""),"شبين الكوم طريق مليج طنطا")</f>
        <v>شبين الكوم طريق مليج طنطا</v>
      </c>
      <c r="I2807" s="6" t="str">
        <f ca="1">IFERROR(__xludf.DUMMYFUNCTION("""COMPUTED_VALUE"""),"20482228243")</f>
        <v>20482228243</v>
      </c>
      <c r="J2807" s="6"/>
      <c r="K2807" s="6" t="str">
        <f ca="1">IFERROR(__xludf.DUMMYFUNCTION("""COMPUTED_VALUE"""),"الكشف: 75 المؤسسه العلاجيه 2015")</f>
        <v>الكشف: 75 المؤسسه العلاجيه 2015</v>
      </c>
    </row>
    <row r="2808" spans="1:11" x14ac:dyDescent="0.25">
      <c r="A2808" s="4" t="str">
        <f ca="1">IFERROR(__xludf.DUMMYFUNCTION("""COMPUTED_VALUE"""),"107127")</f>
        <v>107127</v>
      </c>
      <c r="B2808" s="5" t="str">
        <f ca="1">IFERROR(__xludf.DUMMYFUNCTION("""COMPUTED_VALUE"""),"القاهرة")</f>
        <v>القاهرة</v>
      </c>
      <c r="C2808" s="5" t="str">
        <f ca="1">IFERROR(__xludf.DUMMYFUNCTION("""COMPUTED_VALUE"""),"القاهرة الجديدة")</f>
        <v>القاهرة الجديدة</v>
      </c>
      <c r="D2808" s="5" t="str">
        <f ca="1">IFERROR(__xludf.DUMMYFUNCTION("""COMPUTED_VALUE"""),"مستشفى")</f>
        <v>مستشفى</v>
      </c>
      <c r="E2808" s="5" t="str">
        <f ca="1">IFERROR(__xludf.DUMMYFUNCTION("""COMPUTED_VALUE"""),"مستشفي طبي متكامل")</f>
        <v>مستشفي طبي متكامل</v>
      </c>
      <c r="F2808" s="5" t="str">
        <f ca="1">IFERROR(__xludf.DUMMYFUNCTION("""COMPUTED_VALUE"""),"جميع التخصصات الطبية")</f>
        <v>جميع التخصصات الطبية</v>
      </c>
      <c r="G2808" s="5" t="str">
        <f ca="1">IFERROR(__xludf.DUMMYFUNCTION("""COMPUTED_VALUE"""),"شركة مستشفي سيشل")</f>
        <v>شركة مستشفي سيشل</v>
      </c>
      <c r="H2808" s="5" t="str">
        <f ca="1">IFERROR(__xludf.DUMMYFUNCTION("""COMPUTED_VALUE"""),"فيلا 11 نموذج بي مشروع القطامية جاردنز التجمع الخامس")</f>
        <v>فيلا 11 نموذج بي مشروع القطامية جاردنز التجمع الخامس</v>
      </c>
      <c r="I2808" s="6" t="str">
        <f ca="1">IFERROR(__xludf.DUMMYFUNCTION("""COMPUTED_VALUE"""),"01123560007")</f>
        <v>01123560007</v>
      </c>
      <c r="J2808" s="6"/>
      <c r="K2808" s="6" t="str">
        <f ca="1">IFERROR(__xludf.DUMMYFUNCTION("""COMPUTED_VALUE"""),"خصم 30%علي الأسعار النقدي المعلنة")</f>
        <v>خصم 30%علي الأسعار النقدي المعلنة</v>
      </c>
    </row>
    <row r="2809" spans="1:11" x14ac:dyDescent="0.25">
      <c r="A2809" s="4" t="str">
        <f ca="1">IFERROR(__xludf.DUMMYFUNCTION("""COMPUTED_VALUE"""),"107141")</f>
        <v>107141</v>
      </c>
      <c r="B2809" s="5" t="str">
        <f ca="1">IFERROR(__xludf.DUMMYFUNCTION("""COMPUTED_VALUE"""),"القاهرة")</f>
        <v>القاهرة</v>
      </c>
      <c r="C2809" s="5" t="str">
        <f ca="1">IFERROR(__xludf.DUMMYFUNCTION("""COMPUTED_VALUE"""),"مدينة الشروق")</f>
        <v>مدينة الشروق</v>
      </c>
      <c r="D2809" s="5" t="str">
        <f ca="1">IFERROR(__xludf.DUMMYFUNCTION("""COMPUTED_VALUE"""),"مستشفى")</f>
        <v>مستشفى</v>
      </c>
      <c r="E2809" s="5" t="str">
        <f ca="1">IFERROR(__xludf.DUMMYFUNCTION("""COMPUTED_VALUE"""),"مستشفي طبي متكامل")</f>
        <v>مستشفي طبي متكامل</v>
      </c>
      <c r="F2809" s="5" t="str">
        <f ca="1">IFERROR(__xludf.DUMMYFUNCTION("""COMPUTED_VALUE"""),"جميع التخصصات الطبية")</f>
        <v>جميع التخصصات الطبية</v>
      </c>
      <c r="G2809" s="5" t="str">
        <f ca="1">IFERROR(__xludf.DUMMYFUNCTION("""COMPUTED_VALUE"""),"المستشفي البريطاني - الشروق")</f>
        <v>المستشفي البريطاني - الشروق</v>
      </c>
      <c r="H2809" s="5" t="str">
        <f ca="1">IFERROR(__xludf.DUMMYFUNCTION("""COMPUTED_VALUE"""),"34 المنطقة الترفيهيه غرب المدينة - الداون تاون - الشروق - القاهرة")</f>
        <v>34 المنطقة الترفيهيه غرب المدينة - الداون تاون - الشروق - القاهرة</v>
      </c>
      <c r="I2809" s="6" t="str">
        <f ca="1">IFERROR(__xludf.DUMMYFUNCTION("""COMPUTED_VALUE"""),"01005665615")</f>
        <v>01005665615</v>
      </c>
      <c r="J2809" s="6" t="str">
        <f ca="1">IFERROR(__xludf.DUMMYFUNCTION("""COMPUTED_VALUE"""),"15023")</f>
        <v>15023</v>
      </c>
      <c r="K2809" s="6" t="str">
        <f ca="1">IFERROR(__xludf.DUMMYFUNCTION("""COMPUTED_VALUE"""),"خصم 30%علي الأسعار النقدي المعلنة")</f>
        <v>خصم 30%علي الأسعار النقدي المعلنة</v>
      </c>
    </row>
    <row r="2810" spans="1:11" x14ac:dyDescent="0.25">
      <c r="A2810" s="4" t="str">
        <f ca="1">IFERROR(__xludf.DUMMYFUNCTION("""COMPUTED_VALUE"""),"107142-B")</f>
        <v>107142-B</v>
      </c>
      <c r="B2810" s="5" t="str">
        <f ca="1">IFERROR(__xludf.DUMMYFUNCTION("""COMPUTED_VALUE"""),"البحر الاحمر")</f>
        <v>البحر الاحمر</v>
      </c>
      <c r="C2810" s="5" t="str">
        <f ca="1">IFERROR(__xludf.DUMMYFUNCTION("""COMPUTED_VALUE"""),"رأس غارب")</f>
        <v>رأس غارب</v>
      </c>
      <c r="D2810" s="5" t="str">
        <f ca="1">IFERROR(__xludf.DUMMYFUNCTION("""COMPUTED_VALUE"""),"صيدلية")</f>
        <v>صيدلية</v>
      </c>
      <c r="E2810" s="5" t="str">
        <f ca="1">IFERROR(__xludf.DUMMYFUNCTION("""COMPUTED_VALUE"""),"صيدلية")</f>
        <v>صيدلية</v>
      </c>
      <c r="F2810" s="5" t="str">
        <f ca="1">IFERROR(__xludf.DUMMYFUNCTION("""COMPUTED_VALUE"""),"صيدلية (أدوية ومستلزمات طبية)")</f>
        <v>صيدلية (أدوية ومستلزمات طبية)</v>
      </c>
      <c r="G2810" s="5" t="str">
        <f ca="1">IFERROR(__xludf.DUMMYFUNCTION("""COMPUTED_VALUE"""),"صيدلية شيماء حسني محمد حارث")</f>
        <v>صيدلية شيماء حسني محمد حارث</v>
      </c>
      <c r="H2810" s="5" t="str">
        <f ca="1">IFERROR(__xludf.DUMMYFUNCTION("""COMPUTED_VALUE"""),"شارع الحرية منطقة تقسيم العبور - رأس غارب - البحر الأحمر")</f>
        <v>شارع الحرية منطقة تقسيم العبور - رأس غارب - البحر الأحمر</v>
      </c>
      <c r="I2810" s="6" t="str">
        <f ca="1">IFERROR(__xludf.DUMMYFUNCTION("""COMPUTED_VALUE"""),"01067336797")</f>
        <v>01067336797</v>
      </c>
      <c r="J2810" s="6"/>
      <c r="K2810" s="6" t="str">
        <f ca="1">IFERROR(__xludf.DUMMYFUNCTION("""COMPUTED_VALUE"""),"12 % على المحلى ,6% على المستورد")</f>
        <v>12 % على المحلى ,6% على المستورد</v>
      </c>
    </row>
    <row r="2811" spans="1:11" x14ac:dyDescent="0.25">
      <c r="A2811" s="4" t="str">
        <f ca="1">IFERROR(__xludf.DUMMYFUNCTION("""COMPUTED_VALUE"""),"107143")</f>
        <v>107143</v>
      </c>
      <c r="B2811" s="5" t="str">
        <f ca="1">IFERROR(__xludf.DUMMYFUNCTION("""COMPUTED_VALUE"""),"القاهرة")</f>
        <v>القاهرة</v>
      </c>
      <c r="C2811" s="5" t="str">
        <f ca="1">IFERROR(__xludf.DUMMYFUNCTION("""COMPUTED_VALUE"""),"الزمالك")</f>
        <v>الزمالك</v>
      </c>
      <c r="D2811" s="5" t="str">
        <f ca="1">IFERROR(__xludf.DUMMYFUNCTION("""COMPUTED_VALUE"""),"مجمع عيادات")</f>
        <v>مجمع عيادات</v>
      </c>
      <c r="E2811" s="5" t="str">
        <f ca="1">IFERROR(__xludf.DUMMYFUNCTION("""COMPUTED_VALUE"""),"جميع التخصصات")</f>
        <v>جميع التخصصات</v>
      </c>
      <c r="F2811" s="5" t="str">
        <f ca="1">IFERROR(__xludf.DUMMYFUNCTION("""COMPUTED_VALUE"""),"جميع التخصصات الطبية")</f>
        <v>جميع التخصصات الطبية</v>
      </c>
      <c r="G2811" s="5" t="str">
        <f ca="1">IFERROR(__xludf.DUMMYFUNCTION("""COMPUTED_VALUE"""),"عيادات بيور كير التخصصية")</f>
        <v>عيادات بيور كير التخصصية</v>
      </c>
      <c r="H2811" s="5" t="str">
        <f ca="1">IFERROR(__xludf.DUMMYFUNCTION("""COMPUTED_VALUE"""),"47 شارع محمد مظهر قصر النيل - الزمالك - القاهرة")</f>
        <v>47 شارع محمد مظهر قصر النيل - الزمالك - القاهرة</v>
      </c>
      <c r="I2811" s="6" t="str">
        <f ca="1">IFERROR(__xludf.DUMMYFUNCTION("""COMPUTED_VALUE"""),"01025660445")</f>
        <v>01025660445</v>
      </c>
      <c r="J2811" s="6"/>
      <c r="K2811" s="6" t="str">
        <f ca="1">IFERROR(__xludf.DUMMYFUNCTION("""COMPUTED_VALUE"""),"خصم 30%علي الأسعار النقدي المعلنة")</f>
        <v>خصم 30%علي الأسعار النقدي المعلنة</v>
      </c>
    </row>
    <row r="2812" spans="1:11" x14ac:dyDescent="0.25">
      <c r="A2812" s="4" t="str">
        <f ca="1">IFERROR(__xludf.DUMMYFUNCTION("""COMPUTED_VALUE"""),"107144")</f>
        <v>107144</v>
      </c>
      <c r="B2812" s="5" t="str">
        <f ca="1">IFERROR(__xludf.DUMMYFUNCTION("""COMPUTED_VALUE"""),"السويس")</f>
        <v>السويس</v>
      </c>
      <c r="C2812" s="5" t="str">
        <f ca="1">IFERROR(__xludf.DUMMYFUNCTION("""COMPUTED_VALUE"""),"السويس")</f>
        <v>السويس</v>
      </c>
      <c r="D2812" s="5" t="str">
        <f ca="1">IFERROR(__xludf.DUMMYFUNCTION("""COMPUTED_VALUE"""),"مجمع عيادات")</f>
        <v>مجمع عيادات</v>
      </c>
      <c r="E2812" s="5" t="str">
        <f ca="1">IFERROR(__xludf.DUMMYFUNCTION("""COMPUTED_VALUE"""),"جميع التخصصات")</f>
        <v>جميع التخصصات</v>
      </c>
      <c r="F2812" s="5" t="str">
        <f ca="1">IFERROR(__xludf.DUMMYFUNCTION("""COMPUTED_VALUE"""),"جميع التخصصات الطبية")</f>
        <v>جميع التخصصات الطبية</v>
      </c>
      <c r="G2812" s="5" t="str">
        <f ca="1">IFERROR(__xludf.DUMMYFUNCTION("""COMPUTED_VALUE"""),"عيادة دكتور جوهري التخصصيه")</f>
        <v>عيادة دكتور جوهري التخصصيه</v>
      </c>
      <c r="H2812" s="5" t="str">
        <f ca="1">IFERROR(__xludf.DUMMYFUNCTION("""COMPUTED_VALUE"""),"60 ش الحامولي من ش الجيش الدور الأول علوي شقة رقم 1 الاربعين - السويس")</f>
        <v>60 ش الحامولي من ش الجيش الدور الأول علوي شقة رقم 1 الاربعين - السويس</v>
      </c>
      <c r="I2812" s="6" t="str">
        <f ca="1">IFERROR(__xludf.DUMMYFUNCTION("""COMPUTED_VALUE"""),"0623495008")</f>
        <v>0623495008</v>
      </c>
      <c r="J2812" s="6"/>
      <c r="K2812" s="6" t="str">
        <f ca="1">IFERROR(__xludf.DUMMYFUNCTION("""COMPUTED_VALUE"""),"خصم 30%علي الأسعار النقدي المعلنة")</f>
        <v>خصم 30%علي الأسعار النقدي المعلنة</v>
      </c>
    </row>
    <row r="2813" spans="1:11" x14ac:dyDescent="0.25">
      <c r="A2813" s="4" t="str">
        <f ca="1">IFERROR(__xludf.DUMMYFUNCTION("""COMPUTED_VALUE"""),"107145")</f>
        <v>107145</v>
      </c>
      <c r="B2813" s="5" t="str">
        <f ca="1">IFERROR(__xludf.DUMMYFUNCTION("""COMPUTED_VALUE"""),"الشرقية")</f>
        <v>الشرقية</v>
      </c>
      <c r="C2813" s="5" t="str">
        <f ca="1">IFERROR(__xludf.DUMMYFUNCTION("""COMPUTED_VALUE"""),"أبو حماد")</f>
        <v>أبو حماد</v>
      </c>
      <c r="D2813" s="5" t="str">
        <f ca="1">IFERROR(__xludf.DUMMYFUNCTION("""COMPUTED_VALUE"""),"هيئة الأطباء")</f>
        <v>هيئة الأطباء</v>
      </c>
      <c r="E2813" s="5" t="str">
        <f ca="1">IFERROR(__xludf.DUMMYFUNCTION("""COMPUTED_VALUE"""),"اسنان")</f>
        <v>اسنان</v>
      </c>
      <c r="F2813" s="5" t="str">
        <f ca="1">IFERROR(__xludf.DUMMYFUNCTION("""COMPUTED_VALUE"""),"جراحة الفم والأسنان")</f>
        <v>جراحة الفم والأسنان</v>
      </c>
      <c r="G2813" s="5" t="str">
        <f ca="1">IFERROR(__xludf.DUMMYFUNCTION("""COMPUTED_VALUE"""),"د. عمرو محمد عبد الرحيم أبو ساطي")</f>
        <v>د. عمرو محمد عبد الرحيم أبو ساطي</v>
      </c>
      <c r="H2813" s="5" t="str">
        <f ca="1">IFERROR(__xludf.DUMMYFUNCTION("""COMPUTED_VALUE"""),"ش المدينة المنورة - أبو حماد - الشرقية")</f>
        <v>ش المدينة المنورة - أبو حماد - الشرقية</v>
      </c>
      <c r="I2813" s="6" t="str">
        <f ca="1">IFERROR(__xludf.DUMMYFUNCTION("""COMPUTED_VALUE"""),"01097774963")</f>
        <v>01097774963</v>
      </c>
      <c r="J2813" s="6"/>
      <c r="K2813" s="6" t="str">
        <f ca="1">IFERROR(__xludf.DUMMYFUNCTION("""COMPUTED_VALUE"""),"خصم 30%علي الأسعار النقدي المعلنة")</f>
        <v>خصم 30%علي الأسعار النقدي المعلنة</v>
      </c>
    </row>
    <row r="2814" spans="1:11" x14ac:dyDescent="0.25">
      <c r="A2814" s="4" t="str">
        <f ca="1">IFERROR(__xludf.DUMMYFUNCTION("""COMPUTED_VALUE"""),"107146")</f>
        <v>107146</v>
      </c>
      <c r="B2814" s="5" t="str">
        <f ca="1">IFERROR(__xludf.DUMMYFUNCTION("""COMPUTED_VALUE"""),"القاهرة")</f>
        <v>القاهرة</v>
      </c>
      <c r="C2814" s="5" t="str">
        <f ca="1">IFERROR(__xludf.DUMMYFUNCTION("""COMPUTED_VALUE"""),"مدينة نصر")</f>
        <v>مدينة نصر</v>
      </c>
      <c r="D2814" s="5" t="str">
        <f ca="1">IFERROR(__xludf.DUMMYFUNCTION("""COMPUTED_VALUE"""),"صيدلية")</f>
        <v>صيدلية</v>
      </c>
      <c r="E2814" s="5" t="str">
        <f ca="1">IFERROR(__xludf.DUMMYFUNCTION("""COMPUTED_VALUE"""),"صيدلية")</f>
        <v>صيدلية</v>
      </c>
      <c r="F2814" s="5" t="str">
        <f ca="1">IFERROR(__xludf.DUMMYFUNCTION("""COMPUTED_VALUE"""),"صيدلية (أدوية ومستلزمات طبية)")</f>
        <v>صيدلية (أدوية ومستلزمات طبية)</v>
      </c>
      <c r="G2814" s="5" t="str">
        <f ca="1">IFERROR(__xludf.DUMMYFUNCTION("""COMPUTED_VALUE"""),"ويلنس فارما (صيدليات الصيدلي)")</f>
        <v>ويلنس فارما (صيدليات الصيدلي)</v>
      </c>
      <c r="H2814" s="5" t="str">
        <f ca="1">IFERROR(__xludf.DUMMYFUNCTION("""COMPUTED_VALUE"""),"89 ش مصطفي النحاس المنطقة الثامنة - مدينة نصر.")</f>
        <v>89 ش مصطفي النحاس المنطقة الثامنة - مدينة نصر.</v>
      </c>
      <c r="I2814" s="6" t="str">
        <f ca="1">IFERROR(__xludf.DUMMYFUNCTION("""COMPUTED_VALUE"""),"01009401023")</f>
        <v>01009401023</v>
      </c>
      <c r="J2814" s="6"/>
      <c r="K2814" s="6" t="str">
        <f ca="1">IFERROR(__xludf.DUMMYFUNCTION("""COMPUTED_VALUE"""),"14 % على المحلى ,7% على المستورد")</f>
        <v>14 % على المحلى ,7% على المستورد</v>
      </c>
    </row>
    <row r="2815" spans="1:11" x14ac:dyDescent="0.25">
      <c r="A2815" s="4" t="str">
        <f ca="1">IFERROR(__xludf.DUMMYFUNCTION("""COMPUTED_VALUE"""),"107146-B")</f>
        <v>107146-B</v>
      </c>
      <c r="B2815" s="5" t="str">
        <f ca="1">IFERROR(__xludf.DUMMYFUNCTION("""COMPUTED_VALUE"""),"القاهرة")</f>
        <v>القاهرة</v>
      </c>
      <c r="C2815" s="5" t="str">
        <f ca="1">IFERROR(__xludf.DUMMYFUNCTION("""COMPUTED_VALUE"""),"مصر الجديدة")</f>
        <v>مصر الجديدة</v>
      </c>
      <c r="D2815" s="5" t="str">
        <f ca="1">IFERROR(__xludf.DUMMYFUNCTION("""COMPUTED_VALUE"""),"صيدلية")</f>
        <v>صيدلية</v>
      </c>
      <c r="E2815" s="5" t="str">
        <f ca="1">IFERROR(__xludf.DUMMYFUNCTION("""COMPUTED_VALUE"""),"صيدلية")</f>
        <v>صيدلية</v>
      </c>
      <c r="F2815" s="5" t="str">
        <f ca="1">IFERROR(__xludf.DUMMYFUNCTION("""COMPUTED_VALUE"""),"صيدلية (أدوية ومستلزمات طبية)")</f>
        <v>صيدلية (أدوية ومستلزمات طبية)</v>
      </c>
      <c r="G2815" s="5" t="str">
        <f ca="1">IFERROR(__xludf.DUMMYFUNCTION("""COMPUTED_VALUE"""),"ويلنس فارما (صيدليات الصيدلي)")</f>
        <v>ويلنس فارما (صيدليات الصيدلي)</v>
      </c>
      <c r="H2815" s="5" t="str">
        <f ca="1">IFERROR(__xludf.DUMMYFUNCTION("""COMPUTED_VALUE"""),"12 سيد عبد الواحد -ميدان روكسي")</f>
        <v>12 سيد عبد الواحد -ميدان روكسي</v>
      </c>
      <c r="I2815" s="6" t="str">
        <f ca="1">IFERROR(__xludf.DUMMYFUNCTION("""COMPUTED_VALUE"""),"01009401023")</f>
        <v>01009401023</v>
      </c>
      <c r="J2815" s="6"/>
      <c r="K2815" s="6" t="str">
        <f ca="1">IFERROR(__xludf.DUMMYFUNCTION("""COMPUTED_VALUE"""),"14 % على المحلى ,7% على المستورد")</f>
        <v>14 % على المحلى ,7% على المستورد</v>
      </c>
    </row>
    <row r="2816" spans="1:11" x14ac:dyDescent="0.25">
      <c r="A2816" s="4" t="str">
        <f ca="1">IFERROR(__xludf.DUMMYFUNCTION("""COMPUTED_VALUE"""),"107146-B")</f>
        <v>107146-B</v>
      </c>
      <c r="B2816" s="5" t="str">
        <f ca="1">IFERROR(__xludf.DUMMYFUNCTION("""COMPUTED_VALUE"""),"القاهرة")</f>
        <v>القاهرة</v>
      </c>
      <c r="C2816" s="5" t="str">
        <f ca="1">IFERROR(__xludf.DUMMYFUNCTION("""COMPUTED_VALUE"""),"مدينة نصر")</f>
        <v>مدينة نصر</v>
      </c>
      <c r="D2816" s="5" t="str">
        <f ca="1">IFERROR(__xludf.DUMMYFUNCTION("""COMPUTED_VALUE"""),"صيدلية")</f>
        <v>صيدلية</v>
      </c>
      <c r="E2816" s="5" t="str">
        <f ca="1">IFERROR(__xludf.DUMMYFUNCTION("""COMPUTED_VALUE"""),"صيدلية")</f>
        <v>صيدلية</v>
      </c>
      <c r="F2816" s="5" t="str">
        <f ca="1">IFERROR(__xludf.DUMMYFUNCTION("""COMPUTED_VALUE"""),"صيدلية (أدوية ومستلزمات طبية)")</f>
        <v>صيدلية (أدوية ومستلزمات طبية)</v>
      </c>
      <c r="G2816" s="5" t="str">
        <f ca="1">IFERROR(__xludf.DUMMYFUNCTION("""COMPUTED_VALUE"""),"ويلنس فارما (صيدليات الصيدلي)")</f>
        <v>ويلنس فارما (صيدليات الصيدلي)</v>
      </c>
      <c r="H2816" s="5" t="str">
        <f ca="1">IFERROR(__xludf.DUMMYFUNCTION("""COMPUTED_VALUE"""),"27 ابراهيم ابو النجا - السفارت مدينه نصر")</f>
        <v>27 ابراهيم ابو النجا - السفارت مدينه نصر</v>
      </c>
      <c r="I2816" s="6" t="str">
        <f ca="1">IFERROR(__xludf.DUMMYFUNCTION("""COMPUTED_VALUE"""),"01009401023")</f>
        <v>01009401023</v>
      </c>
      <c r="J2816" s="6"/>
      <c r="K2816" s="6" t="str">
        <f ca="1">IFERROR(__xludf.DUMMYFUNCTION("""COMPUTED_VALUE"""),"14 % على المحلى ,7% على المستورد")</f>
        <v>14 % على المحلى ,7% على المستورد</v>
      </c>
    </row>
    <row r="2817" spans="1:11" x14ac:dyDescent="0.25">
      <c r="A2817" s="4" t="str">
        <f ca="1">IFERROR(__xludf.DUMMYFUNCTION("""COMPUTED_VALUE"""),"107146-B")</f>
        <v>107146-B</v>
      </c>
      <c r="B2817" s="5" t="str">
        <f ca="1">IFERROR(__xludf.DUMMYFUNCTION("""COMPUTED_VALUE"""),"القاهرة")</f>
        <v>القاهرة</v>
      </c>
      <c r="C2817" s="5" t="str">
        <f ca="1">IFERROR(__xludf.DUMMYFUNCTION("""COMPUTED_VALUE"""),"مصر الجديدة")</f>
        <v>مصر الجديدة</v>
      </c>
      <c r="D2817" s="5" t="str">
        <f ca="1">IFERROR(__xludf.DUMMYFUNCTION("""COMPUTED_VALUE"""),"صيدلية")</f>
        <v>صيدلية</v>
      </c>
      <c r="E2817" s="5" t="str">
        <f ca="1">IFERROR(__xludf.DUMMYFUNCTION("""COMPUTED_VALUE"""),"صيدلية")</f>
        <v>صيدلية</v>
      </c>
      <c r="F2817" s="5" t="str">
        <f ca="1">IFERROR(__xludf.DUMMYFUNCTION("""COMPUTED_VALUE"""),"صيدلية (أدوية ومستلزمات طبية)")</f>
        <v>صيدلية (أدوية ومستلزمات طبية)</v>
      </c>
      <c r="G2817" s="5" t="str">
        <f ca="1">IFERROR(__xludf.DUMMYFUNCTION("""COMPUTED_VALUE"""),"ويلنس فارما (صيدليات الصيدلي)")</f>
        <v>ويلنس فارما (صيدليات الصيدلي)</v>
      </c>
      <c r="H2817" s="5" t="str">
        <f ca="1">IFERROR(__xludf.DUMMYFUNCTION("""COMPUTED_VALUE"""),"64  نخله المطيعي ميدان تيريومف")</f>
        <v>64  نخله المطيعي ميدان تيريومف</v>
      </c>
      <c r="I2817" s="6" t="str">
        <f ca="1">IFERROR(__xludf.DUMMYFUNCTION("""COMPUTED_VALUE"""),"01009401023")</f>
        <v>01009401023</v>
      </c>
      <c r="J2817" s="6"/>
      <c r="K2817" s="6" t="str">
        <f ca="1">IFERROR(__xludf.DUMMYFUNCTION("""COMPUTED_VALUE"""),"14 % على المحلى ,7% على المستورد")</f>
        <v>14 % على المحلى ,7% على المستورد</v>
      </c>
    </row>
    <row r="2818" spans="1:11" x14ac:dyDescent="0.25">
      <c r="A2818" s="4" t="str">
        <f ca="1">IFERROR(__xludf.DUMMYFUNCTION("""COMPUTED_VALUE"""),"107146-B")</f>
        <v>107146-B</v>
      </c>
      <c r="B2818" s="5" t="str">
        <f ca="1">IFERROR(__xludf.DUMMYFUNCTION("""COMPUTED_VALUE"""),"القاهرة")</f>
        <v>القاهرة</v>
      </c>
      <c r="C2818" s="5" t="str">
        <f ca="1">IFERROR(__xludf.DUMMYFUNCTION("""COMPUTED_VALUE"""),"مصر الجديدة")</f>
        <v>مصر الجديدة</v>
      </c>
      <c r="D2818" s="5" t="str">
        <f ca="1">IFERROR(__xludf.DUMMYFUNCTION("""COMPUTED_VALUE"""),"صيدلية")</f>
        <v>صيدلية</v>
      </c>
      <c r="E2818" s="5" t="str">
        <f ca="1">IFERROR(__xludf.DUMMYFUNCTION("""COMPUTED_VALUE"""),"صيدلية")</f>
        <v>صيدلية</v>
      </c>
      <c r="F2818" s="5" t="str">
        <f ca="1">IFERROR(__xludf.DUMMYFUNCTION("""COMPUTED_VALUE"""),"صيدلية (أدوية ومستلزمات طبية)")</f>
        <v>صيدلية (أدوية ومستلزمات طبية)</v>
      </c>
      <c r="G2818" s="5" t="str">
        <f ca="1">IFERROR(__xludf.DUMMYFUNCTION("""COMPUTED_VALUE"""),"ويلنس فارما (صيدليات الصيدلي)")</f>
        <v>ويلنس فارما (صيدليات الصيدلي)</v>
      </c>
      <c r="H2818" s="5" t="str">
        <f ca="1">IFERROR(__xludf.DUMMYFUNCTION("""COMPUTED_VALUE"""),"6 أ شارع السباق- الميريلاند")</f>
        <v>6 أ شارع السباق- الميريلاند</v>
      </c>
      <c r="I2818" s="6" t="str">
        <f ca="1">IFERROR(__xludf.DUMMYFUNCTION("""COMPUTED_VALUE"""),"01009401023")</f>
        <v>01009401023</v>
      </c>
      <c r="J2818" s="6"/>
      <c r="K2818" s="6" t="str">
        <f ca="1">IFERROR(__xludf.DUMMYFUNCTION("""COMPUTED_VALUE"""),"14 % على المحلى ,7% على المستورد")</f>
        <v>14 % على المحلى ,7% على المستورد</v>
      </c>
    </row>
    <row r="2819" spans="1:11" x14ac:dyDescent="0.25">
      <c r="A2819" s="4" t="str">
        <f ca="1">IFERROR(__xludf.DUMMYFUNCTION("""COMPUTED_VALUE"""),"107146-B")</f>
        <v>107146-B</v>
      </c>
      <c r="B2819" s="5" t="str">
        <f ca="1">IFERROR(__xludf.DUMMYFUNCTION("""COMPUTED_VALUE"""),"القاهرة")</f>
        <v>القاهرة</v>
      </c>
      <c r="C2819" s="5" t="str">
        <f ca="1">IFERROR(__xludf.DUMMYFUNCTION("""COMPUTED_VALUE"""),"مدينة الشروق")</f>
        <v>مدينة الشروق</v>
      </c>
      <c r="D2819" s="5" t="str">
        <f ca="1">IFERROR(__xludf.DUMMYFUNCTION("""COMPUTED_VALUE"""),"صيدلية")</f>
        <v>صيدلية</v>
      </c>
      <c r="E2819" s="5" t="str">
        <f ca="1">IFERROR(__xludf.DUMMYFUNCTION("""COMPUTED_VALUE"""),"صيدلية")</f>
        <v>صيدلية</v>
      </c>
      <c r="F2819" s="5" t="str">
        <f ca="1">IFERROR(__xludf.DUMMYFUNCTION("""COMPUTED_VALUE"""),"صيدلية (أدوية ومستلزمات طبية)")</f>
        <v>صيدلية (أدوية ومستلزمات طبية)</v>
      </c>
      <c r="G2819" s="5" t="str">
        <f ca="1">IFERROR(__xludf.DUMMYFUNCTION("""COMPUTED_VALUE"""),"ويلنس فارما (صيدليات الصيدلي)")</f>
        <v>ويلنس فارما (صيدليات الصيدلي)</v>
      </c>
      <c r="H2819" s="5" t="str">
        <f ca="1">IFERROR(__xludf.DUMMYFUNCTION("""COMPUTED_VALUE"""),"مجمع خدمات المنطقه أ- عمارات المجاوره 3")</f>
        <v>مجمع خدمات المنطقه أ- عمارات المجاوره 3</v>
      </c>
      <c r="I2819" s="6" t="str">
        <f ca="1">IFERROR(__xludf.DUMMYFUNCTION("""COMPUTED_VALUE"""),"01009401023")</f>
        <v>01009401023</v>
      </c>
      <c r="J2819" s="6"/>
      <c r="K2819" s="6" t="str">
        <f ca="1">IFERROR(__xludf.DUMMYFUNCTION("""COMPUTED_VALUE"""),"14 % على المحلى ,7% على المستورد")</f>
        <v>14 % على المحلى ,7% على المستورد</v>
      </c>
    </row>
    <row r="2820" spans="1:11" x14ac:dyDescent="0.25">
      <c r="A2820" s="4" t="str">
        <f ca="1">IFERROR(__xludf.DUMMYFUNCTION("""COMPUTED_VALUE"""),"107147")</f>
        <v>107147</v>
      </c>
      <c r="B2820" s="5" t="str">
        <f ca="1">IFERROR(__xludf.DUMMYFUNCTION("""COMPUTED_VALUE"""),"الجيزة")</f>
        <v>الجيزة</v>
      </c>
      <c r="C2820" s="5" t="str">
        <f ca="1">IFERROR(__xludf.DUMMYFUNCTION("""COMPUTED_VALUE"""),"العياط")</f>
        <v>العياط</v>
      </c>
      <c r="D2820" s="5" t="str">
        <f ca="1">IFERROR(__xludf.DUMMYFUNCTION("""COMPUTED_VALUE"""),"مجمع عيادات")</f>
        <v>مجمع عيادات</v>
      </c>
      <c r="E2820" s="5" t="str">
        <f ca="1">IFERROR(__xludf.DUMMYFUNCTION("""COMPUTED_VALUE"""),"جميع التخصصات")</f>
        <v>جميع التخصصات</v>
      </c>
      <c r="F2820" s="5" t="str">
        <f ca="1">IFERROR(__xludf.DUMMYFUNCTION("""COMPUTED_VALUE"""),"جميع التخصصات الطبية")</f>
        <v>جميع التخصصات الطبية</v>
      </c>
      <c r="G2820" s="5" t="str">
        <f ca="1">IFERROR(__xludf.DUMMYFUNCTION("""COMPUTED_VALUE"""),"شركة مجموعة زهور الطب الطبية (عيادات الزهور الحديثة التخصصية)")</f>
        <v>شركة مجموعة زهور الطب الطبية (عيادات الزهور الحديثة التخصصية)</v>
      </c>
      <c r="H2820" s="5" t="str">
        <f ca="1">IFERROR(__xludf.DUMMYFUNCTION("""COMPUTED_VALUE"""),"ش الجيش بجوار مستشفي الزهراء - العياط - الجيزة")</f>
        <v>ش الجيش بجوار مستشفي الزهراء - العياط - الجيزة</v>
      </c>
      <c r="I2820" s="6" t="str">
        <f ca="1">IFERROR(__xludf.DUMMYFUNCTION("""COMPUTED_VALUE"""),"01288886326")</f>
        <v>01288886326</v>
      </c>
      <c r="J2820" s="6"/>
      <c r="K2820" s="6" t="str">
        <f ca="1">IFERROR(__xludf.DUMMYFUNCTION("""COMPUTED_VALUE"""),"خصم 25%علي الأسعار النقدي المعلنة")</f>
        <v>خصم 25%علي الأسعار النقدي المعلنة</v>
      </c>
    </row>
    <row r="2821" spans="1:11" x14ac:dyDescent="0.25">
      <c r="A2821" s="4" t="str">
        <f ca="1">IFERROR(__xludf.DUMMYFUNCTION("""COMPUTED_VALUE"""),"1763-B")</f>
        <v>1763-B</v>
      </c>
      <c r="B2821" s="5" t="str">
        <f ca="1">IFERROR(__xludf.DUMMYFUNCTION("""COMPUTED_VALUE"""),"القليوبية")</f>
        <v>القليوبية</v>
      </c>
      <c r="C2821" s="5" t="str">
        <f ca="1">IFERROR(__xludf.DUMMYFUNCTION("""COMPUTED_VALUE"""),"مدينة العبور")</f>
        <v>مدينة العبور</v>
      </c>
      <c r="D2821" s="5" t="str">
        <f ca="1">IFERROR(__xludf.DUMMYFUNCTION("""COMPUTED_VALUE"""),"هيئة الأطباء")</f>
        <v>هيئة الأطباء</v>
      </c>
      <c r="E2821" s="5" t="str">
        <f ca="1">IFERROR(__xludf.DUMMYFUNCTION("""COMPUTED_VALUE"""),"اسنان")</f>
        <v>اسنان</v>
      </c>
      <c r="F2821" s="5" t="str">
        <f ca="1">IFERROR(__xludf.DUMMYFUNCTION("""COMPUTED_VALUE"""),"جراحة الفم والأسنان")</f>
        <v>جراحة الفم والأسنان</v>
      </c>
      <c r="G2821" s="5" t="str">
        <f ca="1">IFERROR(__xludf.DUMMYFUNCTION("""COMPUTED_VALUE"""),"المركز المصري الاول لطب الأسنان ( د/ حسين محمد طاهر)")</f>
        <v>المركز المصري الاول لطب الأسنان ( د/ حسين محمد طاهر)</v>
      </c>
      <c r="H2821" s="5" t="str">
        <f ca="1">IFERROR(__xludf.DUMMYFUNCTION("""COMPUTED_VALUE"""),"محليه 6 الحي الاول عماره 60 مدينه العبور")</f>
        <v>محليه 6 الحي الاول عماره 60 مدينه العبور</v>
      </c>
      <c r="I2821" s="6" t="str">
        <f ca="1">IFERROR(__xludf.DUMMYFUNCTION("""COMPUTED_VALUE"""),"201110002137")</f>
        <v>201110002137</v>
      </c>
      <c r="J2821" s="6"/>
      <c r="K2821" s="6" t="str">
        <f ca="1">IFERROR(__xludf.DUMMYFUNCTION("""COMPUTED_VALUE"""),"30% على الكشوفات ,10% على التركيبات ,10% على الإجراءات ,5% على الزراعات")</f>
        <v>30% على الكشوفات ,10% على التركيبات ,10% على الإجراءات ,5% على الزراعات</v>
      </c>
    </row>
    <row r="2822" spans="1:11" x14ac:dyDescent="0.25">
      <c r="A2822" s="4" t="str">
        <f ca="1">IFERROR(__xludf.DUMMYFUNCTION("""COMPUTED_VALUE"""),"107149")</f>
        <v>107149</v>
      </c>
      <c r="B2822" s="5" t="str">
        <f ca="1">IFERROR(__xludf.DUMMYFUNCTION("""COMPUTED_VALUE"""),"المنوفية")</f>
        <v>المنوفية</v>
      </c>
      <c r="C2822" s="5" t="str">
        <f ca="1">IFERROR(__xludf.DUMMYFUNCTION("""COMPUTED_VALUE"""),"مدينه السادات")</f>
        <v>مدينه السادات</v>
      </c>
      <c r="D2822" s="5" t="str">
        <f ca="1">IFERROR(__xludf.DUMMYFUNCTION("""COMPUTED_VALUE"""),"صيدلية")</f>
        <v>صيدلية</v>
      </c>
      <c r="E2822" s="5" t="str">
        <f ca="1">IFERROR(__xludf.DUMMYFUNCTION("""COMPUTED_VALUE"""),"صيدلية")</f>
        <v>صيدلية</v>
      </c>
      <c r="F2822" s="5" t="str">
        <f ca="1">IFERROR(__xludf.DUMMYFUNCTION("""COMPUTED_VALUE"""),"صيدلية (أدوية ومستلزمات طبية)")</f>
        <v>صيدلية (أدوية ومستلزمات طبية)</v>
      </c>
      <c r="G2822" s="5" t="str">
        <f ca="1">IFERROR(__xludf.DUMMYFUNCTION("""COMPUTED_VALUE"""),"صيدلية د. ايه حمدي عبد الستار")</f>
        <v>صيدلية د. ايه حمدي عبد الستار</v>
      </c>
      <c r="H2822" s="5" t="str">
        <f ca="1">IFERROR(__xludf.DUMMYFUNCTION("""COMPUTED_VALUE"""),"محل 1 الدور الارضي قطعه 53 المنطقة السمنية 3 - السادات - المنوفية")</f>
        <v>محل 1 الدور الارضي قطعه 53 المنطقة السمنية 3 - السادات - المنوفية</v>
      </c>
      <c r="I2822" s="6" t="str">
        <f ca="1">IFERROR(__xludf.DUMMYFUNCTION("""COMPUTED_VALUE"""),"01212069933")</f>
        <v>01212069933</v>
      </c>
      <c r="J2822" s="6"/>
      <c r="K2822" s="6" t="str">
        <f ca="1">IFERROR(__xludf.DUMMYFUNCTION("""COMPUTED_VALUE"""),"13 % على المحلى ,7% على المستورد")</f>
        <v>13 % على المحلى ,7% على المستورد</v>
      </c>
    </row>
    <row r="2823" spans="1:11" x14ac:dyDescent="0.25">
      <c r="A2823" s="4" t="str">
        <f ca="1">IFERROR(__xludf.DUMMYFUNCTION("""COMPUTED_VALUE"""),"107150")</f>
        <v>107150</v>
      </c>
      <c r="B2823" s="5" t="str">
        <f ca="1">IFERROR(__xludf.DUMMYFUNCTION("""COMPUTED_VALUE"""),"الجيزة")</f>
        <v>الجيزة</v>
      </c>
      <c r="C2823" s="5" t="str">
        <f ca="1">IFERROR(__xludf.DUMMYFUNCTION("""COMPUTED_VALUE"""),"حدائق الاهرام")</f>
        <v>حدائق الاهرام</v>
      </c>
      <c r="D2823" s="5" t="str">
        <f ca="1">IFERROR(__xludf.DUMMYFUNCTION("""COMPUTED_VALUE"""),"مجمع عيادات")</f>
        <v>مجمع عيادات</v>
      </c>
      <c r="E2823" s="5" t="str">
        <f ca="1">IFERROR(__xludf.DUMMYFUNCTION("""COMPUTED_VALUE"""),"جميع التخصصات")</f>
        <v>جميع التخصصات</v>
      </c>
      <c r="F2823" s="5" t="str">
        <f ca="1">IFERROR(__xludf.DUMMYFUNCTION("""COMPUTED_VALUE"""),"جميع التخصصات الطبية")</f>
        <v>جميع التخصصات الطبية</v>
      </c>
      <c r="G2823" s="5" t="str">
        <f ca="1">IFERROR(__xludf.DUMMYFUNCTION("""COMPUTED_VALUE"""),"عيادات تاون كلينك المتخصصه")</f>
        <v>عيادات تاون كلينك المتخصصه</v>
      </c>
      <c r="H2823" s="5" t="str">
        <f ca="1">IFERROR(__xludf.DUMMYFUNCTION("""COMPUTED_VALUE"""),"174 ج حدائق الاهرام - البوابة الاولي - الهرم")</f>
        <v>174 ج حدائق الاهرام - البوابة الاولي - الهرم</v>
      </c>
      <c r="I2823" s="6" t="str">
        <f ca="1">IFERROR(__xludf.DUMMYFUNCTION("""COMPUTED_VALUE"""),"01002375800")</f>
        <v>01002375800</v>
      </c>
      <c r="J2823" s="6"/>
      <c r="K2823" s="6" t="str">
        <f ca="1">IFERROR(__xludf.DUMMYFUNCTION("""COMPUTED_VALUE"""),"خصم 50%علي الأسعار النقدي المعلنة")</f>
        <v>خصم 50%علي الأسعار النقدي المعلنة</v>
      </c>
    </row>
    <row r="2824" spans="1:11" x14ac:dyDescent="0.25">
      <c r="A2824" s="4" t="str">
        <f ca="1">IFERROR(__xludf.DUMMYFUNCTION("""COMPUTED_VALUE"""),"107151")</f>
        <v>107151</v>
      </c>
      <c r="B2824" s="5" t="str">
        <f ca="1">IFERROR(__xludf.DUMMYFUNCTION("""COMPUTED_VALUE"""),"بني سويف")</f>
        <v>بني سويف</v>
      </c>
      <c r="C2824" s="5" t="str">
        <f ca="1">IFERROR(__xludf.DUMMYFUNCTION("""COMPUTED_VALUE"""),"بني سويف")</f>
        <v>بني سويف</v>
      </c>
      <c r="D2824" s="5" t="str">
        <f ca="1">IFERROR(__xludf.DUMMYFUNCTION("""COMPUTED_VALUE"""),"مركز أشعة")</f>
        <v>مركز أشعة</v>
      </c>
      <c r="E2824" s="5" t="str">
        <f ca="1">IFERROR(__xludf.DUMMYFUNCTION("""COMPUTED_VALUE"""),"مركز أشعة")</f>
        <v>مركز أشعة</v>
      </c>
      <c r="F2824" s="5" t="str">
        <f ca="1">IFERROR(__xludf.DUMMYFUNCTION("""COMPUTED_VALUE"""),"أشعة تشخيصية")</f>
        <v>أشعة تشخيصية</v>
      </c>
      <c r="G2824" s="5" t="str">
        <f ca="1">IFERROR(__xludf.DUMMYFUNCTION("""COMPUTED_VALUE"""),"مركز العاصمة للأشعه (داليا خالد عبدالمنعم معوض و شركائها)")</f>
        <v>مركز العاصمة للأشعه (داليا خالد عبدالمنعم معوض و شركائها)</v>
      </c>
      <c r="H2824" s="5" t="str">
        <f ca="1">IFERROR(__xludf.DUMMYFUNCTION("""COMPUTED_VALUE"""),"ش أحمد عرابي امام نادي المعلمين - بني سويف")</f>
        <v>ش أحمد عرابي امام نادي المعلمين - بني سويف</v>
      </c>
      <c r="I2824" s="6" t="str">
        <f ca="1">IFERROR(__xludf.DUMMYFUNCTION("""COMPUTED_VALUE"""),"0119666456")</f>
        <v>0119666456</v>
      </c>
      <c r="J2824" s="6"/>
      <c r="K2824" s="6" t="str">
        <f ca="1">IFERROR(__xludf.DUMMYFUNCTION("""COMPUTED_VALUE"""),"خصم 30%علي الأسعار النقدي المعلنة")</f>
        <v>خصم 30%علي الأسعار النقدي المعلنة</v>
      </c>
    </row>
    <row r="2825" spans="1:11" x14ac:dyDescent="0.25">
      <c r="A2825" s="4" t="str">
        <f ca="1">IFERROR(__xludf.DUMMYFUNCTION("""COMPUTED_VALUE"""),"107153")</f>
        <v>107153</v>
      </c>
      <c r="B2825" s="5" t="str">
        <f ca="1">IFERROR(__xludf.DUMMYFUNCTION("""COMPUTED_VALUE"""),"الغربية")</f>
        <v>الغربية</v>
      </c>
      <c r="C2825" s="5" t="str">
        <f ca="1">IFERROR(__xludf.DUMMYFUNCTION("""COMPUTED_VALUE"""),"زفتى")</f>
        <v>زفتى</v>
      </c>
      <c r="D2825" s="5" t="str">
        <f ca="1">IFERROR(__xludf.DUMMYFUNCTION("""COMPUTED_VALUE"""),"صيدلية")</f>
        <v>صيدلية</v>
      </c>
      <c r="E2825" s="5" t="str">
        <f ca="1">IFERROR(__xludf.DUMMYFUNCTION("""COMPUTED_VALUE"""),"صيدلية")</f>
        <v>صيدلية</v>
      </c>
      <c r="F2825" s="5" t="str">
        <f ca="1">IFERROR(__xludf.DUMMYFUNCTION("""COMPUTED_VALUE"""),"صيدلية (أدوية ومستلزمات طبية)")</f>
        <v>صيدلية (أدوية ومستلزمات طبية)</v>
      </c>
      <c r="G2825" s="5" t="str">
        <f ca="1">IFERROR(__xludf.DUMMYFUNCTION("""COMPUTED_VALUE"""),"صيدلية د. ابراهيم رضا صابر عباس الخولي")</f>
        <v>صيدلية د. ابراهيم رضا صابر عباس الخولي</v>
      </c>
      <c r="H2825" s="5" t="str">
        <f ca="1">IFERROR(__xludf.DUMMYFUNCTION("""COMPUTED_VALUE"""),"امتداد شارع الجيش القبلي بعد كوبري المصرف - زفتي - الغربية")</f>
        <v>امتداد شارع الجيش القبلي بعد كوبري المصرف - زفتي - الغربية</v>
      </c>
      <c r="I2825" s="6" t="str">
        <f ca="1">IFERROR(__xludf.DUMMYFUNCTION("""COMPUTED_VALUE"""),"0404729091")</f>
        <v>0404729091</v>
      </c>
      <c r="J2825" s="6"/>
      <c r="K2825" s="6" t="str">
        <f ca="1">IFERROR(__xludf.DUMMYFUNCTION("""COMPUTED_VALUE"""),"14 % على المحلى ,7% على المستورد")</f>
        <v>14 % على المحلى ,7% على المستورد</v>
      </c>
    </row>
    <row r="2826" spans="1:11" x14ac:dyDescent="0.25">
      <c r="A2826" s="4" t="str">
        <f ca="1">IFERROR(__xludf.DUMMYFUNCTION("""COMPUTED_VALUE"""),"107155")</f>
        <v>107155</v>
      </c>
      <c r="B2826" s="5" t="str">
        <f ca="1">IFERROR(__xludf.DUMMYFUNCTION("""COMPUTED_VALUE"""),"أسيوط")</f>
        <v>أسيوط</v>
      </c>
      <c r="C2826" s="5" t="str">
        <f ca="1">IFERROR(__xludf.DUMMYFUNCTION("""COMPUTED_VALUE"""),"منفلوط")</f>
        <v>منفلوط</v>
      </c>
      <c r="D2826" s="5" t="str">
        <f ca="1">IFERROR(__xludf.DUMMYFUNCTION("""COMPUTED_VALUE"""),"صيدلية")</f>
        <v>صيدلية</v>
      </c>
      <c r="E2826" s="5" t="str">
        <f ca="1">IFERROR(__xludf.DUMMYFUNCTION("""COMPUTED_VALUE"""),"صيدلية")</f>
        <v>صيدلية</v>
      </c>
      <c r="F2826" s="5" t="str">
        <f ca="1">IFERROR(__xludf.DUMMYFUNCTION("""COMPUTED_VALUE"""),"صيدلية (أدوية ومستلزمات طبية)")</f>
        <v>صيدلية (أدوية ومستلزمات طبية)</v>
      </c>
      <c r="G2826" s="5" t="str">
        <f ca="1">IFERROR(__xludf.DUMMYFUNCTION("""COMPUTED_VALUE"""),"صيدلية د. ايريني يسري بولس عطيه")</f>
        <v>صيدلية د. ايريني يسري بولس عطيه</v>
      </c>
      <c r="H2826" s="5" t="str">
        <f ca="1">IFERROR(__xludf.DUMMYFUNCTION("""COMPUTED_VALUE"""),"حي السلام بجوار المطافي - مركز منفلوط - أسيوط")</f>
        <v>حي السلام بجوار المطافي - مركز منفلوط - أسيوط</v>
      </c>
      <c r="I2826" s="6" t="str">
        <f ca="1">IFERROR(__xludf.DUMMYFUNCTION("""COMPUTED_VALUE"""),"01128765455")</f>
        <v>01128765455</v>
      </c>
      <c r="J2826" s="6"/>
      <c r="K2826" s="6" t="str">
        <f ca="1">IFERROR(__xludf.DUMMYFUNCTION("""COMPUTED_VALUE"""),"14 % على المحلى ,7% على المستورد")</f>
        <v>14 % على المحلى ,7% على المستورد</v>
      </c>
    </row>
    <row r="2827" spans="1:11" x14ac:dyDescent="0.25">
      <c r="A2827" s="4" t="str">
        <f ca="1">IFERROR(__xludf.DUMMYFUNCTION("""COMPUTED_VALUE"""),"3938")</f>
        <v>3938</v>
      </c>
      <c r="B2827" s="5" t="str">
        <f ca="1">IFERROR(__xludf.DUMMYFUNCTION("""COMPUTED_VALUE"""),"القاهرة")</f>
        <v>القاهرة</v>
      </c>
      <c r="C2827" s="5" t="str">
        <f ca="1">IFERROR(__xludf.DUMMYFUNCTION("""COMPUTED_VALUE"""),"القاهرة الجديدة")</f>
        <v>القاهرة الجديدة</v>
      </c>
      <c r="D2827" s="5" t="str">
        <f ca="1">IFERROR(__xludf.DUMMYFUNCTION("""COMPUTED_VALUE"""),"هيئة الأطباء")</f>
        <v>هيئة الأطباء</v>
      </c>
      <c r="E2827" s="5" t="str">
        <f ca="1">IFERROR(__xludf.DUMMYFUNCTION("""COMPUTED_VALUE"""),"اسنان")</f>
        <v>اسنان</v>
      </c>
      <c r="F2827" s="5" t="str">
        <f ca="1">IFERROR(__xludf.DUMMYFUNCTION("""COMPUTED_VALUE"""),"جراحة الفم والأسنان")</f>
        <v>جراحة الفم والأسنان</v>
      </c>
      <c r="G2827" s="5" t="str">
        <f ca="1">IFERROR(__xludf.DUMMYFUNCTION("""COMPUTED_VALUE"""),"د/ ايهاب صفوت مصطفى عيسى")</f>
        <v>د/ ايهاب صفوت مصطفى عيسى</v>
      </c>
      <c r="H2827" s="5" t="str">
        <f ca="1">IFERROR(__xludf.DUMMYFUNCTION("""COMPUTED_VALUE"""),"عياده 263 المركز التجاري all seasons park  مدينتي")</f>
        <v>عياده 263 المركز التجاري all seasons park  مدينتي</v>
      </c>
      <c r="I2827" s="6" t="str">
        <f ca="1">IFERROR(__xludf.DUMMYFUNCTION("""COMPUTED_VALUE"""),"20226711288")</f>
        <v>20226711288</v>
      </c>
      <c r="J2827" s="6"/>
      <c r="K2827" s="6" t="str">
        <f ca="1">IFERROR(__xludf.DUMMYFUNCTION("""COMPUTED_VALUE"""),"الخصم المتفق عليه")</f>
        <v>الخصم المتفق عليه</v>
      </c>
    </row>
    <row r="2828" spans="1:11" x14ac:dyDescent="0.25">
      <c r="A2828" s="4" t="str">
        <f ca="1">IFERROR(__xludf.DUMMYFUNCTION("""COMPUTED_VALUE"""),"107156")</f>
        <v>107156</v>
      </c>
      <c r="B2828" s="5" t="str">
        <f ca="1">IFERROR(__xludf.DUMMYFUNCTION("""COMPUTED_VALUE"""),"الإسماعيلية")</f>
        <v>الإسماعيلية</v>
      </c>
      <c r="C2828" s="5" t="str">
        <f ca="1">IFERROR(__xludf.DUMMYFUNCTION("""COMPUTED_VALUE"""),"القنطرة")</f>
        <v>القنطرة</v>
      </c>
      <c r="D2828" s="5" t="str">
        <f ca="1">IFERROR(__xludf.DUMMYFUNCTION("""COMPUTED_VALUE"""),"هيئة الأطباء")</f>
        <v>هيئة الأطباء</v>
      </c>
      <c r="E2828" s="5" t="str">
        <f ca="1">IFERROR(__xludf.DUMMYFUNCTION("""COMPUTED_VALUE"""),"اسنان")</f>
        <v>اسنان</v>
      </c>
      <c r="F2828" s="5" t="str">
        <f ca="1">IFERROR(__xludf.DUMMYFUNCTION("""COMPUTED_VALUE"""),"جراحة الفم والأسنان")</f>
        <v>جراحة الفم والأسنان</v>
      </c>
      <c r="G2828" s="5" t="str">
        <f ca="1">IFERROR(__xludf.DUMMYFUNCTION("""COMPUTED_VALUE"""),"د/ طنطاوي الشحات طنطاوي عبدالهادي (البسمة لطب الاسنان)")</f>
        <v>د/ طنطاوي الشحات طنطاوي عبدالهادي (البسمة لطب الاسنان)</v>
      </c>
      <c r="H2828" s="5" t="str">
        <f ca="1">IFERROR(__xludf.DUMMYFUNCTION("""COMPUTED_VALUE"""),"المركز الطبي - الدور الثاني علوي مدينة الابطال - القنطرة شرق - الاسماعيلية")</f>
        <v>المركز الطبي - الدور الثاني علوي مدينة الابطال - القنطرة شرق - الاسماعيلية</v>
      </c>
      <c r="I2828" s="6" t="str">
        <f ca="1">IFERROR(__xludf.DUMMYFUNCTION("""COMPUTED_VALUE"""),"01066377111")</f>
        <v>01066377111</v>
      </c>
      <c r="J2828" s="6"/>
      <c r="K2828" s="6" t="str">
        <f ca="1">IFERROR(__xludf.DUMMYFUNCTION("""COMPUTED_VALUE"""),"خصم 30%علي الأسعار النقدي المعلنة")</f>
        <v>خصم 30%علي الأسعار النقدي المعلنة</v>
      </c>
    </row>
    <row r="2829" spans="1:11" x14ac:dyDescent="0.25">
      <c r="A2829" s="4" t="str">
        <f ca="1">IFERROR(__xludf.DUMMYFUNCTION("""COMPUTED_VALUE"""),"107156-B")</f>
        <v>107156-B</v>
      </c>
      <c r="B2829" s="5" t="str">
        <f ca="1">IFERROR(__xludf.DUMMYFUNCTION("""COMPUTED_VALUE"""),"الإسماعيلية")</f>
        <v>الإسماعيلية</v>
      </c>
      <c r="C2829" s="5" t="str">
        <f ca="1">IFERROR(__xludf.DUMMYFUNCTION("""COMPUTED_VALUE"""),"الإسماعيلية")</f>
        <v>الإسماعيلية</v>
      </c>
      <c r="D2829" s="5" t="str">
        <f ca="1">IFERROR(__xludf.DUMMYFUNCTION("""COMPUTED_VALUE"""),"هيئة الأطباء")</f>
        <v>هيئة الأطباء</v>
      </c>
      <c r="E2829" s="5" t="str">
        <f ca="1">IFERROR(__xludf.DUMMYFUNCTION("""COMPUTED_VALUE"""),"اسنان")</f>
        <v>اسنان</v>
      </c>
      <c r="F2829" s="5" t="str">
        <f ca="1">IFERROR(__xludf.DUMMYFUNCTION("""COMPUTED_VALUE"""),"جراحة الفم والأسنان")</f>
        <v>جراحة الفم والأسنان</v>
      </c>
      <c r="G2829" s="5" t="str">
        <f ca="1">IFERROR(__xludf.DUMMYFUNCTION("""COMPUTED_VALUE"""),"د/ طنطاوي الشحات طنطاوي عبدالهادي (البسمة لطب الاسنان)")</f>
        <v>د/ طنطاوي الشحات طنطاوي عبدالهادي (البسمة لطب الاسنان)</v>
      </c>
      <c r="H2829" s="5" t="str">
        <f ca="1">IFERROR(__xludf.DUMMYFUNCTION("""COMPUTED_VALUE"""),"ش العشرين - حي السلام عقار 510 شارة مجمع المحاكم - الاسماعيلية")</f>
        <v>ش العشرين - حي السلام عقار 510 شارة مجمع المحاكم - الاسماعيلية</v>
      </c>
      <c r="I2829" s="6" t="str">
        <f ca="1">IFERROR(__xludf.DUMMYFUNCTION("""COMPUTED_VALUE"""),"01066377111")</f>
        <v>01066377111</v>
      </c>
      <c r="J2829" s="6"/>
      <c r="K2829" s="6" t="str">
        <f ca="1">IFERROR(__xludf.DUMMYFUNCTION("""COMPUTED_VALUE"""),"خصم 30%علي الأسعار النقدي المعلنة")</f>
        <v>خصم 30%علي الأسعار النقدي المعلنة</v>
      </c>
    </row>
    <row r="2830" spans="1:11" x14ac:dyDescent="0.25">
      <c r="A2830" s="4" t="str">
        <f ca="1">IFERROR(__xludf.DUMMYFUNCTION("""COMPUTED_VALUE"""),"107157")</f>
        <v>107157</v>
      </c>
      <c r="B2830" s="5" t="str">
        <f ca="1">IFERROR(__xludf.DUMMYFUNCTION("""COMPUTED_VALUE"""),"البحيرة")</f>
        <v>البحيرة</v>
      </c>
      <c r="C2830" s="5" t="str">
        <f ca="1">IFERROR(__xludf.DUMMYFUNCTION("""COMPUTED_VALUE"""),"كوم حمادة")</f>
        <v>كوم حمادة</v>
      </c>
      <c r="D2830" s="5" t="str">
        <f ca="1">IFERROR(__xludf.DUMMYFUNCTION("""COMPUTED_VALUE"""),"هيئة الأطباء")</f>
        <v>هيئة الأطباء</v>
      </c>
      <c r="E2830" s="5" t="str">
        <f ca="1">IFERROR(__xludf.DUMMYFUNCTION("""COMPUTED_VALUE"""),"اسنان")</f>
        <v>اسنان</v>
      </c>
      <c r="F2830" s="5" t="str">
        <f ca="1">IFERROR(__xludf.DUMMYFUNCTION("""COMPUTED_VALUE"""),"جراحة الفم والأسنان")</f>
        <v>جراحة الفم والأسنان</v>
      </c>
      <c r="G2830" s="5" t="str">
        <f ca="1">IFERROR(__xludf.DUMMYFUNCTION("""COMPUTED_VALUE"""),"د. احمد محمد عبد العظيم أبو علفه")</f>
        <v>د. احمد محمد عبد العظيم أبو علفه</v>
      </c>
      <c r="H2830" s="5" t="str">
        <f ca="1">IFERROR(__xludf.DUMMYFUNCTION("""COMPUTED_VALUE"""),"ش فوزي - كوم حماده - البحيرة")</f>
        <v>ش فوزي - كوم حماده - البحيرة</v>
      </c>
      <c r="I2830" s="6" t="str">
        <f ca="1">IFERROR(__xludf.DUMMYFUNCTION("""COMPUTED_VALUE"""),"01027676154")</f>
        <v>01027676154</v>
      </c>
      <c r="J2830" s="6"/>
      <c r="K2830" s="6" t="str">
        <f ca="1">IFERROR(__xludf.DUMMYFUNCTION("""COMPUTED_VALUE"""),"خصم 30%علي الأسعار النقدي المعلنة")</f>
        <v>خصم 30%علي الأسعار النقدي المعلنة</v>
      </c>
    </row>
    <row r="2831" spans="1:11" x14ac:dyDescent="0.25">
      <c r="A2831" s="4" t="str">
        <f ca="1">IFERROR(__xludf.DUMMYFUNCTION("""COMPUTED_VALUE"""),"107158")</f>
        <v>107158</v>
      </c>
      <c r="B2831" s="5" t="str">
        <f ca="1">IFERROR(__xludf.DUMMYFUNCTION("""COMPUTED_VALUE"""),"الشرقية")</f>
        <v>الشرقية</v>
      </c>
      <c r="C2831" s="5" t="str">
        <f ca="1">IFERROR(__xludf.DUMMYFUNCTION("""COMPUTED_VALUE"""),"كفر صقر")</f>
        <v>كفر صقر</v>
      </c>
      <c r="D2831" s="5" t="str">
        <f ca="1">IFERROR(__xludf.DUMMYFUNCTION("""COMPUTED_VALUE"""),"هيئة الأطباء")</f>
        <v>هيئة الأطباء</v>
      </c>
      <c r="E2831" s="5" t="str">
        <f ca="1">IFERROR(__xludf.DUMMYFUNCTION("""COMPUTED_VALUE"""),"اسنان")</f>
        <v>اسنان</v>
      </c>
      <c r="F2831" s="5" t="str">
        <f ca="1">IFERROR(__xludf.DUMMYFUNCTION("""COMPUTED_VALUE"""),"جراحة الفم والأسنان")</f>
        <v>جراحة الفم والأسنان</v>
      </c>
      <c r="G2831" s="5" t="str">
        <f ca="1">IFERROR(__xludf.DUMMYFUNCTION("""COMPUTED_VALUE"""),"د. ضحي محمد عبد الغني السيد أبو ديب")</f>
        <v>د. ضحي محمد عبد الغني السيد أبو ديب</v>
      </c>
      <c r="H2831" s="5" t="str">
        <f ca="1">IFERROR(__xludf.DUMMYFUNCTION("""COMPUTED_VALUE"""),"48 ش البحر - الطريق العام - أولاد صقر - الشرقية")</f>
        <v>48 ش البحر - الطريق العام - أولاد صقر - الشرقية</v>
      </c>
      <c r="I2831" s="6" t="str">
        <f ca="1">IFERROR(__xludf.DUMMYFUNCTION("""COMPUTED_VALUE"""),"01090233854")</f>
        <v>01090233854</v>
      </c>
      <c r="J2831" s="6"/>
      <c r="K2831" s="6" t="str">
        <f ca="1">IFERROR(__xludf.DUMMYFUNCTION("""COMPUTED_VALUE"""),"خصم 30%علي الأسعار النقدي المعلنة")</f>
        <v>خصم 30%علي الأسعار النقدي المعلنة</v>
      </c>
    </row>
    <row r="2832" spans="1:11" x14ac:dyDescent="0.25">
      <c r="A2832" s="4" t="str">
        <f ca="1">IFERROR(__xludf.DUMMYFUNCTION("""COMPUTED_VALUE"""),"107159")</f>
        <v>107159</v>
      </c>
      <c r="B2832" s="5" t="str">
        <f ca="1">IFERROR(__xludf.DUMMYFUNCTION("""COMPUTED_VALUE"""),"قنا")</f>
        <v>قنا</v>
      </c>
      <c r="C2832" s="5" t="str">
        <f ca="1">IFERROR(__xludf.DUMMYFUNCTION("""COMPUTED_VALUE"""),"قنا")</f>
        <v>قنا</v>
      </c>
      <c r="D2832" s="5" t="str">
        <f ca="1">IFERROR(__xludf.DUMMYFUNCTION("""COMPUTED_VALUE"""),"هيئة الأطباء")</f>
        <v>هيئة الأطباء</v>
      </c>
      <c r="E2832" s="5" t="str">
        <f ca="1">IFERROR(__xludf.DUMMYFUNCTION("""COMPUTED_VALUE"""),"اسنان")</f>
        <v>اسنان</v>
      </c>
      <c r="F2832" s="5" t="str">
        <f ca="1">IFERROR(__xludf.DUMMYFUNCTION("""COMPUTED_VALUE"""),"جراحة الفم والأسنان")</f>
        <v>جراحة الفم والأسنان</v>
      </c>
      <c r="G2832" s="5" t="str">
        <f ca="1">IFERROR(__xludf.DUMMYFUNCTION("""COMPUTED_VALUE"""),"د. مايكل عياد صبري حبيب")</f>
        <v>د. مايكل عياد صبري حبيب</v>
      </c>
      <c r="H2832" s="5" t="str">
        <f ca="1">IFERROR(__xludf.DUMMYFUNCTION("""COMPUTED_VALUE"""),"قنا شارع الجميل سوق الصاغه خلف بيانكو")</f>
        <v>قنا شارع الجميل سوق الصاغه خلف بيانكو</v>
      </c>
      <c r="I2832" s="6" t="str">
        <f ca="1">IFERROR(__xludf.DUMMYFUNCTION("""COMPUTED_VALUE"""),"01287718051")</f>
        <v>01287718051</v>
      </c>
      <c r="J2832" s="6"/>
      <c r="K2832" s="6" t="str">
        <f ca="1">IFERROR(__xludf.DUMMYFUNCTION("""COMPUTED_VALUE"""),"خصم 30%علي الأسعار النقدي المعلنة")</f>
        <v>خصم 30%علي الأسعار النقدي المعلنة</v>
      </c>
    </row>
    <row r="2833" spans="1:11" x14ac:dyDescent="0.25">
      <c r="A2833" s="4" t="str">
        <f ca="1">IFERROR(__xludf.DUMMYFUNCTION("""COMPUTED_VALUE"""),"107159-B")</f>
        <v>107159-B</v>
      </c>
      <c r="B2833" s="5" t="str">
        <f ca="1">IFERROR(__xludf.DUMMYFUNCTION("""COMPUTED_VALUE"""),"المنيا")</f>
        <v>المنيا</v>
      </c>
      <c r="C2833" s="5" t="str">
        <f ca="1">IFERROR(__xludf.DUMMYFUNCTION("""COMPUTED_VALUE"""),"ملوي")</f>
        <v>ملوي</v>
      </c>
      <c r="D2833" s="5" t="str">
        <f ca="1">IFERROR(__xludf.DUMMYFUNCTION("""COMPUTED_VALUE"""),"هيئة الأطباء")</f>
        <v>هيئة الأطباء</v>
      </c>
      <c r="E2833" s="5" t="str">
        <f ca="1">IFERROR(__xludf.DUMMYFUNCTION("""COMPUTED_VALUE"""),"اسنان")</f>
        <v>اسنان</v>
      </c>
      <c r="F2833" s="5" t="str">
        <f ca="1">IFERROR(__xludf.DUMMYFUNCTION("""COMPUTED_VALUE"""),"جراحة الفم والأسنان")</f>
        <v>جراحة الفم والأسنان</v>
      </c>
      <c r="G2833" s="5" t="str">
        <f ca="1">IFERROR(__xludf.DUMMYFUNCTION("""COMPUTED_VALUE"""),"د. مايكل عياد صبري حبيب")</f>
        <v>د. مايكل عياد صبري حبيب</v>
      </c>
      <c r="H2833" s="5" t="str">
        <f ca="1">IFERROR(__xludf.DUMMYFUNCTION("""COMPUTED_VALUE"""),"المنيا ملوي 14 شارع الجلاء امام المصريه للصرافه")</f>
        <v>المنيا ملوي 14 شارع الجلاء امام المصريه للصرافه</v>
      </c>
      <c r="I2833" s="6" t="str">
        <f ca="1">IFERROR(__xludf.DUMMYFUNCTION("""COMPUTED_VALUE"""),"01287718051")</f>
        <v>01287718051</v>
      </c>
      <c r="J2833" s="6"/>
      <c r="K2833" s="6" t="str">
        <f ca="1">IFERROR(__xludf.DUMMYFUNCTION("""COMPUTED_VALUE"""),"خصم 30%علي الأسعار النقدي المعلنة")</f>
        <v>خصم 30%علي الأسعار النقدي المعلنة</v>
      </c>
    </row>
    <row r="2834" spans="1:11" x14ac:dyDescent="0.25">
      <c r="A2834" s="4" t="str">
        <f ca="1">IFERROR(__xludf.DUMMYFUNCTION("""COMPUTED_VALUE"""),"107160")</f>
        <v>107160</v>
      </c>
      <c r="B2834" s="5" t="str">
        <f ca="1">IFERROR(__xludf.DUMMYFUNCTION("""COMPUTED_VALUE"""),"القليوبية")</f>
        <v>القليوبية</v>
      </c>
      <c r="C2834" s="5" t="str">
        <f ca="1">IFERROR(__xludf.DUMMYFUNCTION("""COMPUTED_VALUE"""),"شبين القناطر")</f>
        <v>شبين القناطر</v>
      </c>
      <c r="D2834" s="5" t="str">
        <f ca="1">IFERROR(__xludf.DUMMYFUNCTION("""COMPUTED_VALUE"""),"هيئة الأطباء")</f>
        <v>هيئة الأطباء</v>
      </c>
      <c r="E2834" s="5" t="str">
        <f ca="1">IFERROR(__xludf.DUMMYFUNCTION("""COMPUTED_VALUE"""),"اسنان")</f>
        <v>اسنان</v>
      </c>
      <c r="F2834" s="5" t="str">
        <f ca="1">IFERROR(__xludf.DUMMYFUNCTION("""COMPUTED_VALUE"""),"جراحة الفم والأسنان")</f>
        <v>جراحة الفم والأسنان</v>
      </c>
      <c r="G2834" s="5" t="str">
        <f ca="1">IFERROR(__xludf.DUMMYFUNCTION("""COMPUTED_VALUE"""),"د/ كريم محمد عبدالسلام عطيه حسنين (د. كريم عياد)")</f>
        <v>د/ كريم محمد عبدالسلام عطيه حسنين (د. كريم عياد)</v>
      </c>
      <c r="H2834" s="5" t="str">
        <f ca="1">IFERROR(__xludf.DUMMYFUNCTION("""COMPUTED_VALUE"""),"ش المحطة نوب طحا - شبين القناطر - القليوبية")</f>
        <v>ش المحطة نوب طحا - شبين القناطر - القليوبية</v>
      </c>
      <c r="I2834" s="6" t="str">
        <f ca="1">IFERROR(__xludf.DUMMYFUNCTION("""COMPUTED_VALUE"""),"01063065507")</f>
        <v>01063065507</v>
      </c>
      <c r="J2834" s="6"/>
      <c r="K2834" s="6" t="str">
        <f ca="1">IFERROR(__xludf.DUMMYFUNCTION("""COMPUTED_VALUE"""),"خصم 30%علي الأسعار النقدي المعلنة")</f>
        <v>خصم 30%علي الأسعار النقدي المعلنة</v>
      </c>
    </row>
    <row r="2835" spans="1:11" x14ac:dyDescent="0.25">
      <c r="A2835" s="4" t="str">
        <f ca="1">IFERROR(__xludf.DUMMYFUNCTION("""COMPUTED_VALUE"""),"107161")</f>
        <v>107161</v>
      </c>
      <c r="B2835" s="5" t="str">
        <f ca="1">IFERROR(__xludf.DUMMYFUNCTION("""COMPUTED_VALUE"""),"الإسماعيلية")</f>
        <v>الإسماعيلية</v>
      </c>
      <c r="C2835" s="5" t="str">
        <f ca="1">IFERROR(__xludf.DUMMYFUNCTION("""COMPUTED_VALUE"""),"الإسماعيلية")</f>
        <v>الإسماعيلية</v>
      </c>
      <c r="D2835" s="5" t="str">
        <f ca="1">IFERROR(__xludf.DUMMYFUNCTION("""COMPUTED_VALUE"""),"هيئة الأطباء")</f>
        <v>هيئة الأطباء</v>
      </c>
      <c r="E2835" s="5" t="str">
        <f ca="1">IFERROR(__xludf.DUMMYFUNCTION("""COMPUTED_VALUE"""),"جلدية وتناسلية")</f>
        <v>جلدية وتناسلية</v>
      </c>
      <c r="F2835" s="5" t="str">
        <f ca="1">IFERROR(__xludf.DUMMYFUNCTION("""COMPUTED_VALUE"""),"جلدية وتناسلية")</f>
        <v>جلدية وتناسلية</v>
      </c>
      <c r="G2835" s="5" t="str">
        <f ca="1">IFERROR(__xludf.DUMMYFUNCTION("""COMPUTED_VALUE"""),"د. صفاء عيسي سعد عيسي")</f>
        <v>د. صفاء عيسي سعد عيسي</v>
      </c>
      <c r="H2835" s="5" t="str">
        <f ca="1">IFERROR(__xludf.DUMMYFUNCTION("""COMPUTED_VALUE"""),"شقة 7 الدور الرابع - عقار رقم 11 - شارع شبين الكوم - الاسماعيلية")</f>
        <v>شقة 7 الدور الرابع - عقار رقم 11 - شارع شبين الكوم - الاسماعيلية</v>
      </c>
      <c r="I2835" s="6" t="str">
        <f ca="1">IFERROR(__xludf.DUMMYFUNCTION("""COMPUTED_VALUE"""),"0643119828")</f>
        <v>0643119828</v>
      </c>
      <c r="J2835" s="6"/>
      <c r="K2835" s="6" t="str">
        <f ca="1">IFERROR(__xludf.DUMMYFUNCTION("""COMPUTED_VALUE"""),"خصم 30%علي الأسعار النقدي المعلنة")</f>
        <v>خصم 30%علي الأسعار النقدي المعلنة</v>
      </c>
    </row>
    <row r="2836" spans="1:11" x14ac:dyDescent="0.25">
      <c r="A2836" s="4" t="str">
        <f ca="1">IFERROR(__xludf.DUMMYFUNCTION("""COMPUTED_VALUE"""),"107161-B")</f>
        <v>107161-B</v>
      </c>
      <c r="B2836" s="5" t="str">
        <f ca="1">IFERROR(__xludf.DUMMYFUNCTION("""COMPUTED_VALUE"""),"الإسماعيلية")</f>
        <v>الإسماعيلية</v>
      </c>
      <c r="C2836" s="5" t="str">
        <f ca="1">IFERROR(__xludf.DUMMYFUNCTION("""COMPUTED_VALUE"""),"القنطرة")</f>
        <v>القنطرة</v>
      </c>
      <c r="D2836" s="5" t="str">
        <f ca="1">IFERROR(__xludf.DUMMYFUNCTION("""COMPUTED_VALUE"""),"هيئة الأطباء")</f>
        <v>هيئة الأطباء</v>
      </c>
      <c r="E2836" s="5" t="str">
        <f ca="1">IFERROR(__xludf.DUMMYFUNCTION("""COMPUTED_VALUE"""),"جلدية وتناسلية")</f>
        <v>جلدية وتناسلية</v>
      </c>
      <c r="F2836" s="5" t="str">
        <f ca="1">IFERROR(__xludf.DUMMYFUNCTION("""COMPUTED_VALUE"""),"جلدية وتناسلية")</f>
        <v>جلدية وتناسلية</v>
      </c>
      <c r="G2836" s="5" t="str">
        <f ca="1">IFERROR(__xludf.DUMMYFUNCTION("""COMPUTED_VALUE"""),"د. صفاء عيسي سعد عيسي")</f>
        <v>د. صفاء عيسي سعد عيسي</v>
      </c>
      <c r="H2836" s="5" t="str">
        <f ca="1">IFERROR(__xludf.DUMMYFUNCTION("""COMPUTED_VALUE"""),"القنطرة غرب شارع الجيش بجوار بنك مصر اعلى معمل المختبر الدور الثالث")</f>
        <v>القنطرة غرب شارع الجيش بجوار بنك مصر اعلى معمل المختبر الدور الثالث</v>
      </c>
      <c r="I2836" s="6" t="str">
        <f ca="1">IFERROR(__xludf.DUMMYFUNCTION("""COMPUTED_VALUE"""),"0643119828")</f>
        <v>0643119828</v>
      </c>
      <c r="J2836" s="6"/>
      <c r="K2836" s="6" t="str">
        <f ca="1">IFERROR(__xludf.DUMMYFUNCTION("""COMPUTED_VALUE"""),"خصم 30%علي الأسعار النقدي المعلنة")</f>
        <v>خصم 30%علي الأسعار النقدي المعلنة</v>
      </c>
    </row>
    <row r="2837" spans="1:11" x14ac:dyDescent="0.25">
      <c r="A2837" s="4" t="str">
        <f ca="1">IFERROR(__xludf.DUMMYFUNCTION("""COMPUTED_VALUE"""),"107162")</f>
        <v>107162</v>
      </c>
      <c r="B2837" s="5" t="str">
        <f ca="1">IFERROR(__xludf.DUMMYFUNCTION("""COMPUTED_VALUE"""),"الإسماعيلية")</f>
        <v>الإسماعيلية</v>
      </c>
      <c r="C2837" s="5" t="str">
        <f ca="1">IFERROR(__xludf.DUMMYFUNCTION("""COMPUTED_VALUE"""),"القنطرة")</f>
        <v>القنطرة</v>
      </c>
      <c r="D2837" s="5" t="str">
        <f ca="1">IFERROR(__xludf.DUMMYFUNCTION("""COMPUTED_VALUE"""),"مركز علاج طبيعي")</f>
        <v>مركز علاج طبيعي</v>
      </c>
      <c r="E2837" s="5" t="str">
        <f ca="1">IFERROR(__xludf.DUMMYFUNCTION("""COMPUTED_VALUE"""),"علاج طبيعي")</f>
        <v>علاج طبيعي</v>
      </c>
      <c r="F2837" s="5" t="str">
        <f ca="1">IFERROR(__xludf.DUMMYFUNCTION("""COMPUTED_VALUE"""),"جلسات العلاج الطبيعي")</f>
        <v>جلسات العلاج الطبيعي</v>
      </c>
      <c r="G2837" s="5" t="str">
        <f ca="1">IFERROR(__xludf.DUMMYFUNCTION("""COMPUTED_VALUE"""),"احمد السيد السيد السيد (مركز الحياة للعلاج الطبيعي)")</f>
        <v>احمد السيد السيد السيد (مركز الحياة للعلاج الطبيعي)</v>
      </c>
      <c r="H2837" s="5" t="str">
        <f ca="1">IFERROR(__xludf.DUMMYFUNCTION("""COMPUTED_VALUE""")," اسطنبول متفرع من ش التحرير خلف بنك مصر - قنطرة غرب - الاسماعيلية")</f>
        <v xml:space="preserve"> اسطنبول متفرع من ش التحرير خلف بنك مصر - قنطرة غرب - الاسماعيلية</v>
      </c>
      <c r="I2837" s="6" t="str">
        <f ca="1">IFERROR(__xludf.DUMMYFUNCTION("""COMPUTED_VALUE"""),"01012260123")</f>
        <v>01012260123</v>
      </c>
      <c r="J2837" s="6"/>
      <c r="K2837" s="6" t="str">
        <f ca="1">IFERROR(__xludf.DUMMYFUNCTION("""COMPUTED_VALUE"""),"خصم 30%علي الأسعار النقدي المعلنة")</f>
        <v>خصم 30%علي الأسعار النقدي المعلنة</v>
      </c>
    </row>
    <row r="2838" spans="1:11" x14ac:dyDescent="0.25">
      <c r="A2838" s="4" t="str">
        <f ca="1">IFERROR(__xludf.DUMMYFUNCTION("""COMPUTED_VALUE"""),"107162-B")</f>
        <v>107162-B</v>
      </c>
      <c r="B2838" s="5" t="str">
        <f ca="1">IFERROR(__xludf.DUMMYFUNCTION("""COMPUTED_VALUE"""),"الإسماعيلية")</f>
        <v>الإسماعيلية</v>
      </c>
      <c r="C2838" s="5" t="str">
        <f ca="1">IFERROR(__xludf.DUMMYFUNCTION("""COMPUTED_VALUE"""),"الإسماعيلية")</f>
        <v>الإسماعيلية</v>
      </c>
      <c r="D2838" s="5" t="str">
        <f ca="1">IFERROR(__xludf.DUMMYFUNCTION("""COMPUTED_VALUE"""),"مركز علاج طبيعي")</f>
        <v>مركز علاج طبيعي</v>
      </c>
      <c r="E2838" s="5" t="str">
        <f ca="1">IFERROR(__xludf.DUMMYFUNCTION("""COMPUTED_VALUE"""),"علاج طبيعي")</f>
        <v>علاج طبيعي</v>
      </c>
      <c r="F2838" s="5" t="str">
        <f ca="1">IFERROR(__xludf.DUMMYFUNCTION("""COMPUTED_VALUE"""),"جلسات العلاج الطبيعي")</f>
        <v>جلسات العلاج الطبيعي</v>
      </c>
      <c r="G2838" s="5" t="str">
        <f ca="1">IFERROR(__xludf.DUMMYFUNCTION("""COMPUTED_VALUE"""),"احمد السيد السيد السيد (مركز الحياة للعلاج الطبيعي)")</f>
        <v>احمد السيد السيد السيد (مركز الحياة للعلاج الطبيعي)</v>
      </c>
      <c r="H2838" s="5" t="str">
        <f ca="1">IFERROR(__xludf.DUMMYFUNCTION("""COMPUTED_VALUE"""),"دوران رضا اول يمين خلف عمارة الضرائب")</f>
        <v>دوران رضا اول يمين خلف عمارة الضرائب</v>
      </c>
      <c r="I2838" s="6" t="str">
        <f ca="1">IFERROR(__xludf.DUMMYFUNCTION("""COMPUTED_VALUE"""),"01012260123")</f>
        <v>01012260123</v>
      </c>
      <c r="J2838" s="6"/>
      <c r="K2838" s="6" t="str">
        <f ca="1">IFERROR(__xludf.DUMMYFUNCTION("""COMPUTED_VALUE"""),"خصم 30%علي الأسعار النقدي المعلنة")</f>
        <v>خصم 30%علي الأسعار النقدي المعلنة</v>
      </c>
    </row>
    <row r="2839" spans="1:11" x14ac:dyDescent="0.25">
      <c r="A2839" s="4" t="str">
        <f ca="1">IFERROR(__xludf.DUMMYFUNCTION("""COMPUTED_VALUE"""),"107162-B")</f>
        <v>107162-B</v>
      </c>
      <c r="B2839" s="5" t="str">
        <f ca="1">IFERROR(__xludf.DUMMYFUNCTION("""COMPUTED_VALUE"""),"السويس")</f>
        <v>السويس</v>
      </c>
      <c r="C2839" s="5" t="str">
        <f ca="1">IFERROR(__xludf.DUMMYFUNCTION("""COMPUTED_VALUE"""),"السويس")</f>
        <v>السويس</v>
      </c>
      <c r="D2839" s="5" t="str">
        <f ca="1">IFERROR(__xludf.DUMMYFUNCTION("""COMPUTED_VALUE"""),"مركز علاج طبيعي")</f>
        <v>مركز علاج طبيعي</v>
      </c>
      <c r="E2839" s="5" t="str">
        <f ca="1">IFERROR(__xludf.DUMMYFUNCTION("""COMPUTED_VALUE"""),"علاج طبيعي")</f>
        <v>علاج طبيعي</v>
      </c>
      <c r="F2839" s="5" t="str">
        <f ca="1">IFERROR(__xludf.DUMMYFUNCTION("""COMPUTED_VALUE"""),"جلسات العلاج الطبيعي")</f>
        <v>جلسات العلاج الطبيعي</v>
      </c>
      <c r="G2839" s="5" t="str">
        <f ca="1">IFERROR(__xludf.DUMMYFUNCTION("""COMPUTED_VALUE"""),"احمد السيد السيد السيد (مركز الحياة للعلاج الطبيعي)")</f>
        <v>احمد السيد السيد السيد (مركز الحياة للعلاج الطبيعي)</v>
      </c>
      <c r="H2839" s="5" t="str">
        <f ca="1">IFERROR(__xludf.DUMMYFUNCTION("""COMPUTED_VALUE"""),"الملاحة بجوار محلات النصر للملابس الرياضية امام صيدلية علي عثمان")</f>
        <v>الملاحة بجوار محلات النصر للملابس الرياضية امام صيدلية علي عثمان</v>
      </c>
      <c r="I2839" s="6" t="str">
        <f ca="1">IFERROR(__xludf.DUMMYFUNCTION("""COMPUTED_VALUE"""),"01012260123")</f>
        <v>01012260123</v>
      </c>
      <c r="J2839" s="6"/>
      <c r="K2839" s="6" t="str">
        <f ca="1">IFERROR(__xludf.DUMMYFUNCTION("""COMPUTED_VALUE"""),"خصم 30%علي الأسعار النقدي المعلنة")</f>
        <v>خصم 30%علي الأسعار النقدي المعلنة</v>
      </c>
    </row>
    <row r="2840" spans="1:11" x14ac:dyDescent="0.25">
      <c r="A2840" s="4" t="str">
        <f ca="1">IFERROR(__xludf.DUMMYFUNCTION("""COMPUTED_VALUE"""),"107163")</f>
        <v>107163</v>
      </c>
      <c r="B2840" s="5" t="str">
        <f ca="1">IFERROR(__xludf.DUMMYFUNCTION("""COMPUTED_VALUE"""),"كفر الشيخ")</f>
        <v>كفر الشيخ</v>
      </c>
      <c r="C2840" s="5" t="str">
        <f ca="1">IFERROR(__xludf.DUMMYFUNCTION("""COMPUTED_VALUE"""),"كفر الشيخ")</f>
        <v>كفر الشيخ</v>
      </c>
      <c r="D2840" s="5" t="str">
        <f ca="1">IFERROR(__xludf.DUMMYFUNCTION("""COMPUTED_VALUE"""),"مركز علاج طبيعي")</f>
        <v>مركز علاج طبيعي</v>
      </c>
      <c r="E2840" s="5" t="str">
        <f ca="1">IFERROR(__xludf.DUMMYFUNCTION("""COMPUTED_VALUE"""),"علاج طبيعي")</f>
        <v>علاج طبيعي</v>
      </c>
      <c r="F2840" s="5" t="str">
        <f ca="1">IFERROR(__xludf.DUMMYFUNCTION("""COMPUTED_VALUE"""),"جلسات العلاج الطبيعي")</f>
        <v>جلسات العلاج الطبيعي</v>
      </c>
      <c r="G2840" s="5" t="str">
        <f ca="1">IFERROR(__xludf.DUMMYFUNCTION("""COMPUTED_VALUE"""),"أحمد مكرم حسن علي شاهين (مركز رعاية للعلاج الطبيعي)")</f>
        <v>أحمد مكرم حسن علي شاهين (مركز رعاية للعلاج الطبيعي)</v>
      </c>
      <c r="H2840" s="5" t="str">
        <f ca="1">IFERROR(__xludf.DUMMYFUNCTION("""COMPUTED_VALUE"""),"38 شارع الجمهورية - كفرالشيخ")</f>
        <v>38 شارع الجمهورية - كفرالشيخ</v>
      </c>
      <c r="I2840" s="6" t="str">
        <f ca="1">IFERROR(__xludf.DUMMYFUNCTION("""COMPUTED_VALUE"""),"01023060101")</f>
        <v>01023060101</v>
      </c>
      <c r="J2840" s="6"/>
      <c r="K2840" s="6" t="str">
        <f ca="1">IFERROR(__xludf.DUMMYFUNCTION("""COMPUTED_VALUE"""),"خصم 30%علي الأسعار النقدي المعلنة")</f>
        <v>خصم 30%علي الأسعار النقدي المعلنة</v>
      </c>
    </row>
    <row r="2841" spans="1:11" x14ac:dyDescent="0.25">
      <c r="A2841" s="4" t="str">
        <f ca="1">IFERROR(__xludf.DUMMYFUNCTION("""COMPUTED_VALUE"""),"107164")</f>
        <v>107164</v>
      </c>
      <c r="B2841" s="5" t="str">
        <f ca="1">IFERROR(__xludf.DUMMYFUNCTION("""COMPUTED_VALUE"""),"القليوبية")</f>
        <v>القليوبية</v>
      </c>
      <c r="C2841" s="5" t="str">
        <f ca="1">IFERROR(__xludf.DUMMYFUNCTION("""COMPUTED_VALUE"""),"طوخ")</f>
        <v>طوخ</v>
      </c>
      <c r="D2841" s="5" t="str">
        <f ca="1">IFERROR(__xludf.DUMMYFUNCTION("""COMPUTED_VALUE"""),"مركز علاج طبيعي")</f>
        <v>مركز علاج طبيعي</v>
      </c>
      <c r="E2841" s="5" t="str">
        <f ca="1">IFERROR(__xludf.DUMMYFUNCTION("""COMPUTED_VALUE"""),"علاج طبيعي")</f>
        <v>علاج طبيعي</v>
      </c>
      <c r="F2841" s="5" t="str">
        <f ca="1">IFERROR(__xludf.DUMMYFUNCTION("""COMPUTED_VALUE"""),"جلسات العلاج الطبيعي")</f>
        <v>جلسات العلاج الطبيعي</v>
      </c>
      <c r="G2841" s="5" t="str">
        <f ca="1">IFERROR(__xludf.DUMMYFUNCTION("""COMPUTED_VALUE"""),"وليد محمد صلاح عبدالحي أبو الخير (مركز الأول للعلاج الطبيعي)")</f>
        <v>وليد محمد صلاح عبدالحي أبو الخير (مركز الأول للعلاج الطبيعي)</v>
      </c>
      <c r="H2841" s="5" t="str">
        <f ca="1">IFERROR(__xludf.DUMMYFUNCTION("""COMPUTED_VALUE"""),"اجهور الكبري - مركز طوخ - قليوبية")</f>
        <v>اجهور الكبري - مركز طوخ - قليوبية</v>
      </c>
      <c r="I2841" s="6" t="str">
        <f ca="1">IFERROR(__xludf.DUMMYFUNCTION("""COMPUTED_VALUE"""),"01153223641")</f>
        <v>01153223641</v>
      </c>
      <c r="J2841" s="6"/>
      <c r="K2841" s="6" t="str">
        <f ca="1">IFERROR(__xludf.DUMMYFUNCTION("""COMPUTED_VALUE"""),"خصم 30%علي الأسعار النقدي المعلنة")</f>
        <v>خصم 30%علي الأسعار النقدي المعلنة</v>
      </c>
    </row>
    <row r="2842" spans="1:11" x14ac:dyDescent="0.25">
      <c r="A2842" s="4" t="str">
        <f ca="1">IFERROR(__xludf.DUMMYFUNCTION("""COMPUTED_VALUE"""),"107165")</f>
        <v>107165</v>
      </c>
      <c r="B2842" s="5" t="str">
        <f ca="1">IFERROR(__xludf.DUMMYFUNCTION("""COMPUTED_VALUE"""),"الغربية")</f>
        <v>الغربية</v>
      </c>
      <c r="C2842" s="5" t="str">
        <f ca="1">IFERROR(__xludf.DUMMYFUNCTION("""COMPUTED_VALUE"""),"طنطا")</f>
        <v>طنطا</v>
      </c>
      <c r="D2842" s="5" t="str">
        <f ca="1">IFERROR(__xludf.DUMMYFUNCTION("""COMPUTED_VALUE"""),"مستشفى")</f>
        <v>مستشفى</v>
      </c>
      <c r="E2842" s="5" t="str">
        <f ca="1">IFERROR(__xludf.DUMMYFUNCTION("""COMPUTED_VALUE"""),"مستشفي طبي متخصص")</f>
        <v>مستشفي طبي متخصص</v>
      </c>
      <c r="F2842" s="5" t="str">
        <f ca="1">IFERROR(__xludf.DUMMYFUNCTION("""COMPUTED_VALUE"""),"مركز أورام")</f>
        <v>مركز أورام</v>
      </c>
      <c r="G2842" s="5" t="str">
        <f ca="1">IFERROR(__xludf.DUMMYFUNCTION("""COMPUTED_VALUE"""),"مركز جولد كيور الحديث لعلاج الاورام")</f>
        <v>مركز جولد كيور الحديث لعلاج الاورام</v>
      </c>
      <c r="H2842" s="5" t="str">
        <f ca="1">IFERROR(__xludf.DUMMYFUNCTION("""COMPUTED_VALUE"""),"62 شارع الجيش الدور الثالث علوي - طنطا - الغربية")</f>
        <v>62 شارع الجيش الدور الثالث علوي - طنطا - الغربية</v>
      </c>
      <c r="I2842" s="6" t="str">
        <f ca="1">IFERROR(__xludf.DUMMYFUNCTION("""COMPUTED_VALUE"""),"01097770507")</f>
        <v>01097770507</v>
      </c>
      <c r="J2842" s="6"/>
      <c r="K2842" s="6" t="str">
        <f ca="1">IFERROR(__xludf.DUMMYFUNCTION("""COMPUTED_VALUE"""),"خصم 30%علي الأسعار النقدي المعلنة")</f>
        <v>خصم 30%علي الأسعار النقدي المعلنة</v>
      </c>
    </row>
    <row r="2843" spans="1:11" x14ac:dyDescent="0.25">
      <c r="A2843" s="4" t="str">
        <f ca="1">IFERROR(__xludf.DUMMYFUNCTION("""COMPUTED_VALUE"""),"107166")</f>
        <v>107166</v>
      </c>
      <c r="B2843" s="5" t="str">
        <f ca="1">IFERROR(__xludf.DUMMYFUNCTION("""COMPUTED_VALUE"""),"الغربية")</f>
        <v>الغربية</v>
      </c>
      <c r="C2843" s="5" t="str">
        <f ca="1">IFERROR(__xludf.DUMMYFUNCTION("""COMPUTED_VALUE"""),"طنطا")</f>
        <v>طنطا</v>
      </c>
      <c r="D2843" s="5" t="str">
        <f ca="1">IFERROR(__xludf.DUMMYFUNCTION("""COMPUTED_VALUE"""),"مستشفى")</f>
        <v>مستشفى</v>
      </c>
      <c r="E2843" s="5" t="str">
        <f ca="1">IFERROR(__xludf.DUMMYFUNCTION("""COMPUTED_VALUE"""),"مستشفي طبي متخصص")</f>
        <v>مستشفي طبي متخصص</v>
      </c>
      <c r="F2843" s="5" t="str">
        <f ca="1">IFERROR(__xludf.DUMMYFUNCTION("""COMPUTED_VALUE"""),"قلب واوعية دموية")</f>
        <v>قلب واوعية دموية</v>
      </c>
      <c r="G2843" s="5" t="str">
        <f ca="1">IFERROR(__xludf.DUMMYFUNCTION("""COMPUTED_VALUE"""),"مركز قلب الشروق للقلب و القسطرة")</f>
        <v>مركز قلب الشروق للقلب و القسطرة</v>
      </c>
      <c r="H2843" s="5" t="str">
        <f ca="1">IFERROR(__xludf.DUMMYFUNCTION("""COMPUTED_VALUE"""),"ش علي بك الكبير من  الحلو - اسفل مستفي الشروق - طنطا- الغربية")</f>
        <v>ش علي بك الكبير من  الحلو - اسفل مستفي الشروق - طنطا- الغربية</v>
      </c>
      <c r="I2843" s="6" t="str">
        <f ca="1">IFERROR(__xludf.DUMMYFUNCTION("""COMPUTED_VALUE"""),"01062656655")</f>
        <v>01062656655</v>
      </c>
      <c r="J2843" s="6"/>
      <c r="K2843" s="6" t="str">
        <f ca="1">IFERROR(__xludf.DUMMYFUNCTION("""COMPUTED_VALUE"""),"خصم 30%علي الأسعار النقدي المعلنة")</f>
        <v>خصم 30%علي الأسعار النقدي المعلنة</v>
      </c>
    </row>
    <row r="2844" spans="1:11" x14ac:dyDescent="0.25">
      <c r="A2844" s="4" t="str">
        <f ca="1">IFERROR(__xludf.DUMMYFUNCTION("""COMPUTED_VALUE"""),"2273-B")</f>
        <v>2273-B</v>
      </c>
      <c r="B2844" s="5" t="str">
        <f ca="1">IFERROR(__xludf.DUMMYFUNCTION("""COMPUTED_VALUE"""),"أسيوط")</f>
        <v>أسيوط</v>
      </c>
      <c r="C2844" s="5" t="str">
        <f ca="1">IFERROR(__xludf.DUMMYFUNCTION("""COMPUTED_VALUE"""),"أسيوط")</f>
        <v>أسيوط</v>
      </c>
      <c r="D2844" s="5" t="str">
        <f ca="1">IFERROR(__xludf.DUMMYFUNCTION("""COMPUTED_VALUE"""),"مركز أشعة")</f>
        <v>مركز أشعة</v>
      </c>
      <c r="E2844" s="5" t="str">
        <f ca="1">IFERROR(__xludf.DUMMYFUNCTION("""COMPUTED_VALUE"""),"مركز أشعة")</f>
        <v>مركز أشعة</v>
      </c>
      <c r="F2844" s="5" t="str">
        <f ca="1">IFERROR(__xludf.DUMMYFUNCTION("""COMPUTED_VALUE"""),"مركز الأشعة التشخيصية")</f>
        <v>مركز الأشعة التشخيصية</v>
      </c>
      <c r="G2844" s="5" t="str">
        <f ca="1">IFERROR(__xludf.DUMMYFUNCTION("""COMPUTED_VALUE"""),"تكنوسكان")</f>
        <v>تكنوسكان</v>
      </c>
      <c r="H2844" s="5" t="str">
        <f ca="1">IFERROR(__xludf.DUMMYFUNCTION("""COMPUTED_VALUE"""),"شارع سيتي الاول بجوار الجمعيه الشرعيه ")</f>
        <v xml:space="preserve">شارع سيتي الاول بجوار الجمعيه الشرعيه </v>
      </c>
      <c r="I2844" s="6"/>
      <c r="J2844" s="6" t="str">
        <f ca="1">IFERROR(__xludf.DUMMYFUNCTION("""COMPUTED_VALUE"""),"19989")</f>
        <v>19989</v>
      </c>
      <c r="K2844" s="6" t="str">
        <f ca="1">IFERROR(__xludf.DUMMYFUNCTION("""COMPUTED_VALUE"""),"29% على جميع الخدمات")</f>
        <v>29% على جميع الخدمات</v>
      </c>
    </row>
    <row r="2845" spans="1:11" x14ac:dyDescent="0.25">
      <c r="A2845" s="4" t="str">
        <f ca="1">IFERROR(__xludf.DUMMYFUNCTION("""COMPUTED_VALUE"""),"2273-B")</f>
        <v>2273-B</v>
      </c>
      <c r="B2845" s="5" t="str">
        <f ca="1">IFERROR(__xludf.DUMMYFUNCTION("""COMPUTED_VALUE"""),"القاهرة")</f>
        <v>القاهرة</v>
      </c>
      <c r="C2845" s="5" t="str">
        <f ca="1">IFERROR(__xludf.DUMMYFUNCTION("""COMPUTED_VALUE"""),"المقطم")</f>
        <v>المقطم</v>
      </c>
      <c r="D2845" s="5" t="str">
        <f ca="1">IFERROR(__xludf.DUMMYFUNCTION("""COMPUTED_VALUE"""),"مركز أشعة")</f>
        <v>مركز أشعة</v>
      </c>
      <c r="E2845" s="5" t="str">
        <f ca="1">IFERROR(__xludf.DUMMYFUNCTION("""COMPUTED_VALUE"""),"مركز أشعة")</f>
        <v>مركز أشعة</v>
      </c>
      <c r="F2845" s="5" t="str">
        <f ca="1">IFERROR(__xludf.DUMMYFUNCTION("""COMPUTED_VALUE"""),"مركز الأشعة التشخيصية")</f>
        <v>مركز الأشعة التشخيصية</v>
      </c>
      <c r="G2845" s="5" t="str">
        <f ca="1">IFERROR(__xludf.DUMMYFUNCTION("""COMPUTED_VALUE"""),"تكنوسكان")</f>
        <v>تكنوسكان</v>
      </c>
      <c r="H2845" s="5" t="str">
        <f ca="1">IFERROR(__xludf.DUMMYFUNCTION("""COMPUTED_VALUE"""),"420 ش 9 امام بنزينه توتال اعلى ساليه سوكريه")</f>
        <v>420 ش 9 امام بنزينه توتال اعلى ساليه سوكريه</v>
      </c>
      <c r="I2845" s="6"/>
      <c r="J2845" s="6" t="str">
        <f ca="1">IFERROR(__xludf.DUMMYFUNCTION("""COMPUTED_VALUE"""),"19989")</f>
        <v>19989</v>
      </c>
      <c r="K2845" s="6" t="str">
        <f ca="1">IFERROR(__xludf.DUMMYFUNCTION("""COMPUTED_VALUE"""),"29% على جميع الخدمات")</f>
        <v>29% على جميع الخدمات</v>
      </c>
    </row>
    <row r="2846" spans="1:11" x14ac:dyDescent="0.25">
      <c r="A2846" s="4" t="str">
        <f ca="1">IFERROR(__xludf.DUMMYFUNCTION("""COMPUTED_VALUE"""),"106213-B")</f>
        <v>106213-B</v>
      </c>
      <c r="B2846" s="5" t="str">
        <f ca="1">IFERROR(__xludf.DUMMYFUNCTION("""COMPUTED_VALUE"""),"الغربية")</f>
        <v>الغربية</v>
      </c>
      <c r="C2846" s="5" t="str">
        <f ca="1">IFERROR(__xludf.DUMMYFUNCTION("""COMPUTED_VALUE"""),"المحلة الكبرى")</f>
        <v>المحلة الكبرى</v>
      </c>
      <c r="D2846" s="5" t="str">
        <f ca="1">IFERROR(__xludf.DUMMYFUNCTION("""COMPUTED_VALUE"""),"مجمع عيادات")</f>
        <v>مجمع عيادات</v>
      </c>
      <c r="E2846" s="5" t="str">
        <f ca="1">IFERROR(__xludf.DUMMYFUNCTION("""COMPUTED_VALUE"""),"جميع التخصصات")</f>
        <v>جميع التخصصات</v>
      </c>
      <c r="F2846" s="5" t="str">
        <f ca="1">IFERROR(__xludf.DUMMYFUNCTION("""COMPUTED_VALUE"""),"جميع التخصصات الطبية")</f>
        <v>جميع التخصصات الطبية</v>
      </c>
      <c r="G2846" s="5" t="str">
        <f ca="1">IFERROR(__xludf.DUMMYFUNCTION("""COMPUTED_VALUE"""),"شركة داوي لتجهيز المنشات الطبية")</f>
        <v>شركة داوي لتجهيز المنشات الطبية</v>
      </c>
      <c r="H2846" s="5" t="str">
        <f ca="1">IFERROR(__xludf.DUMMYFUNCTION("""COMPUTED_VALUE"""),"٣ شارع ٢٣ يوليو - أعلى بنك سكندرية فرع المحلة الكبرى- الدور اول علوى - المحلة الكبرى")</f>
        <v>٣ شارع ٢٣ يوليو - أعلى بنك سكندرية فرع المحلة الكبرى- الدور اول علوى - المحلة الكبرى</v>
      </c>
      <c r="I2846" s="6"/>
      <c r="J2846" s="6" t="str">
        <f ca="1">IFERROR(__xludf.DUMMYFUNCTION("""COMPUTED_VALUE"""),"16850")</f>
        <v>16850</v>
      </c>
      <c r="K2846" s="6" t="str">
        <f ca="1">IFERROR(__xludf.DUMMYFUNCTION("""COMPUTED_VALUE"""),"خصم 25% علي جميع الخدمات و20% علي خدمات الاسنان")</f>
        <v>خصم 25% علي جميع الخدمات و20% علي خدمات الاسنان</v>
      </c>
    </row>
    <row r="2847" spans="1:11" x14ac:dyDescent="0.25">
      <c r="A2847" s="4" t="str">
        <f ca="1">IFERROR(__xludf.DUMMYFUNCTION("""COMPUTED_VALUE"""),"106213-B")</f>
        <v>106213-B</v>
      </c>
      <c r="B2847" s="5" t="str">
        <f ca="1">IFERROR(__xludf.DUMMYFUNCTION("""COMPUTED_VALUE"""),"الجيزة")</f>
        <v>الجيزة</v>
      </c>
      <c r="C2847" s="5" t="str">
        <f ca="1">IFERROR(__xludf.DUMMYFUNCTION("""COMPUTED_VALUE"""),"الهرم")</f>
        <v>الهرم</v>
      </c>
      <c r="D2847" s="5" t="str">
        <f ca="1">IFERROR(__xludf.DUMMYFUNCTION("""COMPUTED_VALUE"""),"مجمع عيادات")</f>
        <v>مجمع عيادات</v>
      </c>
      <c r="E2847" s="5" t="str">
        <f ca="1">IFERROR(__xludf.DUMMYFUNCTION("""COMPUTED_VALUE"""),"جميع التخصصات")</f>
        <v>جميع التخصصات</v>
      </c>
      <c r="F2847" s="5" t="str">
        <f ca="1">IFERROR(__xludf.DUMMYFUNCTION("""COMPUTED_VALUE"""),"جميع التخصصات الطبية")</f>
        <v>جميع التخصصات الطبية</v>
      </c>
      <c r="G2847" s="5" t="str">
        <f ca="1">IFERROR(__xludf.DUMMYFUNCTION("""COMPUTED_VALUE"""),"شركة داوي لتجهيز المنشات الطبية")</f>
        <v>شركة داوي لتجهيز المنشات الطبية</v>
      </c>
      <c r="H2847" s="5" t="str">
        <f ca="1">IFERROR(__xludf.DUMMYFUNCTION("""COMPUTED_VALUE"""),"2 شارع اللبيني - بجانب McDonalds والبنك الاهلي - الهرم")</f>
        <v>2 شارع اللبيني - بجانب McDonalds والبنك الاهلي - الهرم</v>
      </c>
      <c r="I2847" s="6"/>
      <c r="J2847" s="6" t="str">
        <f ca="1">IFERROR(__xludf.DUMMYFUNCTION("""COMPUTED_VALUE"""),"16850")</f>
        <v>16850</v>
      </c>
      <c r="K2847" s="6" t="str">
        <f ca="1">IFERROR(__xludf.DUMMYFUNCTION("""COMPUTED_VALUE"""),"خصم 25% علي جميع الخدمات و20% علي خدمات الاسنان")</f>
        <v>خصم 25% علي جميع الخدمات و20% علي خدمات الاسنان</v>
      </c>
    </row>
    <row r="2848" spans="1:11" x14ac:dyDescent="0.25">
      <c r="A2848" s="4" t="str">
        <f ca="1">IFERROR(__xludf.DUMMYFUNCTION("""COMPUTED_VALUE"""),"105426-B")</f>
        <v>105426-B</v>
      </c>
      <c r="B2848" s="5" t="str">
        <f ca="1">IFERROR(__xludf.DUMMYFUNCTION("""COMPUTED_VALUE"""),"الاسكندرية")</f>
        <v>الاسكندرية</v>
      </c>
      <c r="C2848" s="5" t="str">
        <f ca="1">IFERROR(__xludf.DUMMYFUNCTION("""COMPUTED_VALUE"""),"رشدي")</f>
        <v>رشدي</v>
      </c>
      <c r="D2848" s="5" t="str">
        <f ca="1">IFERROR(__xludf.DUMMYFUNCTION("""COMPUTED_VALUE"""),"هيئة الأطباء")</f>
        <v>هيئة الأطباء</v>
      </c>
      <c r="E2848" s="5" t="str">
        <f ca="1">IFERROR(__xludf.DUMMYFUNCTION("""COMPUTED_VALUE"""),"اسنان")</f>
        <v>اسنان</v>
      </c>
      <c r="F2848" s="5" t="str">
        <f ca="1">IFERROR(__xludf.DUMMYFUNCTION("""COMPUTED_VALUE"""),"جراحة الفم والأسنان")</f>
        <v>جراحة الفم والأسنان</v>
      </c>
      <c r="G2848" s="5" t="str">
        <f ca="1">IFERROR(__xludf.DUMMYFUNCTION("""COMPUTED_VALUE"""),"د/ عمرو سعد محمد محمد احمد فرج(لوران دنتال كير)")</f>
        <v>د/ عمرو سعد محمد محمد احمد فرج(لوران دنتال كير)</v>
      </c>
      <c r="H2848" s="5" t="str">
        <f ca="1">IFERROR(__xludf.DUMMYFUNCTION("""COMPUTED_VALUE"""),"33 تنظيم 17 شارع سوريا - رشدي ")</f>
        <v xml:space="preserve">33 تنظيم 17 شارع سوريا - رشدي </v>
      </c>
      <c r="I2848" s="6" t="str">
        <f ca="1">IFERROR(__xludf.DUMMYFUNCTION("""COMPUTED_VALUE"""),"035410263")</f>
        <v>035410263</v>
      </c>
      <c r="J2848" s="6" t="str">
        <f ca="1">IFERROR(__xludf.DUMMYFUNCTION("""COMPUTED_VALUE"""),"16752")</f>
        <v>16752</v>
      </c>
      <c r="K2848" s="6" t="str">
        <f ca="1">IFERROR(__xludf.DUMMYFUNCTION("""COMPUTED_VALUE"""),"50% علي الكشف , 25% علي التركيبات و 30% علي باقي الخدمات")</f>
        <v>50% علي الكشف , 25% علي التركيبات و 30% علي باقي الخدمات</v>
      </c>
    </row>
    <row r="2849" spans="1:11" x14ac:dyDescent="0.25">
      <c r="A2849" s="4" t="str">
        <f ca="1">IFERROR(__xludf.DUMMYFUNCTION("""COMPUTED_VALUE"""),"106420-B")</f>
        <v>106420-B</v>
      </c>
      <c r="B2849" s="5" t="str">
        <f ca="1">IFERROR(__xludf.DUMMYFUNCTION("""COMPUTED_VALUE"""),"القاهرة")</f>
        <v>القاهرة</v>
      </c>
      <c r="C2849" s="5" t="str">
        <f ca="1">IFERROR(__xludf.DUMMYFUNCTION("""COMPUTED_VALUE"""),"مصر الجديدة")</f>
        <v>مصر الجديدة</v>
      </c>
      <c r="D2849" s="5" t="str">
        <f ca="1">IFERROR(__xludf.DUMMYFUNCTION("""COMPUTED_VALUE"""),"هيئة الأطباء")</f>
        <v>هيئة الأطباء</v>
      </c>
      <c r="E2849" s="5" t="str">
        <f ca="1">IFERROR(__xludf.DUMMYFUNCTION("""COMPUTED_VALUE"""),"أنف وأذن وحنجرة")</f>
        <v>أنف وأذن وحنجرة</v>
      </c>
      <c r="F2849" s="5" t="str">
        <f ca="1">IFERROR(__xludf.DUMMYFUNCTION("""COMPUTED_VALUE"""),"أنف وأذن وحنجرة")</f>
        <v>أنف وأذن وحنجرة</v>
      </c>
      <c r="G2849" s="5" t="str">
        <f ca="1">IFERROR(__xludf.DUMMYFUNCTION("""COMPUTED_VALUE"""),"د/ مينا فايز وهيب صليب (د. مينا فايز)")</f>
        <v>د/ مينا فايز وهيب صليب (د. مينا فايز)</v>
      </c>
      <c r="H2849" s="5" t="str">
        <f ca="1">IFERROR(__xludf.DUMMYFUNCTION("""COMPUTED_VALUE"""),"٨٤ب ش عبد العزيز فهمي- هليوبوليس - مصر الجديدة")</f>
        <v>٨٤ب ش عبد العزيز فهمي- هليوبوليس - مصر الجديدة</v>
      </c>
      <c r="I2849" s="6" t="str">
        <f ca="1">IFERROR(__xludf.DUMMYFUNCTION("""COMPUTED_VALUE"""),"01221262631")</f>
        <v>01221262631</v>
      </c>
      <c r="J2849" s="6"/>
      <c r="K2849" s="6" t="str">
        <f ca="1">IFERROR(__xludf.DUMMYFUNCTION("""COMPUTED_VALUE"""),"خصم 40% علي اسعار النقدي المعلنة")</f>
        <v>خصم 40% علي اسعار النقدي المعلنة</v>
      </c>
    </row>
    <row r="2850" spans="1:11" x14ac:dyDescent="0.25">
      <c r="A2850" s="4" t="str">
        <f ca="1">IFERROR(__xludf.DUMMYFUNCTION("""COMPUTED_VALUE"""),"107168")</f>
        <v>107168</v>
      </c>
      <c r="B2850" s="5" t="str">
        <f ca="1">IFERROR(__xludf.DUMMYFUNCTION("""COMPUTED_VALUE"""),"الاسكندرية")</f>
        <v>الاسكندرية</v>
      </c>
      <c r="C2850" s="5" t="str">
        <f ca="1">IFERROR(__xludf.DUMMYFUNCTION("""COMPUTED_VALUE"""),"سموحة")</f>
        <v>سموحة</v>
      </c>
      <c r="D2850" s="5" t="str">
        <f ca="1">IFERROR(__xludf.DUMMYFUNCTION("""COMPUTED_VALUE"""),"مستشفى")</f>
        <v>مستشفى</v>
      </c>
      <c r="E2850" s="5" t="str">
        <f ca="1">IFERROR(__xludf.DUMMYFUNCTION("""COMPUTED_VALUE"""),"مستشفي طبي متخصص")</f>
        <v>مستشفي طبي متخصص</v>
      </c>
      <c r="F2850" s="5" t="str">
        <f ca="1">IFERROR(__xludf.DUMMYFUNCTION("""COMPUTED_VALUE"""),"جراحة أوعية دموية")</f>
        <v>جراحة أوعية دموية</v>
      </c>
      <c r="G2850" s="5" t="str">
        <f ca="1">IFERROR(__xludf.DUMMYFUNCTION("""COMPUTED_VALUE"""),"مستشفي الاوعيه الدمويه و القدم السكري (AVC)")</f>
        <v>مستشفي الاوعيه الدمويه و القدم السكري (AVC)</v>
      </c>
      <c r="H2850" s="5" t="str">
        <f ca="1">IFERROR(__xludf.DUMMYFUNCTION("""COMPUTED_VALUE"""),"امتداد ميدان 14 مايو مركز اسكندريه سموحه - اسكندرية")</f>
        <v>امتداد ميدان 14 مايو مركز اسكندريه سموحه - اسكندرية</v>
      </c>
      <c r="I2850" s="6" t="str">
        <f ca="1">IFERROR(__xludf.DUMMYFUNCTION("""COMPUTED_VALUE"""),"01122846666")</f>
        <v>01122846666</v>
      </c>
      <c r="J2850" s="6"/>
      <c r="K2850" s="6" t="str">
        <f ca="1">IFERROR(__xludf.DUMMYFUNCTION("""COMPUTED_VALUE"""),"خصم 30% علي اسعار النقدي المعلنة")</f>
        <v>خصم 30% علي اسعار النقدي المعلنة</v>
      </c>
    </row>
    <row r="2851" spans="1:11" x14ac:dyDescent="0.25">
      <c r="A2851" s="4" t="str">
        <f ca="1">IFERROR(__xludf.DUMMYFUNCTION("""COMPUTED_VALUE"""),"2110-B")</f>
        <v>2110-B</v>
      </c>
      <c r="B2851" s="5" t="str">
        <f ca="1">IFERROR(__xludf.DUMMYFUNCTION("""COMPUTED_VALUE"""),"القاهرة")</f>
        <v>القاهرة</v>
      </c>
      <c r="C2851" s="5" t="str">
        <f ca="1">IFERROR(__xludf.DUMMYFUNCTION("""COMPUTED_VALUE"""),"شبرا")</f>
        <v>شبرا</v>
      </c>
      <c r="D2851" s="5" t="str">
        <f ca="1">IFERROR(__xludf.DUMMYFUNCTION("""COMPUTED_VALUE"""),"هيئة الأطباء")</f>
        <v>هيئة الأطباء</v>
      </c>
      <c r="E2851" s="5" t="str">
        <f ca="1">IFERROR(__xludf.DUMMYFUNCTION("""COMPUTED_VALUE"""),"اسنان")</f>
        <v>اسنان</v>
      </c>
      <c r="F2851" s="5" t="str">
        <f ca="1">IFERROR(__xludf.DUMMYFUNCTION("""COMPUTED_VALUE"""),"جراحة الفم والأسنان")</f>
        <v>جراحة الفم والأسنان</v>
      </c>
      <c r="G2851" s="5" t="str">
        <f ca="1">IFERROR(__xludf.DUMMYFUNCTION("""COMPUTED_VALUE"""),"د/ محمد أمين")</f>
        <v>د/ محمد أمين</v>
      </c>
      <c r="H2851" s="5" t="str">
        <f ca="1">IFERROR(__xludf.DUMMYFUNCTION("""COMPUTED_VALUE"""),"170 ش شبرا غرفه بالشقه رقم 3 الدور الاول")</f>
        <v>170 ش شبرا غرفه بالشقه رقم 3 الدور الاول</v>
      </c>
      <c r="I2851" s="6" t="str">
        <f ca="1">IFERROR(__xludf.DUMMYFUNCTION("""COMPUTED_VALUE"""),"20233466624")</f>
        <v>20233466624</v>
      </c>
      <c r="J2851" s="6"/>
      <c r="K2851" s="6" t="str">
        <f ca="1">IFERROR(__xludf.DUMMYFUNCTION("""COMPUTED_VALUE"""),"نسبة خصم 50% للكشف - 30% للخدات الاخرى")</f>
        <v>نسبة خصم 50% للكشف - 30% للخدات الاخرى</v>
      </c>
    </row>
    <row r="2852" spans="1:11" x14ac:dyDescent="0.25">
      <c r="A2852" s="4" t="str">
        <f ca="1">IFERROR(__xludf.DUMMYFUNCTION("""COMPUTED_VALUE"""),"107175")</f>
        <v>107175</v>
      </c>
      <c r="B2852" s="5" t="str">
        <f ca="1">IFERROR(__xludf.DUMMYFUNCTION("""COMPUTED_VALUE"""),"الشرقية")</f>
        <v>الشرقية</v>
      </c>
      <c r="C2852" s="5" t="str">
        <f ca="1">IFERROR(__xludf.DUMMYFUNCTION("""COMPUTED_VALUE"""),"الزقازيق")</f>
        <v>الزقازيق</v>
      </c>
      <c r="D2852" s="5" t="str">
        <f ca="1">IFERROR(__xludf.DUMMYFUNCTION("""COMPUTED_VALUE"""),"مستشفى")</f>
        <v>مستشفى</v>
      </c>
      <c r="E2852" s="5" t="str">
        <f ca="1">IFERROR(__xludf.DUMMYFUNCTION("""COMPUTED_VALUE"""),"مستشفي طبي متخصص")</f>
        <v>مستشفي طبي متخصص</v>
      </c>
      <c r="F2852" s="5" t="str">
        <f ca="1">IFERROR(__xludf.DUMMYFUNCTION("""COMPUTED_VALUE"""),"طب أطفال")</f>
        <v>طب أطفال</v>
      </c>
      <c r="G2852" s="5" t="str">
        <f ca="1">IFERROR(__xludf.DUMMYFUNCTION("""COMPUTED_VALUE"""),"مركز المهد لطب و جراحات الاطفال")</f>
        <v>مركز المهد لطب و جراحات الاطفال</v>
      </c>
      <c r="H2852" s="5" t="str">
        <f ca="1">IFERROR(__xludf.DUMMYFUNCTION("""COMPUTED_VALUE"""),"الدور الاول و الثاني العلوي - برج المروه امتداد ش طلبة عويضه - الزقازيق - الشرقيه")</f>
        <v>الدور الاول و الثاني العلوي - برج المروه امتداد ش طلبة عويضه - الزقازيق - الشرقيه</v>
      </c>
      <c r="I2852" s="6" t="str">
        <f ca="1">IFERROR(__xludf.DUMMYFUNCTION("""COMPUTED_VALUE"""),"0552331551")</f>
        <v>0552331551</v>
      </c>
      <c r="J2852" s="6"/>
      <c r="K2852" s="6" t="str">
        <f ca="1">IFERROR(__xludf.DUMMYFUNCTION("""COMPUTED_VALUE"""),"خصم 30% علي اسعار النقدي المعلنة")</f>
        <v>خصم 30% علي اسعار النقدي المعلنة</v>
      </c>
    </row>
    <row r="2853" spans="1:11" x14ac:dyDescent="0.25">
      <c r="A2853" s="4" t="str">
        <f ca="1">IFERROR(__xludf.DUMMYFUNCTION("""COMPUTED_VALUE"""),"107176")</f>
        <v>107176</v>
      </c>
      <c r="B2853" s="5" t="str">
        <f ca="1">IFERROR(__xludf.DUMMYFUNCTION("""COMPUTED_VALUE"""),"القاهرة")</f>
        <v>القاهرة</v>
      </c>
      <c r="C2853" s="5" t="str">
        <f ca="1">IFERROR(__xludf.DUMMYFUNCTION("""COMPUTED_VALUE"""),"عابدين")</f>
        <v>عابدين</v>
      </c>
      <c r="D2853" s="5" t="str">
        <f ca="1">IFERROR(__xludf.DUMMYFUNCTION("""COMPUTED_VALUE"""),"شركة")</f>
        <v>شركة</v>
      </c>
      <c r="E2853" s="5" t="str">
        <f ca="1">IFERROR(__xludf.DUMMYFUNCTION("""COMPUTED_VALUE"""),"شركة اجهزة طبية")</f>
        <v>شركة اجهزة طبية</v>
      </c>
      <c r="F2853" s="5" t="str">
        <f ca="1">IFERROR(__xludf.DUMMYFUNCTION("""COMPUTED_VALUE"""),"مركز بصريات")</f>
        <v>مركز بصريات</v>
      </c>
      <c r="G2853" s="5" t="str">
        <f ca="1">IFERROR(__xludf.DUMMYFUNCTION("""COMPUTED_VALUE"""),"محمد محمود عبدالله محمد (سلويت لتجارة النظارات الشمسية)")</f>
        <v>محمد محمود عبدالله محمد (سلويت لتجارة النظارات الشمسية)</v>
      </c>
      <c r="H2853" s="5" t="str">
        <f ca="1">IFERROR(__xludf.DUMMYFUNCTION("""COMPUTED_VALUE"""),"32 ش البستان - عابدين - القاهرة")</f>
        <v>32 ش البستان - عابدين - القاهرة</v>
      </c>
      <c r="I2853" s="6" t="str">
        <f ca="1">IFERROR(__xludf.DUMMYFUNCTION("""COMPUTED_VALUE"""),"0223936259")</f>
        <v>0223936259</v>
      </c>
      <c r="J2853" s="6"/>
      <c r="K2853" s="6" t="str">
        <f ca="1">IFERROR(__xludf.DUMMYFUNCTION("""COMPUTED_VALUE"""),"خصم 30% علي اسعار النقدي المعلنة")</f>
        <v>خصم 30% علي اسعار النقدي المعلنة</v>
      </c>
    </row>
    <row r="2854" spans="1:11" x14ac:dyDescent="0.25">
      <c r="A2854" s="4" t="str">
        <f ca="1">IFERROR(__xludf.DUMMYFUNCTION("""COMPUTED_VALUE"""),"107176-B")</f>
        <v>107176-B</v>
      </c>
      <c r="B2854" s="5" t="str">
        <f ca="1">IFERROR(__xludf.DUMMYFUNCTION("""COMPUTED_VALUE"""),"القاهرة")</f>
        <v>القاهرة</v>
      </c>
      <c r="C2854" s="5" t="str">
        <f ca="1">IFERROR(__xludf.DUMMYFUNCTION("""COMPUTED_VALUE"""),"القاهرة الجديدة")</f>
        <v>القاهرة الجديدة</v>
      </c>
      <c r="D2854" s="5" t="str">
        <f ca="1">IFERROR(__xludf.DUMMYFUNCTION("""COMPUTED_VALUE"""),"شركة")</f>
        <v>شركة</v>
      </c>
      <c r="E2854" s="5" t="str">
        <f ca="1">IFERROR(__xludf.DUMMYFUNCTION("""COMPUTED_VALUE"""),"شركة اجهزة طبية")</f>
        <v>شركة اجهزة طبية</v>
      </c>
      <c r="F2854" s="5" t="str">
        <f ca="1">IFERROR(__xludf.DUMMYFUNCTION("""COMPUTED_VALUE"""),"مركز بصريات")</f>
        <v>مركز بصريات</v>
      </c>
      <c r="G2854" s="5" t="str">
        <f ca="1">IFERROR(__xludf.DUMMYFUNCTION("""COMPUTED_VALUE"""),"محمد محمود عبدالله محمد (سلويت لتجارة النظارات الشمسية)")</f>
        <v>محمد محمود عبدالله محمد (سلويت لتجارة النظارات الشمسية)</v>
      </c>
      <c r="H2854" s="5" t="str">
        <f ca="1">IFERROR(__xludf.DUMMYFUNCTION("""COMPUTED_VALUE"""),"فرع التجمع الخامس - مول ارابيلا بلازا - ميدان جمال عبد الناصر")</f>
        <v>فرع التجمع الخامس - مول ارابيلا بلازا - ميدان جمال عبد الناصر</v>
      </c>
      <c r="I2854" s="6" t="str">
        <f ca="1">IFERROR(__xludf.DUMMYFUNCTION("""COMPUTED_VALUE"""),"01271326656")</f>
        <v>01271326656</v>
      </c>
      <c r="J2854" s="6"/>
      <c r="K2854" s="6" t="str">
        <f ca="1">IFERROR(__xludf.DUMMYFUNCTION("""COMPUTED_VALUE"""),"خصم 30% علي اسعار النقدي المعلنة")</f>
        <v>خصم 30% علي اسعار النقدي المعلنة</v>
      </c>
    </row>
    <row r="2855" spans="1:11" x14ac:dyDescent="0.25">
      <c r="A2855" s="4" t="str">
        <f ca="1">IFERROR(__xludf.DUMMYFUNCTION("""COMPUTED_VALUE"""),"107176-B")</f>
        <v>107176-B</v>
      </c>
      <c r="B2855" s="5" t="str">
        <f ca="1">IFERROR(__xludf.DUMMYFUNCTION("""COMPUTED_VALUE"""),"القاهرة")</f>
        <v>القاهرة</v>
      </c>
      <c r="C2855" s="5" t="str">
        <f ca="1">IFERROR(__xludf.DUMMYFUNCTION("""COMPUTED_VALUE"""),"مدينة نصر")</f>
        <v>مدينة نصر</v>
      </c>
      <c r="D2855" s="5" t="str">
        <f ca="1">IFERROR(__xludf.DUMMYFUNCTION("""COMPUTED_VALUE"""),"شركة")</f>
        <v>شركة</v>
      </c>
      <c r="E2855" s="5" t="str">
        <f ca="1">IFERROR(__xludf.DUMMYFUNCTION("""COMPUTED_VALUE"""),"شركة اجهزة طبية")</f>
        <v>شركة اجهزة طبية</v>
      </c>
      <c r="F2855" s="5" t="str">
        <f ca="1">IFERROR(__xludf.DUMMYFUNCTION("""COMPUTED_VALUE"""),"مركز بصريات")</f>
        <v>مركز بصريات</v>
      </c>
      <c r="G2855" s="5" t="str">
        <f ca="1">IFERROR(__xludf.DUMMYFUNCTION("""COMPUTED_VALUE"""),"محمد محمود عبدالله محمد (سلويت لتجارة النظارات الشمسية)")</f>
        <v>محمد محمود عبدالله محمد (سلويت لتجارة النظارات الشمسية)</v>
      </c>
      <c r="H2855" s="5" t="str">
        <f ca="1">IFERROR(__xludf.DUMMYFUNCTION("""COMPUTED_VALUE"""),"النادي الاهلي (مدينة نصر)")</f>
        <v>النادي الاهلي (مدينة نصر)</v>
      </c>
      <c r="I2855" s="6" t="str">
        <f ca="1">IFERROR(__xludf.DUMMYFUNCTION("""COMPUTED_VALUE"""),"01129799256")</f>
        <v>01129799256</v>
      </c>
      <c r="J2855" s="6"/>
      <c r="K2855" s="6" t="str">
        <f ca="1">IFERROR(__xludf.DUMMYFUNCTION("""COMPUTED_VALUE"""),"خصم 30% علي اسعار النقدي المعلنة")</f>
        <v>خصم 30% علي اسعار النقدي المعلنة</v>
      </c>
    </row>
    <row r="2856" spans="1:11" x14ac:dyDescent="0.25">
      <c r="A2856" s="4" t="str">
        <f ca="1">IFERROR(__xludf.DUMMYFUNCTION("""COMPUTED_VALUE"""),"107176-B")</f>
        <v>107176-B</v>
      </c>
      <c r="B2856" s="5" t="str">
        <f ca="1">IFERROR(__xludf.DUMMYFUNCTION("""COMPUTED_VALUE"""),"القاهرة")</f>
        <v>القاهرة</v>
      </c>
      <c r="C2856" s="5" t="str">
        <f ca="1">IFERROR(__xludf.DUMMYFUNCTION("""COMPUTED_VALUE"""),"مصر الجديدة")</f>
        <v>مصر الجديدة</v>
      </c>
      <c r="D2856" s="5" t="str">
        <f ca="1">IFERROR(__xludf.DUMMYFUNCTION("""COMPUTED_VALUE"""),"شركة")</f>
        <v>شركة</v>
      </c>
      <c r="E2856" s="5" t="str">
        <f ca="1">IFERROR(__xludf.DUMMYFUNCTION("""COMPUTED_VALUE"""),"شركة اجهزة طبية")</f>
        <v>شركة اجهزة طبية</v>
      </c>
      <c r="F2856" s="5" t="str">
        <f ca="1">IFERROR(__xludf.DUMMYFUNCTION("""COMPUTED_VALUE"""),"مركز بصريات")</f>
        <v>مركز بصريات</v>
      </c>
      <c r="G2856" s="5" t="str">
        <f ca="1">IFERROR(__xludf.DUMMYFUNCTION("""COMPUTED_VALUE"""),"محمد محمود عبدالله محمد (سلويت لتجارة النظارات الشمسية)")</f>
        <v>محمد محمود عبدالله محمد (سلويت لتجارة النظارات الشمسية)</v>
      </c>
      <c r="H2856" s="5" t="str">
        <f ca="1">IFERROR(__xludf.DUMMYFUNCTION("""COMPUTED_VALUE""")," مصر الجديدة - داخل مركز نور الحياة للعيون 93 ش المرغنى بجوار سنترال الماظه")</f>
        <v xml:space="preserve"> مصر الجديدة - داخل مركز نور الحياة للعيون 93 ش المرغنى بجوار سنترال الماظه</v>
      </c>
      <c r="I2856" s="6" t="str">
        <f ca="1">IFERROR(__xludf.DUMMYFUNCTION("""COMPUTED_VALUE"""),"01229510007")</f>
        <v>01229510007</v>
      </c>
      <c r="J2856" s="6"/>
      <c r="K2856" s="6" t="str">
        <f ca="1">IFERROR(__xludf.DUMMYFUNCTION("""COMPUTED_VALUE"""),"خصم 30% علي اسعار النقدي المعلنة")</f>
        <v>خصم 30% علي اسعار النقدي المعلنة</v>
      </c>
    </row>
    <row r="2857" spans="1:11" x14ac:dyDescent="0.25">
      <c r="A2857" s="4" t="str">
        <f ca="1">IFERROR(__xludf.DUMMYFUNCTION("""COMPUTED_VALUE"""),"107176-B")</f>
        <v>107176-B</v>
      </c>
      <c r="B2857" s="5" t="str">
        <f ca="1">IFERROR(__xludf.DUMMYFUNCTION("""COMPUTED_VALUE"""),"الجيزة")</f>
        <v>الجيزة</v>
      </c>
      <c r="C2857" s="5" t="str">
        <f ca="1">IFERROR(__xludf.DUMMYFUNCTION("""COMPUTED_VALUE"""),"العجوزة")</f>
        <v>العجوزة</v>
      </c>
      <c r="D2857" s="5" t="str">
        <f ca="1">IFERROR(__xludf.DUMMYFUNCTION("""COMPUTED_VALUE"""),"شركة")</f>
        <v>شركة</v>
      </c>
      <c r="E2857" s="5" t="str">
        <f ca="1">IFERROR(__xludf.DUMMYFUNCTION("""COMPUTED_VALUE"""),"شركة اجهزة طبية")</f>
        <v>شركة اجهزة طبية</v>
      </c>
      <c r="F2857" s="5" t="str">
        <f ca="1">IFERROR(__xludf.DUMMYFUNCTION("""COMPUTED_VALUE"""),"مركز بصريات")</f>
        <v>مركز بصريات</v>
      </c>
      <c r="G2857" s="5" t="str">
        <f ca="1">IFERROR(__xludf.DUMMYFUNCTION("""COMPUTED_VALUE"""),"محمد محمود عبدالله محمد (سلويت لتجارة النظارات الشمسية)")</f>
        <v>محمد محمود عبدالله محمد (سلويت لتجارة النظارات الشمسية)</v>
      </c>
      <c r="H2857" s="5" t="str">
        <f ca="1">IFERROR(__xludf.DUMMYFUNCTION("""COMPUTED_VALUE"""),"فرع العجوزة - 19 ش محمد طلعت من ش شاهين")</f>
        <v>فرع العجوزة - 19 ش محمد طلعت من ش شاهين</v>
      </c>
      <c r="I2857" s="6" t="str">
        <f ca="1">IFERROR(__xludf.DUMMYFUNCTION("""COMPUTED_VALUE"""),"01229490009")</f>
        <v>01229490009</v>
      </c>
      <c r="J2857" s="6"/>
      <c r="K2857" s="6" t="str">
        <f ca="1">IFERROR(__xludf.DUMMYFUNCTION("""COMPUTED_VALUE"""),"خصم 30% علي اسعار النقدي المعلنة")</f>
        <v>خصم 30% علي اسعار النقدي المعلنة</v>
      </c>
    </row>
    <row r="2858" spans="1:11" x14ac:dyDescent="0.25">
      <c r="A2858" s="4" t="str">
        <f ca="1">IFERROR(__xludf.DUMMYFUNCTION("""COMPUTED_VALUE"""),"107176-B")</f>
        <v>107176-B</v>
      </c>
      <c r="B2858" s="5" t="str">
        <f ca="1">IFERROR(__xludf.DUMMYFUNCTION("""COMPUTED_VALUE"""),"القاهرة")</f>
        <v>القاهرة</v>
      </c>
      <c r="C2858" s="5" t="str">
        <f ca="1">IFERROR(__xludf.DUMMYFUNCTION("""COMPUTED_VALUE"""),"شبرا")</f>
        <v>شبرا</v>
      </c>
      <c r="D2858" s="5" t="str">
        <f ca="1">IFERROR(__xludf.DUMMYFUNCTION("""COMPUTED_VALUE"""),"شركة")</f>
        <v>شركة</v>
      </c>
      <c r="E2858" s="5" t="str">
        <f ca="1">IFERROR(__xludf.DUMMYFUNCTION("""COMPUTED_VALUE"""),"شركة اجهزة طبية")</f>
        <v>شركة اجهزة طبية</v>
      </c>
      <c r="F2858" s="5" t="str">
        <f ca="1">IFERROR(__xludf.DUMMYFUNCTION("""COMPUTED_VALUE"""),"مركز بصريات")</f>
        <v>مركز بصريات</v>
      </c>
      <c r="G2858" s="5" t="str">
        <f ca="1">IFERROR(__xludf.DUMMYFUNCTION("""COMPUTED_VALUE"""),"محمد محمود عبدالله محمد (سلويت لتجارة النظارات الشمسية)")</f>
        <v>محمد محمود عبدالله محمد (سلويت لتجارة النظارات الشمسية)</v>
      </c>
      <c r="H2858" s="5" t="str">
        <f ca="1">IFERROR(__xludf.DUMMYFUNCTION("""COMPUTED_VALUE"""),"فرع شبرا - 288 ش شبرا اعلى محطة مترو المظلات")</f>
        <v>فرع شبرا - 288 ش شبرا اعلى محطة مترو المظلات</v>
      </c>
      <c r="I2858" s="6" t="str">
        <f ca="1">IFERROR(__xludf.DUMMYFUNCTION("""COMPUTED_VALUE"""),"0222037138")</f>
        <v>0222037138</v>
      </c>
      <c r="J2858" s="6"/>
      <c r="K2858" s="6" t="str">
        <f ca="1">IFERROR(__xludf.DUMMYFUNCTION("""COMPUTED_VALUE"""),"خصم 30% علي اسعار النقدي المعلنة")</f>
        <v>خصم 30% علي اسعار النقدي المعلنة</v>
      </c>
    </row>
    <row r="2859" spans="1:11" x14ac:dyDescent="0.25">
      <c r="A2859" s="4" t="str">
        <f ca="1">IFERROR(__xludf.DUMMYFUNCTION("""COMPUTED_VALUE"""),"107176-B")</f>
        <v>107176-B</v>
      </c>
      <c r="B2859" s="5" t="str">
        <f ca="1">IFERROR(__xludf.DUMMYFUNCTION("""COMPUTED_VALUE"""),"الغربية")</f>
        <v>الغربية</v>
      </c>
      <c r="C2859" s="5" t="str">
        <f ca="1">IFERROR(__xludf.DUMMYFUNCTION("""COMPUTED_VALUE"""),"طنطا")</f>
        <v>طنطا</v>
      </c>
      <c r="D2859" s="5" t="str">
        <f ca="1">IFERROR(__xludf.DUMMYFUNCTION("""COMPUTED_VALUE"""),"شركة")</f>
        <v>شركة</v>
      </c>
      <c r="E2859" s="5" t="str">
        <f ca="1">IFERROR(__xludf.DUMMYFUNCTION("""COMPUTED_VALUE"""),"شركة اجهزة طبية")</f>
        <v>شركة اجهزة طبية</v>
      </c>
      <c r="F2859" s="5" t="str">
        <f ca="1">IFERROR(__xludf.DUMMYFUNCTION("""COMPUTED_VALUE"""),"مركز بصريات")</f>
        <v>مركز بصريات</v>
      </c>
      <c r="G2859" s="5" t="str">
        <f ca="1">IFERROR(__xludf.DUMMYFUNCTION("""COMPUTED_VALUE"""),"محمد محمود عبدالله محمد (سلويت لتجارة النظارات الشمسية)")</f>
        <v>محمد محمود عبدالله محمد (سلويت لتجارة النظارات الشمسية)</v>
      </c>
      <c r="H2859" s="5" t="str">
        <f ca="1">IFERROR(__xludf.DUMMYFUNCTION("""COMPUTED_VALUE"""),"طنطا - شارع النحاس برج الفيروز أمام فودافون")</f>
        <v>طنطا - شارع النحاس برج الفيروز أمام فودافون</v>
      </c>
      <c r="I2859" s="6" t="str">
        <f ca="1">IFERROR(__xludf.DUMMYFUNCTION("""COMPUTED_VALUE"""),"01271324436")</f>
        <v>01271324436</v>
      </c>
      <c r="J2859" s="6"/>
      <c r="K2859" s="6" t="str">
        <f ca="1">IFERROR(__xludf.DUMMYFUNCTION("""COMPUTED_VALUE"""),"خصم 30% علي اسعار النقدي المعلنة")</f>
        <v>خصم 30% علي اسعار النقدي المعلنة</v>
      </c>
    </row>
    <row r="2860" spans="1:11" x14ac:dyDescent="0.25">
      <c r="A2860" s="4" t="str">
        <f ca="1">IFERROR(__xludf.DUMMYFUNCTION("""COMPUTED_VALUE"""),"107177")</f>
        <v>107177</v>
      </c>
      <c r="B2860" s="5" t="str">
        <f ca="1">IFERROR(__xludf.DUMMYFUNCTION("""COMPUTED_VALUE"""),"القاهرة")</f>
        <v>القاهرة</v>
      </c>
      <c r="C2860" s="5" t="str">
        <f ca="1">IFERROR(__xludf.DUMMYFUNCTION("""COMPUTED_VALUE"""),"مصر الجديدة")</f>
        <v>مصر الجديدة</v>
      </c>
      <c r="D2860" s="5" t="str">
        <f ca="1">IFERROR(__xludf.DUMMYFUNCTION("""COMPUTED_VALUE"""),"مستشفى")</f>
        <v>مستشفى</v>
      </c>
      <c r="E2860" s="5" t="str">
        <f ca="1">IFERROR(__xludf.DUMMYFUNCTION("""COMPUTED_VALUE"""),"مستشفي طبي متخصص")</f>
        <v>مستشفي طبي متخصص</v>
      </c>
      <c r="F2860" s="5" t="str">
        <f ca="1">IFERROR(__xludf.DUMMYFUNCTION("""COMPUTED_VALUE"""),"أنف وأذن وحنجرة")</f>
        <v>أنف وأذن وحنجرة</v>
      </c>
      <c r="G2860" s="5" t="str">
        <f ca="1">IFERROR(__xludf.DUMMYFUNCTION("""COMPUTED_VALUE"""),"ايجينت لادارة و انشاء المراكز الطبيه (هشام محمد نبيل محمود و شركاه)")</f>
        <v>ايجينت لادارة و انشاء المراكز الطبيه (هشام محمد نبيل محمود و شركاه)</v>
      </c>
      <c r="H2860" s="5" t="str">
        <f ca="1">IFERROR(__xludf.DUMMYFUNCTION("""COMPUTED_VALUE"""),"31 شارع يوسف الصحابي - مصر الجديده")</f>
        <v>31 شارع يوسف الصحابي - مصر الجديده</v>
      </c>
      <c r="I2860" s="6" t="str">
        <f ca="1">IFERROR(__xludf.DUMMYFUNCTION("""COMPUTED_VALUE"""),"01222200616")</f>
        <v>01222200616</v>
      </c>
      <c r="J2860" s="6"/>
      <c r="K2860" s="6" t="str">
        <f ca="1">IFERROR(__xludf.DUMMYFUNCTION("""COMPUTED_VALUE"""),"خصم 50% علي الكشوفات و تطبيق نسبه خصم فدرها 30% علي باقي الاجراءات")</f>
        <v>خصم 50% علي الكشوفات و تطبيق نسبه خصم فدرها 30% علي باقي الاجراءات</v>
      </c>
    </row>
    <row r="2861" spans="1:11" x14ac:dyDescent="0.25">
      <c r="A2861" s="4" t="str">
        <f ca="1">IFERROR(__xludf.DUMMYFUNCTION("""COMPUTED_VALUE"""),"107178")</f>
        <v>107178</v>
      </c>
      <c r="B2861" s="5" t="str">
        <f ca="1">IFERROR(__xludf.DUMMYFUNCTION("""COMPUTED_VALUE"""),"القاهرة")</f>
        <v>القاهرة</v>
      </c>
      <c r="C2861" s="5" t="str">
        <f ca="1">IFERROR(__xludf.DUMMYFUNCTION("""COMPUTED_VALUE"""),"مصر الجديدة")</f>
        <v>مصر الجديدة</v>
      </c>
      <c r="D2861" s="5" t="str">
        <f ca="1">IFERROR(__xludf.DUMMYFUNCTION("""COMPUTED_VALUE"""),"مستشفى")</f>
        <v>مستشفى</v>
      </c>
      <c r="E2861" s="5" t="str">
        <f ca="1">IFERROR(__xludf.DUMMYFUNCTION("""COMPUTED_VALUE"""),"مستشفي طبي متخصص")</f>
        <v>مستشفي طبي متخصص</v>
      </c>
      <c r="F2861" s="5" t="str">
        <f ca="1">IFERROR(__xludf.DUMMYFUNCTION("""COMPUTED_VALUE"""),"جراحة مخ وأعصاب")</f>
        <v>جراحة مخ وأعصاب</v>
      </c>
      <c r="G2861" s="5" t="str">
        <f ca="1">IFERROR(__xludf.DUMMYFUNCTION("""COMPUTED_VALUE"""),"كور كلينيك للمخ و الأعصاب و العظام")</f>
        <v>كور كلينيك للمخ و الأعصاب و العظام</v>
      </c>
      <c r="H2861" s="5" t="str">
        <f ca="1">IFERROR(__xludf.DUMMYFUNCTION("""COMPUTED_VALUE"""),"31 شارع يوسف الصحابي ميدان الحجاز قسم النزهه - مصر الجديدة")</f>
        <v>31 شارع يوسف الصحابي ميدان الحجاز قسم النزهه - مصر الجديدة</v>
      </c>
      <c r="I2861" s="6" t="str">
        <f ca="1">IFERROR(__xludf.DUMMYFUNCTION("""COMPUTED_VALUE"""),"01118922284")</f>
        <v>01118922284</v>
      </c>
      <c r="J2861" s="6"/>
      <c r="K2861" s="6" t="str">
        <f ca="1">IFERROR(__xludf.DUMMYFUNCTION("""COMPUTED_VALUE"""),"خصم 50% علي الكشوفات و تطبيق نسبه خصم فدرها 30% علي باقي الاجراءات")</f>
        <v>خصم 50% علي الكشوفات و تطبيق نسبه خصم فدرها 30% علي باقي الاجراءات</v>
      </c>
    </row>
    <row r="2862" spans="1:11" x14ac:dyDescent="0.25">
      <c r="A2862" s="4" t="str">
        <f ca="1">IFERROR(__xludf.DUMMYFUNCTION("""COMPUTED_VALUE"""),"107182")</f>
        <v>107182</v>
      </c>
      <c r="B2862" s="5" t="str">
        <f ca="1">IFERROR(__xludf.DUMMYFUNCTION("""COMPUTED_VALUE"""),"قنا")</f>
        <v>قنا</v>
      </c>
      <c r="C2862" s="5" t="str">
        <f ca="1">IFERROR(__xludf.DUMMYFUNCTION("""COMPUTED_VALUE"""),"قنا")</f>
        <v>قنا</v>
      </c>
      <c r="D2862" s="5" t="str">
        <f ca="1">IFERROR(__xludf.DUMMYFUNCTION("""COMPUTED_VALUE"""),"مستشفى")</f>
        <v>مستشفى</v>
      </c>
      <c r="E2862" s="5" t="str">
        <f ca="1">IFERROR(__xludf.DUMMYFUNCTION("""COMPUTED_VALUE"""),"مستشفي طبي متكامل")</f>
        <v>مستشفي طبي متكامل</v>
      </c>
      <c r="F2862" s="5" t="str">
        <f ca="1">IFERROR(__xludf.DUMMYFUNCTION("""COMPUTED_VALUE"""),"جميع التخصصات الطبية")</f>
        <v>جميع التخصصات الطبية</v>
      </c>
      <c r="G2862" s="5" t="str">
        <f ca="1">IFERROR(__xludf.DUMMYFUNCTION("""COMPUTED_VALUE"""),"شركة جنوب الوادي للخدمات الطبية (مستفي رويال التخصصي)")</f>
        <v>شركة جنوب الوادي للخدمات الطبية (مستفي رويال التخصصي)</v>
      </c>
      <c r="H2862" s="5" t="str">
        <f ca="1">IFERROR(__xludf.DUMMYFUNCTION("""COMPUTED_VALUE"""),"طريق قنا سفاجا امام مستشفي قنا الجامعي")</f>
        <v>طريق قنا سفاجا امام مستشفي قنا الجامعي</v>
      </c>
      <c r="I2862" s="6" t="str">
        <f ca="1">IFERROR(__xludf.DUMMYFUNCTION("""COMPUTED_VALUE"""),"01158587375")</f>
        <v>01158587375</v>
      </c>
      <c r="J2862" s="6"/>
      <c r="K2862" s="6" t="str">
        <f ca="1">IFERROR(__xludf.DUMMYFUNCTION("""COMPUTED_VALUE"""),"خصم 15% علي اسعار النقدي المعلنة")</f>
        <v>خصم 15% علي اسعار النقدي المعلنة</v>
      </c>
    </row>
    <row r="2863" spans="1:11" x14ac:dyDescent="0.25">
      <c r="A2863" s="4" t="str">
        <f ca="1">IFERROR(__xludf.DUMMYFUNCTION("""COMPUTED_VALUE"""),"2822-B")</f>
        <v>2822-B</v>
      </c>
      <c r="B2863" s="5" t="str">
        <f ca="1">IFERROR(__xludf.DUMMYFUNCTION("""COMPUTED_VALUE"""),"القاهرة")</f>
        <v>القاهرة</v>
      </c>
      <c r="C2863" s="5" t="str">
        <f ca="1">IFERROR(__xludf.DUMMYFUNCTION("""COMPUTED_VALUE"""),"حلوان")</f>
        <v>حلوان</v>
      </c>
      <c r="D2863" s="5" t="str">
        <f ca="1">IFERROR(__xludf.DUMMYFUNCTION("""COMPUTED_VALUE"""),"صيدلية")</f>
        <v>صيدلية</v>
      </c>
      <c r="E2863" s="5" t="str">
        <f ca="1">IFERROR(__xludf.DUMMYFUNCTION("""COMPUTED_VALUE"""),"صيدلية")</f>
        <v>صيدلية</v>
      </c>
      <c r="F2863" s="5" t="str">
        <f ca="1">IFERROR(__xludf.DUMMYFUNCTION("""COMPUTED_VALUE"""),"صيدلية (أدوية ومستلزمات طبية)")</f>
        <v>صيدلية (أدوية ومستلزمات طبية)</v>
      </c>
      <c r="G2863" s="5" t="str">
        <f ca="1">IFERROR(__xludf.DUMMYFUNCTION("""COMPUTED_VALUE"""),"صيدليات سيف")</f>
        <v>صيدليات سيف</v>
      </c>
      <c r="H2863" s="5" t="str">
        <f ca="1">IFERROR(__xludf.DUMMYFUNCTION("""COMPUTED_VALUE"""),"اخر شارع رايل - بجوار كارفور حلوان")</f>
        <v>اخر شارع رايل - بجوار كارفور حلوان</v>
      </c>
      <c r="I2863" s="6" t="str">
        <f ca="1">IFERROR(__xludf.DUMMYFUNCTION("""COMPUTED_VALUE"""),"01270699998")</f>
        <v>01270699998</v>
      </c>
      <c r="J2863" s="6" t="str">
        <f ca="1">IFERROR(__xludf.DUMMYFUNCTION("""COMPUTED_VALUE"""),"19199")</f>
        <v>19199</v>
      </c>
      <c r="K2863"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2864" spans="1:11" x14ac:dyDescent="0.25">
      <c r="A2864" s="4" t="str">
        <f ca="1">IFERROR(__xludf.DUMMYFUNCTION("""COMPUTED_VALUE"""),"2822-B")</f>
        <v>2822-B</v>
      </c>
      <c r="B2864" s="5" t="str">
        <f ca="1">IFERROR(__xludf.DUMMYFUNCTION("""COMPUTED_VALUE"""),"القليوبية")</f>
        <v>القليوبية</v>
      </c>
      <c r="C2864" s="5" t="str">
        <f ca="1">IFERROR(__xludf.DUMMYFUNCTION("""COMPUTED_VALUE"""),"شبرا الخيمة")</f>
        <v>شبرا الخيمة</v>
      </c>
      <c r="D2864" s="5" t="str">
        <f ca="1">IFERROR(__xludf.DUMMYFUNCTION("""COMPUTED_VALUE"""),"صيدلية")</f>
        <v>صيدلية</v>
      </c>
      <c r="E2864" s="5" t="str">
        <f ca="1">IFERROR(__xludf.DUMMYFUNCTION("""COMPUTED_VALUE"""),"صيدلية")</f>
        <v>صيدلية</v>
      </c>
      <c r="F2864" s="5" t="str">
        <f ca="1">IFERROR(__xludf.DUMMYFUNCTION("""COMPUTED_VALUE"""),"صيدلية (أدوية ومستلزمات طبية)")</f>
        <v>صيدلية (أدوية ومستلزمات طبية)</v>
      </c>
      <c r="G2864" s="5" t="str">
        <f ca="1">IFERROR(__xludf.DUMMYFUNCTION("""COMPUTED_VALUE"""),"صيدليات سيف")</f>
        <v>صيدليات سيف</v>
      </c>
      <c r="H2864" s="5" t="str">
        <f ca="1">IFERROR(__xludf.DUMMYFUNCTION("""COMPUTED_VALUE"""),"شارع ١٥ مايو، الشارع الجديد، قسم ثان شبرا الخيمة")</f>
        <v>شارع ١٥ مايو، الشارع الجديد، قسم ثان شبرا الخيمة</v>
      </c>
      <c r="I2864" s="6" t="str">
        <f ca="1">IFERROR(__xludf.DUMMYFUNCTION("""COMPUTED_VALUE"""),"01200111194")</f>
        <v>01200111194</v>
      </c>
      <c r="J2864" s="6" t="str">
        <f ca="1">IFERROR(__xludf.DUMMYFUNCTION("""COMPUTED_VALUE"""),"19199")</f>
        <v>19199</v>
      </c>
      <c r="K2864" s="6" t="str">
        <f ca="1">IFERROR(__xludf.DUMMYFUNCTION("""COMPUTED_VALUE"""),"خصم 10% علي المحلي و جميع المستلزمات الطبية و التجميل و خصم 3% علي المستورد")</f>
        <v>خصم 10% علي المحلي و جميع المستلزمات الطبية و التجميل و خصم 3% علي المستورد</v>
      </c>
    </row>
    <row r="2865" spans="1:11" x14ac:dyDescent="0.25">
      <c r="A2865" s="4" t="str">
        <f ca="1">IFERROR(__xludf.DUMMYFUNCTION("""COMPUTED_VALUE"""),"107186")</f>
        <v>107186</v>
      </c>
      <c r="B2865" s="5" t="str">
        <f ca="1">IFERROR(__xludf.DUMMYFUNCTION("""COMPUTED_VALUE"""),"الجيزة")</f>
        <v>الجيزة</v>
      </c>
      <c r="C2865" s="5" t="str">
        <f ca="1">IFERROR(__xludf.DUMMYFUNCTION("""COMPUTED_VALUE"""),"الوراق")</f>
        <v>الوراق</v>
      </c>
      <c r="D2865" s="5" t="str">
        <f ca="1">IFERROR(__xludf.DUMMYFUNCTION("""COMPUTED_VALUE"""),"صيدلية")</f>
        <v>صيدلية</v>
      </c>
      <c r="E2865" s="5" t="str">
        <f ca="1">IFERROR(__xludf.DUMMYFUNCTION("""COMPUTED_VALUE"""),"صيدلية")</f>
        <v>صيدلية</v>
      </c>
      <c r="F2865" s="5" t="str">
        <f ca="1">IFERROR(__xludf.DUMMYFUNCTION("""COMPUTED_VALUE"""),"صيدلية (أدوية ومستلزمات طبية)")</f>
        <v>صيدلية (أدوية ومستلزمات طبية)</v>
      </c>
      <c r="G2865" s="5" t="str">
        <f ca="1">IFERROR(__xludf.DUMMYFUNCTION("""COMPUTED_VALUE"""),"صيدليه د. دينا حشمت لمعي حنا")</f>
        <v>صيدليه د. دينا حشمت لمعي حنا</v>
      </c>
      <c r="H2865" s="5" t="str">
        <f ca="1">IFERROR(__xludf.DUMMYFUNCTION("""COMPUTED_VALUE"""),"شارع الكابلات من كورنيش،النيل ، امام التوحيد والنور،ومحلات كوكو &amp; اس ، الوراق الجيزة . ")</f>
        <v xml:space="preserve">شارع الكابلات من كورنيش،النيل ، امام التوحيد والنور،ومحلات كوكو &amp; اس ، الوراق الجيزة . </v>
      </c>
      <c r="I2865" s="6" t="str">
        <f ca="1">IFERROR(__xludf.DUMMYFUNCTION("""COMPUTED_VALUE"""),"1208331550")</f>
        <v>1208331550</v>
      </c>
      <c r="J2865" s="6"/>
      <c r="K2865" s="6" t="str">
        <f ca="1">IFERROR(__xludf.DUMMYFUNCTION("""COMPUTED_VALUE"""),"خصم 14% علي المحلي و خصم 7% علي المستورد")</f>
        <v>خصم 14% علي المحلي و خصم 7% علي المستورد</v>
      </c>
    </row>
    <row r="2866" spans="1:11" x14ac:dyDescent="0.25">
      <c r="A2866" s="4" t="str">
        <f ca="1">IFERROR(__xludf.DUMMYFUNCTION("""COMPUTED_VALUE"""),"107186-B")</f>
        <v>107186-B</v>
      </c>
      <c r="B2866" s="5" t="str">
        <f ca="1">IFERROR(__xludf.DUMMYFUNCTION("""COMPUTED_VALUE"""),"الجيزة")</f>
        <v>الجيزة</v>
      </c>
      <c r="C2866" s="5" t="str">
        <f ca="1">IFERROR(__xludf.DUMMYFUNCTION("""COMPUTED_VALUE"""),"أوسيم")</f>
        <v>أوسيم</v>
      </c>
      <c r="D2866" s="5" t="str">
        <f ca="1">IFERROR(__xludf.DUMMYFUNCTION("""COMPUTED_VALUE"""),"صيدلية")</f>
        <v>صيدلية</v>
      </c>
      <c r="E2866" s="5" t="str">
        <f ca="1">IFERROR(__xludf.DUMMYFUNCTION("""COMPUTED_VALUE"""),"صيدلية")</f>
        <v>صيدلية</v>
      </c>
      <c r="F2866" s="5" t="str">
        <f ca="1">IFERROR(__xludf.DUMMYFUNCTION("""COMPUTED_VALUE"""),"صيدلية (أدوية ومستلزمات طبية)")</f>
        <v>صيدلية (أدوية ومستلزمات طبية)</v>
      </c>
      <c r="G2866" s="5" t="str">
        <f ca="1">IFERROR(__xludf.DUMMYFUNCTION("""COMPUTED_VALUE"""),"صيدليه د. دينا حشمت لمعي حنا")</f>
        <v>صيدليه د. دينا حشمت لمعي حنا</v>
      </c>
      <c r="H2866" s="5" t="str">
        <f ca="1">IFERROR(__xludf.DUMMYFUNCTION("""COMPUTED_VALUE"""),"ش السكة الحديد - اوسيم - الجيزة")</f>
        <v>ش السكة الحديد - اوسيم - الجيزة</v>
      </c>
      <c r="I2866" s="6" t="str">
        <f ca="1">IFERROR(__xludf.DUMMYFUNCTION("""COMPUTED_VALUE"""),"1208331550")</f>
        <v>1208331550</v>
      </c>
      <c r="J2866" s="6"/>
      <c r="K2866" s="6" t="str">
        <f ca="1">IFERROR(__xludf.DUMMYFUNCTION("""COMPUTED_VALUE"""),"خصم 14% علي المحلي و خصم 7% علي المستورد")</f>
        <v>خصم 14% علي المحلي و خصم 7% علي المستورد</v>
      </c>
    </row>
    <row r="2867" spans="1:11" x14ac:dyDescent="0.25">
      <c r="A2867" s="4" t="str">
        <f ca="1">IFERROR(__xludf.DUMMYFUNCTION("""COMPUTED_VALUE"""),"107187")</f>
        <v>107187</v>
      </c>
      <c r="B2867" s="5" t="str">
        <f ca="1">IFERROR(__xludf.DUMMYFUNCTION("""COMPUTED_VALUE"""),"المنوفية")</f>
        <v>المنوفية</v>
      </c>
      <c r="C2867" s="5" t="str">
        <f ca="1">IFERROR(__xludf.DUMMYFUNCTION("""COMPUTED_VALUE"""),"شبين الكوم")</f>
        <v>شبين الكوم</v>
      </c>
      <c r="D2867" s="5" t="str">
        <f ca="1">IFERROR(__xludf.DUMMYFUNCTION("""COMPUTED_VALUE"""),"مستشفى")</f>
        <v>مستشفى</v>
      </c>
      <c r="E2867" s="5" t="str">
        <f ca="1">IFERROR(__xludf.DUMMYFUNCTION("""COMPUTED_VALUE"""),"مستشفي طبي متكامل")</f>
        <v>مستشفي طبي متكامل</v>
      </c>
      <c r="F2867" s="5" t="str">
        <f ca="1">IFERROR(__xludf.DUMMYFUNCTION("""COMPUTED_VALUE"""),"جميع التخصصات الطبية")</f>
        <v>جميع التخصصات الطبية</v>
      </c>
      <c r="G2867" s="5" t="str">
        <f ca="1">IFERROR(__xludf.DUMMYFUNCTION("""COMPUTED_VALUE"""),"شركة مجمع الرازي الطبي للخدمات الطبية (مجمع الرازي الطبي)")</f>
        <v>شركة مجمع الرازي الطبي للخدمات الطبية (مجمع الرازي الطبي)</v>
      </c>
      <c r="H2867" s="5" t="str">
        <f ca="1">IFERROR(__xludf.DUMMYFUNCTION("""COMPUTED_VALUE"""),"شارع صبري أبو علم برج أجياد المدينة - شبين الكوم - المنوفية")</f>
        <v>شارع صبري أبو علم برج أجياد المدينة - شبين الكوم - المنوفية</v>
      </c>
      <c r="I2867" s="6" t="str">
        <f ca="1">IFERROR(__xludf.DUMMYFUNCTION("""COMPUTED_VALUE"""),"01014567662")</f>
        <v>01014567662</v>
      </c>
      <c r="J2867" s="6"/>
      <c r="K2867" s="6" t="str">
        <f ca="1">IFERROR(__xludf.DUMMYFUNCTION("""COMPUTED_VALUE"""),"خصم 30% علي اسعار النقدي المعلنة")</f>
        <v>خصم 30% علي اسعار النقدي المعلنة</v>
      </c>
    </row>
    <row r="2868" spans="1:11" x14ac:dyDescent="0.25">
      <c r="A2868" s="4" t="str">
        <f ca="1">IFERROR(__xludf.DUMMYFUNCTION("""COMPUTED_VALUE"""),"107188")</f>
        <v>107188</v>
      </c>
      <c r="B2868" s="5" t="str">
        <f ca="1">IFERROR(__xludf.DUMMYFUNCTION("""COMPUTED_VALUE"""),"الغربية")</f>
        <v>الغربية</v>
      </c>
      <c r="C2868" s="5" t="str">
        <f ca="1">IFERROR(__xludf.DUMMYFUNCTION("""COMPUTED_VALUE"""),"المحلة الكبرى")</f>
        <v>المحلة الكبرى</v>
      </c>
      <c r="D2868" s="5" t="str">
        <f ca="1">IFERROR(__xludf.DUMMYFUNCTION("""COMPUTED_VALUE"""),"هيئة الأطباء")</f>
        <v>هيئة الأطباء</v>
      </c>
      <c r="E2868" s="5" t="str">
        <f ca="1">IFERROR(__xludf.DUMMYFUNCTION("""COMPUTED_VALUE"""),"اسنان")</f>
        <v>اسنان</v>
      </c>
      <c r="F2868" s="5" t="str">
        <f ca="1">IFERROR(__xludf.DUMMYFUNCTION("""COMPUTED_VALUE"""),"جراحة الفم والأسنان")</f>
        <v>جراحة الفم والأسنان</v>
      </c>
      <c r="G2868" s="5" t="str">
        <f ca="1">IFERROR(__xludf.DUMMYFUNCTION("""COMPUTED_VALUE"""),"د. محمود عصام ربيع العزب")</f>
        <v>د. محمود عصام ربيع العزب</v>
      </c>
      <c r="H2868" s="5" t="str">
        <f ca="1">IFERROR(__xludf.DUMMYFUNCTION("""COMPUTED_VALUE"""),"95 ش المحله الثانوية أبو شاهين - المحلة الكبري - الغربية")</f>
        <v>95 ش المحله الثانوية أبو شاهين - المحلة الكبري - الغربية</v>
      </c>
      <c r="I2868" s="6" t="str">
        <f ca="1">IFERROR(__xludf.DUMMYFUNCTION("""COMPUTED_VALUE"""),"01030303166")</f>
        <v>01030303166</v>
      </c>
      <c r="J2868" s="6"/>
      <c r="K2868" s="6" t="str">
        <f ca="1">IFERROR(__xludf.DUMMYFUNCTION("""COMPUTED_VALUE"""),"خصم 30% علي اسعار النقدي المعلنة")</f>
        <v>خصم 30% علي اسعار النقدي المعلنة</v>
      </c>
    </row>
    <row r="2869" spans="1:11" x14ac:dyDescent="0.25">
      <c r="A2869" s="4" t="str">
        <f ca="1">IFERROR(__xludf.DUMMYFUNCTION("""COMPUTED_VALUE"""),"107189")</f>
        <v>107189</v>
      </c>
      <c r="B2869" s="5" t="str">
        <f ca="1">IFERROR(__xludf.DUMMYFUNCTION("""COMPUTED_VALUE"""),"الشرقية")</f>
        <v>الشرقية</v>
      </c>
      <c r="C2869" s="5" t="str">
        <f ca="1">IFERROR(__xludf.DUMMYFUNCTION("""COMPUTED_VALUE"""),"منيا القمح")</f>
        <v>منيا القمح</v>
      </c>
      <c r="D2869" s="5" t="str">
        <f ca="1">IFERROR(__xludf.DUMMYFUNCTION("""COMPUTED_VALUE"""),"هيئة الأطباء")</f>
        <v>هيئة الأطباء</v>
      </c>
      <c r="E2869" s="5" t="str">
        <f ca="1">IFERROR(__xludf.DUMMYFUNCTION("""COMPUTED_VALUE"""),"اسنان")</f>
        <v>اسنان</v>
      </c>
      <c r="F2869" s="5" t="str">
        <f ca="1">IFERROR(__xludf.DUMMYFUNCTION("""COMPUTED_VALUE"""),"جراحة الفم والأسنان")</f>
        <v>جراحة الفم والأسنان</v>
      </c>
      <c r="G2869" s="5" t="str">
        <f ca="1">IFERROR(__xludf.DUMMYFUNCTION("""COMPUTED_VALUE"""),"د/ محمد ايهاب جلال عبد الفتاح الحلواتي")</f>
        <v>د/ محمد ايهاب جلال عبد الفتاح الحلواتي</v>
      </c>
      <c r="H2869" s="5" t="str">
        <f ca="1">IFERROR(__xludf.DUMMYFUNCTION("""COMPUTED_VALUE"""),"ش سعد زغلول - منيا القمح - شرقية")</f>
        <v>ش سعد زغلول - منيا القمح - شرقية</v>
      </c>
      <c r="I2869" s="6" t="str">
        <f ca="1">IFERROR(__xludf.DUMMYFUNCTION("""COMPUTED_VALUE"""),"01062529393")</f>
        <v>01062529393</v>
      </c>
      <c r="J2869" s="6"/>
      <c r="K2869" s="6" t="str">
        <f ca="1">IFERROR(__xludf.DUMMYFUNCTION("""COMPUTED_VALUE"""),"خصم 30% علي اسعار النقدي المعلنة")</f>
        <v>خصم 30% علي اسعار النقدي المعلنة</v>
      </c>
    </row>
    <row r="2870" spans="1:11" x14ac:dyDescent="0.25">
      <c r="A2870" s="4" t="str">
        <f ca="1">IFERROR(__xludf.DUMMYFUNCTION("""COMPUTED_VALUE"""),"107190")</f>
        <v>107190</v>
      </c>
      <c r="B2870" s="5" t="str">
        <f ca="1">IFERROR(__xludf.DUMMYFUNCTION("""COMPUTED_VALUE"""),"الإسماعيلية")</f>
        <v>الإسماعيلية</v>
      </c>
      <c r="C2870" s="5" t="str">
        <f ca="1">IFERROR(__xludf.DUMMYFUNCTION("""COMPUTED_VALUE"""),"الإسماعيلية")</f>
        <v>الإسماعيلية</v>
      </c>
      <c r="D2870" s="5" t="str">
        <f ca="1">IFERROR(__xludf.DUMMYFUNCTION("""COMPUTED_VALUE"""),"هيئة الأطباء")</f>
        <v>هيئة الأطباء</v>
      </c>
      <c r="E2870" s="5" t="str">
        <f ca="1">IFERROR(__xludf.DUMMYFUNCTION("""COMPUTED_VALUE"""),"باطنة")</f>
        <v>باطنة</v>
      </c>
      <c r="F2870" s="5" t="str">
        <f ca="1">IFERROR(__xludf.DUMMYFUNCTION("""COMPUTED_VALUE"""),"باطنة عامة")</f>
        <v>باطنة عامة</v>
      </c>
      <c r="G2870" s="5" t="str">
        <f ca="1">IFERROR(__xludf.DUMMYFUNCTION("""COMPUTED_VALUE"""),"د/ أحمد حسين أحمد الحلوس")</f>
        <v>د/ أحمد حسين أحمد الحلوس</v>
      </c>
      <c r="H2870" s="5" t="str">
        <f ca="1">IFERROR(__xludf.DUMMYFUNCTION("""COMPUTED_VALUE"""),"11 ش الدقهلية عرايشيه مصر - الاسماعيلية")</f>
        <v>11 ش الدقهلية عرايشيه مصر - الاسماعيلية</v>
      </c>
      <c r="I2870" s="6" t="str">
        <f ca="1">IFERROR(__xludf.DUMMYFUNCTION("""COMPUTED_VALUE"""),"01001850922")</f>
        <v>01001850922</v>
      </c>
      <c r="J2870" s="6"/>
      <c r="K2870" s="6" t="str">
        <f ca="1">IFERROR(__xludf.DUMMYFUNCTION("""COMPUTED_VALUE"""),"خصم 30% علي اسعار النقدي المعلنة")</f>
        <v>خصم 30% علي اسعار النقدي المعلنة</v>
      </c>
    </row>
    <row r="2871" spans="1:11" x14ac:dyDescent="0.25">
      <c r="A2871" s="4" t="str">
        <f ca="1">IFERROR(__xludf.DUMMYFUNCTION("""COMPUTED_VALUE"""),"107191")</f>
        <v>107191</v>
      </c>
      <c r="B2871" s="5" t="str">
        <f ca="1">IFERROR(__xludf.DUMMYFUNCTION("""COMPUTED_VALUE"""),"الشرقية")</f>
        <v>الشرقية</v>
      </c>
      <c r="C2871" s="5" t="str">
        <f ca="1">IFERROR(__xludf.DUMMYFUNCTION("""COMPUTED_VALUE"""),"مشتول السوق")</f>
        <v>مشتول السوق</v>
      </c>
      <c r="D2871" s="5" t="str">
        <f ca="1">IFERROR(__xludf.DUMMYFUNCTION("""COMPUTED_VALUE"""),"هيئة الأطباء")</f>
        <v>هيئة الأطباء</v>
      </c>
      <c r="E2871" s="5" t="str">
        <f ca="1">IFERROR(__xludf.DUMMYFUNCTION("""COMPUTED_VALUE"""),"اسنان")</f>
        <v>اسنان</v>
      </c>
      <c r="F2871" s="5" t="str">
        <f ca="1">IFERROR(__xludf.DUMMYFUNCTION("""COMPUTED_VALUE"""),"جراحة الفم والأسنان")</f>
        <v>جراحة الفم والأسنان</v>
      </c>
      <c r="G2871" s="5" t="str">
        <f ca="1">IFERROR(__xludf.DUMMYFUNCTION("""COMPUTED_VALUE"""),"د/ أحمد عصام احمد عبدالمنعم")</f>
        <v>د/ أحمد عصام احمد عبدالمنعم</v>
      </c>
      <c r="H2871" s="5" t="str">
        <f ca="1">IFERROR(__xludf.DUMMYFUNCTION("""COMPUTED_VALUE"""),"حي الحكماء - بجوار مسجد الخير وصيدليه الحكماء")</f>
        <v>حي الحكماء - بجوار مسجد الخير وصيدليه الحكماء</v>
      </c>
      <c r="I2871" s="6" t="str">
        <f ca="1">IFERROR(__xludf.DUMMYFUNCTION("""COMPUTED_VALUE"""),"01016465993")</f>
        <v>01016465993</v>
      </c>
      <c r="J2871" s="6"/>
      <c r="K2871" s="6" t="str">
        <f ca="1">IFERROR(__xludf.DUMMYFUNCTION("""COMPUTED_VALUE"""),"خصم 30% علي اسعار النقدي المعلنة")</f>
        <v>خصم 30% علي اسعار النقدي المعلنة</v>
      </c>
    </row>
    <row r="2872" spans="1:11" x14ac:dyDescent="0.25">
      <c r="A2872" s="4" t="str">
        <f ca="1">IFERROR(__xludf.DUMMYFUNCTION("""COMPUTED_VALUE"""),"107191-B")</f>
        <v>107191-B</v>
      </c>
      <c r="B2872" s="5" t="str">
        <f ca="1">IFERROR(__xludf.DUMMYFUNCTION("""COMPUTED_VALUE"""),"الشرقية")</f>
        <v>الشرقية</v>
      </c>
      <c r="C2872" s="5" t="str">
        <f ca="1">IFERROR(__xludf.DUMMYFUNCTION("""COMPUTED_VALUE"""),"بلبيس")</f>
        <v>بلبيس</v>
      </c>
      <c r="D2872" s="5" t="str">
        <f ca="1">IFERROR(__xludf.DUMMYFUNCTION("""COMPUTED_VALUE"""),"هيئة الأطباء")</f>
        <v>هيئة الأطباء</v>
      </c>
      <c r="E2872" s="5" t="str">
        <f ca="1">IFERROR(__xludf.DUMMYFUNCTION("""COMPUTED_VALUE"""),"اسنان")</f>
        <v>اسنان</v>
      </c>
      <c r="F2872" s="5" t="str">
        <f ca="1">IFERROR(__xludf.DUMMYFUNCTION("""COMPUTED_VALUE"""),"جراحة الفم والأسنان")</f>
        <v>جراحة الفم والأسنان</v>
      </c>
      <c r="G2872" s="5" t="str">
        <f ca="1">IFERROR(__xludf.DUMMYFUNCTION("""COMPUTED_VALUE"""),"د/ أحمد عصام احمد عبدالمنعم")</f>
        <v>د/ أحمد عصام احمد عبدالمنعم</v>
      </c>
      <c r="H2872" s="5" t="str">
        <f ca="1">IFERROR(__xludf.DUMMYFUNCTION("""COMPUTED_VALUE"""),"شارع السوق - خلف بنك مصر -أعلي صيدليه القادسيه")</f>
        <v>شارع السوق - خلف بنك مصر -أعلي صيدليه القادسيه</v>
      </c>
      <c r="I2872" s="6" t="str">
        <f ca="1">IFERROR(__xludf.DUMMYFUNCTION("""COMPUTED_VALUE"""),"01288874233")</f>
        <v>01288874233</v>
      </c>
      <c r="J2872" s="6"/>
      <c r="K2872" s="6" t="str">
        <f ca="1">IFERROR(__xludf.DUMMYFUNCTION("""COMPUTED_VALUE"""),"خصم 30% علي اسعار النقدي المعلنة")</f>
        <v>خصم 30% علي اسعار النقدي المعلنة</v>
      </c>
    </row>
    <row r="2873" spans="1:11" x14ac:dyDescent="0.25">
      <c r="A2873" s="4" t="str">
        <f ca="1">IFERROR(__xludf.DUMMYFUNCTION("""COMPUTED_VALUE"""),"107191-B")</f>
        <v>107191-B</v>
      </c>
      <c r="B2873" s="5" t="str">
        <f ca="1">IFERROR(__xludf.DUMMYFUNCTION("""COMPUTED_VALUE"""),"الشرقية")</f>
        <v>الشرقية</v>
      </c>
      <c r="C2873" s="5" t="str">
        <f ca="1">IFERROR(__xludf.DUMMYFUNCTION("""COMPUTED_VALUE"""),"منيا القمح")</f>
        <v>منيا القمح</v>
      </c>
      <c r="D2873" s="5" t="str">
        <f ca="1">IFERROR(__xludf.DUMMYFUNCTION("""COMPUTED_VALUE"""),"هيئة الأطباء")</f>
        <v>هيئة الأطباء</v>
      </c>
      <c r="E2873" s="5" t="str">
        <f ca="1">IFERROR(__xludf.DUMMYFUNCTION("""COMPUTED_VALUE"""),"اسنان")</f>
        <v>اسنان</v>
      </c>
      <c r="F2873" s="5" t="str">
        <f ca="1">IFERROR(__xludf.DUMMYFUNCTION("""COMPUTED_VALUE"""),"جراحة الفم والأسنان")</f>
        <v>جراحة الفم والأسنان</v>
      </c>
      <c r="G2873" s="5" t="str">
        <f ca="1">IFERROR(__xludf.DUMMYFUNCTION("""COMPUTED_VALUE"""),"د/ أحمد عصام احمد عبدالمنعم")</f>
        <v>د/ أحمد عصام احمد عبدالمنعم</v>
      </c>
      <c r="H2873" s="5" t="str">
        <f ca="1">IFERROR(__xludf.DUMMYFUNCTION("""COMPUTED_VALUE"""),"شارع سعد زغلول -عماره ابو جوهر- امام صيدليه فوزي")</f>
        <v>شارع سعد زغلول -عماره ابو جوهر- امام صيدليه فوزي</v>
      </c>
      <c r="I2873" s="6" t="str">
        <f ca="1">IFERROR(__xludf.DUMMYFUNCTION("""COMPUTED_VALUE"""),"1029889791")</f>
        <v>1029889791</v>
      </c>
      <c r="J2873" s="6"/>
      <c r="K2873" s="6" t="str">
        <f ca="1">IFERROR(__xludf.DUMMYFUNCTION("""COMPUTED_VALUE"""),"خصم 30% علي اسعار النقدي المعلنة")</f>
        <v>خصم 30% علي اسعار النقدي المعلنة</v>
      </c>
    </row>
    <row r="2874" spans="1:11" x14ac:dyDescent="0.25">
      <c r="A2874" s="4" t="str">
        <f ca="1">IFERROR(__xludf.DUMMYFUNCTION("""COMPUTED_VALUE"""),"107191-B")</f>
        <v>107191-B</v>
      </c>
      <c r="B2874" s="5" t="str">
        <f ca="1">IFERROR(__xludf.DUMMYFUNCTION("""COMPUTED_VALUE"""),"الشرقية")</f>
        <v>الشرقية</v>
      </c>
      <c r="C2874" s="5" t="str">
        <f ca="1">IFERROR(__xludf.DUMMYFUNCTION("""COMPUTED_VALUE"""),"الزقازيق")</f>
        <v>الزقازيق</v>
      </c>
      <c r="D2874" s="5" t="str">
        <f ca="1">IFERROR(__xludf.DUMMYFUNCTION("""COMPUTED_VALUE"""),"هيئة الأطباء")</f>
        <v>هيئة الأطباء</v>
      </c>
      <c r="E2874" s="5" t="str">
        <f ca="1">IFERROR(__xludf.DUMMYFUNCTION("""COMPUTED_VALUE"""),"اسنان")</f>
        <v>اسنان</v>
      </c>
      <c r="F2874" s="5" t="str">
        <f ca="1">IFERROR(__xludf.DUMMYFUNCTION("""COMPUTED_VALUE"""),"جراحة الفم والأسنان")</f>
        <v>جراحة الفم والأسنان</v>
      </c>
      <c r="G2874" s="5" t="str">
        <f ca="1">IFERROR(__xludf.DUMMYFUNCTION("""COMPUTED_VALUE"""),"د/ أحمد عصام احمد عبدالمنعم")</f>
        <v>د/ أحمد عصام احمد عبدالمنعم</v>
      </c>
      <c r="H2874" s="5" t="str">
        <f ca="1">IFERROR(__xludf.DUMMYFUNCTION("""COMPUTED_VALUE"""),"شارع طلبه عويضه -بجوار مستشفي صلاح سالم")</f>
        <v>شارع طلبه عويضه -بجوار مستشفي صلاح سالم</v>
      </c>
      <c r="I2874" s="6" t="str">
        <f ca="1">IFERROR(__xludf.DUMMYFUNCTION("""COMPUTED_VALUE"""),"1029023703")</f>
        <v>1029023703</v>
      </c>
      <c r="J2874" s="6"/>
      <c r="K2874" s="6" t="str">
        <f ca="1">IFERROR(__xludf.DUMMYFUNCTION("""COMPUTED_VALUE"""),"خصم 30% علي اسعار النقدي المعلنة")</f>
        <v>خصم 30% علي اسعار النقدي المعلنة</v>
      </c>
    </row>
    <row r="2875" spans="1:11" x14ac:dyDescent="0.25">
      <c r="A2875" s="4" t="str">
        <f ca="1">IFERROR(__xludf.DUMMYFUNCTION("""COMPUTED_VALUE"""),"107191-B")</f>
        <v>107191-B</v>
      </c>
      <c r="B2875" s="5" t="str">
        <f ca="1">IFERROR(__xludf.DUMMYFUNCTION("""COMPUTED_VALUE"""),"الشرقية")</f>
        <v>الشرقية</v>
      </c>
      <c r="C2875" s="5" t="str">
        <f ca="1">IFERROR(__xludf.DUMMYFUNCTION("""COMPUTED_VALUE"""),"فاقوس")</f>
        <v>فاقوس</v>
      </c>
      <c r="D2875" s="5" t="str">
        <f ca="1">IFERROR(__xludf.DUMMYFUNCTION("""COMPUTED_VALUE"""),"هيئة الأطباء")</f>
        <v>هيئة الأطباء</v>
      </c>
      <c r="E2875" s="5" t="str">
        <f ca="1">IFERROR(__xludf.DUMMYFUNCTION("""COMPUTED_VALUE"""),"اسنان")</f>
        <v>اسنان</v>
      </c>
      <c r="F2875" s="5" t="str">
        <f ca="1">IFERROR(__xludf.DUMMYFUNCTION("""COMPUTED_VALUE"""),"جراحة الفم والأسنان")</f>
        <v>جراحة الفم والأسنان</v>
      </c>
      <c r="G2875" s="5" t="str">
        <f ca="1">IFERROR(__xludf.DUMMYFUNCTION("""COMPUTED_VALUE"""),"د/ أحمد عصام احمد عبدالمنعم")</f>
        <v>د/ أحمد عصام احمد عبدالمنعم</v>
      </c>
      <c r="H2875" s="5" t="str">
        <f ca="1">IFERROR(__xludf.DUMMYFUNCTION("""COMPUTED_VALUE"""),"ميدان الشيخه حمده بجوار مستشفي السلامه")</f>
        <v>ميدان الشيخه حمده بجوار مستشفي السلامه</v>
      </c>
      <c r="I2875" s="6" t="str">
        <f ca="1">IFERROR(__xludf.DUMMYFUNCTION("""COMPUTED_VALUE"""),"1064510563")</f>
        <v>1064510563</v>
      </c>
      <c r="J2875" s="6"/>
      <c r="K2875" s="6" t="str">
        <f ca="1">IFERROR(__xludf.DUMMYFUNCTION("""COMPUTED_VALUE"""),"خصم 30% علي اسعار النقدي المعلنة")</f>
        <v>خصم 30% علي اسعار النقدي المعلنة</v>
      </c>
    </row>
    <row r="2876" spans="1:11" x14ac:dyDescent="0.25">
      <c r="A2876" s="4" t="str">
        <f ca="1">IFERROR(__xludf.DUMMYFUNCTION("""COMPUTED_VALUE"""),"107191-B")</f>
        <v>107191-B</v>
      </c>
      <c r="B2876" s="5" t="str">
        <f ca="1">IFERROR(__xludf.DUMMYFUNCTION("""COMPUTED_VALUE"""),"الشرقية")</f>
        <v>الشرقية</v>
      </c>
      <c r="C2876" s="5" t="str">
        <f ca="1">IFERROR(__xludf.DUMMYFUNCTION("""COMPUTED_VALUE"""),"ديرب نجم")</f>
        <v>ديرب نجم</v>
      </c>
      <c r="D2876" s="5" t="str">
        <f ca="1">IFERROR(__xludf.DUMMYFUNCTION("""COMPUTED_VALUE"""),"هيئة الأطباء")</f>
        <v>هيئة الأطباء</v>
      </c>
      <c r="E2876" s="5" t="str">
        <f ca="1">IFERROR(__xludf.DUMMYFUNCTION("""COMPUTED_VALUE"""),"اسنان")</f>
        <v>اسنان</v>
      </c>
      <c r="F2876" s="5" t="str">
        <f ca="1">IFERROR(__xludf.DUMMYFUNCTION("""COMPUTED_VALUE"""),"جراحة الفم والأسنان")</f>
        <v>جراحة الفم والأسنان</v>
      </c>
      <c r="G2876" s="5" t="str">
        <f ca="1">IFERROR(__xludf.DUMMYFUNCTION("""COMPUTED_VALUE"""),"د/ أحمد عصام احمد عبدالمنعم")</f>
        <v>د/ أحمد عصام احمد عبدالمنعم</v>
      </c>
      <c r="H2876" s="5" t="str">
        <f ca="1">IFERROR(__xludf.DUMMYFUNCTION("""COMPUTED_VALUE"""),"شارع المستودع - برج تسابيح - امام مدرسه السادات")</f>
        <v>شارع المستودع - برج تسابيح - امام مدرسه السادات</v>
      </c>
      <c r="I2876" s="6" t="str">
        <f ca="1">IFERROR(__xludf.DUMMYFUNCTION("""COMPUTED_VALUE"""),"1118818425")</f>
        <v>1118818425</v>
      </c>
      <c r="J2876" s="6"/>
      <c r="K2876" s="6" t="str">
        <f ca="1">IFERROR(__xludf.DUMMYFUNCTION("""COMPUTED_VALUE"""),"خصم 30% علي اسعار النقدي المعلنة")</f>
        <v>خصم 30% علي اسعار النقدي المعلنة</v>
      </c>
    </row>
    <row r="2877" spans="1:11" x14ac:dyDescent="0.25">
      <c r="A2877" s="4" t="str">
        <f ca="1">IFERROR(__xludf.DUMMYFUNCTION("""COMPUTED_VALUE"""),"107191-B")</f>
        <v>107191-B</v>
      </c>
      <c r="B2877" s="5" t="str">
        <f ca="1">IFERROR(__xludf.DUMMYFUNCTION("""COMPUTED_VALUE"""),"الشرقية")</f>
        <v>الشرقية</v>
      </c>
      <c r="C2877" s="5" t="str">
        <f ca="1">IFERROR(__xludf.DUMMYFUNCTION("""COMPUTED_VALUE"""),"الزقازيق")</f>
        <v>الزقازيق</v>
      </c>
      <c r="D2877" s="5" t="str">
        <f ca="1">IFERROR(__xludf.DUMMYFUNCTION("""COMPUTED_VALUE"""),"هيئة الأطباء")</f>
        <v>هيئة الأطباء</v>
      </c>
      <c r="E2877" s="5" t="str">
        <f ca="1">IFERROR(__xludf.DUMMYFUNCTION("""COMPUTED_VALUE"""),"اسنان")</f>
        <v>اسنان</v>
      </c>
      <c r="F2877" s="5" t="str">
        <f ca="1">IFERROR(__xludf.DUMMYFUNCTION("""COMPUTED_VALUE"""),"جراحة الفم والأسنان")</f>
        <v>جراحة الفم والأسنان</v>
      </c>
      <c r="G2877" s="5" t="str">
        <f ca="1">IFERROR(__xludf.DUMMYFUNCTION("""COMPUTED_VALUE"""),"د/ أحمد عصام احمد عبدالمنعم")</f>
        <v>د/ أحمد عصام احمد عبدالمنعم</v>
      </c>
      <c r="H2877" s="5" t="str">
        <f ca="1">IFERROR(__xludf.DUMMYFUNCTION("""COMPUTED_VALUE"""),"الصاغه - بجوار مسجد العلاويه")</f>
        <v>الصاغه - بجوار مسجد العلاويه</v>
      </c>
      <c r="I2877" s="6" t="str">
        <f ca="1">IFERROR(__xludf.DUMMYFUNCTION("""COMPUTED_VALUE"""),"1559556441")</f>
        <v>1559556441</v>
      </c>
      <c r="J2877" s="6"/>
      <c r="K2877" s="6" t="str">
        <f ca="1">IFERROR(__xludf.DUMMYFUNCTION("""COMPUTED_VALUE"""),"خصم 30% علي اسعار النقدي المعلنة")</f>
        <v>خصم 30% علي اسعار النقدي المعلنة</v>
      </c>
    </row>
    <row r="2878" spans="1:11" x14ac:dyDescent="0.25">
      <c r="A2878" s="4" t="str">
        <f ca="1">IFERROR(__xludf.DUMMYFUNCTION("""COMPUTED_VALUE"""),"107191-B")</f>
        <v>107191-B</v>
      </c>
      <c r="B2878" s="5" t="str">
        <f ca="1">IFERROR(__xludf.DUMMYFUNCTION("""COMPUTED_VALUE"""),"الشرقية")</f>
        <v>الشرقية</v>
      </c>
      <c r="C2878" s="5" t="str">
        <f ca="1">IFERROR(__xludf.DUMMYFUNCTION("""COMPUTED_VALUE"""),"أبو حماد")</f>
        <v>أبو حماد</v>
      </c>
      <c r="D2878" s="5" t="str">
        <f ca="1">IFERROR(__xludf.DUMMYFUNCTION("""COMPUTED_VALUE"""),"هيئة الأطباء")</f>
        <v>هيئة الأطباء</v>
      </c>
      <c r="E2878" s="5" t="str">
        <f ca="1">IFERROR(__xludf.DUMMYFUNCTION("""COMPUTED_VALUE"""),"اسنان")</f>
        <v>اسنان</v>
      </c>
      <c r="F2878" s="5" t="str">
        <f ca="1">IFERROR(__xludf.DUMMYFUNCTION("""COMPUTED_VALUE"""),"جراحة الفم والأسنان")</f>
        <v>جراحة الفم والأسنان</v>
      </c>
      <c r="G2878" s="5" t="str">
        <f ca="1">IFERROR(__xludf.DUMMYFUNCTION("""COMPUTED_VALUE"""),"د/ أحمد عصام احمد عبدالمنعم")</f>
        <v>د/ أحمد عصام احمد عبدالمنعم</v>
      </c>
      <c r="H2878" s="5" t="str">
        <f ca="1">IFERROR(__xludf.DUMMYFUNCTION("""COMPUTED_VALUE"""),"شارع الجيش مستشفي نورين بجوار البنك الاهلي")</f>
        <v>شارع الجيش مستشفي نورين بجوار البنك الاهلي</v>
      </c>
      <c r="I2878" s="6" t="str">
        <f ca="1">IFERROR(__xludf.DUMMYFUNCTION("""COMPUTED_VALUE"""),"1110030883")</f>
        <v>1110030883</v>
      </c>
      <c r="J2878" s="6"/>
      <c r="K2878" s="6" t="str">
        <f ca="1">IFERROR(__xludf.DUMMYFUNCTION("""COMPUTED_VALUE"""),"خصم 30% علي اسعار النقدي المعلنة")</f>
        <v>خصم 30% علي اسعار النقدي المعلنة</v>
      </c>
    </row>
    <row r="2879" spans="1:11" x14ac:dyDescent="0.25">
      <c r="A2879" s="4" t="str">
        <f ca="1">IFERROR(__xludf.DUMMYFUNCTION("""COMPUTED_VALUE"""),"107191-B")</f>
        <v>107191-B</v>
      </c>
      <c r="B2879" s="5" t="str">
        <f ca="1">IFERROR(__xludf.DUMMYFUNCTION("""COMPUTED_VALUE"""),"الجيزة")</f>
        <v>الجيزة</v>
      </c>
      <c r="C2879" s="5" t="str">
        <f ca="1">IFERROR(__xludf.DUMMYFUNCTION("""COMPUTED_VALUE"""),"المهندسين")</f>
        <v>المهندسين</v>
      </c>
      <c r="D2879" s="5" t="str">
        <f ca="1">IFERROR(__xludf.DUMMYFUNCTION("""COMPUTED_VALUE"""),"هيئة الأطباء")</f>
        <v>هيئة الأطباء</v>
      </c>
      <c r="E2879" s="5" t="str">
        <f ca="1">IFERROR(__xludf.DUMMYFUNCTION("""COMPUTED_VALUE"""),"اسنان")</f>
        <v>اسنان</v>
      </c>
      <c r="F2879" s="5" t="str">
        <f ca="1">IFERROR(__xludf.DUMMYFUNCTION("""COMPUTED_VALUE"""),"جراحة الفم والأسنان")</f>
        <v>جراحة الفم والأسنان</v>
      </c>
      <c r="G2879" s="5" t="str">
        <f ca="1">IFERROR(__xludf.DUMMYFUNCTION("""COMPUTED_VALUE"""),"د/ أحمد عصام احمد عبدالمنعم")</f>
        <v>د/ أحمد عصام احمد عبدالمنعم</v>
      </c>
      <c r="H2879" s="5" t="str">
        <f ca="1">IFERROR(__xludf.DUMMYFUNCTION("""COMPUTED_VALUE"""),"المهندسين 162شارع السودان امام كبابجي فرحات")</f>
        <v>المهندسين 162شارع السودان امام كبابجي فرحات</v>
      </c>
      <c r="I2879" s="6" t="str">
        <f ca="1">IFERROR(__xludf.DUMMYFUNCTION("""COMPUTED_VALUE"""),"1150005473")</f>
        <v>1150005473</v>
      </c>
      <c r="J2879" s="6"/>
      <c r="K2879" s="6" t="str">
        <f ca="1">IFERROR(__xludf.DUMMYFUNCTION("""COMPUTED_VALUE"""),"خصم 30% علي اسعار النقدي المعلنة")</f>
        <v>خصم 30% علي اسعار النقدي المعلنة</v>
      </c>
    </row>
    <row r="2880" spans="1:11" x14ac:dyDescent="0.25">
      <c r="A2880" s="4" t="str">
        <f ca="1">IFERROR(__xludf.DUMMYFUNCTION("""COMPUTED_VALUE"""),"107191-B")</f>
        <v>107191-B</v>
      </c>
      <c r="B2880" s="5" t="str">
        <f ca="1">IFERROR(__xludf.DUMMYFUNCTION("""COMPUTED_VALUE"""),"الشرقية")</f>
        <v>الشرقية</v>
      </c>
      <c r="C2880" s="5" t="str">
        <f ca="1">IFERROR(__xludf.DUMMYFUNCTION("""COMPUTED_VALUE"""),"مشتول السوق")</f>
        <v>مشتول السوق</v>
      </c>
      <c r="D2880" s="5" t="str">
        <f ca="1">IFERROR(__xludf.DUMMYFUNCTION("""COMPUTED_VALUE"""),"هيئة الأطباء")</f>
        <v>هيئة الأطباء</v>
      </c>
      <c r="E2880" s="5" t="str">
        <f ca="1">IFERROR(__xludf.DUMMYFUNCTION("""COMPUTED_VALUE"""),"اسنان")</f>
        <v>اسنان</v>
      </c>
      <c r="F2880" s="5" t="str">
        <f ca="1">IFERROR(__xludf.DUMMYFUNCTION("""COMPUTED_VALUE"""),"جراحة الفم والأسنان")</f>
        <v>جراحة الفم والأسنان</v>
      </c>
      <c r="G2880" s="5" t="str">
        <f ca="1">IFERROR(__xludf.DUMMYFUNCTION("""COMPUTED_VALUE"""),"د/ أحمد عصام احمد عبدالمنعم")</f>
        <v>د/ أحمد عصام احمد عبدالمنعم</v>
      </c>
      <c r="H2880" s="5" t="str">
        <f ca="1">IFERROR(__xludf.DUMMYFUNCTION("""COMPUTED_VALUE"""),"ش. جراج الحاج فؤاد ابو العيش بجوار بيتزا ايطاليانو")</f>
        <v>ش. جراج الحاج فؤاد ابو العيش بجوار بيتزا ايطاليانو</v>
      </c>
      <c r="I2880" s="6" t="str">
        <f ca="1">IFERROR(__xludf.DUMMYFUNCTION("""COMPUTED_VALUE"""),"1013120676")</f>
        <v>1013120676</v>
      </c>
      <c r="J2880" s="6"/>
      <c r="K2880" s="6" t="str">
        <f ca="1">IFERROR(__xludf.DUMMYFUNCTION("""COMPUTED_VALUE"""),"خصم 30% علي اسعار النقدي المعلنة")</f>
        <v>خصم 30% علي اسعار النقدي المعلنة</v>
      </c>
    </row>
    <row r="2881" spans="1:11" x14ac:dyDescent="0.25">
      <c r="A2881" s="4" t="str">
        <f ca="1">IFERROR(__xludf.DUMMYFUNCTION("""COMPUTED_VALUE"""),"107192")</f>
        <v>107192</v>
      </c>
      <c r="B2881" s="5" t="str">
        <f ca="1">IFERROR(__xludf.DUMMYFUNCTION("""COMPUTED_VALUE"""),"القليوبية")</f>
        <v>القليوبية</v>
      </c>
      <c r="C2881" s="5" t="str">
        <f ca="1">IFERROR(__xludf.DUMMYFUNCTION("""COMPUTED_VALUE"""),"قليوب")</f>
        <v>قليوب</v>
      </c>
      <c r="D2881" s="5" t="str">
        <f ca="1">IFERROR(__xludf.DUMMYFUNCTION("""COMPUTED_VALUE"""),"هيئة الأطباء")</f>
        <v>هيئة الأطباء</v>
      </c>
      <c r="E2881" s="5" t="str">
        <f ca="1">IFERROR(__xludf.DUMMYFUNCTION("""COMPUTED_VALUE"""),"اسنان")</f>
        <v>اسنان</v>
      </c>
      <c r="F2881" s="5" t="str">
        <f ca="1">IFERROR(__xludf.DUMMYFUNCTION("""COMPUTED_VALUE"""),"جراحة الفم والأسنان")</f>
        <v>جراحة الفم والأسنان</v>
      </c>
      <c r="G2881" s="5" t="str">
        <f ca="1">IFERROR(__xludf.DUMMYFUNCTION("""COMPUTED_VALUE"""),"د/ محمد محمود محمد الشحات عبد العزيز")</f>
        <v>د/ محمد محمود محمد الشحات عبد العزيز</v>
      </c>
      <c r="H2881" s="5" t="str">
        <f ca="1">IFERROR(__xludf.DUMMYFUNCTION("""COMPUTED_VALUE"""),"1 ش ابراهيم باشا دوران قليوب البلد - م قليوب - القليوبية")</f>
        <v>1 ش ابراهيم باشا دوران قليوب البلد - م قليوب - القليوبية</v>
      </c>
      <c r="I2881" s="6" t="str">
        <f ca="1">IFERROR(__xludf.DUMMYFUNCTION("""COMPUTED_VALUE"""),"01061854248")</f>
        <v>01061854248</v>
      </c>
      <c r="J2881" s="6"/>
      <c r="K2881" s="6" t="str">
        <f ca="1">IFERROR(__xludf.DUMMYFUNCTION("""COMPUTED_VALUE"""),"خصم 30% علي اسعار النقدي المعلنة")</f>
        <v>خصم 30% علي اسعار النقدي المعلنة</v>
      </c>
    </row>
    <row r="2882" spans="1:11" x14ac:dyDescent="0.25">
      <c r="A2882" s="4" t="str">
        <f ca="1">IFERROR(__xludf.DUMMYFUNCTION("""COMPUTED_VALUE"""),"107193")</f>
        <v>107193</v>
      </c>
      <c r="B2882" s="5" t="str">
        <f ca="1">IFERROR(__xludf.DUMMYFUNCTION("""COMPUTED_VALUE"""),"الدقهلية")</f>
        <v>الدقهلية</v>
      </c>
      <c r="C2882" s="5" t="str">
        <f ca="1">IFERROR(__xludf.DUMMYFUNCTION("""COMPUTED_VALUE"""),"السنبلاوين")</f>
        <v>السنبلاوين</v>
      </c>
      <c r="D2882" s="5" t="str">
        <f ca="1">IFERROR(__xludf.DUMMYFUNCTION("""COMPUTED_VALUE"""),"مستشفى")</f>
        <v>مستشفى</v>
      </c>
      <c r="E2882" s="5" t="str">
        <f ca="1">IFERROR(__xludf.DUMMYFUNCTION("""COMPUTED_VALUE"""),"مستشفي طبي متخصص")</f>
        <v>مستشفي طبي متخصص</v>
      </c>
      <c r="F2882" s="5" t="str">
        <f ca="1">IFERROR(__xludf.DUMMYFUNCTION("""COMPUTED_VALUE"""),"رمد (جراحة عيون)")</f>
        <v>رمد (جراحة عيون)</v>
      </c>
      <c r="G2882" s="5" t="str">
        <f ca="1">IFERROR(__xludf.DUMMYFUNCTION("""COMPUTED_VALUE"""),"مني عرفات محمد منصور (مركز رؤية للعيون)")</f>
        <v>مني عرفات محمد منصور (مركز رؤية للعيون)</v>
      </c>
      <c r="H2882" s="5" t="str">
        <f ca="1">IFERROR(__xludf.DUMMYFUNCTION("""COMPUTED_VALUE"""),"شارع المعاهدة الدور الثالث - برج الشربيني - السنبلاوين - الدقهلية")</f>
        <v>شارع المعاهدة الدور الثالث - برج الشربيني - السنبلاوين - الدقهلية</v>
      </c>
      <c r="I2882" s="6" t="str">
        <f ca="1">IFERROR(__xludf.DUMMYFUNCTION("""COMPUTED_VALUE"""),"01559093880")</f>
        <v>01559093880</v>
      </c>
      <c r="J2882" s="6"/>
      <c r="K2882" s="6" t="str">
        <f ca="1">IFERROR(__xludf.DUMMYFUNCTION("""COMPUTED_VALUE"""),"خصم 30% علي اسعار النقدي المعلنة")</f>
        <v>خصم 30% علي اسعار النقدي المعلنة</v>
      </c>
    </row>
    <row r="2883" spans="1:11" x14ac:dyDescent="0.25">
      <c r="A2883" s="4" t="str">
        <f ca="1">IFERROR(__xludf.DUMMYFUNCTION("""COMPUTED_VALUE"""),"107194")</f>
        <v>107194</v>
      </c>
      <c r="B2883" s="5" t="str">
        <f ca="1">IFERROR(__xludf.DUMMYFUNCTION("""COMPUTED_VALUE"""),"القليوبية")</f>
        <v>القليوبية</v>
      </c>
      <c r="C2883" s="5" t="str">
        <f ca="1">IFERROR(__xludf.DUMMYFUNCTION("""COMPUTED_VALUE"""),"شبين القناطر")</f>
        <v>شبين القناطر</v>
      </c>
      <c r="D2883" s="5" t="str">
        <f ca="1">IFERROR(__xludf.DUMMYFUNCTION("""COMPUTED_VALUE"""),"هيئة الأطباء")</f>
        <v>هيئة الأطباء</v>
      </c>
      <c r="E2883" s="5" t="str">
        <f ca="1">IFERROR(__xludf.DUMMYFUNCTION("""COMPUTED_VALUE"""),"أطفال")</f>
        <v>أطفال</v>
      </c>
      <c r="F2883" s="5" t="str">
        <f ca="1">IFERROR(__xludf.DUMMYFUNCTION("""COMPUTED_VALUE"""),"طب أطفال")</f>
        <v>طب أطفال</v>
      </c>
      <c r="G2883" s="5" t="str">
        <f ca="1">IFERROR(__xludf.DUMMYFUNCTION("""COMPUTED_VALUE"""),"د/ حسن حسين حسن منصور")</f>
        <v>د/ حسن حسين حسن منصور</v>
      </c>
      <c r="H2883" s="5" t="str">
        <f ca="1">IFERROR(__xludf.DUMMYFUNCTION("""COMPUTED_VALUE"""),"شارع الدلتا - شبين القناطر - القليوبية")</f>
        <v>شارع الدلتا - شبين القناطر - القليوبية</v>
      </c>
      <c r="I2883" s="6" t="str">
        <f ca="1">IFERROR(__xludf.DUMMYFUNCTION("""COMPUTED_VALUE"""),"01140080913")</f>
        <v>01140080913</v>
      </c>
      <c r="J2883" s="6"/>
      <c r="K2883" s="6" t="str">
        <f ca="1">IFERROR(__xludf.DUMMYFUNCTION("""COMPUTED_VALUE"""),"خصم 30% علي اسعار النقدي المعلنة")</f>
        <v>خصم 30% علي اسعار النقدي المعلنة</v>
      </c>
    </row>
    <row r="2884" spans="1:11" x14ac:dyDescent="0.25">
      <c r="A2884" s="4" t="str">
        <f ca="1">IFERROR(__xludf.DUMMYFUNCTION("""COMPUTED_VALUE"""),"107195")</f>
        <v>107195</v>
      </c>
      <c r="B2884" s="5" t="str">
        <f ca="1">IFERROR(__xludf.DUMMYFUNCTION("""COMPUTED_VALUE"""),"كفر الشيخ")</f>
        <v>كفر الشيخ</v>
      </c>
      <c r="C2884" s="5" t="str">
        <f ca="1">IFERROR(__xludf.DUMMYFUNCTION("""COMPUTED_VALUE"""),"الحامول")</f>
        <v>الحامول</v>
      </c>
      <c r="D2884" s="5" t="str">
        <f ca="1">IFERROR(__xludf.DUMMYFUNCTION("""COMPUTED_VALUE"""),"صيدلية")</f>
        <v>صيدلية</v>
      </c>
      <c r="E2884" s="5" t="str">
        <f ca="1">IFERROR(__xludf.DUMMYFUNCTION("""COMPUTED_VALUE"""),"صيدلية")</f>
        <v>صيدلية</v>
      </c>
      <c r="F2884" s="5" t="str">
        <f ca="1">IFERROR(__xludf.DUMMYFUNCTION("""COMPUTED_VALUE"""),"صيدلية (أدوية ومستلزمات طبية)")</f>
        <v>صيدلية (أدوية ومستلزمات طبية)</v>
      </c>
      <c r="G2884" s="5" t="str">
        <f ca="1">IFERROR(__xludf.DUMMYFUNCTION("""COMPUTED_VALUE"""),"صيدلية د. ريهام عبد الرازق السعدني عبد الرازق السعدني")</f>
        <v>صيدلية د. ريهام عبد الرازق السعدني عبد الرازق السعدني</v>
      </c>
      <c r="H2884" s="5" t="str">
        <f ca="1">IFERROR(__xludf.DUMMYFUNCTION("""COMPUTED_VALUE"""),"ش متفرع من العاشر عقبه بن خلف بنك الاسكندرية - الحامول - كفرالشيخ")</f>
        <v>ش متفرع من العاشر عقبه بن خلف بنك الاسكندرية - الحامول - كفرالشيخ</v>
      </c>
      <c r="I2884" s="6" t="str">
        <f ca="1">IFERROR(__xludf.DUMMYFUNCTION("""COMPUTED_VALUE"""),"01091332055")</f>
        <v>01091332055</v>
      </c>
      <c r="J2884" s="6"/>
      <c r="K2884" s="6" t="str">
        <f ca="1">IFERROR(__xludf.DUMMYFUNCTION("""COMPUTED_VALUE"""),"خصم 14% علي المحلي و خصم 7% علي المستورد")</f>
        <v>خصم 14% علي المحلي و خصم 7% علي المستورد</v>
      </c>
    </row>
    <row r="2885" spans="1:11" x14ac:dyDescent="0.25">
      <c r="A2885" s="4" t="str">
        <f ca="1">IFERROR(__xludf.DUMMYFUNCTION("""COMPUTED_VALUE"""),"107196")</f>
        <v>107196</v>
      </c>
      <c r="B2885" s="5" t="str">
        <f ca="1">IFERROR(__xludf.DUMMYFUNCTION("""COMPUTED_VALUE"""),"الجيزة")</f>
        <v>الجيزة</v>
      </c>
      <c r="C2885" s="5" t="str">
        <f ca="1">IFERROR(__xludf.DUMMYFUNCTION("""COMPUTED_VALUE"""),"السادس من اكتوبر")</f>
        <v>السادس من اكتوبر</v>
      </c>
      <c r="D2885" s="5" t="str">
        <f ca="1">IFERROR(__xludf.DUMMYFUNCTION("""COMPUTED_VALUE"""),"مستشفى")</f>
        <v>مستشفى</v>
      </c>
      <c r="E2885" s="5" t="str">
        <f ca="1">IFERROR(__xludf.DUMMYFUNCTION("""COMPUTED_VALUE"""),"مستشفي طبي متخصص")</f>
        <v>مستشفي طبي متخصص</v>
      </c>
      <c r="F2885" s="5" t="str">
        <f ca="1">IFERROR(__xludf.DUMMYFUNCTION("""COMPUTED_VALUE"""),"قلب واوعية دموية")</f>
        <v>قلب واوعية دموية</v>
      </c>
      <c r="G2885" s="5" t="str">
        <f ca="1">IFERROR(__xludf.DUMMYFUNCTION("""COMPUTED_VALUE"""),"مركز عصام بليغ (شركة اكتوبر للخدمات الطبيه)")</f>
        <v>مركز عصام بليغ (شركة اكتوبر للخدمات الطبيه)</v>
      </c>
      <c r="H2885" s="5" t="str">
        <f ca="1">IFERROR(__xludf.DUMMYFUNCTION("""COMPUTED_VALUE"""),"7 ب المحور المركزي - شركة الفتح للاسكان و التعمير - قطعه 2/1623 - أكتوبر - الجيزة")</f>
        <v>7 ب المحور المركزي - شركة الفتح للاسكان و التعمير - قطعه 2/1623 - أكتوبر - الجيزة</v>
      </c>
      <c r="I2885" s="6" t="str">
        <f ca="1">IFERROR(__xludf.DUMMYFUNCTION("""COMPUTED_VALUE"""),"01225223006")</f>
        <v>01225223006</v>
      </c>
      <c r="J2885" s="6"/>
      <c r="K2885" s="6" t="str">
        <f ca="1">IFERROR(__xludf.DUMMYFUNCTION("""COMPUTED_VALUE"""),"خصم 30% علي اسعار النقدي المعلنة")</f>
        <v>خصم 30% علي اسعار النقدي المعلنة</v>
      </c>
    </row>
    <row r="2886" spans="1:11" x14ac:dyDescent="0.25">
      <c r="A2886" s="4" t="str">
        <f ca="1">IFERROR(__xludf.DUMMYFUNCTION("""COMPUTED_VALUE"""),"104892")</f>
        <v>104892</v>
      </c>
      <c r="B2886" s="5" t="str">
        <f ca="1">IFERROR(__xludf.DUMMYFUNCTION("""COMPUTED_VALUE"""),"الشرقية")</f>
        <v>الشرقية</v>
      </c>
      <c r="C2886" s="5" t="str">
        <f ca="1">IFERROR(__xludf.DUMMYFUNCTION("""COMPUTED_VALUE"""),"الزقازيق")</f>
        <v>الزقازيق</v>
      </c>
      <c r="D2886" s="5" t="str">
        <f ca="1">IFERROR(__xludf.DUMMYFUNCTION("""COMPUTED_VALUE"""),"مركز أشعة")</f>
        <v>مركز أشعة</v>
      </c>
      <c r="E2886" s="5" t="str">
        <f ca="1">IFERROR(__xludf.DUMMYFUNCTION("""COMPUTED_VALUE"""),"مركز أشعة")</f>
        <v>مركز أشعة</v>
      </c>
      <c r="F2886" s="5" t="str">
        <f ca="1">IFERROR(__xludf.DUMMYFUNCTION("""COMPUTED_VALUE"""),"مركز الأشعة التشخيصية")</f>
        <v>مركز الأشعة التشخيصية</v>
      </c>
      <c r="G2886" s="5" t="str">
        <f ca="1">IFERROR(__xludf.DUMMYFUNCTION("""COMPUTED_VALUE"""),"مركز دار الاشعة (د/ احمد حسن حسن رزق)")</f>
        <v>مركز دار الاشعة (د/ احمد حسن حسن رزق)</v>
      </c>
      <c r="H2886" s="5" t="str">
        <f ca="1">IFERROR(__xludf.DUMMYFUNCTION("""COMPUTED_VALUE"""),"ميدان القومية 4ش القدس خلف مستشفى الحرمين")</f>
        <v>ميدان القومية 4ش القدس خلف مستشفى الحرمين</v>
      </c>
      <c r="I2886" s="6" t="str">
        <f ca="1">IFERROR(__xludf.DUMMYFUNCTION("""COMPUTED_VALUE"""),"01097045458")</f>
        <v>01097045458</v>
      </c>
      <c r="J2886" s="6"/>
      <c r="K2886" s="6" t="str">
        <f ca="1">IFERROR(__xludf.DUMMYFUNCTION("""COMPUTED_VALUE"""),"خصم يصل الي 20%")</f>
        <v>خصم يصل الي 20%</v>
      </c>
    </row>
    <row r="2887" spans="1:11" x14ac:dyDescent="0.25">
      <c r="A2887" s="4" t="str">
        <f ca="1">IFERROR(__xludf.DUMMYFUNCTION("""COMPUTED_VALUE"""),"104892-B")</f>
        <v>104892-B</v>
      </c>
      <c r="B2887" s="5" t="str">
        <f ca="1">IFERROR(__xludf.DUMMYFUNCTION("""COMPUTED_VALUE"""),"الجيزة")</f>
        <v>الجيزة</v>
      </c>
      <c r="C2887" s="5" t="str">
        <f ca="1">IFERROR(__xludf.DUMMYFUNCTION("""COMPUTED_VALUE"""),"السادس من اكتوبر")</f>
        <v>السادس من اكتوبر</v>
      </c>
      <c r="D2887" s="5" t="str">
        <f ca="1">IFERROR(__xludf.DUMMYFUNCTION("""COMPUTED_VALUE"""),"مركز أشعة")</f>
        <v>مركز أشعة</v>
      </c>
      <c r="E2887" s="5" t="str">
        <f ca="1">IFERROR(__xludf.DUMMYFUNCTION("""COMPUTED_VALUE"""),"مركز أشعة")</f>
        <v>مركز أشعة</v>
      </c>
      <c r="F2887" s="5" t="str">
        <f ca="1">IFERROR(__xludf.DUMMYFUNCTION("""COMPUTED_VALUE"""),"مركز الأشعة التشخيصية")</f>
        <v>مركز الأشعة التشخيصية</v>
      </c>
      <c r="G2887" s="5" t="str">
        <f ca="1">IFERROR(__xludf.DUMMYFUNCTION("""COMPUTED_VALUE"""),"مركز دار الاشعة (د/ احمد حسن حسن رزق)")</f>
        <v>مركز دار الاشعة (د/ احمد حسن حسن رزق)</v>
      </c>
      <c r="H2887" s="5" t="str">
        <f ca="1">IFERROR(__xludf.DUMMYFUNCTION("""COMPUTED_VALUE"""),"ميدان الحصري برج البرعي بلازا")</f>
        <v>ميدان الحصري برج البرعي بلازا</v>
      </c>
      <c r="I2887" s="6" t="str">
        <f ca="1">IFERROR(__xludf.DUMMYFUNCTION("""COMPUTED_VALUE"""),"01097045458")</f>
        <v>01097045458</v>
      </c>
      <c r="J2887" s="6"/>
      <c r="K2887" s="6" t="str">
        <f ca="1">IFERROR(__xludf.DUMMYFUNCTION("""COMPUTED_VALUE"""),"خصم يصل الي 20%")</f>
        <v>خصم يصل الي 20%</v>
      </c>
    </row>
    <row r="2888" spans="1:11" x14ac:dyDescent="0.25">
      <c r="A2888" s="4" t="str">
        <f ca="1">IFERROR(__xludf.DUMMYFUNCTION("""COMPUTED_VALUE"""),"107197")</f>
        <v>107197</v>
      </c>
      <c r="B2888" s="5" t="str">
        <f ca="1">IFERROR(__xludf.DUMMYFUNCTION("""COMPUTED_VALUE"""),"أسوان")</f>
        <v>أسوان</v>
      </c>
      <c r="C2888" s="5" t="str">
        <f ca="1">IFERROR(__xludf.DUMMYFUNCTION("""COMPUTED_VALUE"""),"أسوان")</f>
        <v>أسوان</v>
      </c>
      <c r="D2888" s="5" t="str">
        <f ca="1">IFERROR(__xludf.DUMMYFUNCTION("""COMPUTED_VALUE"""),"هيئة الأطباء")</f>
        <v>هيئة الأطباء</v>
      </c>
      <c r="E2888" s="5" t="str">
        <f ca="1">IFERROR(__xludf.DUMMYFUNCTION("""COMPUTED_VALUE"""),"اسنان")</f>
        <v>اسنان</v>
      </c>
      <c r="F2888" s="5" t="str">
        <f ca="1">IFERROR(__xludf.DUMMYFUNCTION("""COMPUTED_VALUE"""),"جراحة الفم والأسنان")</f>
        <v>جراحة الفم والأسنان</v>
      </c>
      <c r="G2888" s="5" t="str">
        <f ca="1">IFERROR(__xludf.DUMMYFUNCTION("""COMPUTED_VALUE"""),"د. مارك رجائي بهيج ابراهيم")</f>
        <v>د. مارك رجائي بهيج ابراهيم</v>
      </c>
      <c r="H2888" s="5" t="str">
        <f ca="1">IFERROR(__xludf.DUMMYFUNCTION("""COMPUTED_VALUE"""),"47 ش هميمي الجيلاوي - أسوان")</f>
        <v>47 ش هميمي الجيلاوي - أسوان</v>
      </c>
      <c r="I2888" s="6" t="str">
        <f ca="1">IFERROR(__xludf.DUMMYFUNCTION("""COMPUTED_VALUE"""),"01006327052")</f>
        <v>01006327052</v>
      </c>
      <c r="J2888" s="6"/>
      <c r="K2888" s="6" t="str">
        <f ca="1">IFERROR(__xludf.DUMMYFUNCTION("""COMPUTED_VALUE"""),"خصم 30% علي اسعار النقدي المعلنة")</f>
        <v>خصم 30% علي اسعار النقدي المعلنة</v>
      </c>
    </row>
    <row r="2889" spans="1:11" x14ac:dyDescent="0.25">
      <c r="A2889" s="4" t="str">
        <f ca="1">IFERROR(__xludf.DUMMYFUNCTION("""COMPUTED_VALUE"""),"107198")</f>
        <v>107198</v>
      </c>
      <c r="B2889" s="5" t="str">
        <f ca="1">IFERROR(__xludf.DUMMYFUNCTION("""COMPUTED_VALUE"""),"القاهرة")</f>
        <v>القاهرة</v>
      </c>
      <c r="C2889" s="5" t="str">
        <f ca="1">IFERROR(__xludf.DUMMYFUNCTION("""COMPUTED_VALUE"""),"مدينة الشروق")</f>
        <v>مدينة الشروق</v>
      </c>
      <c r="D2889" s="5" t="str">
        <f ca="1">IFERROR(__xludf.DUMMYFUNCTION("""COMPUTED_VALUE"""),"مجمع عيادات")</f>
        <v>مجمع عيادات</v>
      </c>
      <c r="E2889" s="5" t="str">
        <f ca="1">IFERROR(__xludf.DUMMYFUNCTION("""COMPUTED_VALUE"""),"جميع التخصصات")</f>
        <v>جميع التخصصات</v>
      </c>
      <c r="F2889" s="5" t="str">
        <f ca="1">IFERROR(__xludf.DUMMYFUNCTION("""COMPUTED_VALUE"""),"جميع التخصصات الطبية")</f>
        <v>جميع التخصصات الطبية</v>
      </c>
      <c r="G2889" s="5" t="str">
        <f ca="1">IFERROR(__xludf.DUMMYFUNCTION("""COMPUTED_VALUE"""),"عيادات قيصر كلينيك")</f>
        <v>عيادات قيصر كلينيك</v>
      </c>
      <c r="H2889" s="5" t="str">
        <f ca="1">IFERROR(__xludf.DUMMYFUNCTION("""COMPUTED_VALUE"""),"جراند مول الحي الثالث شرق - عيادة رقم 1 بالدور الثاني - مدينة الشروق")</f>
        <v>جراند مول الحي الثالث شرق - عيادة رقم 1 بالدور الثاني - مدينة الشروق</v>
      </c>
      <c r="I2889" s="6" t="str">
        <f ca="1">IFERROR(__xludf.DUMMYFUNCTION("""COMPUTED_VALUE"""),"01227750706")</f>
        <v>01227750706</v>
      </c>
      <c r="J2889" s="6"/>
      <c r="K2889" s="6" t="str">
        <f ca="1">IFERROR(__xludf.DUMMYFUNCTION("""COMPUTED_VALUE"""),"خصم 25% علي اسعار النقدي المعلنة")</f>
        <v>خصم 25% علي اسعار النقدي المعلنة</v>
      </c>
    </row>
    <row r="2890" spans="1:11" x14ac:dyDescent="0.25">
      <c r="A2890" s="4" t="str">
        <f ca="1">IFERROR(__xludf.DUMMYFUNCTION("""COMPUTED_VALUE"""),"107199")</f>
        <v>107199</v>
      </c>
      <c r="B2890" s="5" t="str">
        <f ca="1">IFERROR(__xludf.DUMMYFUNCTION("""COMPUTED_VALUE"""),"القاهرة")</f>
        <v>القاهرة</v>
      </c>
      <c r="C2890" s="5" t="str">
        <f ca="1">IFERROR(__xludf.DUMMYFUNCTION("""COMPUTED_VALUE"""),"المعادى")</f>
        <v>المعادى</v>
      </c>
      <c r="D2890" s="5" t="str">
        <f ca="1">IFERROR(__xludf.DUMMYFUNCTION("""COMPUTED_VALUE"""),"مستشفى")</f>
        <v>مستشفى</v>
      </c>
      <c r="E2890" s="5" t="str">
        <f ca="1">IFERROR(__xludf.DUMMYFUNCTION("""COMPUTED_VALUE"""),"مستشفي طبي متخصص")</f>
        <v>مستشفي طبي متخصص</v>
      </c>
      <c r="F2890" s="5" t="str">
        <f ca="1">IFERROR(__xludf.DUMMYFUNCTION("""COMPUTED_VALUE"""),"نساء وتوليد")</f>
        <v>نساء وتوليد</v>
      </c>
      <c r="G2890" s="5" t="str">
        <f ca="1">IFERROR(__xludf.DUMMYFUNCTION("""COMPUTED_VALUE"""),"المركز المصري لاطفال الانابيب")</f>
        <v>المركز المصري لاطفال الانابيب</v>
      </c>
      <c r="H2890" s="5" t="str">
        <f ca="1">IFERROR(__xludf.DUMMYFUNCTION("""COMPUTED_VALUE"""),"عقار 3 ب شارع 161 حدائق المعادي - القاهرة")</f>
        <v>عقار 3 ب شارع 161 حدائق المعادي - القاهرة</v>
      </c>
      <c r="I2890" s="6"/>
      <c r="J2890" s="6" t="str">
        <f ca="1">IFERROR(__xludf.DUMMYFUNCTION("""COMPUTED_VALUE"""),"16487")</f>
        <v>16487</v>
      </c>
      <c r="K2890" s="6" t="str">
        <f ca="1">IFERROR(__xludf.DUMMYFUNCTION("""COMPUTED_VALUE"""),"خصم 25% علي الكشوفات و خصم 15% علي باقي الخدمات المتاحة بالمركز.")</f>
        <v>خصم 25% علي الكشوفات و خصم 15% علي باقي الخدمات المتاحة بالمركز.</v>
      </c>
    </row>
    <row r="2891" spans="1:11" x14ac:dyDescent="0.25">
      <c r="A2891" s="4" t="str">
        <f ca="1">IFERROR(__xludf.DUMMYFUNCTION("""COMPUTED_VALUE"""),"106213-B")</f>
        <v>106213-B</v>
      </c>
      <c r="B2891" s="5" t="str">
        <f ca="1">IFERROR(__xludf.DUMMYFUNCTION("""COMPUTED_VALUE"""),"الاسكندرية")</f>
        <v>الاسكندرية</v>
      </c>
      <c r="C2891" s="5" t="str">
        <f ca="1">IFERROR(__xludf.DUMMYFUNCTION("""COMPUTED_VALUE"""),"العجمي")</f>
        <v>العجمي</v>
      </c>
      <c r="D2891" s="5" t="str">
        <f ca="1">IFERROR(__xludf.DUMMYFUNCTION("""COMPUTED_VALUE"""),"مجمع عيادات")</f>
        <v>مجمع عيادات</v>
      </c>
      <c r="E2891" s="5" t="str">
        <f ca="1">IFERROR(__xludf.DUMMYFUNCTION("""COMPUTED_VALUE"""),"جميع التخصصات")</f>
        <v>جميع التخصصات</v>
      </c>
      <c r="F2891" s="5" t="str">
        <f ca="1">IFERROR(__xludf.DUMMYFUNCTION("""COMPUTED_VALUE"""),"جميع التخصصات الطبية")</f>
        <v>جميع التخصصات الطبية</v>
      </c>
      <c r="G2891" s="5" t="str">
        <f ca="1">IFERROR(__xludf.DUMMYFUNCTION("""COMPUTED_VALUE"""),"شركة داوي لتجهيز المنشات الطبية")</f>
        <v>شركة داوي لتجهيز المنشات الطبية</v>
      </c>
      <c r="H2891" s="5" t="str">
        <f ca="1">IFERROR(__xludf.DUMMYFUNCTION("""COMPUTED_VALUE"""),"العجمي – الهانوفيل أمام كارفور")</f>
        <v>العجمي – الهانوفيل أمام كارفور</v>
      </c>
      <c r="I2891" s="6"/>
      <c r="J2891" s="6" t="str">
        <f ca="1">IFERROR(__xludf.DUMMYFUNCTION("""COMPUTED_VALUE"""),"16850")</f>
        <v>16850</v>
      </c>
      <c r="K2891" s="6" t="str">
        <f ca="1">IFERROR(__xludf.DUMMYFUNCTION("""COMPUTED_VALUE"""),"خصم 25% علي جميع الخدمات و20% علي خدمات الاسنان")</f>
        <v>خصم 25% علي جميع الخدمات و20% علي خدمات الاسنان</v>
      </c>
    </row>
    <row r="2892" spans="1:11" x14ac:dyDescent="0.25">
      <c r="A2892" s="4" t="str">
        <f ca="1">IFERROR(__xludf.DUMMYFUNCTION("""COMPUTED_VALUE"""),"104296-B")</f>
        <v>104296-B</v>
      </c>
      <c r="B2892" s="5" t="str">
        <f ca="1">IFERROR(__xludf.DUMMYFUNCTION("""COMPUTED_VALUE"""),"القاهرة")</f>
        <v>القاهرة</v>
      </c>
      <c r="C2892" s="5" t="str">
        <f ca="1">IFERROR(__xludf.DUMMYFUNCTION("""COMPUTED_VALUE"""),"القاهرة الجديدة")</f>
        <v>القاهرة الجديدة</v>
      </c>
      <c r="D2892" s="5" t="str">
        <f ca="1">IFERROR(__xludf.DUMMYFUNCTION("""COMPUTED_VALUE"""),"مركز علاج طبيعي")</f>
        <v>مركز علاج طبيعي</v>
      </c>
      <c r="E2892" s="5" t="str">
        <f ca="1">IFERROR(__xludf.DUMMYFUNCTION("""COMPUTED_VALUE"""),"علاج طبيعي")</f>
        <v>علاج طبيعي</v>
      </c>
      <c r="F2892" s="5" t="str">
        <f ca="1">IFERROR(__xludf.DUMMYFUNCTION("""COMPUTED_VALUE"""),"جلسات العلاج الطبيعي")</f>
        <v>جلسات العلاج الطبيعي</v>
      </c>
      <c r="G2892" s="5" t="str">
        <f ca="1">IFERROR(__xludf.DUMMYFUNCTION("""COMPUTED_VALUE"""),"مركز ألفا كير للعلاج الطبيعي (د.كريم عبدالقوى عبدالله)")</f>
        <v>مركز ألفا كير للعلاج الطبيعي (د.كريم عبدالقوى عبدالله)</v>
      </c>
      <c r="H2892" s="5" t="str">
        <f ca="1">IFERROR(__xludf.DUMMYFUNCTION("""COMPUTED_VALUE"""),"مول سواي محور محمد نجيب امام كبوند ديار")</f>
        <v>مول سواي محور محمد نجيب امام كبوند ديار</v>
      </c>
      <c r="I2892" s="6"/>
      <c r="J2892" s="6" t="str">
        <f ca="1">IFERROR(__xludf.DUMMYFUNCTION("""COMPUTED_VALUE"""),"15662")</f>
        <v>15662</v>
      </c>
      <c r="K2892" s="6" t="str">
        <f ca="1">IFERROR(__xludf.DUMMYFUNCTION("""COMPUTED_VALUE"""),"30% على جميع الخدمات")</f>
        <v>30% على جميع الخدمات</v>
      </c>
    </row>
    <row r="2893" spans="1:11" x14ac:dyDescent="0.25">
      <c r="A2893" s="4" t="str">
        <f ca="1">IFERROR(__xludf.DUMMYFUNCTION("""COMPUTED_VALUE"""),"104296-B")</f>
        <v>104296-B</v>
      </c>
      <c r="B2893" s="5" t="str">
        <f ca="1">IFERROR(__xludf.DUMMYFUNCTION("""COMPUTED_VALUE"""),"القاهرة")</f>
        <v>القاهرة</v>
      </c>
      <c r="C2893" s="5" t="str">
        <f ca="1">IFERROR(__xludf.DUMMYFUNCTION("""COMPUTED_VALUE"""),"مدينة نصر")</f>
        <v>مدينة نصر</v>
      </c>
      <c r="D2893" s="5" t="str">
        <f ca="1">IFERROR(__xludf.DUMMYFUNCTION("""COMPUTED_VALUE"""),"مركز علاج طبيعي")</f>
        <v>مركز علاج طبيعي</v>
      </c>
      <c r="E2893" s="5" t="str">
        <f ca="1">IFERROR(__xludf.DUMMYFUNCTION("""COMPUTED_VALUE"""),"علاج طبيعي")</f>
        <v>علاج طبيعي</v>
      </c>
      <c r="F2893" s="5" t="str">
        <f ca="1">IFERROR(__xludf.DUMMYFUNCTION("""COMPUTED_VALUE"""),"جلسات العلاج الطبيعي")</f>
        <v>جلسات العلاج الطبيعي</v>
      </c>
      <c r="G2893" s="5" t="str">
        <f ca="1">IFERROR(__xludf.DUMMYFUNCTION("""COMPUTED_VALUE"""),"مركز ألفا كير للعلاج الطبيعي (د.كريم عبدالقوى عبدالله)")</f>
        <v>مركز ألفا كير للعلاج الطبيعي (د.كريم عبدالقوى عبدالله)</v>
      </c>
      <c r="H2893" s="5" t="str">
        <f ca="1">IFERROR(__xludf.DUMMYFUNCTION("""COMPUTED_VALUE"""),"مركز ألفا كير للعلاج الطبيعي فرع  مدينة نصر  31 شارع زهير صبري متفرع من شارع الطيران بجوار بنك CIB")</f>
        <v>مركز ألفا كير للعلاج الطبيعي فرع  مدينة نصر  31 شارع زهير صبري متفرع من شارع الطيران بجوار بنك CIB</v>
      </c>
      <c r="I2893" s="6"/>
      <c r="J2893" s="6" t="str">
        <f ca="1">IFERROR(__xludf.DUMMYFUNCTION("""COMPUTED_VALUE"""),"15662")</f>
        <v>15662</v>
      </c>
      <c r="K2893" s="6" t="str">
        <f ca="1">IFERROR(__xludf.DUMMYFUNCTION("""COMPUTED_VALUE"""),"30% على جميع الخدمات")</f>
        <v>30% على جميع الخدمات</v>
      </c>
    </row>
    <row r="2894" spans="1:11" x14ac:dyDescent="0.25">
      <c r="A2894" s="4" t="str">
        <f ca="1">IFERROR(__xludf.DUMMYFUNCTION("""COMPUTED_VALUE"""),"104296-B")</f>
        <v>104296-B</v>
      </c>
      <c r="B2894" s="5" t="str">
        <f ca="1">IFERROR(__xludf.DUMMYFUNCTION("""COMPUTED_VALUE"""),"القاهرة")</f>
        <v>القاهرة</v>
      </c>
      <c r="C2894" s="5" t="str">
        <f ca="1">IFERROR(__xludf.DUMMYFUNCTION("""COMPUTED_VALUE"""),"وسط البلد")</f>
        <v>وسط البلد</v>
      </c>
      <c r="D2894" s="5" t="str">
        <f ca="1">IFERROR(__xludf.DUMMYFUNCTION("""COMPUTED_VALUE"""),"مركز علاج طبيعي")</f>
        <v>مركز علاج طبيعي</v>
      </c>
      <c r="E2894" s="5" t="str">
        <f ca="1">IFERROR(__xludf.DUMMYFUNCTION("""COMPUTED_VALUE"""),"علاج طبيعي")</f>
        <v>علاج طبيعي</v>
      </c>
      <c r="F2894" s="5" t="str">
        <f ca="1">IFERROR(__xludf.DUMMYFUNCTION("""COMPUTED_VALUE"""),"جلسات العلاج الطبيعي")</f>
        <v>جلسات العلاج الطبيعي</v>
      </c>
      <c r="G2894" s="5" t="str">
        <f ca="1">IFERROR(__xludf.DUMMYFUNCTION("""COMPUTED_VALUE"""),"مركز ألفا كير للعلاج الطبيعي (د.كريم عبدالقوى عبدالله)")</f>
        <v>مركز ألفا كير للعلاج الطبيعي (د.كريم عبدالقوى عبدالله)</v>
      </c>
      <c r="H2894" s="5" t="str">
        <f ca="1">IFERROR(__xludf.DUMMYFUNCTION("""COMPUTED_VALUE"""),"مركز ألفا كير للعلاج الطبيعي فرع  باب اللوق  183 شارع التحرير – عماءرة استراند – الدور الرابع شقة ( 13 )")</f>
        <v>مركز ألفا كير للعلاج الطبيعي فرع  باب اللوق  183 شارع التحرير – عماءرة استراند – الدور الرابع شقة ( 13 )</v>
      </c>
      <c r="I2894" s="6"/>
      <c r="J2894" s="6" t="str">
        <f ca="1">IFERROR(__xludf.DUMMYFUNCTION("""COMPUTED_VALUE"""),"15662")</f>
        <v>15662</v>
      </c>
      <c r="K2894" s="6" t="str">
        <f ca="1">IFERROR(__xludf.DUMMYFUNCTION("""COMPUTED_VALUE"""),"30% على جميع الخدمات")</f>
        <v>30% على جميع الخدمات</v>
      </c>
    </row>
    <row r="2895" spans="1:11" x14ac:dyDescent="0.25">
      <c r="A2895" s="4" t="str">
        <f ca="1">IFERROR(__xludf.DUMMYFUNCTION("""COMPUTED_VALUE"""),"104296-B")</f>
        <v>104296-B</v>
      </c>
      <c r="B2895" s="5" t="str">
        <f ca="1">IFERROR(__xludf.DUMMYFUNCTION("""COMPUTED_VALUE"""),"الجيزة")</f>
        <v>الجيزة</v>
      </c>
      <c r="C2895" s="5" t="str">
        <f ca="1">IFERROR(__xludf.DUMMYFUNCTION("""COMPUTED_VALUE"""),"حدائق الاهرام")</f>
        <v>حدائق الاهرام</v>
      </c>
      <c r="D2895" s="5" t="str">
        <f ca="1">IFERROR(__xludf.DUMMYFUNCTION("""COMPUTED_VALUE"""),"مركز علاج طبيعي")</f>
        <v>مركز علاج طبيعي</v>
      </c>
      <c r="E2895" s="5" t="str">
        <f ca="1">IFERROR(__xludf.DUMMYFUNCTION("""COMPUTED_VALUE"""),"علاج طبيعي")</f>
        <v>علاج طبيعي</v>
      </c>
      <c r="F2895" s="5" t="str">
        <f ca="1">IFERROR(__xludf.DUMMYFUNCTION("""COMPUTED_VALUE"""),"جلسات العلاج الطبيعي")</f>
        <v>جلسات العلاج الطبيعي</v>
      </c>
      <c r="G2895" s="5" t="str">
        <f ca="1">IFERROR(__xludf.DUMMYFUNCTION("""COMPUTED_VALUE"""),"مركز ألفا كير للعلاج الطبيعي (د.كريم عبدالقوى عبدالله)")</f>
        <v>مركز ألفا كير للعلاج الطبيعي (د.كريم عبدالقوى عبدالله)</v>
      </c>
      <c r="H2895" s="5" t="str">
        <f ca="1">IFERROR(__xludf.DUMMYFUNCTION("""COMPUTED_VALUE"""),"مركز ألفا كير للعلاج الطبيعي فرع حدائق الاهرام البوابة الرابعة شارع الخزان - ٢٤٣ ن الدور الأول اعلي يورو مارشيه ")</f>
        <v xml:space="preserve">مركز ألفا كير للعلاج الطبيعي فرع حدائق الاهرام البوابة الرابعة شارع الخزان - ٢٤٣ ن الدور الأول اعلي يورو مارشيه </v>
      </c>
      <c r="I2895" s="6"/>
      <c r="J2895" s="6" t="str">
        <f ca="1">IFERROR(__xludf.DUMMYFUNCTION("""COMPUTED_VALUE"""),"15662")</f>
        <v>15662</v>
      </c>
      <c r="K2895" s="6" t="str">
        <f ca="1">IFERROR(__xludf.DUMMYFUNCTION("""COMPUTED_VALUE"""),"30% على جميع الخدمات")</f>
        <v>30% على جميع الخدمات</v>
      </c>
    </row>
    <row r="2896" spans="1:11" x14ac:dyDescent="0.25">
      <c r="A2896" s="4" t="str">
        <f ca="1">IFERROR(__xludf.DUMMYFUNCTION("""COMPUTED_VALUE"""),"104296-B")</f>
        <v>104296-B</v>
      </c>
      <c r="B2896" s="5" t="str">
        <f ca="1">IFERROR(__xludf.DUMMYFUNCTION("""COMPUTED_VALUE"""),"الجيزة")</f>
        <v>الجيزة</v>
      </c>
      <c r="C2896" s="5" t="str">
        <f ca="1">IFERROR(__xludf.DUMMYFUNCTION("""COMPUTED_VALUE"""),"السادس من اكتوبر")</f>
        <v>السادس من اكتوبر</v>
      </c>
      <c r="D2896" s="5" t="str">
        <f ca="1">IFERROR(__xludf.DUMMYFUNCTION("""COMPUTED_VALUE"""),"مركز علاج طبيعي")</f>
        <v>مركز علاج طبيعي</v>
      </c>
      <c r="E2896" s="5" t="str">
        <f ca="1">IFERROR(__xludf.DUMMYFUNCTION("""COMPUTED_VALUE"""),"علاج طبيعي")</f>
        <v>علاج طبيعي</v>
      </c>
      <c r="F2896" s="5" t="str">
        <f ca="1">IFERROR(__xludf.DUMMYFUNCTION("""COMPUTED_VALUE"""),"جلسات العلاج الطبيعي")</f>
        <v>جلسات العلاج الطبيعي</v>
      </c>
      <c r="G2896" s="5" t="str">
        <f ca="1">IFERROR(__xludf.DUMMYFUNCTION("""COMPUTED_VALUE"""),"مركز ألفا كير للعلاج الطبيعي (د.كريم عبدالقوى عبدالله)")</f>
        <v>مركز ألفا كير للعلاج الطبيعي (د.كريم عبدالقوى عبدالله)</v>
      </c>
      <c r="H2896" s="5" t="str">
        <f ca="1">IFERROR(__xludf.DUMMYFUNCTION("""COMPUTED_VALUE"""),"مركز ألفا كير للعلاج الطبيعي فرع  6 أكتوبر مدخل جهاز مدينه 6 أكتوبر - امام نادي 6 أكتوبر - عماره رقم 216 - معرض سيارات محمود حمد - الحي السابع المحور الخلفي ")</f>
        <v xml:space="preserve">مركز ألفا كير للعلاج الطبيعي فرع  6 أكتوبر مدخل جهاز مدينه 6 أكتوبر - امام نادي 6 أكتوبر - عماره رقم 216 - معرض سيارات محمود حمد - الحي السابع المحور الخلفي </v>
      </c>
      <c r="I2896" s="6"/>
      <c r="J2896" s="6" t="str">
        <f ca="1">IFERROR(__xludf.DUMMYFUNCTION("""COMPUTED_VALUE"""),"15662")</f>
        <v>15662</v>
      </c>
      <c r="K2896" s="6" t="str">
        <f ca="1">IFERROR(__xludf.DUMMYFUNCTION("""COMPUTED_VALUE"""),"30% على جميع الخدمات")</f>
        <v>30% على جميع الخدمات</v>
      </c>
    </row>
    <row r="2897" spans="1:11" x14ac:dyDescent="0.25">
      <c r="A2897" s="4" t="str">
        <f ca="1">IFERROR(__xludf.DUMMYFUNCTION("""COMPUTED_VALUE"""),"104296-B")</f>
        <v>104296-B</v>
      </c>
      <c r="B2897" s="5" t="str">
        <f ca="1">IFERROR(__xludf.DUMMYFUNCTION("""COMPUTED_VALUE"""),"القليوبية")</f>
        <v>القليوبية</v>
      </c>
      <c r="C2897" s="5" t="str">
        <f ca="1">IFERROR(__xludf.DUMMYFUNCTION("""COMPUTED_VALUE"""),"شبرا الخيمة")</f>
        <v>شبرا الخيمة</v>
      </c>
      <c r="D2897" s="5" t="str">
        <f ca="1">IFERROR(__xludf.DUMMYFUNCTION("""COMPUTED_VALUE"""),"مركز علاج طبيعي")</f>
        <v>مركز علاج طبيعي</v>
      </c>
      <c r="E2897" s="5" t="str">
        <f ca="1">IFERROR(__xludf.DUMMYFUNCTION("""COMPUTED_VALUE"""),"علاج طبيعي")</f>
        <v>علاج طبيعي</v>
      </c>
      <c r="F2897" s="5" t="str">
        <f ca="1">IFERROR(__xludf.DUMMYFUNCTION("""COMPUTED_VALUE"""),"جلسات العلاج الطبيعي")</f>
        <v>جلسات العلاج الطبيعي</v>
      </c>
      <c r="G2897" s="5" t="str">
        <f ca="1">IFERROR(__xludf.DUMMYFUNCTION("""COMPUTED_VALUE"""),"مركز ألفا كير للعلاج الطبيعي (د.كريم عبدالقوى عبدالله)")</f>
        <v>مركز ألفا كير للعلاج الطبيعي (د.كريم عبدالقوى عبدالله)</v>
      </c>
      <c r="H2897" s="5" t="str">
        <f ca="1">IFERROR(__xludf.DUMMYFUNCTION("""COMPUTED_VALUE"""),"مركز ألفاكير للعلاج الطبيعي فرع ""شبرا الخيمة"" برج سيتي مول اعلي كارفور وحلواني العبد الدور العاشر 
")</f>
        <v xml:space="preserve">مركز ألفاكير للعلاج الطبيعي فرع "شبرا الخيمة" برج سيتي مول اعلي كارفور وحلواني العبد الدور العاشر 
</v>
      </c>
      <c r="I2897" s="6"/>
      <c r="J2897" s="6" t="str">
        <f ca="1">IFERROR(__xludf.DUMMYFUNCTION("""COMPUTED_VALUE"""),"15662")</f>
        <v>15662</v>
      </c>
      <c r="K2897" s="6" t="str">
        <f ca="1">IFERROR(__xludf.DUMMYFUNCTION("""COMPUTED_VALUE"""),"30% على جميع الخدمات")</f>
        <v>30% على جميع الخدمات</v>
      </c>
    </row>
    <row r="2898" spans="1:11" x14ac:dyDescent="0.25">
      <c r="A2898" s="4" t="str">
        <f ca="1">IFERROR(__xludf.DUMMYFUNCTION("""COMPUTED_VALUE"""),"107141-B")</f>
        <v>107141-B</v>
      </c>
      <c r="B2898" s="5" t="str">
        <f ca="1">IFERROR(__xludf.DUMMYFUNCTION("""COMPUTED_VALUE"""),"القاهرة")</f>
        <v>القاهرة</v>
      </c>
      <c r="C2898" s="5" t="str">
        <f ca="1">IFERROR(__xludf.DUMMYFUNCTION("""COMPUTED_VALUE"""),"القاهرة الجديدة")</f>
        <v>القاهرة الجديدة</v>
      </c>
      <c r="D2898" s="5" t="str">
        <f ca="1">IFERROR(__xludf.DUMMYFUNCTION("""COMPUTED_VALUE"""),"مجمع عيادات")</f>
        <v>مجمع عيادات</v>
      </c>
      <c r="E2898" s="5" t="str">
        <f ca="1">IFERROR(__xludf.DUMMYFUNCTION("""COMPUTED_VALUE"""),"جميع التخصصات")</f>
        <v>جميع التخصصات</v>
      </c>
      <c r="F2898" s="5" t="str">
        <f ca="1">IFERROR(__xludf.DUMMYFUNCTION("""COMPUTED_VALUE"""),"جميع التخصصات الطبية")</f>
        <v>جميع التخصصات الطبية</v>
      </c>
      <c r="G2898" s="5" t="str">
        <f ca="1">IFERROR(__xludf.DUMMYFUNCTION("""COMPUTED_VALUE"""),"المستشفي البريطاني - الشروق")</f>
        <v>المستشفي البريطاني - الشروق</v>
      </c>
      <c r="H2898" s="5" t="str">
        <f ca="1">IFERROR(__xludf.DUMMYFUNCTION("""COMPUTED_VALUE"""),"عياده رقم 15 بالمركز الطبي - مدينتي")</f>
        <v>عياده رقم 15 بالمركز الطبي - مدينتي</v>
      </c>
      <c r="I2898" s="6" t="str">
        <f ca="1">IFERROR(__xludf.DUMMYFUNCTION("""COMPUTED_VALUE"""),"01005665615")</f>
        <v>01005665615</v>
      </c>
      <c r="J2898" s="6" t="str">
        <f ca="1">IFERROR(__xludf.DUMMYFUNCTION("""COMPUTED_VALUE"""),"15023")</f>
        <v>15023</v>
      </c>
      <c r="K2898" s="6" t="str">
        <f ca="1">IFERROR(__xludf.DUMMYFUNCTION("""COMPUTED_VALUE"""),"خصم 30%علي الأسعار النقدي المعلنة")</f>
        <v>خصم 30%علي الأسعار النقدي المعلنة</v>
      </c>
    </row>
    <row r="2899" spans="1:11" x14ac:dyDescent="0.25">
      <c r="A2899" s="4" t="str">
        <f ca="1">IFERROR(__xludf.DUMMYFUNCTION("""COMPUTED_VALUE"""),"107200")</f>
        <v>107200</v>
      </c>
      <c r="B2899" s="5" t="str">
        <f ca="1">IFERROR(__xludf.DUMMYFUNCTION("""COMPUTED_VALUE"""),"الجيزة")</f>
        <v>الجيزة</v>
      </c>
      <c r="C2899" s="5" t="str">
        <f ca="1">IFERROR(__xludf.DUMMYFUNCTION("""COMPUTED_VALUE"""),"السادس من اكتوبر")</f>
        <v>السادس من اكتوبر</v>
      </c>
      <c r="D2899" s="5" t="str">
        <f ca="1">IFERROR(__xludf.DUMMYFUNCTION("""COMPUTED_VALUE"""),"مستشفى")</f>
        <v>مستشفى</v>
      </c>
      <c r="E2899" s="5" t="str">
        <f ca="1">IFERROR(__xludf.DUMMYFUNCTION("""COMPUTED_VALUE"""),"مستشفي طبي متكامل")</f>
        <v>مستشفي طبي متكامل</v>
      </c>
      <c r="F2899" s="5" t="str">
        <f ca="1">IFERROR(__xludf.DUMMYFUNCTION("""COMPUTED_VALUE"""),"جميع التخصصات الطبية")</f>
        <v>جميع التخصصات الطبية</v>
      </c>
      <c r="G2899" s="5" t="str">
        <f ca="1">IFERROR(__xludf.DUMMYFUNCTION("""COMPUTED_VALUE"""),"مستشفي العظام و الاصابات التخصصي (مستشفي المحور)")</f>
        <v>مستشفي العظام و الاصابات التخصصي (مستشفي المحور)</v>
      </c>
      <c r="H2899" s="5" t="str">
        <f ca="1">IFERROR(__xludf.DUMMYFUNCTION("""COMPUTED_VALUE"""),"ق 1 و 2 منطقة التوسعات طريق محور أكتوبر - مكتب دور لأول مبني ب")</f>
        <v>ق 1 و 2 منطقة التوسعات طريق محور أكتوبر - مكتب دور لأول مبني ب</v>
      </c>
      <c r="I2899" s="6"/>
      <c r="J2899" s="6" t="str">
        <f ca="1">IFERROR(__xludf.DUMMYFUNCTION("""COMPUTED_VALUE"""),"15626")</f>
        <v>15626</v>
      </c>
      <c r="K2899" s="6" t="str">
        <f ca="1">IFERROR(__xludf.DUMMYFUNCTION("""COMPUTED_VALUE"""),"45% علي خدمات القسم الخارجي و الداخلي فيما عدا الادويه و المستلزمات و الصفقات الشاملة و ما هو موضح انه غير خاضع للخصم بقائمه الاسعار و تطبيق نسبة خصم 50% علي الاشعه و التحاليل بالقسم الخارجي و الداخلي و الطوارئ و تطبيق نسبة خصم 20% علي اتعاب الاطباء و 5% "&amp;"علي مناظير الجهاز الهضمي علي الاسعار المعلنة للجمهور.")</f>
        <v>45% علي خدمات القسم الخارجي و الداخلي فيما عدا الادويه و المستلزمات و الصفقات الشاملة و ما هو موضح انه غير خاضع للخصم بقائمه الاسعار و تطبيق نسبة خصم 50% علي الاشعه و التحاليل بالقسم الخارجي و الداخلي و الطوارئ و تطبيق نسبة خصم 20% علي اتعاب الاطباء و 5% علي مناظير الجهاز الهضمي علي الاسعار المعلنة للجمهور.</v>
      </c>
    </row>
    <row r="2900" spans="1:11" x14ac:dyDescent="0.25">
      <c r="A2900" s="4" t="str">
        <f ca="1">IFERROR(__xludf.DUMMYFUNCTION("""COMPUTED_VALUE"""),"107203")</f>
        <v>107203</v>
      </c>
      <c r="B2900" s="5" t="str">
        <f ca="1">IFERROR(__xludf.DUMMYFUNCTION("""COMPUTED_VALUE"""),"الإسماعيلية")</f>
        <v>الإسماعيلية</v>
      </c>
      <c r="C2900" s="5" t="str">
        <f ca="1">IFERROR(__xludf.DUMMYFUNCTION("""COMPUTED_VALUE"""),"الإسماعيلية")</f>
        <v>الإسماعيلية</v>
      </c>
      <c r="D2900" s="5" t="str">
        <f ca="1">IFERROR(__xludf.DUMMYFUNCTION("""COMPUTED_VALUE"""),"شركة")</f>
        <v>شركة</v>
      </c>
      <c r="E2900" s="5" t="str">
        <f ca="1">IFERROR(__xludf.DUMMYFUNCTION("""COMPUTED_VALUE"""),"شركة اجهزة طبية")</f>
        <v>شركة اجهزة طبية</v>
      </c>
      <c r="F2900" s="5" t="str">
        <f ca="1">IFERROR(__xludf.DUMMYFUNCTION("""COMPUTED_VALUE"""),"مركز بصريات")</f>
        <v>مركز بصريات</v>
      </c>
      <c r="G2900" s="5" t="str">
        <f ca="1">IFERROR(__xludf.DUMMYFUNCTION("""COMPUTED_VALUE"""),"سلوي فتحي محمود فهمي (مركز رؤية اوبتيكال للبصريات)")</f>
        <v>سلوي فتحي محمود فهمي (مركز رؤية اوبتيكال للبصريات)</v>
      </c>
      <c r="H2900" s="5" t="str">
        <f ca="1">IFERROR(__xludf.DUMMYFUNCTION("""COMPUTED_VALUE"""),"32 ش المدينة المنوره بجوار حي الضواحي - الاسماعيليه")</f>
        <v>32 ش المدينة المنوره بجوار حي الضواحي - الاسماعيليه</v>
      </c>
      <c r="I2900" s="6" t="str">
        <f ca="1">IFERROR(__xludf.DUMMYFUNCTION("""COMPUTED_VALUE"""),"01015558061")</f>
        <v>01015558061</v>
      </c>
      <c r="J2900" s="6"/>
      <c r="K2900" s="6" t="str">
        <f ca="1">IFERROR(__xludf.DUMMYFUNCTION("""COMPUTED_VALUE"""),"خصم 30% علي اسعار النقدي المعلنة")</f>
        <v>خصم 30% علي اسعار النقدي المعلنة</v>
      </c>
    </row>
    <row r="2901" spans="1:11" x14ac:dyDescent="0.25">
      <c r="A2901" s="4" t="str">
        <f ca="1">IFERROR(__xludf.DUMMYFUNCTION("""COMPUTED_VALUE"""),"107204")</f>
        <v>107204</v>
      </c>
      <c r="B2901" s="5" t="str">
        <f ca="1">IFERROR(__xludf.DUMMYFUNCTION("""COMPUTED_VALUE"""),"القاهرة")</f>
        <v>القاهرة</v>
      </c>
      <c r="C2901" s="5" t="str">
        <f ca="1">IFERROR(__xludf.DUMMYFUNCTION("""COMPUTED_VALUE"""),"المعادى")</f>
        <v>المعادى</v>
      </c>
      <c r="D2901" s="5" t="str">
        <f ca="1">IFERROR(__xludf.DUMMYFUNCTION("""COMPUTED_VALUE"""),"مستشفى")</f>
        <v>مستشفى</v>
      </c>
      <c r="E2901" s="5" t="str">
        <f ca="1">IFERROR(__xludf.DUMMYFUNCTION("""COMPUTED_VALUE"""),"مستشفي طبي متخصص")</f>
        <v>مستشفي طبي متخصص</v>
      </c>
      <c r="F2901" s="5" t="str">
        <f ca="1">IFERROR(__xludf.DUMMYFUNCTION("""COMPUTED_VALUE"""),"مركز أورام")</f>
        <v>مركز أورام</v>
      </c>
      <c r="G2901" s="5" t="str">
        <f ca="1">IFERROR(__xludf.DUMMYFUNCTION("""COMPUTED_VALUE"""),"اكرامي سيد عثمان و شركاه (مركز النيل لعلاج الأورام)")</f>
        <v>اكرامي سيد عثمان و شركاه (مركز النيل لعلاج الأورام)</v>
      </c>
      <c r="H2901" s="5" t="str">
        <f ca="1">IFERROR(__xludf.DUMMYFUNCTION("""COMPUTED_VALUE"""),"21 علي 26 الدور الثاني نموذج 24 اللاسلكي الشطر 3 - المعادي - القاهرة")</f>
        <v>21 علي 26 الدور الثاني نموذج 24 اللاسلكي الشطر 3 - المعادي - القاهرة</v>
      </c>
      <c r="I2901" s="6" t="str">
        <f ca="1">IFERROR(__xludf.DUMMYFUNCTION("""COMPUTED_VALUE"""),"01227853118")</f>
        <v>01227853118</v>
      </c>
      <c r="J2901" s="6"/>
      <c r="K2901" s="6" t="str">
        <f ca="1">IFERROR(__xludf.DUMMYFUNCTION("""COMPUTED_VALUE"""),"خصم 30% علي اسعار النقدي المعلنة")</f>
        <v>خصم 30% علي اسعار النقدي المعلنة</v>
      </c>
    </row>
    <row r="2902" spans="1:11" x14ac:dyDescent="0.25">
      <c r="A2902" s="4" t="str">
        <f ca="1">IFERROR(__xludf.DUMMYFUNCTION("""COMPUTED_VALUE"""),"107206")</f>
        <v>107206</v>
      </c>
      <c r="B2902" s="5" t="str">
        <f ca="1">IFERROR(__xludf.DUMMYFUNCTION("""COMPUTED_VALUE"""),"الغربية")</f>
        <v>الغربية</v>
      </c>
      <c r="C2902" s="5" t="str">
        <f ca="1">IFERROR(__xludf.DUMMYFUNCTION("""COMPUTED_VALUE"""),"طنطا")</f>
        <v>طنطا</v>
      </c>
      <c r="D2902" s="5" t="str">
        <f ca="1">IFERROR(__xludf.DUMMYFUNCTION("""COMPUTED_VALUE"""),"مستشفى")</f>
        <v>مستشفى</v>
      </c>
      <c r="E2902" s="5" t="str">
        <f ca="1">IFERROR(__xludf.DUMMYFUNCTION("""COMPUTED_VALUE"""),"مستشفي طبي متخصص")</f>
        <v>مستشفي طبي متخصص</v>
      </c>
      <c r="F2902" s="5" t="str">
        <f ca="1">IFERROR(__xludf.DUMMYFUNCTION("""COMPUTED_VALUE"""),"أنف وأذن وحنجرة")</f>
        <v>أنف وأذن وحنجرة</v>
      </c>
      <c r="G2902" s="5" t="str">
        <f ca="1">IFERROR(__xludf.DUMMYFUNCTION("""COMPUTED_VALUE"""),"محمد عبدالحكيم محمد و شركاه (المركز التخصصي للانف والاذن و الحنجرة و امراض السمع و الكلام)")</f>
        <v>محمد عبدالحكيم محمد و شركاه (المركز التخصصي للانف والاذن و الحنجرة و امراض السمع و الكلام)</v>
      </c>
      <c r="H2902" s="5" t="str">
        <f ca="1">IFERROR(__xludf.DUMMYFUNCTION("""COMPUTED_VALUE"""),"اخر شارع الاشرف مع الكورنيش - طنطا - الغربيه")</f>
        <v>اخر شارع الاشرف مع الكورنيش - طنطا - الغربيه</v>
      </c>
      <c r="I2902" s="6" t="str">
        <f ca="1">IFERROR(__xludf.DUMMYFUNCTION("""COMPUTED_VALUE"""),"0403302265")</f>
        <v>0403302265</v>
      </c>
      <c r="J2902" s="6"/>
      <c r="K2902" s="6" t="str">
        <f ca="1">IFERROR(__xludf.DUMMYFUNCTION("""COMPUTED_VALUE"""),"خصم 30% علي اسعار النقدي المعلنة")</f>
        <v>خصم 30% علي اسعار النقدي المعلنة</v>
      </c>
    </row>
    <row r="2903" spans="1:11" x14ac:dyDescent="0.25">
      <c r="A2903" s="4" t="str">
        <f ca="1">IFERROR(__xludf.DUMMYFUNCTION("""COMPUTED_VALUE"""),"107207")</f>
        <v>107207</v>
      </c>
      <c r="B2903" s="5" t="str">
        <f ca="1">IFERROR(__xludf.DUMMYFUNCTION("""COMPUTED_VALUE"""),"المنيا")</f>
        <v>المنيا</v>
      </c>
      <c r="C2903" s="5" t="str">
        <f ca="1">IFERROR(__xludf.DUMMYFUNCTION("""COMPUTED_VALUE"""),"المنيا")</f>
        <v>المنيا</v>
      </c>
      <c r="D2903" s="5" t="str">
        <f ca="1">IFERROR(__xludf.DUMMYFUNCTION("""COMPUTED_VALUE"""),"هيئة الأطباء")</f>
        <v>هيئة الأطباء</v>
      </c>
      <c r="E2903" s="5" t="str">
        <f ca="1">IFERROR(__xludf.DUMMYFUNCTION("""COMPUTED_VALUE"""),"باطنة")</f>
        <v>باطنة</v>
      </c>
      <c r="F2903" s="5" t="str">
        <f ca="1">IFERROR(__xludf.DUMMYFUNCTION("""COMPUTED_VALUE"""),"امراض الكلى و المسالك البولية")</f>
        <v>امراض الكلى و المسالك البولية</v>
      </c>
      <c r="G2903" s="5" t="str">
        <f ca="1">IFERROR(__xludf.DUMMYFUNCTION("""COMPUTED_VALUE"""),"د/ محمد طلعت محمد محمد")</f>
        <v>د/ محمد طلعت محمد محمد</v>
      </c>
      <c r="H2903" s="5" t="str">
        <f ca="1">IFERROR(__xludf.DUMMYFUNCTION("""COMPUTED_VALUE"""),"18 شارع احمد ماهر شارع الحسيني حاليا - الدور الأول العلوي - المنيا")</f>
        <v>18 شارع احمد ماهر شارع الحسيني حاليا - الدور الأول العلوي - المنيا</v>
      </c>
      <c r="I2903" s="6" t="str">
        <f ca="1">IFERROR(__xludf.DUMMYFUNCTION("""COMPUTED_VALUE"""),"01002591796")</f>
        <v>01002591796</v>
      </c>
      <c r="J2903" s="6"/>
      <c r="K2903" s="6" t="str">
        <f ca="1">IFERROR(__xludf.DUMMYFUNCTION("""COMPUTED_VALUE"""),"خصم 30% علي اسعار النقدي المعلنة")</f>
        <v>خصم 30% علي اسعار النقدي المعلنة</v>
      </c>
    </row>
    <row r="2904" spans="1:11" x14ac:dyDescent="0.25">
      <c r="A2904" s="4" t="str">
        <f ca="1">IFERROR(__xludf.DUMMYFUNCTION("""COMPUTED_VALUE"""),"107208")</f>
        <v>107208</v>
      </c>
      <c r="B2904" s="5" t="str">
        <f ca="1">IFERROR(__xludf.DUMMYFUNCTION("""COMPUTED_VALUE"""),"الغربية")</f>
        <v>الغربية</v>
      </c>
      <c r="C2904" s="5" t="str">
        <f ca="1">IFERROR(__xludf.DUMMYFUNCTION("""COMPUTED_VALUE"""),"السنطة")</f>
        <v>السنطة</v>
      </c>
      <c r="D2904" s="5" t="str">
        <f ca="1">IFERROR(__xludf.DUMMYFUNCTION("""COMPUTED_VALUE"""),"هيئة الأطباء")</f>
        <v>هيئة الأطباء</v>
      </c>
      <c r="E2904" s="5" t="str">
        <f ca="1">IFERROR(__xludf.DUMMYFUNCTION("""COMPUTED_VALUE"""),"اسنان")</f>
        <v>اسنان</v>
      </c>
      <c r="F2904" s="5" t="str">
        <f ca="1">IFERROR(__xludf.DUMMYFUNCTION("""COMPUTED_VALUE"""),"جراحة الفم والأسنان")</f>
        <v>جراحة الفم والأسنان</v>
      </c>
      <c r="G2904" s="5" t="str">
        <f ca="1">IFERROR(__xludf.DUMMYFUNCTION("""COMPUTED_VALUE"""),"د/ محمد محمد رشدي عواد سلامه")</f>
        <v>د/ محمد محمد رشدي عواد سلامه</v>
      </c>
      <c r="H2904" s="5" t="str">
        <f ca="1">IFERROR(__xludf.DUMMYFUNCTION("""COMPUTED_VALUE"""),"الجعفرية م السنطة - الغربيه")</f>
        <v>الجعفرية م السنطة - الغربيه</v>
      </c>
      <c r="I2904" s="6" t="str">
        <f ca="1">IFERROR(__xludf.DUMMYFUNCTION("""COMPUTED_VALUE"""),"01020340766")</f>
        <v>01020340766</v>
      </c>
      <c r="J2904" s="6"/>
      <c r="K2904" s="6" t="str">
        <f ca="1">IFERROR(__xludf.DUMMYFUNCTION("""COMPUTED_VALUE"""),"خصم 30% علي اسعار النقدي المعلنة")</f>
        <v>خصم 30% علي اسعار النقدي المعلنة</v>
      </c>
    </row>
    <row r="2905" spans="1:11" x14ac:dyDescent="0.25">
      <c r="A2905" s="4" t="str">
        <f ca="1">IFERROR(__xludf.DUMMYFUNCTION("""COMPUTED_VALUE"""),"107208-B")</f>
        <v>107208-B</v>
      </c>
      <c r="B2905" s="5" t="str">
        <f ca="1">IFERROR(__xludf.DUMMYFUNCTION("""COMPUTED_VALUE"""),"الغربية")</f>
        <v>الغربية</v>
      </c>
      <c r="C2905" s="5" t="str">
        <f ca="1">IFERROR(__xludf.DUMMYFUNCTION("""COMPUTED_VALUE"""),"طنطا")</f>
        <v>طنطا</v>
      </c>
      <c r="D2905" s="5" t="str">
        <f ca="1">IFERROR(__xludf.DUMMYFUNCTION("""COMPUTED_VALUE"""),"هيئة الأطباء")</f>
        <v>هيئة الأطباء</v>
      </c>
      <c r="E2905" s="5" t="str">
        <f ca="1">IFERROR(__xludf.DUMMYFUNCTION("""COMPUTED_VALUE"""),"اسنان")</f>
        <v>اسنان</v>
      </c>
      <c r="F2905" s="5" t="str">
        <f ca="1">IFERROR(__xludf.DUMMYFUNCTION("""COMPUTED_VALUE"""),"جراحة الفم والأسنان")</f>
        <v>جراحة الفم والأسنان</v>
      </c>
      <c r="G2905" s="5" t="str">
        <f ca="1">IFERROR(__xludf.DUMMYFUNCTION("""COMPUTED_VALUE"""),"د/ محمد محمد رشدي عواد سلامه")</f>
        <v>د/ محمد محمد رشدي عواد سلامه</v>
      </c>
      <c r="H2905" s="5" t="str">
        <f ca="1">IFERROR(__xludf.DUMMYFUNCTION("""COMPUTED_VALUE"""),"ش مستشفي المنشاوي العام - برج تكية المنشاوي - طنطا - الغربيه")</f>
        <v>ش مستشفي المنشاوي العام - برج تكية المنشاوي - طنطا - الغربيه</v>
      </c>
      <c r="I2905" s="6" t="str">
        <f ca="1">IFERROR(__xludf.DUMMYFUNCTION("""COMPUTED_VALUE"""),"01020340766")</f>
        <v>01020340766</v>
      </c>
      <c r="J2905" s="6"/>
      <c r="K2905" s="6" t="str">
        <f ca="1">IFERROR(__xludf.DUMMYFUNCTION("""COMPUTED_VALUE"""),"خصم 30% علي اسعار النقدي المعلنة")</f>
        <v>خصم 30% علي اسعار النقدي المعلنة</v>
      </c>
    </row>
    <row r="2906" spans="1:11" x14ac:dyDescent="0.25">
      <c r="A2906" s="4" t="str">
        <f ca="1">IFERROR(__xludf.DUMMYFUNCTION("""COMPUTED_VALUE"""),"107209")</f>
        <v>107209</v>
      </c>
      <c r="B2906" s="5" t="str">
        <f ca="1">IFERROR(__xludf.DUMMYFUNCTION("""COMPUTED_VALUE"""),"سوهاج")</f>
        <v>سوهاج</v>
      </c>
      <c r="C2906" s="5" t="str">
        <f ca="1">IFERROR(__xludf.DUMMYFUNCTION("""COMPUTED_VALUE"""),"جرجا")</f>
        <v>جرجا</v>
      </c>
      <c r="D2906" s="5" t="str">
        <f ca="1">IFERROR(__xludf.DUMMYFUNCTION("""COMPUTED_VALUE"""),"مستشفى")</f>
        <v>مستشفى</v>
      </c>
      <c r="E2906" s="5" t="str">
        <f ca="1">IFERROR(__xludf.DUMMYFUNCTION("""COMPUTED_VALUE"""),"مستشفي طبي متكامل")</f>
        <v>مستشفي طبي متكامل</v>
      </c>
      <c r="F2906" s="5" t="str">
        <f ca="1">IFERROR(__xludf.DUMMYFUNCTION("""COMPUTED_VALUE"""),"جميع التخصصات الطبية")</f>
        <v>جميع التخصصات الطبية</v>
      </c>
      <c r="G2906" s="5" t="str">
        <f ca="1">IFERROR(__xludf.DUMMYFUNCTION("""COMPUTED_VALUE"""),"(ورثه د/ حسن محمد علي احمد خليفه (مستشفي مكة التخصصي")</f>
        <v>(ورثه د/ حسن محمد علي احمد خليفه (مستشفي مكة التخصصي</v>
      </c>
      <c r="H2906" s="5" t="str">
        <f ca="1">IFERROR(__xludf.DUMMYFUNCTION("""COMPUTED_VALUE"""),"64 طريق جرجا السريع غرب نقطه مرور جرجا - سوهاج")</f>
        <v>64 طريق جرجا السريع غرب نقطه مرور جرجا - سوهاج</v>
      </c>
      <c r="I2906" s="6" t="str">
        <f ca="1">IFERROR(__xludf.DUMMYFUNCTION("""COMPUTED_VALUE"""),"01118056167")</f>
        <v>01118056167</v>
      </c>
      <c r="J2906" s="6"/>
      <c r="K2906" s="6" t="str">
        <f ca="1">IFERROR(__xludf.DUMMYFUNCTION("""COMPUTED_VALUE"""),"خصم 30% علي اسعار النقدي المعلنة")</f>
        <v>خصم 30% علي اسعار النقدي المعلنة</v>
      </c>
    </row>
    <row r="2907" spans="1:11" x14ac:dyDescent="0.25">
      <c r="A2907" s="4" t="str">
        <f ca="1">IFERROR(__xludf.DUMMYFUNCTION("""COMPUTED_VALUE"""),"107210")</f>
        <v>107210</v>
      </c>
      <c r="B2907" s="5" t="str">
        <f ca="1">IFERROR(__xludf.DUMMYFUNCTION("""COMPUTED_VALUE"""),"البحيرة")</f>
        <v>البحيرة</v>
      </c>
      <c r="C2907" s="5" t="str">
        <f ca="1">IFERROR(__xludf.DUMMYFUNCTION("""COMPUTED_VALUE"""),"ابو المطامير")</f>
        <v>ابو المطامير</v>
      </c>
      <c r="D2907" s="5" t="str">
        <f ca="1">IFERROR(__xludf.DUMMYFUNCTION("""COMPUTED_VALUE"""),"مركز أشعة")</f>
        <v>مركز أشعة</v>
      </c>
      <c r="E2907" s="5" t="str">
        <f ca="1">IFERROR(__xludf.DUMMYFUNCTION("""COMPUTED_VALUE"""),"مركز أشعة")</f>
        <v>مركز أشعة</v>
      </c>
      <c r="F2907" s="5" t="str">
        <f ca="1">IFERROR(__xludf.DUMMYFUNCTION("""COMPUTED_VALUE"""),"أشعة تشخيصية")</f>
        <v>أشعة تشخيصية</v>
      </c>
      <c r="G2907" s="5" t="str">
        <f ca="1">IFERROR(__xludf.DUMMYFUNCTION("""COMPUTED_VALUE"""),"احمد سمير محمد محمد أبو حمره (مركز اسر سكان للأشعه)")</f>
        <v>احمد سمير محمد محمد أبو حمره (مركز اسر سكان للأشعه)</v>
      </c>
      <c r="H2907" s="5" t="str">
        <f ca="1">IFERROR(__xludf.DUMMYFUNCTION("""COMPUTED_VALUE"""),"شارع عبد الواحد فهمي - حوش عيسي - أبو المطامير - البحيرة")</f>
        <v>شارع عبد الواحد فهمي - حوش عيسي - أبو المطامير - البحيرة</v>
      </c>
      <c r="I2907" s="6" t="str">
        <f ca="1">IFERROR(__xludf.DUMMYFUNCTION("""COMPUTED_VALUE"""),"0452737779")</f>
        <v>0452737779</v>
      </c>
      <c r="J2907" s="6"/>
      <c r="K2907" s="6" t="str">
        <f ca="1">IFERROR(__xludf.DUMMYFUNCTION("""COMPUTED_VALUE"""),"خصم 30% علي اسعار النقدي المعلنة")</f>
        <v>خصم 30% علي اسعار النقدي المعلنة</v>
      </c>
    </row>
    <row r="2908" spans="1:11" x14ac:dyDescent="0.25">
      <c r="A2908" s="4" t="str">
        <f ca="1">IFERROR(__xludf.DUMMYFUNCTION("""COMPUTED_VALUE"""),"106980-B")</f>
        <v>106980-B</v>
      </c>
      <c r="B2908" s="5" t="str">
        <f ca="1">IFERROR(__xludf.DUMMYFUNCTION("""COMPUTED_VALUE"""),"دمياط")</f>
        <v>دمياط</v>
      </c>
      <c r="C2908" s="5" t="str">
        <f ca="1">IFERROR(__xludf.DUMMYFUNCTION("""COMPUTED_VALUE"""),"دمياط الجديدة")</f>
        <v>دمياط الجديدة</v>
      </c>
      <c r="D2908" s="5" t="str">
        <f ca="1">IFERROR(__xludf.DUMMYFUNCTION("""COMPUTED_VALUE"""),"مجمع عيادات")</f>
        <v>مجمع عيادات</v>
      </c>
      <c r="E2908" s="5" t="str">
        <f ca="1">IFERROR(__xludf.DUMMYFUNCTION("""COMPUTED_VALUE"""),"جميع التخصصات")</f>
        <v>جميع التخصصات</v>
      </c>
      <c r="F2908" s="5" t="str">
        <f ca="1">IFERROR(__xludf.DUMMYFUNCTION("""COMPUTED_VALUE"""),"جميع التخصصات الطبية")</f>
        <v>جميع التخصصات الطبية</v>
      </c>
      <c r="G2908" s="5" t="str">
        <f ca="1">IFERROR(__xludf.DUMMYFUNCTION("""COMPUTED_VALUE"""),"عيادات العياده التخصصيه")</f>
        <v>عيادات العياده التخصصيه</v>
      </c>
      <c r="H2908" s="5" t="str">
        <f ca="1">IFERROR(__xludf.DUMMYFUNCTION("""COMPUTED_VALUE"""),"شارع المركزيه برج الديب فوق مركز الايمان")</f>
        <v>شارع المركزيه برج الديب فوق مركز الايمان</v>
      </c>
      <c r="I2908" s="6" t="str">
        <f ca="1">IFERROR(__xludf.DUMMYFUNCTION("""COMPUTED_VALUE"""),"572204544")</f>
        <v>572204544</v>
      </c>
      <c r="J2908" s="6"/>
      <c r="K2908" s="6" t="str">
        <f ca="1">IFERROR(__xludf.DUMMYFUNCTION("""COMPUTED_VALUE"""),"خصم 25% علي الاسعار النقدي")</f>
        <v>خصم 25% علي الاسعار النقدي</v>
      </c>
    </row>
    <row r="2909" spans="1:11" x14ac:dyDescent="0.25">
      <c r="A2909" s="4" t="str">
        <f ca="1">IFERROR(__xludf.DUMMYFUNCTION("""COMPUTED_VALUE"""),"106980-B")</f>
        <v>106980-B</v>
      </c>
      <c r="B2909" s="5" t="str">
        <f ca="1">IFERROR(__xludf.DUMMYFUNCTION("""COMPUTED_VALUE"""),"بني سويف")</f>
        <v>بني سويف</v>
      </c>
      <c r="C2909" s="5" t="str">
        <f ca="1">IFERROR(__xludf.DUMMYFUNCTION("""COMPUTED_VALUE"""),"بني سويف")</f>
        <v>بني سويف</v>
      </c>
      <c r="D2909" s="5" t="str">
        <f ca="1">IFERROR(__xludf.DUMMYFUNCTION("""COMPUTED_VALUE"""),"مجمع عيادات")</f>
        <v>مجمع عيادات</v>
      </c>
      <c r="E2909" s="5" t="str">
        <f ca="1">IFERROR(__xludf.DUMMYFUNCTION("""COMPUTED_VALUE"""),"جميع التخصصات")</f>
        <v>جميع التخصصات</v>
      </c>
      <c r="F2909" s="5" t="str">
        <f ca="1">IFERROR(__xludf.DUMMYFUNCTION("""COMPUTED_VALUE"""),"جميع التخصصات الطبية")</f>
        <v>جميع التخصصات الطبية</v>
      </c>
      <c r="G2909" s="5" t="str">
        <f ca="1">IFERROR(__xludf.DUMMYFUNCTION("""COMPUTED_VALUE"""),"عيادات العياده التخصصيه")</f>
        <v>عيادات العياده التخصصيه</v>
      </c>
      <c r="H2909" s="5" t="str">
        <f ca="1">IFERROR(__xludf.DUMMYFUNCTION("""COMPUTED_VALUE"""),"شاع عرابي ميدان الزراعين -برج مراد الدور السادس -بجوار برج الزهراء ")</f>
        <v xml:space="preserve">شاع عرابي ميدان الزراعين -برج مراد الدور السادس -بجوار برج الزهراء </v>
      </c>
      <c r="I2909" s="6" t="str">
        <f ca="1">IFERROR(__xludf.DUMMYFUNCTION("""COMPUTED_VALUE"""),"01210544432")</f>
        <v>01210544432</v>
      </c>
      <c r="J2909" s="6"/>
      <c r="K2909" s="6" t="str">
        <f ca="1">IFERROR(__xludf.DUMMYFUNCTION("""COMPUTED_VALUE"""),"خصم 25% علي الاسعار النقدي")</f>
        <v>خصم 25% علي الاسعار النقدي</v>
      </c>
    </row>
    <row r="2910" spans="1:11" x14ac:dyDescent="0.25">
      <c r="A2910" s="4" t="str">
        <f ca="1">IFERROR(__xludf.DUMMYFUNCTION("""COMPUTED_VALUE"""),"2273-B")</f>
        <v>2273-B</v>
      </c>
      <c r="B2910" s="5" t="str">
        <f ca="1">IFERROR(__xludf.DUMMYFUNCTION("""COMPUTED_VALUE"""),"السويس")</f>
        <v>السويس</v>
      </c>
      <c r="C2910" s="5" t="str">
        <f ca="1">IFERROR(__xludf.DUMMYFUNCTION("""COMPUTED_VALUE"""),"السويس")</f>
        <v>السويس</v>
      </c>
      <c r="D2910" s="5" t="str">
        <f ca="1">IFERROR(__xludf.DUMMYFUNCTION("""COMPUTED_VALUE"""),"مركز أشعة")</f>
        <v>مركز أشعة</v>
      </c>
      <c r="E2910" s="5" t="str">
        <f ca="1">IFERROR(__xludf.DUMMYFUNCTION("""COMPUTED_VALUE"""),"مركز أشعة")</f>
        <v>مركز أشعة</v>
      </c>
      <c r="F2910" s="5" t="str">
        <f ca="1">IFERROR(__xludf.DUMMYFUNCTION("""COMPUTED_VALUE"""),"مركز الأشعة التشخيصية")</f>
        <v>مركز الأشعة التشخيصية</v>
      </c>
      <c r="G2910" s="5" t="str">
        <f ca="1">IFERROR(__xludf.DUMMYFUNCTION("""COMPUTED_VALUE"""),"تكنوسكان")</f>
        <v>تكنوسكان</v>
      </c>
      <c r="H2910" s="5" t="str">
        <f ca="1">IFERROR(__xludf.DUMMYFUNCTION("""COMPUTED_VALUE"""),"برج وايت هاوس - 322 شارع الجيش ")</f>
        <v xml:space="preserve">برج وايت هاوس - 322 شارع الجيش </v>
      </c>
      <c r="I2910" s="6"/>
      <c r="J2910" s="6" t="str">
        <f ca="1">IFERROR(__xludf.DUMMYFUNCTION("""COMPUTED_VALUE"""),"19989")</f>
        <v>19989</v>
      </c>
      <c r="K2910" s="6" t="str">
        <f ca="1">IFERROR(__xludf.DUMMYFUNCTION("""COMPUTED_VALUE"""),"29% على جميع الخدمات")</f>
        <v>29% على جميع الخدمات</v>
      </c>
    </row>
    <row r="2911" spans="1:11" x14ac:dyDescent="0.25">
      <c r="A2911" s="4" t="str">
        <f ca="1">IFERROR(__xludf.DUMMYFUNCTION("""COMPUTED_VALUE"""),"2273-B")</f>
        <v>2273-B</v>
      </c>
      <c r="B2911" s="5" t="str">
        <f ca="1">IFERROR(__xludf.DUMMYFUNCTION("""COMPUTED_VALUE"""),"القليوبية")</f>
        <v>القليوبية</v>
      </c>
      <c r="C2911" s="5" t="str">
        <f ca="1">IFERROR(__xludf.DUMMYFUNCTION("""COMPUTED_VALUE"""),"شبرا الخيمة")</f>
        <v>شبرا الخيمة</v>
      </c>
      <c r="D2911" s="5" t="str">
        <f ca="1">IFERROR(__xludf.DUMMYFUNCTION("""COMPUTED_VALUE"""),"مركز أشعة")</f>
        <v>مركز أشعة</v>
      </c>
      <c r="E2911" s="5" t="str">
        <f ca="1">IFERROR(__xludf.DUMMYFUNCTION("""COMPUTED_VALUE"""),"مركز أشعة")</f>
        <v>مركز أشعة</v>
      </c>
      <c r="F2911" s="5" t="str">
        <f ca="1">IFERROR(__xludf.DUMMYFUNCTION("""COMPUTED_VALUE"""),"مركز الأشعة التشخيصية")</f>
        <v>مركز الأشعة التشخيصية</v>
      </c>
      <c r="G2911" s="5" t="str">
        <f ca="1">IFERROR(__xludf.DUMMYFUNCTION("""COMPUTED_VALUE"""),"تكنوسكان")</f>
        <v>تكنوسكان</v>
      </c>
      <c r="H2911" s="5" t="str">
        <f ca="1">IFERROR(__xludf.DUMMYFUNCTION("""COMPUTED_VALUE"""),"شبرا الخيمة : شارع 25 من شارع 15 مايو - بجوار مسجد ابو الهنا")</f>
        <v>شبرا الخيمة : شارع 25 من شارع 15 مايو - بجوار مسجد ابو الهنا</v>
      </c>
      <c r="I2911" s="6"/>
      <c r="J2911" s="6" t="str">
        <f ca="1">IFERROR(__xludf.DUMMYFUNCTION("""COMPUTED_VALUE"""),"19989")</f>
        <v>19989</v>
      </c>
      <c r="K2911" s="6" t="str">
        <f ca="1">IFERROR(__xludf.DUMMYFUNCTION("""COMPUTED_VALUE"""),"29% على جميع الخدمات")</f>
        <v>29% على جميع الخدمات</v>
      </c>
    </row>
    <row r="2912" spans="1:11" x14ac:dyDescent="0.25">
      <c r="A2912" s="4" t="str">
        <f ca="1">IFERROR(__xludf.DUMMYFUNCTION("""COMPUTED_VALUE"""),"2273-B")</f>
        <v>2273-B</v>
      </c>
      <c r="B2912" s="5" t="str">
        <f ca="1">IFERROR(__xludf.DUMMYFUNCTION("""COMPUTED_VALUE"""),"الإسماعيلية")</f>
        <v>الإسماعيلية</v>
      </c>
      <c r="C2912" s="5" t="str">
        <f ca="1">IFERROR(__xludf.DUMMYFUNCTION("""COMPUTED_VALUE"""),"الإسماعيلية")</f>
        <v>الإسماعيلية</v>
      </c>
      <c r="D2912" s="5" t="str">
        <f ca="1">IFERROR(__xludf.DUMMYFUNCTION("""COMPUTED_VALUE"""),"مركز أشعة")</f>
        <v>مركز أشعة</v>
      </c>
      <c r="E2912" s="5" t="str">
        <f ca="1">IFERROR(__xludf.DUMMYFUNCTION("""COMPUTED_VALUE"""),"مركز أشعة")</f>
        <v>مركز أشعة</v>
      </c>
      <c r="F2912" s="5" t="str">
        <f ca="1">IFERROR(__xludf.DUMMYFUNCTION("""COMPUTED_VALUE"""),"مركز الأشعة التشخيصية")</f>
        <v>مركز الأشعة التشخيصية</v>
      </c>
      <c r="G2912" s="5" t="str">
        <f ca="1">IFERROR(__xludf.DUMMYFUNCTION("""COMPUTED_VALUE"""),"تكنوسكان")</f>
        <v>تكنوسكان</v>
      </c>
      <c r="H2912" s="5" t="str">
        <f ca="1">IFERROR(__xludf.DUMMYFUNCTION("""COMPUTED_VALUE"""),"الإسماعيلية : شارع مدرسة التكنولوجيا المرحلة الخامسة")</f>
        <v>الإسماعيلية : شارع مدرسة التكنولوجيا المرحلة الخامسة</v>
      </c>
      <c r="I2912" s="6"/>
      <c r="J2912" s="6" t="str">
        <f ca="1">IFERROR(__xludf.DUMMYFUNCTION("""COMPUTED_VALUE"""),"19989")</f>
        <v>19989</v>
      </c>
      <c r="K2912" s="6" t="str">
        <f ca="1">IFERROR(__xludf.DUMMYFUNCTION("""COMPUTED_VALUE"""),"29% على جميع الخدمات")</f>
        <v>29% على جميع الخدمات</v>
      </c>
    </row>
    <row r="2913" spans="1:11" x14ac:dyDescent="0.25">
      <c r="A2913" s="4" t="str">
        <f ca="1">IFERROR(__xludf.DUMMYFUNCTION("""COMPUTED_VALUE"""),"106980-B")</f>
        <v>106980-B</v>
      </c>
      <c r="B2913" s="5" t="str">
        <f ca="1">IFERROR(__xludf.DUMMYFUNCTION("""COMPUTED_VALUE"""),"القاهرة")</f>
        <v>القاهرة</v>
      </c>
      <c r="C2913" s="5" t="str">
        <f ca="1">IFERROR(__xludf.DUMMYFUNCTION("""COMPUTED_VALUE"""),"مدينة نصر")</f>
        <v>مدينة نصر</v>
      </c>
      <c r="D2913" s="5" t="str">
        <f ca="1">IFERROR(__xludf.DUMMYFUNCTION("""COMPUTED_VALUE"""),"مجمع عيادات")</f>
        <v>مجمع عيادات</v>
      </c>
      <c r="E2913" s="5" t="str">
        <f ca="1">IFERROR(__xludf.DUMMYFUNCTION("""COMPUTED_VALUE"""),"جميع التخصصات")</f>
        <v>جميع التخصصات</v>
      </c>
      <c r="F2913" s="5" t="str">
        <f ca="1">IFERROR(__xludf.DUMMYFUNCTION("""COMPUTED_VALUE"""),"جميع التخصصات الطبية")</f>
        <v>جميع التخصصات الطبية</v>
      </c>
      <c r="G2913" s="5" t="str">
        <f ca="1">IFERROR(__xludf.DUMMYFUNCTION("""COMPUTED_VALUE"""),"عيادات العياده التخصصيه")</f>
        <v>عيادات العياده التخصصيه</v>
      </c>
      <c r="H2913" s="5" t="str">
        <f ca="1">IFERROR(__xludf.DUMMYFUNCTION("""COMPUTED_VALUE"""),"49 شارع عباس العقاد - مدينه نصر اعلي بنك ايجي بنك ")</f>
        <v xml:space="preserve">49 شارع عباس العقاد - مدينه نصر اعلي بنك ايجي بنك </v>
      </c>
      <c r="I2913" s="6" t="str">
        <f ca="1">IFERROR(__xludf.DUMMYFUNCTION("""COMPUTED_VALUE"""),"01226038094")</f>
        <v>01226038094</v>
      </c>
      <c r="J2913" s="6"/>
      <c r="K2913" s="6" t="str">
        <f ca="1">IFERROR(__xludf.DUMMYFUNCTION("""COMPUTED_VALUE"""),"خصم 25% علي الاسعار النقدي")</f>
        <v>خصم 25% علي الاسعار النقدي</v>
      </c>
    </row>
    <row r="2914" spans="1:11" x14ac:dyDescent="0.25">
      <c r="A2914" s="4" t="str">
        <f ca="1">IFERROR(__xludf.DUMMYFUNCTION("""COMPUTED_VALUE"""),"107229")</f>
        <v>107229</v>
      </c>
      <c r="B2914" s="5" t="str">
        <f ca="1">IFERROR(__xludf.DUMMYFUNCTION("""COMPUTED_VALUE"""),"القاهرة")</f>
        <v>القاهرة</v>
      </c>
      <c r="C2914" s="5" t="str">
        <f ca="1">IFERROR(__xludf.DUMMYFUNCTION("""COMPUTED_VALUE"""),"وسط البلد")</f>
        <v>وسط البلد</v>
      </c>
      <c r="D2914" s="5" t="str">
        <f ca="1">IFERROR(__xludf.DUMMYFUNCTION("""COMPUTED_VALUE"""),"هيئة الأطباء")</f>
        <v>هيئة الأطباء</v>
      </c>
      <c r="E2914" s="5" t="str">
        <f ca="1">IFERROR(__xludf.DUMMYFUNCTION("""COMPUTED_VALUE"""),"اسنان")</f>
        <v>اسنان</v>
      </c>
      <c r="F2914" s="5" t="str">
        <f ca="1">IFERROR(__xludf.DUMMYFUNCTION("""COMPUTED_VALUE"""),"جراحة الفم والأسنان")</f>
        <v>جراحة الفم والأسنان</v>
      </c>
      <c r="G2914" s="5" t="str">
        <f ca="1">IFERROR(__xludf.DUMMYFUNCTION("""COMPUTED_VALUE"""),"د/ عيسي مراد شاكر مسعد")</f>
        <v>د/ عيسي مراد شاكر مسعد</v>
      </c>
      <c r="H2914" s="5" t="str">
        <f ca="1">IFERROR(__xludf.DUMMYFUNCTION("""COMPUTED_VALUE"""),"44 شارع عبد الخالق ثروت - عابدين - القاهرة")</f>
        <v>44 شارع عبد الخالق ثروت - عابدين - القاهرة</v>
      </c>
      <c r="I2914" s="6" t="str">
        <f ca="1">IFERROR(__xludf.DUMMYFUNCTION("""COMPUTED_VALUE"""),"0223916753")</f>
        <v>0223916753</v>
      </c>
      <c r="J2914" s="6"/>
      <c r="K2914" s="6" t="str">
        <f ca="1">IFERROR(__xludf.DUMMYFUNCTION("""COMPUTED_VALUE"""),"خصم 50% علي الكشوفات و نسبة خصم 15% علي التركيبات و الزراعات و تطبيق نسبه خصم فدرها 30% علي باقي الاجراءات")</f>
        <v>خصم 50% علي الكشوفات و نسبة خصم 15% علي التركيبات و الزراعات و تطبيق نسبه خصم فدرها 30% علي باقي الاجراءات</v>
      </c>
    </row>
    <row r="2915" spans="1:11" x14ac:dyDescent="0.25">
      <c r="A2915" s="4" t="str">
        <f ca="1">IFERROR(__xludf.DUMMYFUNCTION("""COMPUTED_VALUE"""),"107229-B")</f>
        <v>107229-B</v>
      </c>
      <c r="B2915" s="5" t="str">
        <f ca="1">IFERROR(__xludf.DUMMYFUNCTION("""COMPUTED_VALUE"""),"القاهرة")</f>
        <v>القاهرة</v>
      </c>
      <c r="C2915" s="5" t="str">
        <f ca="1">IFERROR(__xludf.DUMMYFUNCTION("""COMPUTED_VALUE"""),"الرحاب")</f>
        <v>الرحاب</v>
      </c>
      <c r="D2915" s="5" t="str">
        <f ca="1">IFERROR(__xludf.DUMMYFUNCTION("""COMPUTED_VALUE"""),"هيئة الأطباء")</f>
        <v>هيئة الأطباء</v>
      </c>
      <c r="E2915" s="5" t="str">
        <f ca="1">IFERROR(__xludf.DUMMYFUNCTION("""COMPUTED_VALUE"""),"اسنان")</f>
        <v>اسنان</v>
      </c>
      <c r="F2915" s="5" t="str">
        <f ca="1">IFERROR(__xludf.DUMMYFUNCTION("""COMPUTED_VALUE"""),"جراحة الفم والأسنان")</f>
        <v>جراحة الفم والأسنان</v>
      </c>
      <c r="G2915" s="5" t="str">
        <f ca="1">IFERROR(__xludf.DUMMYFUNCTION("""COMPUTED_VALUE"""),"د/ عيسي مراد شاكر مسعد")</f>
        <v>د/ عيسي مراد شاكر مسعد</v>
      </c>
      <c r="H2915" s="5" t="str">
        <f ca="1">IFERROR(__xludf.DUMMYFUNCTION("""COMPUTED_VALUE"""),"عيادة 3 DS مول Gate way - الدور الثاني - مدينه الرحاب - القاهرة الجديدة")</f>
        <v>عيادة 3 DS مول Gate way - الدور الثاني - مدينه الرحاب - القاهرة الجديدة</v>
      </c>
      <c r="I2915" s="6" t="str">
        <f ca="1">IFERROR(__xludf.DUMMYFUNCTION("""COMPUTED_VALUE"""),"0223916753")</f>
        <v>0223916753</v>
      </c>
      <c r="J2915" s="6"/>
      <c r="K2915" s="6" t="str">
        <f ca="1">IFERROR(__xludf.DUMMYFUNCTION("""COMPUTED_VALUE"""),"خصم 50% علي الكشوفات و نسبة خصم 15% علي التركيبات و الزراعات و تطبيق نسبه خصم فدرها 30% علي باقي الاجراءات")</f>
        <v>خصم 50% علي الكشوفات و نسبة خصم 15% علي التركيبات و الزراعات و تطبيق نسبه خصم فدرها 30% علي باقي الاجراءات</v>
      </c>
    </row>
    <row r="2916" spans="1:11" x14ac:dyDescent="0.25">
      <c r="A2916" s="4" t="str">
        <f ca="1">IFERROR(__xludf.DUMMYFUNCTION("""COMPUTED_VALUE"""),"107238")</f>
        <v>107238</v>
      </c>
      <c r="B2916" s="5" t="str">
        <f ca="1">IFERROR(__xludf.DUMMYFUNCTION("""COMPUTED_VALUE"""),"قنا")</f>
        <v>قنا</v>
      </c>
      <c r="C2916" s="5" t="str">
        <f ca="1">IFERROR(__xludf.DUMMYFUNCTION("""COMPUTED_VALUE"""),"قفط")</f>
        <v>قفط</v>
      </c>
      <c r="D2916" s="5" t="str">
        <f ca="1">IFERROR(__xludf.DUMMYFUNCTION("""COMPUTED_VALUE"""),"صيدلية")</f>
        <v>صيدلية</v>
      </c>
      <c r="E2916" s="5" t="str">
        <f ca="1">IFERROR(__xludf.DUMMYFUNCTION("""COMPUTED_VALUE"""),"صيدلية")</f>
        <v>صيدلية</v>
      </c>
      <c r="F2916" s="5" t="str">
        <f ca="1">IFERROR(__xludf.DUMMYFUNCTION("""COMPUTED_VALUE"""),"صيدلية (أدوية ومستلزمات طبية)")</f>
        <v>صيدلية (أدوية ومستلزمات طبية)</v>
      </c>
      <c r="G2916" s="5" t="str">
        <f ca="1">IFERROR(__xludf.DUMMYFUNCTION("""COMPUTED_VALUE"""),"صيدلية / د جهاد صلاح الدين سيد محمد")</f>
        <v>صيدلية / د جهاد صلاح الدين سيد محمد</v>
      </c>
      <c r="H2916" s="5" t="str">
        <f ca="1">IFERROR(__xludf.DUMMYFUNCTION("""COMPUTED_VALUE"""),"86770 المنشية امتداد ش الجيش - قفط - قنا")</f>
        <v>86770 المنشية امتداد ش الجيش - قفط - قنا</v>
      </c>
      <c r="I2916" s="6" t="str">
        <f ca="1">IFERROR(__xludf.DUMMYFUNCTION("""COMPUTED_VALUE"""),"01080139601")</f>
        <v>01080139601</v>
      </c>
      <c r="J2916" s="6"/>
      <c r="K2916" s="6" t="str">
        <f ca="1">IFERROR(__xludf.DUMMYFUNCTION("""COMPUTED_VALUE"""),"خصم 14% علي المحلي و خصم 7% علي المستورد")</f>
        <v>خصم 14% علي المحلي و خصم 7% علي المستورد</v>
      </c>
    </row>
    <row r="2917" spans="1:11" x14ac:dyDescent="0.25">
      <c r="A2917" s="4" t="str">
        <f ca="1">IFERROR(__xludf.DUMMYFUNCTION("""COMPUTED_VALUE"""),"107239")</f>
        <v>107239</v>
      </c>
      <c r="B2917" s="5" t="str">
        <f ca="1">IFERROR(__xludf.DUMMYFUNCTION("""COMPUTED_VALUE"""),"البحيرة")</f>
        <v>البحيرة</v>
      </c>
      <c r="C2917" s="5" t="str">
        <f ca="1">IFERROR(__xludf.DUMMYFUNCTION("""COMPUTED_VALUE"""),"دمنهور")</f>
        <v>دمنهور</v>
      </c>
      <c r="D2917" s="5" t="str">
        <f ca="1">IFERROR(__xludf.DUMMYFUNCTION("""COMPUTED_VALUE"""),"شركة")</f>
        <v>شركة</v>
      </c>
      <c r="E2917" s="5" t="str">
        <f ca="1">IFERROR(__xludf.DUMMYFUNCTION("""COMPUTED_VALUE"""),"شركة اجهزة طبية")</f>
        <v>شركة اجهزة طبية</v>
      </c>
      <c r="F2917" s="5" t="str">
        <f ca="1">IFERROR(__xludf.DUMMYFUNCTION("""COMPUTED_VALUE"""),"مركز بصريات")</f>
        <v>مركز بصريات</v>
      </c>
      <c r="G2917" s="5" t="str">
        <f ca="1">IFERROR(__xludf.DUMMYFUNCTION("""COMPUTED_VALUE"""),"رحمه رضا احمد عبد الفتاح  محمود الشاعر (دار النظارات)")</f>
        <v>رحمه رضا احمد عبد الفتاح  محمود الشاعر (دار النظارات)</v>
      </c>
      <c r="H2917" s="5" t="str">
        <f ca="1">IFERROR(__xludf.DUMMYFUNCTION("""COMPUTED_VALUE"""),"221 شارع ابراج الجيش - دمنهور - البحيرة")</f>
        <v>221 شارع ابراج الجيش - دمنهور - البحيرة</v>
      </c>
      <c r="I2917" s="6" t="str">
        <f ca="1">IFERROR(__xludf.DUMMYFUNCTION("""COMPUTED_VALUE"""),"01017227987")</f>
        <v>01017227987</v>
      </c>
      <c r="J2917" s="6"/>
      <c r="K2917" s="6" t="str">
        <f ca="1">IFERROR(__xludf.DUMMYFUNCTION("""COMPUTED_VALUE"""),"خصم 35% علي الاسعار النقدي")</f>
        <v>خصم 35% علي الاسعار النقدي</v>
      </c>
    </row>
    <row r="2918" spans="1:11" x14ac:dyDescent="0.25">
      <c r="A2918" s="4" t="str">
        <f ca="1">IFERROR(__xludf.DUMMYFUNCTION("""COMPUTED_VALUE"""),"107240")</f>
        <v>107240</v>
      </c>
      <c r="B2918" s="5" t="str">
        <f ca="1">IFERROR(__xludf.DUMMYFUNCTION("""COMPUTED_VALUE"""),"الغربية")</f>
        <v>الغربية</v>
      </c>
      <c r="C2918" s="5" t="str">
        <f ca="1">IFERROR(__xludf.DUMMYFUNCTION("""COMPUTED_VALUE"""),"طنطا")</f>
        <v>طنطا</v>
      </c>
      <c r="D2918" s="5" t="str">
        <f ca="1">IFERROR(__xludf.DUMMYFUNCTION("""COMPUTED_VALUE"""),"هيئة الأطباء")</f>
        <v>هيئة الأطباء</v>
      </c>
      <c r="E2918" s="5" t="str">
        <f ca="1">IFERROR(__xludf.DUMMYFUNCTION("""COMPUTED_VALUE"""),"اسنان")</f>
        <v>اسنان</v>
      </c>
      <c r="F2918" s="5" t="str">
        <f ca="1">IFERROR(__xludf.DUMMYFUNCTION("""COMPUTED_VALUE"""),"جراحة الفم والأسنان")</f>
        <v>جراحة الفم والأسنان</v>
      </c>
      <c r="G2918" s="5" t="str">
        <f ca="1">IFERROR(__xludf.DUMMYFUNCTION("""COMPUTED_VALUE"""),"د/ مني محمد كمال الدين السيد سعدون")</f>
        <v>د/ مني محمد كمال الدين السيد سعدون</v>
      </c>
      <c r="H2918" s="5" t="str">
        <f ca="1">IFERROR(__xludf.DUMMYFUNCTION("""COMPUTED_VALUE"""),"مساكن سيدي عبد الرحيم عمارة 24 شقة 12 - طنطا - الغربية")</f>
        <v>مساكن سيدي عبد الرحيم عمارة 24 شقة 12 - طنطا - الغربية</v>
      </c>
      <c r="I2918" s="6" t="str">
        <f ca="1">IFERROR(__xludf.DUMMYFUNCTION("""COMPUTED_VALUE"""),"01276135269")</f>
        <v>01276135269</v>
      </c>
      <c r="J2918" s="6"/>
      <c r="K2918" s="6" t="str">
        <f ca="1">IFERROR(__xludf.DUMMYFUNCTION("""COMPUTED_VALUE"""),"خصم 30% علي الاسعار النقدي")</f>
        <v>خصم 30% علي الاسعار النقدي</v>
      </c>
    </row>
    <row r="2919" spans="1:11" x14ac:dyDescent="0.25">
      <c r="A2919" s="4" t="str">
        <f ca="1">IFERROR(__xludf.DUMMYFUNCTION("""COMPUTED_VALUE"""),"107241")</f>
        <v>107241</v>
      </c>
      <c r="B2919" s="5" t="str">
        <f ca="1">IFERROR(__xludf.DUMMYFUNCTION("""COMPUTED_VALUE"""),"الغربية")</f>
        <v>الغربية</v>
      </c>
      <c r="C2919" s="5" t="str">
        <f ca="1">IFERROR(__xludf.DUMMYFUNCTION("""COMPUTED_VALUE"""),"طنطا")</f>
        <v>طنطا</v>
      </c>
      <c r="D2919" s="5" t="str">
        <f ca="1">IFERROR(__xludf.DUMMYFUNCTION("""COMPUTED_VALUE"""),"مستشفى")</f>
        <v>مستشفى</v>
      </c>
      <c r="E2919" s="5" t="str">
        <f ca="1">IFERROR(__xludf.DUMMYFUNCTION("""COMPUTED_VALUE"""),"مستشفي طبي متكامل")</f>
        <v>مستشفي طبي متكامل</v>
      </c>
      <c r="F2919" s="5" t="str">
        <f ca="1">IFERROR(__xludf.DUMMYFUNCTION("""COMPUTED_VALUE"""),"جميع التخصصات الطبية")</f>
        <v>جميع التخصصات الطبية</v>
      </c>
      <c r="G2919" s="5" t="str">
        <f ca="1">IFERROR(__xludf.DUMMYFUNCTION("""COMPUTED_VALUE"""),"مستشفي ام القري التخصصي")</f>
        <v>مستشفي ام القري التخصصي</v>
      </c>
      <c r="H2919" s="5" t="str">
        <f ca="1">IFERROR(__xludf.DUMMYFUNCTION("""COMPUTED_VALUE"""),"1 مقرر ش محمد جابر منطقة الاستاد - طنطا")</f>
        <v>1 مقرر ش محمد جابر منطقة الاستاد - طنطا</v>
      </c>
      <c r="I2919" s="6" t="str">
        <f ca="1">IFERROR(__xludf.DUMMYFUNCTION("""COMPUTED_VALUE"""),"01050971919")</f>
        <v>01050971919</v>
      </c>
      <c r="J2919" s="6"/>
      <c r="K2919" s="6" t="str">
        <f ca="1">IFERROR(__xludf.DUMMYFUNCTION("""COMPUTED_VALUE"""),"خصم 30% علي الاسعار النقدي")</f>
        <v>خصم 30% علي الاسعار النقدي</v>
      </c>
    </row>
    <row r="2920" spans="1:11" x14ac:dyDescent="0.25">
      <c r="A2920" s="4" t="str">
        <f ca="1">IFERROR(__xludf.DUMMYFUNCTION("""COMPUTED_VALUE"""),"107242")</f>
        <v>107242</v>
      </c>
      <c r="B2920" s="5" t="str">
        <f ca="1">IFERROR(__xludf.DUMMYFUNCTION("""COMPUTED_VALUE"""),"القليوبية")</f>
        <v>القليوبية</v>
      </c>
      <c r="C2920" s="5" t="str">
        <f ca="1">IFERROR(__xludf.DUMMYFUNCTION("""COMPUTED_VALUE"""),"بنها")</f>
        <v>بنها</v>
      </c>
      <c r="D2920" s="5" t="str">
        <f ca="1">IFERROR(__xludf.DUMMYFUNCTION("""COMPUTED_VALUE"""),"صيدلية")</f>
        <v>صيدلية</v>
      </c>
      <c r="E2920" s="5" t="str">
        <f ca="1">IFERROR(__xludf.DUMMYFUNCTION("""COMPUTED_VALUE"""),"صيدلية")</f>
        <v>صيدلية</v>
      </c>
      <c r="F2920" s="5" t="str">
        <f ca="1">IFERROR(__xludf.DUMMYFUNCTION("""COMPUTED_VALUE"""),"صيدلية (أدوية ومستلزمات طبية)")</f>
        <v>صيدلية (أدوية ومستلزمات طبية)</v>
      </c>
      <c r="G2920" s="5" t="str">
        <f ca="1">IFERROR(__xludf.DUMMYFUNCTION("""COMPUTED_VALUE"""),"د. محمد سمير احمد عبدالعال (صيدلية الشربيني)")</f>
        <v>د. محمد سمير احمد عبدالعال (صيدلية الشربيني)</v>
      </c>
      <c r="H2920" s="5" t="str">
        <f ca="1">IFERROR(__xludf.DUMMYFUNCTION("""COMPUTED_VALUE"""),"ش كلية الطب امام باب مستشفي الرمد - بنها")</f>
        <v>ش كلية الطب امام باب مستشفي الرمد - بنها</v>
      </c>
      <c r="I2920" s="6" t="str">
        <f ca="1">IFERROR(__xludf.DUMMYFUNCTION("""COMPUTED_VALUE"""),"01020056419")</f>
        <v>01020056419</v>
      </c>
      <c r="J2920" s="6"/>
      <c r="K2920" s="6" t="str">
        <f ca="1">IFERROR(__xludf.DUMMYFUNCTION("""COMPUTED_VALUE"""),"خصم 12% علي المحلي و خصم 7% علي المستورد")</f>
        <v>خصم 12% علي المحلي و خصم 7% علي المستورد</v>
      </c>
    </row>
    <row r="2921" spans="1:11" x14ac:dyDescent="0.25">
      <c r="A2921" s="4" t="str">
        <f ca="1">IFERROR(__xludf.DUMMYFUNCTION("""COMPUTED_VALUE"""),"107243")</f>
        <v>107243</v>
      </c>
      <c r="B2921" s="5" t="str">
        <f ca="1">IFERROR(__xludf.DUMMYFUNCTION("""COMPUTED_VALUE"""),"المنوفية")</f>
        <v>المنوفية</v>
      </c>
      <c r="C2921" s="5" t="str">
        <f ca="1">IFERROR(__xludf.DUMMYFUNCTION("""COMPUTED_VALUE"""),"مدينه السادات")</f>
        <v>مدينه السادات</v>
      </c>
      <c r="D2921" s="5" t="str">
        <f ca="1">IFERROR(__xludf.DUMMYFUNCTION("""COMPUTED_VALUE"""),"مركز علاج طبيعي")</f>
        <v>مركز علاج طبيعي</v>
      </c>
      <c r="E2921" s="5" t="str">
        <f ca="1">IFERROR(__xludf.DUMMYFUNCTION("""COMPUTED_VALUE"""),"علاج طبيعي")</f>
        <v>علاج طبيعي</v>
      </c>
      <c r="F2921" s="5" t="str">
        <f ca="1">IFERROR(__xludf.DUMMYFUNCTION("""COMPUTED_VALUE"""),"جلسات العلاج الطبيعي")</f>
        <v>جلسات العلاج الطبيعي</v>
      </c>
      <c r="G2921" s="5" t="str">
        <f ca="1">IFERROR(__xludf.DUMMYFUNCTION("""COMPUTED_VALUE"""),"حنان عثمان عبدالله عبدالرحمن (مركز الامل للعلاج الطبيعي)")</f>
        <v>حنان عثمان عبدالله عبدالرحمن (مركز الامل للعلاج الطبيعي)</v>
      </c>
      <c r="H2921" s="5" t="str">
        <f ca="1">IFERROR(__xludf.DUMMYFUNCTION("""COMPUTED_VALUE"""),"ق 21 ش 1 م خ الحي الثاني بالدور العلوي - مدينة السادات - المنوفيه")</f>
        <v>ق 21 ش 1 م خ الحي الثاني بالدور العلوي - مدينة السادات - المنوفيه</v>
      </c>
      <c r="I2921" s="6" t="str">
        <f ca="1">IFERROR(__xludf.DUMMYFUNCTION("""COMPUTED_VALUE"""),"01277099225")</f>
        <v>01277099225</v>
      </c>
      <c r="J2921" s="6"/>
      <c r="K2921" s="6" t="str">
        <f ca="1">IFERROR(__xludf.DUMMYFUNCTION("""COMPUTED_VALUE"""),"خصم 30% علي الاسعار النقدي")</f>
        <v>خصم 30% علي الاسعار النقدي</v>
      </c>
    </row>
    <row r="2922" spans="1:11" x14ac:dyDescent="0.25">
      <c r="A2922" s="4" t="str">
        <f ca="1">IFERROR(__xludf.DUMMYFUNCTION("""COMPUTED_VALUE"""),"107246")</f>
        <v>107246</v>
      </c>
      <c r="B2922" s="5" t="str">
        <f ca="1">IFERROR(__xludf.DUMMYFUNCTION("""COMPUTED_VALUE"""),"الجيزة")</f>
        <v>الجيزة</v>
      </c>
      <c r="C2922" s="5" t="str">
        <f ca="1">IFERROR(__xludf.DUMMYFUNCTION("""COMPUTED_VALUE"""),"الدقي")</f>
        <v>الدقي</v>
      </c>
      <c r="D2922" s="5" t="str">
        <f ca="1">IFERROR(__xludf.DUMMYFUNCTION("""COMPUTED_VALUE"""),"هيئة الأطباء")</f>
        <v>هيئة الأطباء</v>
      </c>
      <c r="E2922" s="5" t="str">
        <f ca="1">IFERROR(__xludf.DUMMYFUNCTION("""COMPUTED_VALUE"""),"باطنة")</f>
        <v>باطنة</v>
      </c>
      <c r="F2922" s="5" t="str">
        <f ca="1">IFERROR(__xludf.DUMMYFUNCTION("""COMPUTED_VALUE"""),"قلب واوعية دموية")</f>
        <v>قلب واوعية دموية</v>
      </c>
      <c r="G2922" s="5" t="str">
        <f ca="1">IFERROR(__xludf.DUMMYFUNCTION("""COMPUTED_VALUE"""),"د/ محمد فوزي عبدالعليم مصطفي")</f>
        <v>د/ محمد فوزي عبدالعليم مصطفي</v>
      </c>
      <c r="H2922" s="5" t="str">
        <f ca="1">IFERROR(__xludf.DUMMYFUNCTION("""COMPUTED_VALUE"""),"96 أ شارع التحرير - الدور الثاني وحدة رقم 102 - الدقي - الجيزة")</f>
        <v>96 أ شارع التحرير - الدور الثاني وحدة رقم 102 - الدقي - الجيزة</v>
      </c>
      <c r="I2922" s="6" t="str">
        <f ca="1">IFERROR(__xludf.DUMMYFUNCTION("""COMPUTED_VALUE"""),"01115499919")</f>
        <v>01115499919</v>
      </c>
      <c r="J2922" s="6"/>
      <c r="K2922" s="6" t="str">
        <f ca="1">IFERROR(__xludf.DUMMYFUNCTION("""COMPUTED_VALUE"""),"خصم 25% علي الاسعار النقدي")</f>
        <v>خصم 25% علي الاسعار النقدي</v>
      </c>
    </row>
    <row r="2923" spans="1:11" x14ac:dyDescent="0.25">
      <c r="A2923" s="4" t="str">
        <f ca="1">IFERROR(__xludf.DUMMYFUNCTION("""COMPUTED_VALUE"""),"107247")</f>
        <v>107247</v>
      </c>
      <c r="B2923" s="5" t="str">
        <f ca="1">IFERROR(__xludf.DUMMYFUNCTION("""COMPUTED_VALUE"""),"القاهرة")</f>
        <v>القاهرة</v>
      </c>
      <c r="C2923" s="5" t="str">
        <f ca="1">IFERROR(__xludf.DUMMYFUNCTION("""COMPUTED_VALUE"""),"دار السلام")</f>
        <v>دار السلام</v>
      </c>
      <c r="D2923" s="5" t="str">
        <f ca="1">IFERROR(__xludf.DUMMYFUNCTION("""COMPUTED_VALUE"""),"هيئة الأطباء")</f>
        <v>هيئة الأطباء</v>
      </c>
      <c r="E2923" s="5" t="str">
        <f ca="1">IFERROR(__xludf.DUMMYFUNCTION("""COMPUTED_VALUE"""),"اسنان")</f>
        <v>اسنان</v>
      </c>
      <c r="F2923" s="5" t="str">
        <f ca="1">IFERROR(__xludf.DUMMYFUNCTION("""COMPUTED_VALUE"""),"جراحة الفم والأسنان")</f>
        <v>جراحة الفم والأسنان</v>
      </c>
      <c r="G2923" s="5" t="str">
        <f ca="1">IFERROR(__xludf.DUMMYFUNCTION("""COMPUTED_VALUE"""),"د/ ماهر فتحي محمد أبو النور")</f>
        <v>د/ ماهر فتحي محمد أبو النور</v>
      </c>
      <c r="H2923" s="5" t="str">
        <f ca="1">IFERROR(__xludf.DUMMYFUNCTION("""COMPUTED_VALUE"""),"6 شارع السيده زينب امام موبليات المدينة المنوره الملاءة - دار السلام - القاهرة")</f>
        <v>6 شارع السيده زينب امام موبليات المدينة المنوره الملاءة - دار السلام - القاهرة</v>
      </c>
      <c r="I2923" s="6" t="str">
        <f ca="1">IFERROR(__xludf.DUMMYFUNCTION("""COMPUTED_VALUE"""),"01129283315")</f>
        <v>01129283315</v>
      </c>
      <c r="J2923" s="6"/>
      <c r="K2923" s="6" t="str">
        <f ca="1">IFERROR(__xludf.DUMMYFUNCTION("""COMPUTED_VALUE"""),"خصم 30% علي الاسعار النقدي")</f>
        <v>خصم 30% علي الاسعار النقدي</v>
      </c>
    </row>
    <row r="2924" spans="1:11" x14ac:dyDescent="0.25">
      <c r="A2924" s="4" t="str">
        <f ca="1">IFERROR(__xludf.DUMMYFUNCTION("""COMPUTED_VALUE"""),"107248")</f>
        <v>107248</v>
      </c>
      <c r="B2924" s="5" t="str">
        <f ca="1">IFERROR(__xludf.DUMMYFUNCTION("""COMPUTED_VALUE"""),"المنوفية")</f>
        <v>المنوفية</v>
      </c>
      <c r="C2924" s="5" t="str">
        <f ca="1">IFERROR(__xludf.DUMMYFUNCTION("""COMPUTED_VALUE"""),"الباجور")</f>
        <v>الباجور</v>
      </c>
      <c r="D2924" s="5" t="str">
        <f ca="1">IFERROR(__xludf.DUMMYFUNCTION("""COMPUTED_VALUE"""),"صيدلية")</f>
        <v>صيدلية</v>
      </c>
      <c r="E2924" s="5" t="str">
        <f ca="1">IFERROR(__xludf.DUMMYFUNCTION("""COMPUTED_VALUE"""),"صيدلية")</f>
        <v>صيدلية</v>
      </c>
      <c r="F2924" s="5" t="str">
        <f ca="1">IFERROR(__xludf.DUMMYFUNCTION("""COMPUTED_VALUE"""),"صيدلية (أدوية ومستلزمات طبية)")</f>
        <v>صيدلية (أدوية ومستلزمات طبية)</v>
      </c>
      <c r="G2924" s="5" t="str">
        <f ca="1">IFERROR(__xludf.DUMMYFUNCTION("""COMPUTED_VALUE"""),"صيدلية د/ أمنية عاطف عبدالستار تاج الدين")</f>
        <v>صيدلية د/ أمنية عاطف عبدالستار تاج الدين</v>
      </c>
      <c r="H2924" s="5" t="str">
        <f ca="1">IFERROR(__xludf.DUMMYFUNCTION("""COMPUTED_VALUE"""),"شارع عجمي مطر بجوار فرع بنك اسكندريه - الباجور")</f>
        <v>شارع عجمي مطر بجوار فرع بنك اسكندريه - الباجور</v>
      </c>
      <c r="I2924" s="6" t="str">
        <f ca="1">IFERROR(__xludf.DUMMYFUNCTION("""COMPUTED_VALUE"""),"0483881556")</f>
        <v>0483881556</v>
      </c>
      <c r="J2924" s="6"/>
      <c r="K2924" s="6" t="str">
        <f ca="1">IFERROR(__xludf.DUMMYFUNCTION("""COMPUTED_VALUE"""),"خصم 14% علي المحلي و خصم 7% علي المستورد")</f>
        <v>خصم 14% علي المحلي و خصم 7% علي المستورد</v>
      </c>
    </row>
    <row r="2925" spans="1:11" x14ac:dyDescent="0.25">
      <c r="A2925" s="4" t="str">
        <f ca="1">IFERROR(__xludf.DUMMYFUNCTION("""COMPUTED_VALUE"""),"107249")</f>
        <v>107249</v>
      </c>
      <c r="B2925" s="5" t="str">
        <f ca="1">IFERROR(__xludf.DUMMYFUNCTION("""COMPUTED_VALUE"""),"القاهرة")</f>
        <v>القاهرة</v>
      </c>
      <c r="C2925" s="5" t="str">
        <f ca="1">IFERROR(__xludf.DUMMYFUNCTION("""COMPUTED_VALUE"""),"حدائق القبة")</f>
        <v>حدائق القبة</v>
      </c>
      <c r="D2925" s="5" t="str">
        <f ca="1">IFERROR(__xludf.DUMMYFUNCTION("""COMPUTED_VALUE"""),"هيئة الأطباء")</f>
        <v>هيئة الأطباء</v>
      </c>
      <c r="E2925" s="5" t="str">
        <f ca="1">IFERROR(__xludf.DUMMYFUNCTION("""COMPUTED_VALUE"""),"جراحة")</f>
        <v>جراحة</v>
      </c>
      <c r="F2925" s="5" t="str">
        <f ca="1">IFERROR(__xludf.DUMMYFUNCTION("""COMPUTED_VALUE"""),"جراحة أوعية دموية")</f>
        <v>جراحة أوعية دموية</v>
      </c>
      <c r="G2925" s="5" t="str">
        <f ca="1">IFERROR(__xludf.DUMMYFUNCTION("""COMPUTED_VALUE"""),"د/ محمد أسامة احمد الغريب زايد")</f>
        <v>د/ محمد أسامة احمد الغريب زايد</v>
      </c>
      <c r="H2925" s="5" t="str">
        <f ca="1">IFERROR(__xludf.DUMMYFUNCTION("""COMPUTED_VALUE"""),"21 ش الواعظ الوايلي شقه رقم 1 بالدور الارضي - حدائق القبة - القاهرة")</f>
        <v>21 ش الواعظ الوايلي شقه رقم 1 بالدور الارضي - حدائق القبة - القاهرة</v>
      </c>
      <c r="I2925" s="6" t="str">
        <f ca="1">IFERROR(__xludf.DUMMYFUNCTION("""COMPUTED_VALUE"""),"01152400738")</f>
        <v>01152400738</v>
      </c>
      <c r="J2925" s="6"/>
      <c r="K2925" s="6" t="str">
        <f ca="1">IFERROR(__xludf.DUMMYFUNCTION("""COMPUTED_VALUE"""),"خصم 30% علي الاسعار النقدي")</f>
        <v>خصم 30% علي الاسعار النقدي</v>
      </c>
    </row>
    <row r="2926" spans="1:11" x14ac:dyDescent="0.25">
      <c r="A2926" s="4" t="str">
        <f ca="1">IFERROR(__xludf.DUMMYFUNCTION("""COMPUTED_VALUE"""),"104686-B")</f>
        <v>104686-B</v>
      </c>
      <c r="B2926" s="5" t="str">
        <f ca="1">IFERROR(__xludf.DUMMYFUNCTION("""COMPUTED_VALUE"""),"القاهرة")</f>
        <v>القاهرة</v>
      </c>
      <c r="C2926" s="5" t="str">
        <f ca="1">IFERROR(__xludf.DUMMYFUNCTION("""COMPUTED_VALUE"""),"القاهرة الجديدة")</f>
        <v>القاهرة الجديدة</v>
      </c>
      <c r="D2926" s="5" t="str">
        <f ca="1">IFERROR(__xludf.DUMMYFUNCTION("""COMPUTED_VALUE"""),"هيئة الأطباء")</f>
        <v>هيئة الأطباء</v>
      </c>
      <c r="E2926" s="5" t="str">
        <f ca="1">IFERROR(__xludf.DUMMYFUNCTION("""COMPUTED_VALUE"""),"اسنان")</f>
        <v>اسنان</v>
      </c>
      <c r="F2926" s="5" t="str">
        <f ca="1">IFERROR(__xludf.DUMMYFUNCTION("""COMPUTED_VALUE"""),"جراحة الفم والأسنان")</f>
        <v>جراحة الفم والأسنان</v>
      </c>
      <c r="G2926" s="5" t="str">
        <f ca="1">IFERROR(__xludf.DUMMYFUNCTION("""COMPUTED_VALUE"""),"سمارت دنتال كلينيك")</f>
        <v>سمارت دنتال كلينيك</v>
      </c>
      <c r="H2926" s="5" t="str">
        <f ca="1">IFERROR(__xludf.DUMMYFUNCTION("""COMPUTED_VALUE"""),"6 رويال محور الجامعه االمريكيه. بجوار مول 90 point التجمع الخامس")</f>
        <v>6 رويال محور الجامعه االمريكيه. بجوار مول 90 point التجمع الخامس</v>
      </c>
      <c r="I2926" s="6" t="str">
        <f ca="1">IFERROR(__xludf.DUMMYFUNCTION("""COMPUTED_VALUE"""),"01208585853")</f>
        <v>01208585853</v>
      </c>
      <c r="J2926" s="6"/>
      <c r="K2926" s="6" t="str">
        <f ca="1">IFERROR(__xludf.DUMMYFUNCTION("""COMPUTED_VALUE"""),"50% على الكشوفات ,10% على باقى الإجراءات")</f>
        <v>50% على الكشوفات ,10% على باقى الإجراءات</v>
      </c>
    </row>
    <row r="2927" spans="1:11" x14ac:dyDescent="0.25">
      <c r="A2927" s="4" t="str">
        <f ca="1">IFERROR(__xludf.DUMMYFUNCTION("""COMPUTED_VALUE"""),"104686-B")</f>
        <v>104686-B</v>
      </c>
      <c r="B2927" s="5" t="str">
        <f ca="1">IFERROR(__xludf.DUMMYFUNCTION("""COMPUTED_VALUE"""),"الجيزة")</f>
        <v>الجيزة</v>
      </c>
      <c r="C2927" s="5" t="str">
        <f ca="1">IFERROR(__xludf.DUMMYFUNCTION("""COMPUTED_VALUE"""),"الشيخ زايد")</f>
        <v>الشيخ زايد</v>
      </c>
      <c r="D2927" s="5" t="str">
        <f ca="1">IFERROR(__xludf.DUMMYFUNCTION("""COMPUTED_VALUE"""),"هيئة الأطباء")</f>
        <v>هيئة الأطباء</v>
      </c>
      <c r="E2927" s="5" t="str">
        <f ca="1">IFERROR(__xludf.DUMMYFUNCTION("""COMPUTED_VALUE"""),"اسنان")</f>
        <v>اسنان</v>
      </c>
      <c r="F2927" s="5" t="str">
        <f ca="1">IFERROR(__xludf.DUMMYFUNCTION("""COMPUTED_VALUE"""),"جراحة الفم والأسنان")</f>
        <v>جراحة الفم والأسنان</v>
      </c>
      <c r="G2927" s="5" t="str">
        <f ca="1">IFERROR(__xludf.DUMMYFUNCTION("""COMPUTED_VALUE"""),"سمارت دنتال كلينيك")</f>
        <v>سمارت دنتال كلينيك</v>
      </c>
      <c r="H2927" s="5" t="str">
        <f ca="1">IFERROR(__xludf.DUMMYFUNCTION("""COMPUTED_VALUE"""),"B1-C 234 مديتاون، نيو جيزة، هيلث بارك")</f>
        <v>B1-C 234 مديتاون، نيو جيزة، هيلث بارك</v>
      </c>
      <c r="I2927" s="6" t="str">
        <f ca="1">IFERROR(__xludf.DUMMYFUNCTION("""COMPUTED_VALUE"""),"01208585853")</f>
        <v>01208585853</v>
      </c>
      <c r="J2927" s="6"/>
      <c r="K2927" s="6" t="str">
        <f ca="1">IFERROR(__xludf.DUMMYFUNCTION("""COMPUTED_VALUE"""),"50% على الكشوفات ,10% على باقى الإجراءات")</f>
        <v>50% على الكشوفات ,10% على باقى الإجراءات</v>
      </c>
    </row>
    <row r="2928" spans="1:11" x14ac:dyDescent="0.25">
      <c r="A2928" s="4" t="str">
        <f ca="1">IFERROR(__xludf.DUMMYFUNCTION("""COMPUTED_VALUE"""),"103339-B")</f>
        <v>103339-B</v>
      </c>
      <c r="B2928" s="5" t="str">
        <f ca="1">IFERROR(__xludf.DUMMYFUNCTION("""COMPUTED_VALUE"""),"القاهرة")</f>
        <v>القاهرة</v>
      </c>
      <c r="C2928" s="5" t="str">
        <f ca="1">IFERROR(__xludf.DUMMYFUNCTION("""COMPUTED_VALUE"""),"مصر الجديدة")</f>
        <v>مصر الجديدة</v>
      </c>
      <c r="D2928" s="5" t="str">
        <f ca="1">IFERROR(__xludf.DUMMYFUNCTION("""COMPUTED_VALUE"""),"هيئة الأطباء")</f>
        <v>هيئة الأطباء</v>
      </c>
      <c r="E2928" s="5" t="str">
        <f ca="1">IFERROR(__xludf.DUMMYFUNCTION("""COMPUTED_VALUE"""),"جراحة")</f>
        <v>جراحة</v>
      </c>
      <c r="F2928" s="5" t="str">
        <f ca="1">IFERROR(__xludf.DUMMYFUNCTION("""COMPUTED_VALUE"""),"جراحة عظام")</f>
        <v>جراحة عظام</v>
      </c>
      <c r="G2928" s="5" t="str">
        <f ca="1">IFERROR(__xludf.DUMMYFUNCTION("""COMPUTED_VALUE"""),"د/ جورج مجدي مرشد")</f>
        <v>د/ جورج مجدي مرشد</v>
      </c>
      <c r="H2928" s="5" t="str">
        <f ca="1">IFERROR(__xludf.DUMMYFUNCTION("""COMPUTED_VALUE"""),"90 ش المرغني غرفه في شقه رقم 7 - مصر الجديده")</f>
        <v>90 ش المرغني غرفه في شقه رقم 7 - مصر الجديده</v>
      </c>
      <c r="I2928" s="6" t="str">
        <f ca="1">IFERROR(__xludf.DUMMYFUNCTION("""COMPUTED_VALUE"""),"2034837007")</f>
        <v>2034837007</v>
      </c>
      <c r="J2928" s="6"/>
      <c r="K2928" s="6" t="str">
        <f ca="1">IFERROR(__xludf.DUMMYFUNCTION("""COMPUTED_VALUE"""),"20% على الخارجي ,10% الداخلى")</f>
        <v>20% على الخارجي ,10% الداخلى</v>
      </c>
    </row>
    <row r="2929" spans="1:11" x14ac:dyDescent="0.25">
      <c r="A2929" s="4" t="str">
        <f ca="1">IFERROR(__xludf.DUMMYFUNCTION("""COMPUTED_VALUE"""),"107142")</f>
        <v>107142</v>
      </c>
      <c r="B2929" s="5" t="str">
        <f ca="1">IFERROR(__xludf.DUMMYFUNCTION("""COMPUTED_VALUE"""),"القاهرة")</f>
        <v>القاهرة</v>
      </c>
      <c r="C2929" s="5" t="str">
        <f ca="1">IFERROR(__xludf.DUMMYFUNCTION("""COMPUTED_VALUE"""),"عابدين")</f>
        <v>عابدين</v>
      </c>
      <c r="D2929" s="5" t="str">
        <f ca="1">IFERROR(__xludf.DUMMYFUNCTION("""COMPUTED_VALUE"""),"صيدلية")</f>
        <v>صيدلية</v>
      </c>
      <c r="E2929" s="5" t="str">
        <f ca="1">IFERROR(__xludf.DUMMYFUNCTION("""COMPUTED_VALUE"""),"صيدلية")</f>
        <v>صيدلية</v>
      </c>
      <c r="F2929" s="5" t="str">
        <f ca="1">IFERROR(__xludf.DUMMYFUNCTION("""COMPUTED_VALUE"""),"صيدلية (أدوية ومستلزمات طبية)")</f>
        <v>صيدلية (أدوية ومستلزمات طبية)</v>
      </c>
      <c r="G2929" s="5" t="str">
        <f ca="1">IFERROR(__xludf.DUMMYFUNCTION("""COMPUTED_VALUE"""),"صيدلية شيماء حسني محمد حارث")</f>
        <v>صيدلية شيماء حسني محمد حارث</v>
      </c>
      <c r="H2929" s="5" t="str">
        <f ca="1">IFERROR(__xludf.DUMMYFUNCTION("""COMPUTED_VALUE"""),"10 ش محمد محمود - باب اللوق ")</f>
        <v xml:space="preserve">10 ش محمد محمود - باب اللوق </v>
      </c>
      <c r="I2929" s="6" t="str">
        <f ca="1">IFERROR(__xludf.DUMMYFUNCTION("""COMPUTED_VALUE"""),"01067336797")</f>
        <v>01067336797</v>
      </c>
      <c r="J2929" s="6"/>
      <c r="K2929" s="6" t="str">
        <f ca="1">IFERROR(__xludf.DUMMYFUNCTION("""COMPUTED_VALUE"""),"12 % على المحلى ,6% على المستورد")</f>
        <v>12 % على المحلى ,6% على المستورد</v>
      </c>
    </row>
    <row r="2930" spans="1:11" x14ac:dyDescent="0.25">
      <c r="A2930" s="4" t="str">
        <f ca="1">IFERROR(__xludf.DUMMYFUNCTION("""COMPUTED_VALUE"""),"107251")</f>
        <v>107251</v>
      </c>
      <c r="B2930" s="5" t="str">
        <f ca="1">IFERROR(__xludf.DUMMYFUNCTION("""COMPUTED_VALUE"""),"الفيوم")</f>
        <v>الفيوم</v>
      </c>
      <c r="C2930" s="5" t="str">
        <f ca="1">IFERROR(__xludf.DUMMYFUNCTION("""COMPUTED_VALUE"""),"الفيوم")</f>
        <v>الفيوم</v>
      </c>
      <c r="D2930" s="5" t="str">
        <f ca="1">IFERROR(__xludf.DUMMYFUNCTION("""COMPUTED_VALUE"""),"مجمع عيادات")</f>
        <v>مجمع عيادات</v>
      </c>
      <c r="E2930" s="5" t="str">
        <f ca="1">IFERROR(__xludf.DUMMYFUNCTION("""COMPUTED_VALUE"""),"جميع التخصصات")</f>
        <v>جميع التخصصات</v>
      </c>
      <c r="F2930" s="5" t="str">
        <f ca="1">IFERROR(__xludf.DUMMYFUNCTION("""COMPUTED_VALUE"""),"جميع التخصصات الطبية")</f>
        <v>جميع التخصصات الطبية</v>
      </c>
      <c r="G2930" s="5" t="str">
        <f ca="1">IFERROR(__xludf.DUMMYFUNCTION("""COMPUTED_VALUE"""),"الجمعيه العلميه لرعايه مرضي الاورام (مركز أورام الفيوم)")</f>
        <v>الجمعيه العلميه لرعايه مرضي الاورام (مركز أورام الفيوم)</v>
      </c>
      <c r="H2930" s="5" t="str">
        <f ca="1">IFERROR(__xludf.DUMMYFUNCTION("""COMPUTED_VALUE"""),"الفيوم - امتداد شارع النبوي المهندس")</f>
        <v>الفيوم - امتداد شارع النبوي المهندس</v>
      </c>
      <c r="I2930" s="6" t="str">
        <f ca="1">IFERROR(__xludf.DUMMYFUNCTION("""COMPUTED_VALUE"""),"01069526000")</f>
        <v>01069526000</v>
      </c>
      <c r="J2930" s="6" t="str">
        <f ca="1">IFERROR(__xludf.DUMMYFUNCTION("""COMPUTED_VALUE"""),"16382")</f>
        <v>16382</v>
      </c>
      <c r="K2930" s="6" t="str">
        <f ca="1">IFERROR(__xludf.DUMMYFUNCTION("""COMPUTED_VALUE"""),"10% علي الاسعار النقدي")</f>
        <v>10% علي الاسعار النقدي</v>
      </c>
    </row>
    <row r="2931" spans="1:11" x14ac:dyDescent="0.25">
      <c r="A2931" s="4" t="str">
        <f ca="1">IFERROR(__xludf.DUMMYFUNCTION("""COMPUTED_VALUE"""),"105219-B")</f>
        <v>105219-B</v>
      </c>
      <c r="B2931" s="5" t="str">
        <f ca="1">IFERROR(__xludf.DUMMYFUNCTION("""COMPUTED_VALUE"""),"الاسكندرية")</f>
        <v>الاسكندرية</v>
      </c>
      <c r="C2931" s="5" t="str">
        <f ca="1">IFERROR(__xludf.DUMMYFUNCTION("""COMPUTED_VALUE"""),"محرم بيك")</f>
        <v>محرم بيك</v>
      </c>
      <c r="D2931" s="5" t="str">
        <f ca="1">IFERROR(__xludf.DUMMYFUNCTION("""COMPUTED_VALUE"""),"هيئة الأطباء")</f>
        <v>هيئة الأطباء</v>
      </c>
      <c r="E2931" s="5" t="str">
        <f ca="1">IFERROR(__xludf.DUMMYFUNCTION("""COMPUTED_VALUE"""),"اسنان")</f>
        <v>اسنان</v>
      </c>
      <c r="F2931" s="5" t="str">
        <f ca="1">IFERROR(__xludf.DUMMYFUNCTION("""COMPUTED_VALUE"""),"جراحة الفم والأسنان")</f>
        <v>جراحة الفم والأسنان</v>
      </c>
      <c r="G2931" s="5" t="str">
        <f ca="1">IFERROR(__xludf.DUMMYFUNCTION("""COMPUTED_VALUE"""),"د.محمد سامى محمد عبدالعال أبو الدهب (سامى دنتال كلينك)")</f>
        <v>د.محمد سامى محمد عبدالعال أبو الدهب (سامى دنتال كلينك)</v>
      </c>
      <c r="H2931" s="5" t="str">
        <f ca="1">IFERROR(__xludf.DUMMYFUNCTION("""COMPUTED_VALUE"""),"80ش محرم بك مع مشير احمد بدوي ")</f>
        <v xml:space="preserve">80ش محرم بك مع مشير احمد بدوي </v>
      </c>
      <c r="I2931" s="6" t="str">
        <f ca="1">IFERROR(__xludf.DUMMYFUNCTION("""COMPUTED_VALUE"""),"34112655")</f>
        <v>34112655</v>
      </c>
      <c r="J2931" s="6"/>
      <c r="K2931" s="6" t="str">
        <f ca="1">IFERROR(__xludf.DUMMYFUNCTION("""COMPUTED_VALUE"""),"خصم 25 % علي الأسعار النقدي المعلنة")</f>
        <v>خصم 25 % علي الأسعار النقدي المعلنة</v>
      </c>
    </row>
    <row r="2932" spans="1:11" x14ac:dyDescent="0.25">
      <c r="A2932" s="4" t="str">
        <f ca="1">IFERROR(__xludf.DUMMYFUNCTION("""COMPUTED_VALUE"""),"107261")</f>
        <v>107261</v>
      </c>
      <c r="B2932" s="5" t="str">
        <f ca="1">IFERROR(__xludf.DUMMYFUNCTION("""COMPUTED_VALUE"""),"المنوفية")</f>
        <v>المنوفية</v>
      </c>
      <c r="C2932" s="5" t="str">
        <f ca="1">IFERROR(__xludf.DUMMYFUNCTION("""COMPUTED_VALUE"""),"مدينه السادات")</f>
        <v>مدينه السادات</v>
      </c>
      <c r="D2932" s="5" t="str">
        <f ca="1">IFERROR(__xludf.DUMMYFUNCTION("""COMPUTED_VALUE"""),"مركز علاج طبيعي")</f>
        <v>مركز علاج طبيعي</v>
      </c>
      <c r="E2932" s="5" t="str">
        <f ca="1">IFERROR(__xludf.DUMMYFUNCTION("""COMPUTED_VALUE"""),"علاج طبيعي")</f>
        <v>علاج طبيعي</v>
      </c>
      <c r="F2932" s="5" t="str">
        <f ca="1">IFERROR(__xludf.DUMMYFUNCTION("""COMPUTED_VALUE"""),"جلسات العلاج الطبيعي")</f>
        <v>جلسات العلاج الطبيعي</v>
      </c>
      <c r="G2932" s="5" t="str">
        <f ca="1">IFERROR(__xludf.DUMMYFUNCTION("""COMPUTED_VALUE"""),"محمد ابراهيم سيف الدين قلبه (مركز سيف للعلاج الطبيعي)")</f>
        <v>محمد ابراهيم سيف الدين قلبه (مركز سيف للعلاج الطبيعي)</v>
      </c>
      <c r="H2932" s="5" t="str">
        <f ca="1">IFERROR(__xludf.DUMMYFUNCTION("""COMPUTED_VALUE"""),"146 شقة 1 ق 146 م 3 مدينة السادات - المنوفية")</f>
        <v>146 شقة 1 ق 146 م 3 مدينة السادات - المنوفية</v>
      </c>
      <c r="I2932" s="6" t="str">
        <f ca="1">IFERROR(__xludf.DUMMYFUNCTION("""COMPUTED_VALUE"""),"01067193399")</f>
        <v>01067193399</v>
      </c>
      <c r="J2932" s="6"/>
      <c r="K2932" s="6" t="str">
        <f ca="1">IFERROR(__xludf.DUMMYFUNCTION("""COMPUTED_VALUE"""),"خصم 30 % علي الأسعار النقدي المعلنة")</f>
        <v>خصم 30 % علي الأسعار النقدي المعلنة</v>
      </c>
    </row>
    <row r="2933" spans="1:11" x14ac:dyDescent="0.25">
      <c r="A2933" s="4" t="str">
        <f ca="1">IFERROR(__xludf.DUMMYFUNCTION("""COMPUTED_VALUE"""),"107262")</f>
        <v>107262</v>
      </c>
      <c r="B2933" s="5" t="str">
        <f ca="1">IFERROR(__xludf.DUMMYFUNCTION("""COMPUTED_VALUE"""),"سوهاج")</f>
        <v>سوهاج</v>
      </c>
      <c r="C2933" s="5" t="str">
        <f ca="1">IFERROR(__xludf.DUMMYFUNCTION("""COMPUTED_VALUE"""),"جرجا")</f>
        <v>جرجا</v>
      </c>
      <c r="D2933" s="5" t="str">
        <f ca="1">IFERROR(__xludf.DUMMYFUNCTION("""COMPUTED_VALUE"""),"هيئة الأطباء")</f>
        <v>هيئة الأطباء</v>
      </c>
      <c r="E2933" s="5" t="str">
        <f ca="1">IFERROR(__xludf.DUMMYFUNCTION("""COMPUTED_VALUE"""),"باطنة")</f>
        <v>باطنة</v>
      </c>
      <c r="F2933" s="5" t="str">
        <f ca="1">IFERROR(__xludf.DUMMYFUNCTION("""COMPUTED_VALUE"""),"باطنة عامة")</f>
        <v>باطنة عامة</v>
      </c>
      <c r="G2933" s="5" t="str">
        <f ca="1">IFERROR(__xludf.DUMMYFUNCTION("""COMPUTED_VALUE"""),"د/مايكل مفيد فخري جرجس")</f>
        <v>د/مايكل مفيد فخري جرجس</v>
      </c>
      <c r="H2933" s="5" t="str">
        <f ca="1">IFERROR(__xludf.DUMMYFUNCTION("""COMPUTED_VALUE"""),"شارع الصراف امام بنك الاسكندرية - جرجا - سوهاج")</f>
        <v>شارع الصراف امام بنك الاسكندرية - جرجا - سوهاج</v>
      </c>
      <c r="I2933" s="6" t="str">
        <f ca="1">IFERROR(__xludf.DUMMYFUNCTION("""COMPUTED_VALUE"""),"01226745424")</f>
        <v>01226745424</v>
      </c>
      <c r="J2933" s="6"/>
      <c r="K2933" s="6" t="str">
        <f ca="1">IFERROR(__xludf.DUMMYFUNCTION("""COMPUTED_VALUE"""),"خصم 30 % علي الأسعار النقدي المعلنة")</f>
        <v>خصم 30 % علي الأسعار النقدي المعلنة</v>
      </c>
    </row>
    <row r="2934" spans="1:11" x14ac:dyDescent="0.25">
      <c r="A2934" s="4" t="str">
        <f ca="1">IFERROR(__xludf.DUMMYFUNCTION("""COMPUTED_VALUE"""),"107263")</f>
        <v>107263</v>
      </c>
      <c r="B2934" s="5" t="str">
        <f ca="1">IFERROR(__xludf.DUMMYFUNCTION("""COMPUTED_VALUE"""),"سوهاج")</f>
        <v>سوهاج</v>
      </c>
      <c r="C2934" s="5" t="str">
        <f ca="1">IFERROR(__xludf.DUMMYFUNCTION("""COMPUTED_VALUE"""),"طما")</f>
        <v>طما</v>
      </c>
      <c r="D2934" s="5" t="str">
        <f ca="1">IFERROR(__xludf.DUMMYFUNCTION("""COMPUTED_VALUE"""),"صيدلية")</f>
        <v>صيدلية</v>
      </c>
      <c r="E2934" s="5" t="str">
        <f ca="1">IFERROR(__xludf.DUMMYFUNCTION("""COMPUTED_VALUE"""),"صيدلية")</f>
        <v>صيدلية</v>
      </c>
      <c r="F2934" s="5" t="str">
        <f ca="1">IFERROR(__xludf.DUMMYFUNCTION("""COMPUTED_VALUE"""),"صيدلية (أدوية ومستلزمات طبية)")</f>
        <v>صيدلية (أدوية ومستلزمات طبية)</v>
      </c>
      <c r="G2934" s="5" t="str">
        <f ca="1">IFERROR(__xludf.DUMMYFUNCTION("""COMPUTED_VALUE"""),"جمال محمد عبد الفتاح سالم (صيدلية النصر)")</f>
        <v>جمال محمد عبد الفتاح سالم (صيدلية النصر)</v>
      </c>
      <c r="H2934" s="5" t="str">
        <f ca="1">IFERROR(__xludf.DUMMYFUNCTION("""COMPUTED_VALUE"""),"6 شارع أحمد عرابي - طما - سوهاج")</f>
        <v>6 شارع أحمد عرابي - طما - سوهاج</v>
      </c>
      <c r="I2934" s="6" t="str">
        <f ca="1">IFERROR(__xludf.DUMMYFUNCTION("""COMPUTED_VALUE"""),"01112308079")</f>
        <v>01112308079</v>
      </c>
      <c r="J2934" s="6"/>
      <c r="K2934" s="6" t="str">
        <f ca="1">IFERROR(__xludf.DUMMYFUNCTION("""COMPUTED_VALUE"""),"14 % على المحلى ,7% على المستورد")</f>
        <v>14 % على المحلى ,7% على المستورد</v>
      </c>
    </row>
    <row r="2935" spans="1:11" x14ac:dyDescent="0.25">
      <c r="A2935" s="4" t="str">
        <f ca="1">IFERROR(__xludf.DUMMYFUNCTION("""COMPUTED_VALUE"""),"107263-B")</f>
        <v>107263-B</v>
      </c>
      <c r="B2935" s="5" t="str">
        <f ca="1">IFERROR(__xludf.DUMMYFUNCTION("""COMPUTED_VALUE"""),"سوهاج")</f>
        <v>سوهاج</v>
      </c>
      <c r="C2935" s="5" t="str">
        <f ca="1">IFERROR(__xludf.DUMMYFUNCTION("""COMPUTED_VALUE"""),"طما")</f>
        <v>طما</v>
      </c>
      <c r="D2935" s="5" t="str">
        <f ca="1">IFERROR(__xludf.DUMMYFUNCTION("""COMPUTED_VALUE"""),"صيدلية")</f>
        <v>صيدلية</v>
      </c>
      <c r="E2935" s="5" t="str">
        <f ca="1">IFERROR(__xludf.DUMMYFUNCTION("""COMPUTED_VALUE"""),"صيدلية")</f>
        <v>صيدلية</v>
      </c>
      <c r="F2935" s="5" t="str">
        <f ca="1">IFERROR(__xludf.DUMMYFUNCTION("""COMPUTED_VALUE"""),"صيدلية (أدوية ومستلزمات طبية)")</f>
        <v>صيدلية (أدوية ومستلزمات طبية)</v>
      </c>
      <c r="G2935" s="5" t="str">
        <f ca="1">IFERROR(__xludf.DUMMYFUNCTION("""COMPUTED_VALUE"""),"جمال محمد عبد الفتاح سالم (صيدلية النصر)")</f>
        <v>جمال محمد عبد الفتاح سالم (صيدلية النصر)</v>
      </c>
      <c r="H2935" s="5" t="str">
        <f ca="1">IFERROR(__xludf.DUMMYFUNCTION("""COMPUTED_VALUE"""),"شارع احمد عرابي أمام نادي طما الرياضي بجوار مركز شرطة طما")</f>
        <v>شارع احمد عرابي أمام نادي طما الرياضي بجوار مركز شرطة طما</v>
      </c>
      <c r="I2935" s="6" t="str">
        <f ca="1">IFERROR(__xludf.DUMMYFUNCTION("""COMPUTED_VALUE"""),"01112308079")</f>
        <v>01112308079</v>
      </c>
      <c r="J2935" s="6"/>
      <c r="K2935" s="6" t="str">
        <f ca="1">IFERROR(__xludf.DUMMYFUNCTION("""COMPUTED_VALUE"""),"14 % على المحلى ,7% على المستورد")</f>
        <v>14 % على المحلى ,7% على المستورد</v>
      </c>
    </row>
    <row r="2936" spans="1:11" x14ac:dyDescent="0.25">
      <c r="A2936" s="4" t="str">
        <f ca="1">IFERROR(__xludf.DUMMYFUNCTION("""COMPUTED_VALUE"""),"107264")</f>
        <v>107264</v>
      </c>
      <c r="B2936" s="5" t="str">
        <f ca="1">IFERROR(__xludf.DUMMYFUNCTION("""COMPUTED_VALUE"""),"كفر الشيخ")</f>
        <v>كفر الشيخ</v>
      </c>
      <c r="C2936" s="5" t="str">
        <f ca="1">IFERROR(__xludf.DUMMYFUNCTION("""COMPUTED_VALUE"""),"دسوق")</f>
        <v>دسوق</v>
      </c>
      <c r="D2936" s="5" t="str">
        <f ca="1">IFERROR(__xludf.DUMMYFUNCTION("""COMPUTED_VALUE"""),"مستشفى")</f>
        <v>مستشفى</v>
      </c>
      <c r="E2936" s="5" t="str">
        <f ca="1">IFERROR(__xludf.DUMMYFUNCTION("""COMPUTED_VALUE"""),"مستشفي طبي متكامل")</f>
        <v>مستشفي طبي متكامل</v>
      </c>
      <c r="F2936" s="5" t="str">
        <f ca="1">IFERROR(__xludf.DUMMYFUNCTION("""COMPUTED_VALUE"""),"جميع التخصصات الطبية")</f>
        <v>جميع التخصصات الطبية</v>
      </c>
      <c r="G2936" s="5" t="str">
        <f ca="1">IFERROR(__xludf.DUMMYFUNCTION("""COMPUTED_VALUE"""),"مستشفي مبرة دسوقي")</f>
        <v>مستشفي مبرة دسوقي</v>
      </c>
      <c r="H2936" s="5" t="str">
        <f ca="1">IFERROR(__xludf.DUMMYFUNCTION("""COMPUTED_VALUE"""),"دسوق مركز كفرالشيخ")</f>
        <v>دسوق مركز كفرالشيخ</v>
      </c>
      <c r="I2936" s="6" t="str">
        <f ca="1">IFERROR(__xludf.DUMMYFUNCTION("""COMPUTED_VALUE"""),"01004288688")</f>
        <v>01004288688</v>
      </c>
      <c r="J2936" s="6"/>
      <c r="K2936" s="6" t="str">
        <f ca="1">IFERROR(__xludf.DUMMYFUNCTION("""COMPUTED_VALUE"""),"خصم 30% علي الأسعار النقدي المعلنة")</f>
        <v>خصم 30% علي الأسعار النقدي المعلنة</v>
      </c>
    </row>
    <row r="2937" spans="1:11" x14ac:dyDescent="0.25">
      <c r="A2937" s="4" t="str">
        <f ca="1">IFERROR(__xludf.DUMMYFUNCTION("""COMPUTED_VALUE"""),"107265")</f>
        <v>107265</v>
      </c>
      <c r="B2937" s="5" t="str">
        <f ca="1">IFERROR(__xludf.DUMMYFUNCTION("""COMPUTED_VALUE"""),"بني سويف")</f>
        <v>بني سويف</v>
      </c>
      <c r="C2937" s="5" t="str">
        <f ca="1">IFERROR(__xludf.DUMMYFUNCTION("""COMPUTED_VALUE"""),"بني سويف")</f>
        <v>بني سويف</v>
      </c>
      <c r="D2937" s="5" t="str">
        <f ca="1">IFERROR(__xludf.DUMMYFUNCTION("""COMPUTED_VALUE"""),"مستشفى")</f>
        <v>مستشفى</v>
      </c>
      <c r="E2937" s="5" t="str">
        <f ca="1">IFERROR(__xludf.DUMMYFUNCTION("""COMPUTED_VALUE"""),"مستشفي طبي متكامل")</f>
        <v>مستشفي طبي متكامل</v>
      </c>
      <c r="F2937" s="5" t="str">
        <f ca="1">IFERROR(__xludf.DUMMYFUNCTION("""COMPUTED_VALUE"""),"جميع التخصصات الطبية")</f>
        <v>جميع التخصصات الطبية</v>
      </c>
      <c r="G2937" s="5" t="str">
        <f ca="1">IFERROR(__xludf.DUMMYFUNCTION("""COMPUTED_VALUE"""),"رحاب مصطفي محمد محمد الشناوي (مستشفي برج الجزيرة)")</f>
        <v>رحاب مصطفي محمد محمد الشناوي (مستشفي برج الجزيرة)</v>
      </c>
      <c r="H2937" s="5" t="str">
        <f ca="1">IFERROR(__xludf.DUMMYFUNCTION("""COMPUTED_VALUE"""),"ش شفيق تقاطع ش 23 يوليو بجوار مسجد الانبياء بني سويف")</f>
        <v>ش شفيق تقاطع ش 23 يوليو بجوار مسجد الانبياء بني سويف</v>
      </c>
      <c r="I2937" s="6" t="str">
        <f ca="1">IFERROR(__xludf.DUMMYFUNCTION("""COMPUTED_VALUE"""),"01000976524")</f>
        <v>01000976524</v>
      </c>
      <c r="J2937" s="6"/>
      <c r="K2937" s="6" t="str">
        <f ca="1">IFERROR(__xludf.DUMMYFUNCTION("""COMPUTED_VALUE"""),"خصم 30% علي الأسعار النقدي المعلنة")</f>
        <v>خصم 30% علي الأسعار النقدي المعلنة</v>
      </c>
    </row>
    <row r="2938" spans="1:11" x14ac:dyDescent="0.25">
      <c r="A2938" s="4" t="str">
        <f ca="1">IFERROR(__xludf.DUMMYFUNCTION("""COMPUTED_VALUE"""),"107278")</f>
        <v>107278</v>
      </c>
      <c r="B2938" s="5" t="str">
        <f ca="1">IFERROR(__xludf.DUMMYFUNCTION("""COMPUTED_VALUE"""),"سوهاج")</f>
        <v>سوهاج</v>
      </c>
      <c r="C2938" s="5" t="str">
        <f ca="1">IFERROR(__xludf.DUMMYFUNCTION("""COMPUTED_VALUE"""),"المراغة")</f>
        <v>المراغة</v>
      </c>
      <c r="D2938" s="5" t="str">
        <f ca="1">IFERROR(__xludf.DUMMYFUNCTION("""COMPUTED_VALUE"""),"هيئة الأطباء")</f>
        <v>هيئة الأطباء</v>
      </c>
      <c r="E2938" s="5" t="str">
        <f ca="1">IFERROR(__xludf.DUMMYFUNCTION("""COMPUTED_VALUE"""),"رمد")</f>
        <v>رمد</v>
      </c>
      <c r="F2938" s="5" t="str">
        <f ca="1">IFERROR(__xludf.DUMMYFUNCTION("""COMPUTED_VALUE"""),"رمد (جراحة عيون)")</f>
        <v>رمد (جراحة عيون)</v>
      </c>
      <c r="G2938" s="5" t="str">
        <f ca="1">IFERROR(__xludf.DUMMYFUNCTION("""COMPUTED_VALUE"""),"د/ عبدالسلام عبدالله محمد عبدالله")</f>
        <v>د/ عبدالسلام عبدالله محمد عبدالله</v>
      </c>
      <c r="H2938" s="5" t="str">
        <f ca="1">IFERROR(__xludf.DUMMYFUNCTION("""COMPUTED_VALUE"""),"ش الجزائر - مركز ساقلته - سوهاج")</f>
        <v>ش الجزائر - مركز ساقلته - سوهاج</v>
      </c>
      <c r="I2938" s="6" t="str">
        <f ca="1">IFERROR(__xludf.DUMMYFUNCTION("""COMPUTED_VALUE"""),"01128019798")</f>
        <v>01128019798</v>
      </c>
      <c r="J2938" s="6"/>
      <c r="K2938" s="6" t="str">
        <f ca="1">IFERROR(__xludf.DUMMYFUNCTION("""COMPUTED_VALUE"""),"خصم 30% علي الأسعار النقدي المعلنة")</f>
        <v>خصم 30% علي الأسعار النقدي المعلنة</v>
      </c>
    </row>
    <row r="2939" spans="1:11" x14ac:dyDescent="0.25">
      <c r="A2939" s="4" t="str">
        <f ca="1">IFERROR(__xludf.DUMMYFUNCTION("""COMPUTED_VALUE"""),"105972-B")</f>
        <v>105972-B</v>
      </c>
      <c r="B2939" s="5" t="str">
        <f ca="1">IFERROR(__xludf.DUMMYFUNCTION("""COMPUTED_VALUE"""),"قنا")</f>
        <v>قنا</v>
      </c>
      <c r="C2939" s="5" t="str">
        <f ca="1">IFERROR(__xludf.DUMMYFUNCTION("""COMPUTED_VALUE"""),"قنا")</f>
        <v>قنا</v>
      </c>
      <c r="D2939" s="5" t="str">
        <f ca="1">IFERROR(__xludf.DUMMYFUNCTION("""COMPUTED_VALUE"""),"معمل")</f>
        <v>معمل</v>
      </c>
      <c r="E2939" s="5" t="str">
        <f ca="1">IFERROR(__xludf.DUMMYFUNCTION("""COMPUTED_VALUE"""),"معمل")</f>
        <v>معمل</v>
      </c>
      <c r="F2939" s="5" t="str">
        <f ca="1">IFERROR(__xludf.DUMMYFUNCTION("""COMPUTED_VALUE"""),"معمل التحاليل الطبية")</f>
        <v>معمل التحاليل الطبية</v>
      </c>
      <c r="G2939" s="5" t="str">
        <f ca="1">IFERROR(__xludf.DUMMYFUNCTION("""COMPUTED_VALUE"""),"شركة معامل دار ابن سينا للتحاليل الطبية و ابحاث الدم")</f>
        <v>شركة معامل دار ابن سينا للتحاليل الطبية و ابحاث الدم</v>
      </c>
      <c r="H2939" s="5" t="str">
        <f ca="1">IFERROR(__xludf.DUMMYFUNCTION("""COMPUTED_VALUE"""),"شارع الجميل - امام مطعم الفتح - عماره فندق دريم")</f>
        <v>شارع الجميل - امام مطعم الفتح - عماره فندق دريم</v>
      </c>
      <c r="I2939" s="6" t="str">
        <f ca="1">IFERROR(__xludf.DUMMYFUNCTION("""COMPUTED_VALUE"""),"01011954499")</f>
        <v>01011954499</v>
      </c>
      <c r="J2939" s="6"/>
      <c r="K2939" s="6" t="str">
        <f ca="1">IFERROR(__xludf.DUMMYFUNCTION("""COMPUTED_VALUE"""),"خصم 40% علي الأسعار النقدي المعلنة")</f>
        <v>خصم 40% علي الأسعار النقدي المعلنة</v>
      </c>
    </row>
    <row r="2940" spans="1:11" x14ac:dyDescent="0.25">
      <c r="A2940" s="4" t="str">
        <f ca="1">IFERROR(__xludf.DUMMYFUNCTION("""COMPUTED_VALUE"""),"105972-B")</f>
        <v>105972-B</v>
      </c>
      <c r="B2940" s="5" t="str">
        <f ca="1">IFERROR(__xludf.DUMMYFUNCTION("""COMPUTED_VALUE"""),"قنا")</f>
        <v>قنا</v>
      </c>
      <c r="C2940" s="5" t="str">
        <f ca="1">IFERROR(__xludf.DUMMYFUNCTION("""COMPUTED_VALUE"""),"قنا")</f>
        <v>قنا</v>
      </c>
      <c r="D2940" s="5" t="str">
        <f ca="1">IFERROR(__xludf.DUMMYFUNCTION("""COMPUTED_VALUE"""),"معمل")</f>
        <v>معمل</v>
      </c>
      <c r="E2940" s="5" t="str">
        <f ca="1">IFERROR(__xludf.DUMMYFUNCTION("""COMPUTED_VALUE"""),"معمل")</f>
        <v>معمل</v>
      </c>
      <c r="F2940" s="5" t="str">
        <f ca="1">IFERROR(__xludf.DUMMYFUNCTION("""COMPUTED_VALUE"""),"معمل التحاليل الطبية")</f>
        <v>معمل التحاليل الطبية</v>
      </c>
      <c r="G2940" s="5" t="str">
        <f ca="1">IFERROR(__xludf.DUMMYFUNCTION("""COMPUTED_VALUE"""),"شركة معامل دار ابن سينا للتحاليل الطبية و ابحاث الدم")</f>
        <v>شركة معامل دار ابن سينا للتحاليل الطبية و ابحاث الدم</v>
      </c>
      <c r="H2940" s="5" t="str">
        <f ca="1">IFERROR(__xludf.DUMMYFUNCTION("""COMPUTED_VALUE"""),"دارالحجاز الطبى - خلف مستشفى الهلال الاحمر")</f>
        <v>دارالحجاز الطبى - خلف مستشفى الهلال الاحمر</v>
      </c>
      <c r="I2940" s="6" t="str">
        <f ca="1">IFERROR(__xludf.DUMMYFUNCTION("""COMPUTED_VALUE"""),"01011954499")</f>
        <v>01011954499</v>
      </c>
      <c r="J2940" s="6"/>
      <c r="K2940" s="6" t="str">
        <f ca="1">IFERROR(__xludf.DUMMYFUNCTION("""COMPUTED_VALUE"""),"خصم 40% علي الأسعار النقدي المعلنة")</f>
        <v>خصم 40% علي الأسعار النقدي المعلنة</v>
      </c>
    </row>
    <row r="2941" spans="1:11" x14ac:dyDescent="0.25">
      <c r="A2941" s="4" t="str">
        <f ca="1">IFERROR(__xludf.DUMMYFUNCTION("""COMPUTED_VALUE"""),"105972-B")</f>
        <v>105972-B</v>
      </c>
      <c r="B2941" s="5" t="str">
        <f ca="1">IFERROR(__xludf.DUMMYFUNCTION("""COMPUTED_VALUE"""),"قنا")</f>
        <v>قنا</v>
      </c>
      <c r="C2941" s="5" t="str">
        <f ca="1">IFERROR(__xludf.DUMMYFUNCTION("""COMPUTED_VALUE"""),"قنا")</f>
        <v>قنا</v>
      </c>
      <c r="D2941" s="5" t="str">
        <f ca="1">IFERROR(__xludf.DUMMYFUNCTION("""COMPUTED_VALUE"""),"معمل")</f>
        <v>معمل</v>
      </c>
      <c r="E2941" s="5" t="str">
        <f ca="1">IFERROR(__xludf.DUMMYFUNCTION("""COMPUTED_VALUE"""),"معمل")</f>
        <v>معمل</v>
      </c>
      <c r="F2941" s="5" t="str">
        <f ca="1">IFERROR(__xludf.DUMMYFUNCTION("""COMPUTED_VALUE"""),"معمل التحاليل الطبية")</f>
        <v>معمل التحاليل الطبية</v>
      </c>
      <c r="G2941" s="5" t="str">
        <f ca="1">IFERROR(__xludf.DUMMYFUNCTION("""COMPUTED_VALUE"""),"شركة معامل دار ابن سينا للتحاليل الطبية و ابحاث الدم")</f>
        <v>شركة معامل دار ابن سينا للتحاليل الطبية و ابحاث الدم</v>
      </c>
      <c r="H2941" s="5" t="str">
        <f ca="1">IFERROR(__xludf.DUMMYFUNCTION("""COMPUTED_VALUE"""),"شارع المستشارين - امام مركز الرازى")</f>
        <v>شارع المستشارين - امام مركز الرازى</v>
      </c>
      <c r="I2941" s="6" t="str">
        <f ca="1">IFERROR(__xludf.DUMMYFUNCTION("""COMPUTED_VALUE"""),"01011954499")</f>
        <v>01011954499</v>
      </c>
      <c r="J2941" s="6"/>
      <c r="K2941" s="6" t="str">
        <f ca="1">IFERROR(__xludf.DUMMYFUNCTION("""COMPUTED_VALUE"""),"خصم 40% علي الأسعار النقدي المعلنة")</f>
        <v>خصم 40% علي الأسعار النقدي المعلنة</v>
      </c>
    </row>
    <row r="2942" spans="1:11" x14ac:dyDescent="0.25">
      <c r="A2942" s="4" t="str">
        <f ca="1">IFERROR(__xludf.DUMMYFUNCTION("""COMPUTED_VALUE"""),"105972-B")</f>
        <v>105972-B</v>
      </c>
      <c r="B2942" s="5" t="str">
        <f ca="1">IFERROR(__xludf.DUMMYFUNCTION("""COMPUTED_VALUE"""),"قنا")</f>
        <v>قنا</v>
      </c>
      <c r="C2942" s="5" t="str">
        <f ca="1">IFERROR(__xludf.DUMMYFUNCTION("""COMPUTED_VALUE"""),"قفط")</f>
        <v>قفط</v>
      </c>
      <c r="D2942" s="5" t="str">
        <f ca="1">IFERROR(__xludf.DUMMYFUNCTION("""COMPUTED_VALUE"""),"معمل")</f>
        <v>معمل</v>
      </c>
      <c r="E2942" s="5" t="str">
        <f ca="1">IFERROR(__xludf.DUMMYFUNCTION("""COMPUTED_VALUE"""),"معمل")</f>
        <v>معمل</v>
      </c>
      <c r="F2942" s="5" t="str">
        <f ca="1">IFERROR(__xludf.DUMMYFUNCTION("""COMPUTED_VALUE"""),"معمل التحاليل الطبية")</f>
        <v>معمل التحاليل الطبية</v>
      </c>
      <c r="G2942" s="5" t="str">
        <f ca="1">IFERROR(__xludf.DUMMYFUNCTION("""COMPUTED_VALUE"""),"شركة معامل دار ابن سينا للتحاليل الطبية و ابحاث الدم")</f>
        <v>شركة معامل دار ابن سينا للتحاليل الطبية و ابحاث الدم</v>
      </c>
      <c r="H2942" s="5" t="str">
        <f ca="1">IFERROR(__xludf.DUMMYFUNCTION("""COMPUTED_VALUE"""),"قفط - كوبرى الزعير - ش المستشفى - بجوار مدرسه النهضه")</f>
        <v>قفط - كوبرى الزعير - ش المستشفى - بجوار مدرسه النهضه</v>
      </c>
      <c r="I2942" s="6" t="str">
        <f ca="1">IFERROR(__xludf.DUMMYFUNCTION("""COMPUTED_VALUE"""),"01011954499")</f>
        <v>01011954499</v>
      </c>
      <c r="J2942" s="6"/>
      <c r="K2942" s="6" t="str">
        <f ca="1">IFERROR(__xludf.DUMMYFUNCTION("""COMPUTED_VALUE"""),"خصم 40% علي الأسعار النقدي المعلنة")</f>
        <v>خصم 40% علي الأسعار النقدي المعلنة</v>
      </c>
    </row>
    <row r="2943" spans="1:11" x14ac:dyDescent="0.25">
      <c r="A2943" s="4" t="str">
        <f ca="1">IFERROR(__xludf.DUMMYFUNCTION("""COMPUTED_VALUE"""),"105972-B")</f>
        <v>105972-B</v>
      </c>
      <c r="B2943" s="5" t="str">
        <f ca="1">IFERROR(__xludf.DUMMYFUNCTION("""COMPUTED_VALUE"""),"قنا")</f>
        <v>قنا</v>
      </c>
      <c r="C2943" s="5" t="str">
        <f ca="1">IFERROR(__xludf.DUMMYFUNCTION("""COMPUTED_VALUE"""),"قوص")</f>
        <v>قوص</v>
      </c>
      <c r="D2943" s="5" t="str">
        <f ca="1">IFERROR(__xludf.DUMMYFUNCTION("""COMPUTED_VALUE"""),"معمل")</f>
        <v>معمل</v>
      </c>
      <c r="E2943" s="5" t="str">
        <f ca="1">IFERROR(__xludf.DUMMYFUNCTION("""COMPUTED_VALUE"""),"معمل")</f>
        <v>معمل</v>
      </c>
      <c r="F2943" s="5" t="str">
        <f ca="1">IFERROR(__xludf.DUMMYFUNCTION("""COMPUTED_VALUE"""),"معمل التحاليل الطبية")</f>
        <v>معمل التحاليل الطبية</v>
      </c>
      <c r="G2943" s="5" t="str">
        <f ca="1">IFERROR(__xludf.DUMMYFUNCTION("""COMPUTED_VALUE"""),"شركة معامل دار ابن سينا للتحاليل الطبية و ابحاث الدم")</f>
        <v>شركة معامل دار ابن سينا للتحاليل الطبية و ابحاث الدم</v>
      </c>
      <c r="H2943" s="5" t="str">
        <f ca="1">IFERROR(__xludf.DUMMYFUNCTION("""COMPUTED_VALUE"""),"قوص - طريق النصر - اعلى جمله ماركت")</f>
        <v>قوص - طريق النصر - اعلى جمله ماركت</v>
      </c>
      <c r="I2943" s="6" t="str">
        <f ca="1">IFERROR(__xludf.DUMMYFUNCTION("""COMPUTED_VALUE"""),"01011954499")</f>
        <v>01011954499</v>
      </c>
      <c r="J2943" s="6"/>
      <c r="K2943" s="6" t="str">
        <f ca="1">IFERROR(__xludf.DUMMYFUNCTION("""COMPUTED_VALUE"""),"خصم 40% علي الأسعار النقدي المعلنة")</f>
        <v>خصم 40% علي الأسعار النقدي المعلنة</v>
      </c>
    </row>
    <row r="2944" spans="1:11" x14ac:dyDescent="0.25">
      <c r="A2944" s="4" t="str">
        <f ca="1">IFERROR(__xludf.DUMMYFUNCTION("""COMPUTED_VALUE"""),"105972-B")</f>
        <v>105972-B</v>
      </c>
      <c r="B2944" s="5" t="str">
        <f ca="1">IFERROR(__xludf.DUMMYFUNCTION("""COMPUTED_VALUE"""),"قنا")</f>
        <v>قنا</v>
      </c>
      <c r="C2944" s="5" t="str">
        <f ca="1">IFERROR(__xludf.DUMMYFUNCTION("""COMPUTED_VALUE"""),"نقادة")</f>
        <v>نقادة</v>
      </c>
      <c r="D2944" s="5" t="str">
        <f ca="1">IFERROR(__xludf.DUMMYFUNCTION("""COMPUTED_VALUE"""),"معمل")</f>
        <v>معمل</v>
      </c>
      <c r="E2944" s="5" t="str">
        <f ca="1">IFERROR(__xludf.DUMMYFUNCTION("""COMPUTED_VALUE"""),"معمل")</f>
        <v>معمل</v>
      </c>
      <c r="F2944" s="5" t="str">
        <f ca="1">IFERROR(__xludf.DUMMYFUNCTION("""COMPUTED_VALUE"""),"معمل التحاليل الطبية")</f>
        <v>معمل التحاليل الطبية</v>
      </c>
      <c r="G2944" s="5" t="str">
        <f ca="1">IFERROR(__xludf.DUMMYFUNCTION("""COMPUTED_VALUE"""),"شركة معامل دار ابن سينا للتحاليل الطبية و ابحاث الدم")</f>
        <v>شركة معامل دار ابن سينا للتحاليل الطبية و ابحاث الدم</v>
      </c>
      <c r="H2944" s="5" t="str">
        <f ca="1">IFERROR(__xludf.DUMMYFUNCTION("""COMPUTED_VALUE"""),"نقاده - شارع الشيخ حسين - بجوار موقف قنا")</f>
        <v>نقاده - شارع الشيخ حسين - بجوار موقف قنا</v>
      </c>
      <c r="I2944" s="6" t="str">
        <f ca="1">IFERROR(__xludf.DUMMYFUNCTION("""COMPUTED_VALUE"""),"01011954499")</f>
        <v>01011954499</v>
      </c>
      <c r="J2944" s="6"/>
      <c r="K2944" s="6" t="str">
        <f ca="1">IFERROR(__xludf.DUMMYFUNCTION("""COMPUTED_VALUE"""),"خصم 40% علي الأسعار النقدي المعلنة")</f>
        <v>خصم 40% علي الأسعار النقدي المعلنة</v>
      </c>
    </row>
    <row r="2945" spans="1:11" x14ac:dyDescent="0.25">
      <c r="A2945" s="4" t="str">
        <f ca="1">IFERROR(__xludf.DUMMYFUNCTION("""COMPUTED_VALUE"""),"105972-B")</f>
        <v>105972-B</v>
      </c>
      <c r="B2945" s="5" t="str">
        <f ca="1">IFERROR(__xludf.DUMMYFUNCTION("""COMPUTED_VALUE"""),"قنا")</f>
        <v>قنا</v>
      </c>
      <c r="C2945" s="5" t="str">
        <f ca="1">IFERROR(__xludf.DUMMYFUNCTION("""COMPUTED_VALUE"""),"نجع حمادى")</f>
        <v>نجع حمادى</v>
      </c>
      <c r="D2945" s="5" t="str">
        <f ca="1">IFERROR(__xludf.DUMMYFUNCTION("""COMPUTED_VALUE"""),"معمل")</f>
        <v>معمل</v>
      </c>
      <c r="E2945" s="5" t="str">
        <f ca="1">IFERROR(__xludf.DUMMYFUNCTION("""COMPUTED_VALUE"""),"معمل")</f>
        <v>معمل</v>
      </c>
      <c r="F2945" s="5" t="str">
        <f ca="1">IFERROR(__xludf.DUMMYFUNCTION("""COMPUTED_VALUE"""),"معمل التحاليل الطبية")</f>
        <v>معمل التحاليل الطبية</v>
      </c>
      <c r="G2945" s="5" t="str">
        <f ca="1">IFERROR(__xludf.DUMMYFUNCTION("""COMPUTED_VALUE"""),"شركة معامل دار ابن سينا للتحاليل الطبية و ابحاث الدم")</f>
        <v>شركة معامل دار ابن سينا للتحاليل الطبية و ابحاث الدم</v>
      </c>
      <c r="H2945" s="5" t="str">
        <f ca="1">IFERROR(__xludf.DUMMYFUNCTION("""COMPUTED_VALUE"""),"نجع حمادى - شاع المحطه - اعلى كشرى المدهش")</f>
        <v>نجع حمادى - شاع المحطه - اعلى كشرى المدهش</v>
      </c>
      <c r="I2945" s="6" t="str">
        <f ca="1">IFERROR(__xludf.DUMMYFUNCTION("""COMPUTED_VALUE"""),"01011954499")</f>
        <v>01011954499</v>
      </c>
      <c r="J2945" s="6"/>
      <c r="K2945" s="6" t="str">
        <f ca="1">IFERROR(__xludf.DUMMYFUNCTION("""COMPUTED_VALUE"""),"خصم 40% علي الأسعار النقدي المعلنة")</f>
        <v>خصم 40% علي الأسعار النقدي المعلنة</v>
      </c>
    </row>
    <row r="2946" spans="1:11" x14ac:dyDescent="0.25">
      <c r="A2946" s="4" t="str">
        <f ca="1">IFERROR(__xludf.DUMMYFUNCTION("""COMPUTED_VALUE"""),"105972-B")</f>
        <v>105972-B</v>
      </c>
      <c r="B2946" s="5" t="str">
        <f ca="1">IFERROR(__xludf.DUMMYFUNCTION("""COMPUTED_VALUE"""),"قنا")</f>
        <v>قنا</v>
      </c>
      <c r="C2946" s="5" t="str">
        <f ca="1">IFERROR(__xludf.DUMMYFUNCTION("""COMPUTED_VALUE"""),"دشنا")</f>
        <v>دشنا</v>
      </c>
      <c r="D2946" s="5" t="str">
        <f ca="1">IFERROR(__xludf.DUMMYFUNCTION("""COMPUTED_VALUE"""),"معمل")</f>
        <v>معمل</v>
      </c>
      <c r="E2946" s="5" t="str">
        <f ca="1">IFERROR(__xludf.DUMMYFUNCTION("""COMPUTED_VALUE"""),"معمل")</f>
        <v>معمل</v>
      </c>
      <c r="F2946" s="5" t="str">
        <f ca="1">IFERROR(__xludf.DUMMYFUNCTION("""COMPUTED_VALUE"""),"معمل التحاليل الطبية")</f>
        <v>معمل التحاليل الطبية</v>
      </c>
      <c r="G2946" s="5" t="str">
        <f ca="1">IFERROR(__xludf.DUMMYFUNCTION("""COMPUTED_VALUE"""),"شركة معامل دار ابن سينا للتحاليل الطبية و ابحاث الدم")</f>
        <v>شركة معامل دار ابن سينا للتحاليل الطبية و ابحاث الدم</v>
      </c>
      <c r="H2946" s="5" t="str">
        <f ca="1">IFERROR(__xludf.DUMMYFUNCTION("""COMPUTED_VALUE"""),"دشنا - اول شارع المركز عماره الحاج انس فتوح")</f>
        <v>دشنا - اول شارع المركز عماره الحاج انس فتوح</v>
      </c>
      <c r="I2946" s="6" t="str">
        <f ca="1">IFERROR(__xludf.DUMMYFUNCTION("""COMPUTED_VALUE"""),"01011954499")</f>
        <v>01011954499</v>
      </c>
      <c r="J2946" s="6"/>
      <c r="K2946" s="6" t="str">
        <f ca="1">IFERROR(__xludf.DUMMYFUNCTION("""COMPUTED_VALUE"""),"خصم 40% علي الأسعار النقدي المعلنة")</f>
        <v>خصم 40% علي الأسعار النقدي المعلنة</v>
      </c>
    </row>
    <row r="2947" spans="1:11" x14ac:dyDescent="0.25">
      <c r="A2947" s="4" t="str">
        <f ca="1">IFERROR(__xludf.DUMMYFUNCTION("""COMPUTED_VALUE"""),"105972-B")</f>
        <v>105972-B</v>
      </c>
      <c r="B2947" s="5" t="str">
        <f ca="1">IFERROR(__xludf.DUMMYFUNCTION("""COMPUTED_VALUE"""),"البحر الاحمر")</f>
        <v>البحر الاحمر</v>
      </c>
      <c r="C2947" s="5" t="str">
        <f ca="1">IFERROR(__xludf.DUMMYFUNCTION("""COMPUTED_VALUE"""),"الغردقة")</f>
        <v>الغردقة</v>
      </c>
      <c r="D2947" s="5" t="str">
        <f ca="1">IFERROR(__xludf.DUMMYFUNCTION("""COMPUTED_VALUE"""),"معمل")</f>
        <v>معمل</v>
      </c>
      <c r="E2947" s="5" t="str">
        <f ca="1">IFERROR(__xludf.DUMMYFUNCTION("""COMPUTED_VALUE"""),"معمل")</f>
        <v>معمل</v>
      </c>
      <c r="F2947" s="5" t="str">
        <f ca="1">IFERROR(__xludf.DUMMYFUNCTION("""COMPUTED_VALUE"""),"معمل التحاليل الطبية")</f>
        <v>معمل التحاليل الطبية</v>
      </c>
      <c r="G2947" s="5" t="str">
        <f ca="1">IFERROR(__xludf.DUMMYFUNCTION("""COMPUTED_VALUE"""),"شركة معامل دار ابن سينا للتحاليل الطبية و ابحاث الدم")</f>
        <v>شركة معامل دار ابن سينا للتحاليل الطبية و ابحاث الدم</v>
      </c>
      <c r="H2947" s="5" t="str">
        <f ca="1">IFERROR(__xludf.DUMMYFUNCTION("""COMPUTED_VALUE"""),"طريق النصر - عماره ممنون - بجوار موقف جوباص")</f>
        <v>طريق النصر - عماره ممنون - بجوار موقف جوباص</v>
      </c>
      <c r="I2947" s="6" t="str">
        <f ca="1">IFERROR(__xludf.DUMMYFUNCTION("""COMPUTED_VALUE"""),"01011954499")</f>
        <v>01011954499</v>
      </c>
      <c r="J2947" s="6"/>
      <c r="K2947" s="6" t="str">
        <f ca="1">IFERROR(__xludf.DUMMYFUNCTION("""COMPUTED_VALUE"""),"خصم 40% علي الأسعار النقدي المعلنة")</f>
        <v>خصم 40% علي الأسعار النقدي المعلنة</v>
      </c>
    </row>
    <row r="2948" spans="1:11" x14ac:dyDescent="0.25">
      <c r="A2948" s="4" t="str">
        <f ca="1">IFERROR(__xludf.DUMMYFUNCTION("""COMPUTED_VALUE"""),"107267")</f>
        <v>107267</v>
      </c>
      <c r="B2948" s="5" t="str">
        <f ca="1">IFERROR(__xludf.DUMMYFUNCTION("""COMPUTED_VALUE"""),"كفر الشيخ")</f>
        <v>كفر الشيخ</v>
      </c>
      <c r="C2948" s="5" t="str">
        <f ca="1">IFERROR(__xludf.DUMMYFUNCTION("""COMPUTED_VALUE"""),"مطوبس")</f>
        <v>مطوبس</v>
      </c>
      <c r="D2948" s="5" t="str">
        <f ca="1">IFERROR(__xludf.DUMMYFUNCTION("""COMPUTED_VALUE"""),"صيدلية")</f>
        <v>صيدلية</v>
      </c>
      <c r="E2948" s="5" t="str">
        <f ca="1">IFERROR(__xludf.DUMMYFUNCTION("""COMPUTED_VALUE"""),"صيدلية")</f>
        <v>صيدلية</v>
      </c>
      <c r="F2948" s="5" t="str">
        <f ca="1">IFERROR(__xludf.DUMMYFUNCTION("""COMPUTED_VALUE"""),"صيدلية (أدوية ومستلزمات طبية)")</f>
        <v>صيدلية (أدوية ومستلزمات طبية)</v>
      </c>
      <c r="G2948" s="5" t="str">
        <f ca="1">IFERROR(__xludf.DUMMYFUNCTION("""COMPUTED_VALUE"""),"صيدلية د. رشا شحاتة عبدالمجيد الكوفي")</f>
        <v>صيدلية د. رشا شحاتة عبدالمجيد الكوفي</v>
      </c>
      <c r="H2948" s="5" t="str">
        <f ca="1">IFERROR(__xludf.DUMMYFUNCTION("""COMPUTED_VALUE"""),"عزبة الدهر - مركز مطوبس - كفرالشيخ")</f>
        <v>عزبة الدهر - مركز مطوبس - كفرالشيخ</v>
      </c>
      <c r="I2948" s="6" t="str">
        <f ca="1">IFERROR(__xludf.DUMMYFUNCTION("""COMPUTED_VALUE"""),"01009197379")</f>
        <v>01009197379</v>
      </c>
      <c r="J2948" s="6"/>
      <c r="K2948" s="6" t="str">
        <f ca="1">IFERROR(__xludf.DUMMYFUNCTION("""COMPUTED_VALUE"""),"15 % على المحلى ,7% على المستورد")</f>
        <v>15 % على المحلى ,7% على المستورد</v>
      </c>
    </row>
    <row r="2949" spans="1:11" x14ac:dyDescent="0.25">
      <c r="A2949" s="4" t="str">
        <f ca="1">IFERROR(__xludf.DUMMYFUNCTION("""COMPUTED_VALUE"""),"107267-B")</f>
        <v>107267-B</v>
      </c>
      <c r="B2949" s="5" t="str">
        <f ca="1">IFERROR(__xludf.DUMMYFUNCTION("""COMPUTED_VALUE"""),"كفر الشيخ")</f>
        <v>كفر الشيخ</v>
      </c>
      <c r="C2949" s="5" t="str">
        <f ca="1">IFERROR(__xludf.DUMMYFUNCTION("""COMPUTED_VALUE"""),"مطوبس")</f>
        <v>مطوبس</v>
      </c>
      <c r="D2949" s="5" t="str">
        <f ca="1">IFERROR(__xludf.DUMMYFUNCTION("""COMPUTED_VALUE"""),"صيدلية")</f>
        <v>صيدلية</v>
      </c>
      <c r="E2949" s="5" t="str">
        <f ca="1">IFERROR(__xludf.DUMMYFUNCTION("""COMPUTED_VALUE"""),"صيدلية")</f>
        <v>صيدلية</v>
      </c>
      <c r="F2949" s="5" t="str">
        <f ca="1">IFERROR(__xludf.DUMMYFUNCTION("""COMPUTED_VALUE"""),"صيدلية (أدوية ومستلزمات طبية)")</f>
        <v>صيدلية (أدوية ومستلزمات طبية)</v>
      </c>
      <c r="G2949" s="5" t="str">
        <f ca="1">IFERROR(__xludf.DUMMYFUNCTION("""COMPUTED_VALUE"""),"صيدلية د. رشا شحاتة عبدالمجيد الكوفي")</f>
        <v>صيدلية د. رشا شحاتة عبدالمجيد الكوفي</v>
      </c>
      <c r="H2949" s="5" t="str">
        <f ca="1">IFERROR(__xludf.DUMMYFUNCTION("""COMPUTED_VALUE"""),"شارع مستشفي مطوبس - مركز مطوبس - كفرالشيخ")</f>
        <v>شارع مستشفي مطوبس - مركز مطوبس - كفرالشيخ</v>
      </c>
      <c r="I2949" s="6" t="str">
        <f ca="1">IFERROR(__xludf.DUMMYFUNCTION("""COMPUTED_VALUE"""),"01009197379")</f>
        <v>01009197379</v>
      </c>
      <c r="J2949" s="6"/>
      <c r="K2949" s="6" t="str">
        <f ca="1">IFERROR(__xludf.DUMMYFUNCTION("""COMPUTED_VALUE"""),"15 % على المحلى ,7% على المستورد")</f>
        <v>15 % على المحلى ,7% على المستورد</v>
      </c>
    </row>
    <row r="2950" spans="1:11" x14ac:dyDescent="0.25">
      <c r="A2950" s="4" t="str">
        <f ca="1">IFERROR(__xludf.DUMMYFUNCTION("""COMPUTED_VALUE"""),"107268")</f>
        <v>107268</v>
      </c>
      <c r="B2950" s="5" t="str">
        <f ca="1">IFERROR(__xludf.DUMMYFUNCTION("""COMPUTED_VALUE"""),"بني سويف")</f>
        <v>بني سويف</v>
      </c>
      <c r="C2950" s="5" t="str">
        <f ca="1">IFERROR(__xludf.DUMMYFUNCTION("""COMPUTED_VALUE"""),"الواسطى")</f>
        <v>الواسطى</v>
      </c>
      <c r="D2950" s="5" t="str">
        <f ca="1">IFERROR(__xludf.DUMMYFUNCTION("""COMPUTED_VALUE"""),"صيدلية")</f>
        <v>صيدلية</v>
      </c>
      <c r="E2950" s="5" t="str">
        <f ca="1">IFERROR(__xludf.DUMMYFUNCTION("""COMPUTED_VALUE"""),"صيدلية")</f>
        <v>صيدلية</v>
      </c>
      <c r="F2950" s="5" t="str">
        <f ca="1">IFERROR(__xludf.DUMMYFUNCTION("""COMPUTED_VALUE"""),"صيدلية (أدوية ومستلزمات طبية)")</f>
        <v>صيدلية (أدوية ومستلزمات طبية)</v>
      </c>
      <c r="G2950" s="5" t="str">
        <f ca="1">IFERROR(__xludf.DUMMYFUNCTION("""COMPUTED_VALUE"""),"صيدلية د. شيماء محمد فتحي محمد")</f>
        <v>صيدلية د. شيماء محمد فتحي محمد</v>
      </c>
      <c r="H2950" s="5" t="str">
        <f ca="1">IFERROR(__xludf.DUMMYFUNCTION("""COMPUTED_VALUE"""),"اطواب امام مسجد الفتح - الواسطي - بني سويف")</f>
        <v>اطواب امام مسجد الفتح - الواسطي - بني سويف</v>
      </c>
      <c r="I2950" s="6" t="str">
        <f ca="1">IFERROR(__xludf.DUMMYFUNCTION("""COMPUTED_VALUE"""),"01159005956")</f>
        <v>01159005956</v>
      </c>
      <c r="J2950" s="6"/>
      <c r="K2950" s="6" t="str">
        <f ca="1">IFERROR(__xludf.DUMMYFUNCTION("""COMPUTED_VALUE"""),"14 % على المحلى ,7% على المستورد")</f>
        <v>14 % على المحلى ,7% على المستورد</v>
      </c>
    </row>
    <row r="2951" spans="1:11" x14ac:dyDescent="0.25">
      <c r="A2951" s="4" t="str">
        <f ca="1">IFERROR(__xludf.DUMMYFUNCTION("""COMPUTED_VALUE"""),"2273-B")</f>
        <v>2273-B</v>
      </c>
      <c r="B2951" s="5" t="str">
        <f ca="1">IFERROR(__xludf.DUMMYFUNCTION("""COMPUTED_VALUE"""),"الشرقية")</f>
        <v>الشرقية</v>
      </c>
      <c r="C2951" s="5" t="str">
        <f ca="1">IFERROR(__xludf.DUMMYFUNCTION("""COMPUTED_VALUE"""),"أبو كبير")</f>
        <v>أبو كبير</v>
      </c>
      <c r="D2951" s="5" t="str">
        <f ca="1">IFERROR(__xludf.DUMMYFUNCTION("""COMPUTED_VALUE"""),"مركز أشعة")</f>
        <v>مركز أشعة</v>
      </c>
      <c r="E2951" s="5" t="str">
        <f ca="1">IFERROR(__xludf.DUMMYFUNCTION("""COMPUTED_VALUE"""),"مركز أشعة")</f>
        <v>مركز أشعة</v>
      </c>
      <c r="F2951" s="5" t="str">
        <f ca="1">IFERROR(__xludf.DUMMYFUNCTION("""COMPUTED_VALUE"""),"مركز الأشعة التشخيصية")</f>
        <v>مركز الأشعة التشخيصية</v>
      </c>
      <c r="G2951" s="5" t="str">
        <f ca="1">IFERROR(__xludf.DUMMYFUNCTION("""COMPUTED_VALUE"""),"تكنوسكان")</f>
        <v>تكنوسكان</v>
      </c>
      <c r="H2951" s="5" t="str">
        <f ca="1">IFERROR(__xludf.DUMMYFUNCTION("""COMPUTED_VALUE"""),"الشرقيه- ابو كبير – أمام المستشفي العام ")</f>
        <v xml:space="preserve">الشرقيه- ابو كبير – أمام المستشفي العام </v>
      </c>
      <c r="I2951" s="6"/>
      <c r="J2951" s="6" t="str">
        <f ca="1">IFERROR(__xludf.DUMMYFUNCTION("""COMPUTED_VALUE"""),"19989")</f>
        <v>19989</v>
      </c>
      <c r="K2951" s="6" t="str">
        <f ca="1">IFERROR(__xludf.DUMMYFUNCTION("""COMPUTED_VALUE"""),"29% على جميع الخدمات")</f>
        <v>29% على جميع الخدمات</v>
      </c>
    </row>
    <row r="2952" spans="1:11" x14ac:dyDescent="0.25">
      <c r="A2952" s="4" t="str">
        <f ca="1">IFERROR(__xludf.DUMMYFUNCTION("""COMPUTED_VALUE"""),"2273-B")</f>
        <v>2273-B</v>
      </c>
      <c r="B2952" s="5" t="str">
        <f ca="1">IFERROR(__xludf.DUMMYFUNCTION("""COMPUTED_VALUE"""),"الشرقية")</f>
        <v>الشرقية</v>
      </c>
      <c r="C2952" s="5" t="str">
        <f ca="1">IFERROR(__xludf.DUMMYFUNCTION("""COMPUTED_VALUE"""),"كفر صقر")</f>
        <v>كفر صقر</v>
      </c>
      <c r="D2952" s="5" t="str">
        <f ca="1">IFERROR(__xludf.DUMMYFUNCTION("""COMPUTED_VALUE"""),"مركز أشعة")</f>
        <v>مركز أشعة</v>
      </c>
      <c r="E2952" s="5" t="str">
        <f ca="1">IFERROR(__xludf.DUMMYFUNCTION("""COMPUTED_VALUE"""),"مركز أشعة")</f>
        <v>مركز أشعة</v>
      </c>
      <c r="F2952" s="5" t="str">
        <f ca="1">IFERROR(__xludf.DUMMYFUNCTION("""COMPUTED_VALUE"""),"مركز الأشعة التشخيصية")</f>
        <v>مركز الأشعة التشخيصية</v>
      </c>
      <c r="G2952" s="5" t="str">
        <f ca="1">IFERROR(__xludf.DUMMYFUNCTION("""COMPUTED_VALUE"""),"تكنوسكان")</f>
        <v>تكنوسكان</v>
      </c>
      <c r="H2952" s="5" t="str">
        <f ca="1">IFERROR(__xludf.DUMMYFUNCTION("""COMPUTED_VALUE"""),"الشرقيه اولاد صقر اسفل بنك مصر ")</f>
        <v xml:space="preserve">الشرقيه اولاد صقر اسفل بنك مصر </v>
      </c>
      <c r="I2952" s="6"/>
      <c r="J2952" s="6" t="str">
        <f ca="1">IFERROR(__xludf.DUMMYFUNCTION("""COMPUTED_VALUE"""),"19989")</f>
        <v>19989</v>
      </c>
      <c r="K2952" s="6" t="str">
        <f ca="1">IFERROR(__xludf.DUMMYFUNCTION("""COMPUTED_VALUE"""),"29% على جميع الخدمات")</f>
        <v>29% على جميع الخدمات</v>
      </c>
    </row>
    <row r="2953" spans="1:11" x14ac:dyDescent="0.25">
      <c r="A2953" s="4" t="str">
        <f ca="1">IFERROR(__xludf.DUMMYFUNCTION("""COMPUTED_VALUE"""),"2273-B")</f>
        <v>2273-B</v>
      </c>
      <c r="B2953" s="5" t="str">
        <f ca="1">IFERROR(__xludf.DUMMYFUNCTION("""COMPUTED_VALUE"""),"القليوبية")</f>
        <v>القليوبية</v>
      </c>
      <c r="C2953" s="5" t="str">
        <f ca="1">IFERROR(__xludf.DUMMYFUNCTION("""COMPUTED_VALUE"""),"مدينة العبور")</f>
        <v>مدينة العبور</v>
      </c>
      <c r="D2953" s="5" t="str">
        <f ca="1">IFERROR(__xludf.DUMMYFUNCTION("""COMPUTED_VALUE"""),"مركز أشعة")</f>
        <v>مركز أشعة</v>
      </c>
      <c r="E2953" s="5" t="str">
        <f ca="1">IFERROR(__xludf.DUMMYFUNCTION("""COMPUTED_VALUE"""),"مركز أشعة")</f>
        <v>مركز أشعة</v>
      </c>
      <c r="F2953" s="5" t="str">
        <f ca="1">IFERROR(__xludf.DUMMYFUNCTION("""COMPUTED_VALUE"""),"مركز الأشعة التشخيصية")</f>
        <v>مركز الأشعة التشخيصية</v>
      </c>
      <c r="G2953" s="5" t="str">
        <f ca="1">IFERROR(__xludf.DUMMYFUNCTION("""COMPUTED_VALUE"""),"تكنوسكان")</f>
        <v>تكنوسكان</v>
      </c>
      <c r="H2953" s="5" t="str">
        <f ca="1">IFERROR(__xludf.DUMMYFUNCTION("""COMPUTED_VALUE"""),"مدينة العبور، الحي الاول، امام سنتر العبور  أعلى ماركت الفرجاني - الدور الثاني")</f>
        <v>مدينة العبور، الحي الاول، امام سنتر العبور  أعلى ماركت الفرجاني - الدور الثاني</v>
      </c>
      <c r="I2953" s="6"/>
      <c r="J2953" s="6" t="str">
        <f ca="1">IFERROR(__xludf.DUMMYFUNCTION("""COMPUTED_VALUE"""),"19989")</f>
        <v>19989</v>
      </c>
      <c r="K2953" s="6" t="str">
        <f ca="1">IFERROR(__xludf.DUMMYFUNCTION("""COMPUTED_VALUE"""),"29% على جميع الخدمات")</f>
        <v>29% على جميع الخدمات</v>
      </c>
    </row>
    <row r="2954" spans="1:11" x14ac:dyDescent="0.25">
      <c r="A2954" s="4" t="str">
        <f ca="1">IFERROR(__xludf.DUMMYFUNCTION("""COMPUTED_VALUE"""),"107269")</f>
        <v>107269</v>
      </c>
      <c r="B2954" s="5" t="str">
        <f ca="1">IFERROR(__xludf.DUMMYFUNCTION("""COMPUTED_VALUE"""),"الغربية")</f>
        <v>الغربية</v>
      </c>
      <c r="C2954" s="5" t="str">
        <f ca="1">IFERROR(__xludf.DUMMYFUNCTION("""COMPUTED_VALUE"""),"سمنود")</f>
        <v>سمنود</v>
      </c>
      <c r="D2954" s="5" t="str">
        <f ca="1">IFERROR(__xludf.DUMMYFUNCTION("""COMPUTED_VALUE"""),"صيدلية")</f>
        <v>صيدلية</v>
      </c>
      <c r="E2954" s="5" t="str">
        <f ca="1">IFERROR(__xludf.DUMMYFUNCTION("""COMPUTED_VALUE"""),"صيدلية")</f>
        <v>صيدلية</v>
      </c>
      <c r="F2954" s="5" t="str">
        <f ca="1">IFERROR(__xludf.DUMMYFUNCTION("""COMPUTED_VALUE"""),"صيدلية (أدوية ومستلزمات طبية)")</f>
        <v>صيدلية (أدوية ومستلزمات طبية)</v>
      </c>
      <c r="G2954" s="5" t="str">
        <f ca="1">IFERROR(__xludf.DUMMYFUNCTION("""COMPUTED_VALUE"""),"صيدلية د. محمد كمال مصطفي العشري")</f>
        <v>صيدلية د. محمد كمال مصطفي العشري</v>
      </c>
      <c r="H2954" s="5" t="str">
        <f ca="1">IFERROR(__xludf.DUMMYFUNCTION("""COMPUTED_VALUE"""),"1 ش البحر - مركز سمنود - الغربية")</f>
        <v>1 ش البحر - مركز سمنود - الغربية</v>
      </c>
      <c r="I2954" s="6" t="str">
        <f ca="1">IFERROR(__xludf.DUMMYFUNCTION("""COMPUTED_VALUE"""),"01000057666")</f>
        <v>01000057666</v>
      </c>
      <c r="J2954" s="6"/>
      <c r="K2954" s="6" t="str">
        <f ca="1">IFERROR(__xludf.DUMMYFUNCTION("""COMPUTED_VALUE"""),"13 % على المحلى ,7% على المستورد")</f>
        <v>13 % على المحلى ,7% على المستورد</v>
      </c>
    </row>
    <row r="2955" spans="1:11" x14ac:dyDescent="0.25">
      <c r="A2955" s="4" t="str">
        <f ca="1">IFERROR(__xludf.DUMMYFUNCTION("""COMPUTED_VALUE"""),"107270")</f>
        <v>107270</v>
      </c>
      <c r="B2955" s="5" t="str">
        <f ca="1">IFERROR(__xludf.DUMMYFUNCTION("""COMPUTED_VALUE"""),"دمياط")</f>
        <v>دمياط</v>
      </c>
      <c r="C2955" s="5" t="str">
        <f ca="1">IFERROR(__xludf.DUMMYFUNCTION("""COMPUTED_VALUE"""),"دمياط")</f>
        <v>دمياط</v>
      </c>
      <c r="D2955" s="5" t="str">
        <f ca="1">IFERROR(__xludf.DUMMYFUNCTION("""COMPUTED_VALUE"""),"هيئة الأطباء")</f>
        <v>هيئة الأطباء</v>
      </c>
      <c r="E2955" s="5" t="str">
        <f ca="1">IFERROR(__xludf.DUMMYFUNCTION("""COMPUTED_VALUE"""),"باطنة")</f>
        <v>باطنة</v>
      </c>
      <c r="F2955" s="5" t="str">
        <f ca="1">IFERROR(__xludf.DUMMYFUNCTION("""COMPUTED_VALUE"""),"باطنة عامة")</f>
        <v>باطنة عامة</v>
      </c>
      <c r="G2955" s="5" t="str">
        <f ca="1">IFERROR(__xludf.DUMMYFUNCTION("""COMPUTED_VALUE"""),"د/ يحيي زكريا أحمد قنديل")</f>
        <v>د/ يحيي زكريا أحمد قنديل</v>
      </c>
      <c r="H2955" s="5" t="str">
        <f ca="1">IFERROR(__xludf.DUMMYFUNCTION("""COMPUTED_VALUE"""),"ش النقراشي امام موبيليا شلاطة - دمياط")</f>
        <v>ش النقراشي امام موبيليا شلاطة - دمياط</v>
      </c>
      <c r="I2955" s="6" t="str">
        <f ca="1">IFERROR(__xludf.DUMMYFUNCTION("""COMPUTED_VALUE"""),"0572347334")</f>
        <v>0572347334</v>
      </c>
      <c r="J2955" s="6"/>
      <c r="K2955" s="6" t="str">
        <f ca="1">IFERROR(__xludf.DUMMYFUNCTION("""COMPUTED_VALUE"""),"خصم 40% علي الأسعار النقدي المعلنة")</f>
        <v>خصم 40% علي الأسعار النقدي المعلنة</v>
      </c>
    </row>
    <row r="2956" spans="1:11" x14ac:dyDescent="0.25">
      <c r="A2956" s="4" t="str">
        <f ca="1">IFERROR(__xludf.DUMMYFUNCTION("""COMPUTED_VALUE"""),"107272")</f>
        <v>107272</v>
      </c>
      <c r="B2956" s="5" t="str">
        <f ca="1">IFERROR(__xludf.DUMMYFUNCTION("""COMPUTED_VALUE"""),"البحيرة")</f>
        <v>البحيرة</v>
      </c>
      <c r="C2956" s="5" t="str">
        <f ca="1">IFERROR(__xludf.DUMMYFUNCTION("""COMPUTED_VALUE"""),"المحمودية")</f>
        <v>المحمودية</v>
      </c>
      <c r="D2956" s="5" t="str">
        <f ca="1">IFERROR(__xludf.DUMMYFUNCTION("""COMPUTED_VALUE"""),"مستشفى")</f>
        <v>مستشفى</v>
      </c>
      <c r="E2956" s="5" t="str">
        <f ca="1">IFERROR(__xludf.DUMMYFUNCTION("""COMPUTED_VALUE"""),"جميع التخصصات")</f>
        <v>جميع التخصصات</v>
      </c>
      <c r="F2956" s="5" t="str">
        <f ca="1">IFERROR(__xludf.DUMMYFUNCTION("""COMPUTED_VALUE"""),"جميع التخصصات الطبية")</f>
        <v>جميع التخصصات الطبية</v>
      </c>
      <c r="G2956" s="5" t="str">
        <f ca="1">IFERROR(__xludf.DUMMYFUNCTION("""COMPUTED_VALUE"""),"جمعيه الحمد الاسلامية للتنمية (مركز الحمد التخصصي)")</f>
        <v>جمعيه الحمد الاسلامية للتنمية (مركز الحمد التخصصي)</v>
      </c>
      <c r="H2956" s="5" t="str">
        <f ca="1">IFERROR(__xludf.DUMMYFUNCTION("""COMPUTED_VALUE"""),"قرية المجد مبني مجمع الحمد الاسلامي - الرحمانية - البحيرة")</f>
        <v>قرية المجد مبني مجمع الحمد الاسلامي - الرحمانية - البحيرة</v>
      </c>
      <c r="I2956" s="6" t="str">
        <f ca="1">IFERROR(__xludf.DUMMYFUNCTION("""COMPUTED_VALUE"""),"0452861882")</f>
        <v>0452861882</v>
      </c>
      <c r="J2956" s="6"/>
      <c r="K2956" s="6" t="str">
        <f ca="1">IFERROR(__xludf.DUMMYFUNCTION("""COMPUTED_VALUE"""),"خصم 40% علي الأسعار النقدي المعلنة")</f>
        <v>خصم 40% علي الأسعار النقدي المعلنة</v>
      </c>
    </row>
    <row r="2957" spans="1:11" x14ac:dyDescent="0.25">
      <c r="A2957" s="4" t="str">
        <f ca="1">IFERROR(__xludf.DUMMYFUNCTION("""COMPUTED_VALUE"""),"107273")</f>
        <v>107273</v>
      </c>
      <c r="B2957" s="5" t="str">
        <f ca="1">IFERROR(__xludf.DUMMYFUNCTION("""COMPUTED_VALUE"""),"الغربية")</f>
        <v>الغربية</v>
      </c>
      <c r="C2957" s="5" t="str">
        <f ca="1">IFERROR(__xludf.DUMMYFUNCTION("""COMPUTED_VALUE"""),"طنطا")</f>
        <v>طنطا</v>
      </c>
      <c r="D2957" s="5" t="str">
        <f ca="1">IFERROR(__xludf.DUMMYFUNCTION("""COMPUTED_VALUE"""),"هيئة الأطباء")</f>
        <v>هيئة الأطباء</v>
      </c>
      <c r="E2957" s="5" t="str">
        <f ca="1">IFERROR(__xludf.DUMMYFUNCTION("""COMPUTED_VALUE"""),"جراحة")</f>
        <v>جراحة</v>
      </c>
      <c r="F2957" s="5" t="str">
        <f ca="1">IFERROR(__xludf.DUMMYFUNCTION("""COMPUTED_VALUE"""),"جراحة عظام")</f>
        <v>جراحة عظام</v>
      </c>
      <c r="G2957" s="5" t="str">
        <f ca="1">IFERROR(__xludf.DUMMYFUNCTION("""COMPUTED_VALUE"""),"د. محمود أحمد أحمد متولي أبو عمر")</f>
        <v>د. محمود أحمد أحمد متولي أبو عمر</v>
      </c>
      <c r="H2957" s="5" t="str">
        <f ca="1">IFERROR(__xludf.DUMMYFUNCTION("""COMPUTED_VALUE"""),"شارع عثمان محمد برج جوهرة عثمان - الدور الأول - طنطا - الغربية")</f>
        <v>شارع عثمان محمد برج جوهرة عثمان - الدور الأول - طنطا - الغربية</v>
      </c>
      <c r="I2957" s="6" t="str">
        <f ca="1">IFERROR(__xludf.DUMMYFUNCTION("""COMPUTED_VALUE"""),"01070797157")</f>
        <v>01070797157</v>
      </c>
      <c r="J2957" s="6"/>
      <c r="K2957" s="6" t="str">
        <f ca="1">IFERROR(__xludf.DUMMYFUNCTION("""COMPUTED_VALUE"""),"خصم 50% علي الأسعار النقدي المعلنة")</f>
        <v>خصم 50% علي الأسعار النقدي المعلنة</v>
      </c>
    </row>
    <row r="2958" spans="1:11" x14ac:dyDescent="0.25">
      <c r="A2958" s="4" t="str">
        <f ca="1">IFERROR(__xludf.DUMMYFUNCTION("""COMPUTED_VALUE"""),"107276")</f>
        <v>107276</v>
      </c>
      <c r="B2958" s="5" t="str">
        <f ca="1">IFERROR(__xludf.DUMMYFUNCTION("""COMPUTED_VALUE"""),"القليوبية")</f>
        <v>القليوبية</v>
      </c>
      <c r="C2958" s="5" t="str">
        <f ca="1">IFERROR(__xludf.DUMMYFUNCTION("""COMPUTED_VALUE"""),"طوخ")</f>
        <v>طوخ</v>
      </c>
      <c r="D2958" s="5" t="str">
        <f ca="1">IFERROR(__xludf.DUMMYFUNCTION("""COMPUTED_VALUE"""),"صيدلية")</f>
        <v>صيدلية</v>
      </c>
      <c r="E2958" s="5" t="str">
        <f ca="1">IFERROR(__xludf.DUMMYFUNCTION("""COMPUTED_VALUE"""),"صيدلية")</f>
        <v>صيدلية</v>
      </c>
      <c r="F2958" s="5" t="str">
        <f ca="1">IFERROR(__xludf.DUMMYFUNCTION("""COMPUTED_VALUE"""),"صيدلية (أدوية ومستلزمات طبية)")</f>
        <v>صيدلية (أدوية ومستلزمات طبية)</v>
      </c>
      <c r="G2958" s="5" t="str">
        <f ca="1">IFERROR(__xludf.DUMMYFUNCTION("""COMPUTED_VALUE"""),"صيدلية د. السيد عباس محمد محمد")</f>
        <v>صيدلية د. السيد عباس محمد محمد</v>
      </c>
      <c r="H2958" s="5" t="str">
        <f ca="1">IFERROR(__xludf.DUMMYFUNCTION("""COMPUTED_VALUE"""),"الدير - مركز طوخ - القليوبية")</f>
        <v>الدير - مركز طوخ - القليوبية</v>
      </c>
      <c r="I2958" s="6" t="str">
        <f ca="1">IFERROR(__xludf.DUMMYFUNCTION("""COMPUTED_VALUE"""),"01148865551")</f>
        <v>01148865551</v>
      </c>
      <c r="J2958" s="6"/>
      <c r="K2958" s="6" t="str">
        <f ca="1">IFERROR(__xludf.DUMMYFUNCTION("""COMPUTED_VALUE"""),"14 % على المحلى ,7% على المستورد")</f>
        <v>14 % على المحلى ,7% على المستورد</v>
      </c>
    </row>
    <row r="2959" spans="1:11" x14ac:dyDescent="0.25">
      <c r="A2959" s="4" t="str">
        <f ca="1">IFERROR(__xludf.DUMMYFUNCTION("""COMPUTED_VALUE"""),"107277")</f>
        <v>107277</v>
      </c>
      <c r="B2959" s="5" t="str">
        <f ca="1">IFERROR(__xludf.DUMMYFUNCTION("""COMPUTED_VALUE"""),"الإسماعيلية")</f>
        <v>الإسماعيلية</v>
      </c>
      <c r="C2959" s="5" t="str">
        <f ca="1">IFERROR(__xludf.DUMMYFUNCTION("""COMPUTED_VALUE"""),"الإسماعيلية")</f>
        <v>الإسماعيلية</v>
      </c>
      <c r="D2959" s="5" t="str">
        <f ca="1">IFERROR(__xludf.DUMMYFUNCTION("""COMPUTED_VALUE"""),"هيئة الأطباء")</f>
        <v>هيئة الأطباء</v>
      </c>
      <c r="E2959" s="5" t="str">
        <f ca="1">IFERROR(__xludf.DUMMYFUNCTION("""COMPUTED_VALUE"""),"باطنة")</f>
        <v>باطنة</v>
      </c>
      <c r="F2959" s="5" t="str">
        <f ca="1">IFERROR(__xludf.DUMMYFUNCTION("""COMPUTED_VALUE"""),"قلب واوعية دموية")</f>
        <v>قلب واوعية دموية</v>
      </c>
      <c r="G2959" s="5" t="str">
        <f ca="1">IFERROR(__xludf.DUMMYFUNCTION("""COMPUTED_VALUE"""),"د/ فتحي أحمد فتحي السيد")</f>
        <v>د/ فتحي أحمد فتحي السيد</v>
      </c>
      <c r="H2959" s="5" t="str">
        <f ca="1">IFERROR(__xludf.DUMMYFUNCTION("""COMPUTED_VALUE"""),"عقار 6 شارع بغداد - الاسماعيلية")</f>
        <v>عقار 6 شارع بغداد - الاسماعيلية</v>
      </c>
      <c r="I2959" s="6" t="str">
        <f ca="1">IFERROR(__xludf.DUMMYFUNCTION("""COMPUTED_VALUE"""),"01272257114")</f>
        <v>01272257114</v>
      </c>
      <c r="J2959" s="6"/>
      <c r="K2959" s="6" t="str">
        <f ca="1">IFERROR(__xludf.DUMMYFUNCTION("""COMPUTED_VALUE"""),"خصم 30% علي الأسعار النقدي المعلنة")</f>
        <v>خصم 30% علي الأسعار النقدي المعلنة</v>
      </c>
    </row>
    <row r="2960" spans="1:11" x14ac:dyDescent="0.25">
      <c r="A2960" s="4" t="str">
        <f ca="1">IFERROR(__xludf.DUMMYFUNCTION("""COMPUTED_VALUE"""),"107279")</f>
        <v>107279</v>
      </c>
      <c r="B2960" s="5" t="str">
        <f ca="1">IFERROR(__xludf.DUMMYFUNCTION("""COMPUTED_VALUE"""),"القاهرة")</f>
        <v>القاهرة</v>
      </c>
      <c r="C2960" s="5" t="str">
        <f ca="1">IFERROR(__xludf.DUMMYFUNCTION("""COMPUTED_VALUE"""),"القاهرة الجديدة")</f>
        <v>القاهرة الجديدة</v>
      </c>
      <c r="D2960" s="5" t="str">
        <f ca="1">IFERROR(__xludf.DUMMYFUNCTION("""COMPUTED_VALUE"""),"هيئة الأطباء")</f>
        <v>هيئة الأطباء</v>
      </c>
      <c r="E2960" s="5" t="str">
        <f ca="1">IFERROR(__xludf.DUMMYFUNCTION("""COMPUTED_VALUE"""),"اسنان")</f>
        <v>اسنان</v>
      </c>
      <c r="F2960" s="5" t="str">
        <f ca="1">IFERROR(__xludf.DUMMYFUNCTION("""COMPUTED_VALUE"""),"جراحة الفم والأسنان")</f>
        <v>جراحة الفم والأسنان</v>
      </c>
      <c r="G2960" s="5" t="str">
        <f ca="1">IFERROR(__xludf.DUMMYFUNCTION("""COMPUTED_VALUE"""),"د/ شريف محمد الدمرداش حسين (عيادة تاج للأسنان)")</f>
        <v>د/ شريف محمد الدمرداش حسين (عيادة تاج للأسنان)</v>
      </c>
      <c r="H2960" s="5" t="str">
        <f ca="1">IFERROR(__xludf.DUMMYFUNCTION("""COMPUTED_VALUE"""),"مبني اجورا مول الدور الاول - التجمع الخامس - القاهرة الجديدة - القاهرة")</f>
        <v>مبني اجورا مول الدور الاول - التجمع الخامس - القاهرة الجديدة - القاهرة</v>
      </c>
      <c r="I2960" s="6" t="str">
        <f ca="1">IFERROR(__xludf.DUMMYFUNCTION("""COMPUTED_VALUE"""),"01277752528")</f>
        <v>01277752528</v>
      </c>
      <c r="J2960" s="6"/>
      <c r="K2960" s="6" t="str">
        <f ca="1">IFERROR(__xludf.DUMMYFUNCTION("""COMPUTED_VALUE"""),"خصم 40% علي الأسعار النقدي المعلنة")</f>
        <v>خصم 40% علي الأسعار النقدي المعلنة</v>
      </c>
    </row>
    <row r="2961" spans="1:11" x14ac:dyDescent="0.25">
      <c r="A2961" s="4" t="str">
        <f ca="1">IFERROR(__xludf.DUMMYFUNCTION("""COMPUTED_VALUE"""),"107284")</f>
        <v>107284</v>
      </c>
      <c r="B2961" s="5" t="str">
        <f ca="1">IFERROR(__xludf.DUMMYFUNCTION("""COMPUTED_VALUE"""),"المنيا")</f>
        <v>المنيا</v>
      </c>
      <c r="C2961" s="5" t="str">
        <f ca="1">IFERROR(__xludf.DUMMYFUNCTION("""COMPUTED_VALUE"""),"ملوي")</f>
        <v>ملوي</v>
      </c>
      <c r="D2961" s="5" t="str">
        <f ca="1">IFERROR(__xludf.DUMMYFUNCTION("""COMPUTED_VALUE"""),"هيئة الأطباء")</f>
        <v>هيئة الأطباء</v>
      </c>
      <c r="E2961" s="5" t="str">
        <f ca="1">IFERROR(__xludf.DUMMYFUNCTION("""COMPUTED_VALUE"""),"باطنة")</f>
        <v>باطنة</v>
      </c>
      <c r="F2961" s="5" t="str">
        <f ca="1">IFERROR(__xludf.DUMMYFUNCTION("""COMPUTED_VALUE"""),"باطنة عامة")</f>
        <v>باطنة عامة</v>
      </c>
      <c r="G2961" s="5" t="str">
        <f ca="1">IFERROR(__xludf.DUMMYFUNCTION("""COMPUTED_VALUE"""),"د/ صلاح عبدالرحيم محمد عبدالله")</f>
        <v>د/ صلاح عبدالرحيم محمد عبدالله</v>
      </c>
      <c r="H2961" s="5" t="str">
        <f ca="1">IFERROR(__xludf.DUMMYFUNCTION("""COMPUTED_VALUE"""),"شارع الجلاء - بندر - ملوي - المنيا")</f>
        <v>شارع الجلاء - بندر - ملوي - المنيا</v>
      </c>
      <c r="I2961" s="6" t="str">
        <f ca="1">IFERROR(__xludf.DUMMYFUNCTION("""COMPUTED_VALUE"""),"1004222809")</f>
        <v>1004222809</v>
      </c>
      <c r="J2961" s="6"/>
      <c r="K2961" s="6" t="str">
        <f ca="1">IFERROR(__xludf.DUMMYFUNCTION("""COMPUTED_VALUE"""),"خصم 25% علي الأسعار النقدي المعلنة")</f>
        <v>خصم 25% علي الأسعار النقدي المعلنة</v>
      </c>
    </row>
    <row r="2962" spans="1:11" x14ac:dyDescent="0.25">
      <c r="A2962" s="4" t="str">
        <f ca="1">IFERROR(__xludf.DUMMYFUNCTION("""COMPUTED_VALUE"""),"107285")</f>
        <v>107285</v>
      </c>
      <c r="B2962" s="5" t="str">
        <f ca="1">IFERROR(__xludf.DUMMYFUNCTION("""COMPUTED_VALUE"""),"الغربية")</f>
        <v>الغربية</v>
      </c>
      <c r="C2962" s="5" t="str">
        <f ca="1">IFERROR(__xludf.DUMMYFUNCTION("""COMPUTED_VALUE"""),"طنطا")</f>
        <v>طنطا</v>
      </c>
      <c r="D2962" s="5" t="str">
        <f ca="1">IFERROR(__xludf.DUMMYFUNCTION("""COMPUTED_VALUE"""),"صيدلية")</f>
        <v>صيدلية</v>
      </c>
      <c r="E2962" s="5" t="str">
        <f ca="1">IFERROR(__xludf.DUMMYFUNCTION("""COMPUTED_VALUE"""),"صيدلية")</f>
        <v>صيدلية</v>
      </c>
      <c r="F2962" s="5" t="str">
        <f ca="1">IFERROR(__xludf.DUMMYFUNCTION("""COMPUTED_VALUE"""),"صيدلية (أدوية ومستلزمات طبية)")</f>
        <v>صيدلية (أدوية ومستلزمات طبية)</v>
      </c>
      <c r="G2962" s="5" t="str">
        <f ca="1">IFERROR(__xludf.DUMMYFUNCTION("""COMPUTED_VALUE"""),"هيثم محمد مجدي عباس البنداري (صيدليات البنداري)")</f>
        <v>هيثم محمد مجدي عباس البنداري (صيدليات البنداري)</v>
      </c>
      <c r="H2962" s="5" t="str">
        <f ca="1">IFERROR(__xludf.DUMMYFUNCTION("""COMPUTED_VALUE"""),"68 ش الجلاء طنطا ثان بملك محمد مجدي عباس البن")</f>
        <v>68 ش الجلاء طنطا ثان بملك محمد مجدي عباس البن</v>
      </c>
      <c r="I2962" s="6" t="str">
        <f ca="1">IFERROR(__xludf.DUMMYFUNCTION("""COMPUTED_VALUE"""),"01200400089")</f>
        <v>01200400089</v>
      </c>
      <c r="J2962" s="6"/>
      <c r="K2962" s="6" t="str">
        <f ca="1">IFERROR(__xludf.DUMMYFUNCTION("""COMPUTED_VALUE"""),"14 % على المحلى ,7% على المستورد")</f>
        <v>14 % على المحلى ,7% على المستورد</v>
      </c>
    </row>
    <row r="2963" spans="1:11" x14ac:dyDescent="0.25">
      <c r="A2963" s="4" t="str">
        <f ca="1">IFERROR(__xludf.DUMMYFUNCTION("""COMPUTED_VALUE"""),"107285-B")</f>
        <v>107285-B</v>
      </c>
      <c r="B2963" s="5" t="str">
        <f ca="1">IFERROR(__xludf.DUMMYFUNCTION("""COMPUTED_VALUE"""),"الغربية")</f>
        <v>الغربية</v>
      </c>
      <c r="C2963" s="5" t="str">
        <f ca="1">IFERROR(__xludf.DUMMYFUNCTION("""COMPUTED_VALUE"""),"طنطا")</f>
        <v>طنطا</v>
      </c>
      <c r="D2963" s="5" t="str">
        <f ca="1">IFERROR(__xludf.DUMMYFUNCTION("""COMPUTED_VALUE"""),"صيدلية")</f>
        <v>صيدلية</v>
      </c>
      <c r="E2963" s="5" t="str">
        <f ca="1">IFERROR(__xludf.DUMMYFUNCTION("""COMPUTED_VALUE"""),"صيدلية")</f>
        <v>صيدلية</v>
      </c>
      <c r="F2963" s="5" t="str">
        <f ca="1">IFERROR(__xludf.DUMMYFUNCTION("""COMPUTED_VALUE"""),"صيدلية (أدوية ومستلزمات طبية)")</f>
        <v>صيدلية (أدوية ومستلزمات طبية)</v>
      </c>
      <c r="G2963" s="5" t="str">
        <f ca="1">IFERROR(__xludf.DUMMYFUNCTION("""COMPUTED_VALUE"""),"هيثم محمد مجدي عباس البنداري (صيدليات البنداري)")</f>
        <v>هيثم محمد مجدي عباس البنداري (صيدليات البنداري)</v>
      </c>
      <c r="H2963" s="5" t="str">
        <f ca="1">IFERROR(__xludf.DUMMYFUNCTION("""COMPUTED_VALUE"""),"ش الجلاء - امام قاعه جرين بالاس")</f>
        <v>ش الجلاء - امام قاعه جرين بالاس</v>
      </c>
      <c r="I2963" s="6" t="str">
        <f ca="1">IFERROR(__xludf.DUMMYFUNCTION("""COMPUTED_VALUE"""),"403546290")</f>
        <v>403546290</v>
      </c>
      <c r="J2963" s="6"/>
      <c r="K2963" s="6" t="str">
        <f ca="1">IFERROR(__xludf.DUMMYFUNCTION("""COMPUTED_VALUE"""),"14 % على المحلى ,7% على المستورد")</f>
        <v>14 % على المحلى ,7% على المستورد</v>
      </c>
    </row>
    <row r="2964" spans="1:11" x14ac:dyDescent="0.25">
      <c r="A2964" s="4" t="str">
        <f ca="1">IFERROR(__xludf.DUMMYFUNCTION("""COMPUTED_VALUE"""),"107285-B")</f>
        <v>107285-B</v>
      </c>
      <c r="B2964" s="5" t="str">
        <f ca="1">IFERROR(__xludf.DUMMYFUNCTION("""COMPUTED_VALUE"""),"الغربية")</f>
        <v>الغربية</v>
      </c>
      <c r="C2964" s="5" t="str">
        <f ca="1">IFERROR(__xludf.DUMMYFUNCTION("""COMPUTED_VALUE"""),"طنطا")</f>
        <v>طنطا</v>
      </c>
      <c r="D2964" s="5" t="str">
        <f ca="1">IFERROR(__xludf.DUMMYFUNCTION("""COMPUTED_VALUE"""),"صيدلية")</f>
        <v>صيدلية</v>
      </c>
      <c r="E2964" s="5" t="str">
        <f ca="1">IFERROR(__xludf.DUMMYFUNCTION("""COMPUTED_VALUE"""),"صيدلية")</f>
        <v>صيدلية</v>
      </c>
      <c r="F2964" s="5" t="str">
        <f ca="1">IFERROR(__xludf.DUMMYFUNCTION("""COMPUTED_VALUE"""),"صيدلية (أدوية ومستلزمات طبية)")</f>
        <v>صيدلية (أدوية ومستلزمات طبية)</v>
      </c>
      <c r="G2964" s="5" t="str">
        <f ca="1">IFERROR(__xludf.DUMMYFUNCTION("""COMPUTED_VALUE"""),"هيثم محمد مجدي عباس البنداري (صيدليات البنداري)")</f>
        <v>هيثم محمد مجدي عباس البنداري (صيدليات البنداري)</v>
      </c>
      <c r="H2964" s="5" t="str">
        <f ca="1">IFERROR(__xludf.DUMMYFUNCTION("""COMPUTED_VALUE"""),"ش الجلاء - بجوار الامن المركزي")</f>
        <v>ش الجلاء - بجوار الامن المركزي</v>
      </c>
      <c r="I2964" s="6" t="str">
        <f ca="1">IFERROR(__xludf.DUMMYFUNCTION("""COMPUTED_VALUE"""),"01200400461")</f>
        <v>01200400461</v>
      </c>
      <c r="J2964" s="6"/>
      <c r="K2964" s="6" t="str">
        <f ca="1">IFERROR(__xludf.DUMMYFUNCTION("""COMPUTED_VALUE"""),"14 % على المحلى ,7% على المستورد")</f>
        <v>14 % على المحلى ,7% على المستورد</v>
      </c>
    </row>
    <row r="2965" spans="1:11" x14ac:dyDescent="0.25">
      <c r="A2965" s="4" t="str">
        <f ca="1">IFERROR(__xludf.DUMMYFUNCTION("""COMPUTED_VALUE"""),"107285-B")</f>
        <v>107285-B</v>
      </c>
      <c r="B2965" s="5" t="str">
        <f ca="1">IFERROR(__xludf.DUMMYFUNCTION("""COMPUTED_VALUE"""),"الغربية")</f>
        <v>الغربية</v>
      </c>
      <c r="C2965" s="5" t="str">
        <f ca="1">IFERROR(__xludf.DUMMYFUNCTION("""COMPUTED_VALUE"""),"طنطا")</f>
        <v>طنطا</v>
      </c>
      <c r="D2965" s="5" t="str">
        <f ca="1">IFERROR(__xludf.DUMMYFUNCTION("""COMPUTED_VALUE"""),"صيدلية")</f>
        <v>صيدلية</v>
      </c>
      <c r="E2965" s="5" t="str">
        <f ca="1">IFERROR(__xludf.DUMMYFUNCTION("""COMPUTED_VALUE"""),"صيدلية")</f>
        <v>صيدلية</v>
      </c>
      <c r="F2965" s="5" t="str">
        <f ca="1">IFERROR(__xludf.DUMMYFUNCTION("""COMPUTED_VALUE"""),"صيدلية (أدوية ومستلزمات طبية)")</f>
        <v>صيدلية (أدوية ومستلزمات طبية)</v>
      </c>
      <c r="G2965" s="5" t="str">
        <f ca="1">IFERROR(__xludf.DUMMYFUNCTION("""COMPUTED_VALUE"""),"هيثم محمد مجدي عباس البنداري (صيدليات البنداري)")</f>
        <v>هيثم محمد مجدي عباس البنداري (صيدليات البنداري)</v>
      </c>
      <c r="H2965" s="5" t="str">
        <f ca="1">IFERROR(__xludf.DUMMYFUNCTION("""COMPUTED_VALUE"""),"ش الاشرف مع المرشحه")</f>
        <v>ش الاشرف مع المرشحه</v>
      </c>
      <c r="I2965" s="6" t="str">
        <f ca="1">IFERROR(__xludf.DUMMYFUNCTION("""COMPUTED_VALUE"""),"0403313012")</f>
        <v>0403313012</v>
      </c>
      <c r="J2965" s="6"/>
      <c r="K2965" s="6" t="str">
        <f ca="1">IFERROR(__xludf.DUMMYFUNCTION("""COMPUTED_VALUE"""),"14 % على المحلى ,7% على المستورد")</f>
        <v>14 % على المحلى ,7% على المستورد</v>
      </c>
    </row>
    <row r="2966" spans="1:11" x14ac:dyDescent="0.25">
      <c r="A2966" s="4" t="str">
        <f ca="1">IFERROR(__xludf.DUMMYFUNCTION("""COMPUTED_VALUE"""),"107285-B")</f>
        <v>107285-B</v>
      </c>
      <c r="B2966" s="5" t="str">
        <f ca="1">IFERROR(__xludf.DUMMYFUNCTION("""COMPUTED_VALUE"""),"الغربية")</f>
        <v>الغربية</v>
      </c>
      <c r="C2966" s="5" t="str">
        <f ca="1">IFERROR(__xludf.DUMMYFUNCTION("""COMPUTED_VALUE"""),"طنطا")</f>
        <v>طنطا</v>
      </c>
      <c r="D2966" s="5" t="str">
        <f ca="1">IFERROR(__xludf.DUMMYFUNCTION("""COMPUTED_VALUE"""),"صيدلية")</f>
        <v>صيدلية</v>
      </c>
      <c r="E2966" s="5" t="str">
        <f ca="1">IFERROR(__xludf.DUMMYFUNCTION("""COMPUTED_VALUE"""),"صيدلية")</f>
        <v>صيدلية</v>
      </c>
      <c r="F2966" s="5" t="str">
        <f ca="1">IFERROR(__xludf.DUMMYFUNCTION("""COMPUTED_VALUE"""),"صيدلية (أدوية ومستلزمات طبية)")</f>
        <v>صيدلية (أدوية ومستلزمات طبية)</v>
      </c>
      <c r="G2966" s="5" t="str">
        <f ca="1">IFERROR(__xludf.DUMMYFUNCTION("""COMPUTED_VALUE"""),"هيثم محمد مجدي عباس البنداري (صيدليات البنداري)")</f>
        <v>هيثم محمد مجدي عباس البنداري (صيدليات البنداري)</v>
      </c>
      <c r="H2966" s="5" t="str">
        <f ca="1">IFERROR(__xludf.DUMMYFUNCTION("""COMPUTED_VALUE"""),"كفر عصام -بجوار مدرسه ام المؤمنين")</f>
        <v>كفر عصام -بجوار مدرسه ام المؤمنين</v>
      </c>
      <c r="I2966" s="6" t="str">
        <f ca="1">IFERROR(__xludf.DUMMYFUNCTION("""COMPUTED_VALUE"""),"01207271272")</f>
        <v>01207271272</v>
      </c>
      <c r="J2966" s="6"/>
      <c r="K2966" s="6" t="str">
        <f ca="1">IFERROR(__xludf.DUMMYFUNCTION("""COMPUTED_VALUE"""),"14 % على المحلى ,7% على المستورد")</f>
        <v>14 % على المحلى ,7% على المستورد</v>
      </c>
    </row>
    <row r="2967" spans="1:11" x14ac:dyDescent="0.25">
      <c r="A2967" s="4" t="str">
        <f ca="1">IFERROR(__xludf.DUMMYFUNCTION("""COMPUTED_VALUE"""),"107285-B")</f>
        <v>107285-B</v>
      </c>
      <c r="B2967" s="5" t="str">
        <f ca="1">IFERROR(__xludf.DUMMYFUNCTION("""COMPUTED_VALUE"""),"الغربية")</f>
        <v>الغربية</v>
      </c>
      <c r="C2967" s="5" t="str">
        <f ca="1">IFERROR(__xludf.DUMMYFUNCTION("""COMPUTED_VALUE"""),"طنطا")</f>
        <v>طنطا</v>
      </c>
      <c r="D2967" s="5" t="str">
        <f ca="1">IFERROR(__xludf.DUMMYFUNCTION("""COMPUTED_VALUE"""),"صيدلية")</f>
        <v>صيدلية</v>
      </c>
      <c r="E2967" s="5" t="str">
        <f ca="1">IFERROR(__xludf.DUMMYFUNCTION("""COMPUTED_VALUE"""),"صيدلية")</f>
        <v>صيدلية</v>
      </c>
      <c r="F2967" s="5" t="str">
        <f ca="1">IFERROR(__xludf.DUMMYFUNCTION("""COMPUTED_VALUE"""),"صيدلية (أدوية ومستلزمات طبية)")</f>
        <v>صيدلية (أدوية ومستلزمات طبية)</v>
      </c>
      <c r="G2967" s="5" t="str">
        <f ca="1">IFERROR(__xludf.DUMMYFUNCTION("""COMPUTED_VALUE"""),"هيثم محمد مجدي عباس البنداري (صيدليات البنداري)")</f>
        <v>هيثم محمد مجدي عباس البنداري (صيدليات البنداري)</v>
      </c>
      <c r="H2967" s="5" t="str">
        <f ca="1">IFERROR(__xludf.DUMMYFUNCTION("""COMPUTED_VALUE"""),"اخر ش سعيد مع عمر بن عبدالعزيز")</f>
        <v>اخر ش سعيد مع عمر بن عبدالعزيز</v>
      </c>
      <c r="I2967" s="6" t="str">
        <f ca="1">IFERROR(__xludf.DUMMYFUNCTION("""COMPUTED_VALUE"""),"0403318734")</f>
        <v>0403318734</v>
      </c>
      <c r="J2967" s="6"/>
      <c r="K2967" s="6" t="str">
        <f ca="1">IFERROR(__xludf.DUMMYFUNCTION("""COMPUTED_VALUE"""),"14 % على المحلى ,7% على المستورد")</f>
        <v>14 % على المحلى ,7% على المستورد</v>
      </c>
    </row>
    <row r="2968" spans="1:11" x14ac:dyDescent="0.25">
      <c r="A2968" s="4" t="str">
        <f ca="1">IFERROR(__xludf.DUMMYFUNCTION("""COMPUTED_VALUE"""),"107285-B")</f>
        <v>107285-B</v>
      </c>
      <c r="B2968" s="5" t="str">
        <f ca="1">IFERROR(__xludf.DUMMYFUNCTION("""COMPUTED_VALUE"""),"الغربية")</f>
        <v>الغربية</v>
      </c>
      <c r="C2968" s="5" t="str">
        <f ca="1">IFERROR(__xludf.DUMMYFUNCTION("""COMPUTED_VALUE"""),"طنطا")</f>
        <v>طنطا</v>
      </c>
      <c r="D2968" s="5" t="str">
        <f ca="1">IFERROR(__xludf.DUMMYFUNCTION("""COMPUTED_VALUE"""),"صيدلية")</f>
        <v>صيدلية</v>
      </c>
      <c r="E2968" s="5" t="str">
        <f ca="1">IFERROR(__xludf.DUMMYFUNCTION("""COMPUTED_VALUE"""),"صيدلية")</f>
        <v>صيدلية</v>
      </c>
      <c r="F2968" s="5" t="str">
        <f ca="1">IFERROR(__xludf.DUMMYFUNCTION("""COMPUTED_VALUE"""),"صيدلية (أدوية ومستلزمات طبية)")</f>
        <v>صيدلية (أدوية ومستلزمات طبية)</v>
      </c>
      <c r="G2968" s="5" t="str">
        <f ca="1">IFERROR(__xludf.DUMMYFUNCTION("""COMPUTED_VALUE"""),"هيثم محمد مجدي عباس البنداري (صيدليات البنداري)")</f>
        <v>هيثم محمد مجدي عباس البنداري (صيدليات البنداري)</v>
      </c>
      <c r="H2968" s="5" t="str">
        <f ca="1">IFERROR(__xludf.DUMMYFUNCTION("""COMPUTED_VALUE"""),"المعرض - طريق القاهره لزراعي امام مدريريه الطب البيطري")</f>
        <v>المعرض - طريق القاهره لزراعي امام مدريريه الطب البيطري</v>
      </c>
      <c r="I2968" s="6" t="str">
        <f ca="1">IFERROR(__xludf.DUMMYFUNCTION("""COMPUTED_VALUE"""),"01200400471")</f>
        <v>01200400471</v>
      </c>
      <c r="J2968" s="6"/>
      <c r="K2968" s="6" t="str">
        <f ca="1">IFERROR(__xludf.DUMMYFUNCTION("""COMPUTED_VALUE"""),"14 % على المحلى ,7% على المستورد")</f>
        <v>14 % على المحلى ,7% على المستورد</v>
      </c>
    </row>
    <row r="2969" spans="1:11" x14ac:dyDescent="0.25">
      <c r="A2969" s="4" t="str">
        <f ca="1">IFERROR(__xludf.DUMMYFUNCTION("""COMPUTED_VALUE"""),"107285-B")</f>
        <v>107285-B</v>
      </c>
      <c r="B2969" s="5" t="str">
        <f ca="1">IFERROR(__xludf.DUMMYFUNCTION("""COMPUTED_VALUE"""),"الغربية")</f>
        <v>الغربية</v>
      </c>
      <c r="C2969" s="5" t="str">
        <f ca="1">IFERROR(__xludf.DUMMYFUNCTION("""COMPUTED_VALUE"""),"طنطا")</f>
        <v>طنطا</v>
      </c>
      <c r="D2969" s="5" t="str">
        <f ca="1">IFERROR(__xludf.DUMMYFUNCTION("""COMPUTED_VALUE"""),"صيدلية")</f>
        <v>صيدلية</v>
      </c>
      <c r="E2969" s="5" t="str">
        <f ca="1">IFERROR(__xludf.DUMMYFUNCTION("""COMPUTED_VALUE"""),"صيدلية")</f>
        <v>صيدلية</v>
      </c>
      <c r="F2969" s="5" t="str">
        <f ca="1">IFERROR(__xludf.DUMMYFUNCTION("""COMPUTED_VALUE"""),"صيدلية (أدوية ومستلزمات طبية)")</f>
        <v>صيدلية (أدوية ومستلزمات طبية)</v>
      </c>
      <c r="G2969" s="5" t="str">
        <f ca="1">IFERROR(__xludf.DUMMYFUNCTION("""COMPUTED_VALUE"""),"هيثم محمد مجدي عباس البنداري (صيدليات البنداري)")</f>
        <v>هيثم محمد مجدي عباس البنداري (صيدليات البنداري)</v>
      </c>
      <c r="H2969" s="5" t="str">
        <f ca="1">IFERROR(__xludf.DUMMYFUNCTION("""COMPUTED_VALUE"""),"شارع المديريه -تقاطع البورصه -بجور قسم اول")</f>
        <v>شارع المديريه -تقاطع البورصه -بجور قسم اول</v>
      </c>
      <c r="I2969" s="6" t="str">
        <f ca="1">IFERROR(__xludf.DUMMYFUNCTION("""COMPUTED_VALUE"""),"0403358874")</f>
        <v>0403358874</v>
      </c>
      <c r="J2969" s="6"/>
      <c r="K2969" s="6" t="str">
        <f ca="1">IFERROR(__xludf.DUMMYFUNCTION("""COMPUTED_VALUE"""),"14 % على المحلى ,7% على المستورد")</f>
        <v>14 % على المحلى ,7% على المستورد</v>
      </c>
    </row>
    <row r="2970" spans="1:11" x14ac:dyDescent="0.25">
      <c r="A2970" s="4" t="str">
        <f ca="1">IFERROR(__xludf.DUMMYFUNCTION("""COMPUTED_VALUE"""),"107285-B")</f>
        <v>107285-B</v>
      </c>
      <c r="B2970" s="5" t="str">
        <f ca="1">IFERROR(__xludf.DUMMYFUNCTION("""COMPUTED_VALUE"""),"الغربية")</f>
        <v>الغربية</v>
      </c>
      <c r="C2970" s="5" t="str">
        <f ca="1">IFERROR(__xludf.DUMMYFUNCTION("""COMPUTED_VALUE"""),"طنطا")</f>
        <v>طنطا</v>
      </c>
      <c r="D2970" s="5" t="str">
        <f ca="1">IFERROR(__xludf.DUMMYFUNCTION("""COMPUTED_VALUE"""),"صيدلية")</f>
        <v>صيدلية</v>
      </c>
      <c r="E2970" s="5" t="str">
        <f ca="1">IFERROR(__xludf.DUMMYFUNCTION("""COMPUTED_VALUE"""),"صيدلية")</f>
        <v>صيدلية</v>
      </c>
      <c r="F2970" s="5" t="str">
        <f ca="1">IFERROR(__xludf.DUMMYFUNCTION("""COMPUTED_VALUE"""),"صيدلية (أدوية ومستلزمات طبية)")</f>
        <v>صيدلية (أدوية ومستلزمات طبية)</v>
      </c>
      <c r="G2970" s="5" t="str">
        <f ca="1">IFERROR(__xludf.DUMMYFUNCTION("""COMPUTED_VALUE"""),"هيثم محمد مجدي عباس البنداري (صيدليات البنداري)")</f>
        <v>هيثم محمد مجدي عباس البنداري (صيدليات البنداري)</v>
      </c>
      <c r="H2970" s="5" t="str">
        <f ca="1">IFERROR(__xludf.DUMMYFUNCTION("""COMPUTED_VALUE"""),"طريق اسكندرية الزراعي بعد بنزينة اندريا امام بوابة الجامعة - الطب النفسي")</f>
        <v>طريق اسكندرية الزراعي بعد بنزينة اندريا امام بوابة الجامعة - الطب النفسي</v>
      </c>
      <c r="I2970" s="6" t="str">
        <f ca="1">IFERROR(__xludf.DUMMYFUNCTION("""COMPUTED_VALUE"""),"01200400471")</f>
        <v>01200400471</v>
      </c>
      <c r="J2970" s="6"/>
      <c r="K2970" s="6" t="str">
        <f ca="1">IFERROR(__xludf.DUMMYFUNCTION("""COMPUTED_VALUE"""),"14 % على المحلى ,7% على المستورد")</f>
        <v>14 % على المحلى ,7% على المستورد</v>
      </c>
    </row>
    <row r="2971" spans="1:11" x14ac:dyDescent="0.25">
      <c r="A2971" s="4" t="str">
        <f ca="1">IFERROR(__xludf.DUMMYFUNCTION("""COMPUTED_VALUE"""),"107285-B")</f>
        <v>107285-B</v>
      </c>
      <c r="B2971" s="5" t="str">
        <f ca="1">IFERROR(__xludf.DUMMYFUNCTION("""COMPUTED_VALUE"""),"الجيزة")</f>
        <v>الجيزة</v>
      </c>
      <c r="C2971" s="5" t="str">
        <f ca="1">IFERROR(__xludf.DUMMYFUNCTION("""COMPUTED_VALUE"""),"المهندسين")</f>
        <v>المهندسين</v>
      </c>
      <c r="D2971" s="5" t="str">
        <f ca="1">IFERROR(__xludf.DUMMYFUNCTION("""COMPUTED_VALUE"""),"صيدلية")</f>
        <v>صيدلية</v>
      </c>
      <c r="E2971" s="5" t="str">
        <f ca="1">IFERROR(__xludf.DUMMYFUNCTION("""COMPUTED_VALUE"""),"صيدلية")</f>
        <v>صيدلية</v>
      </c>
      <c r="F2971" s="5" t="str">
        <f ca="1">IFERROR(__xludf.DUMMYFUNCTION("""COMPUTED_VALUE"""),"صيدلية (أدوية ومستلزمات طبية)")</f>
        <v>صيدلية (أدوية ومستلزمات طبية)</v>
      </c>
      <c r="G2971" s="5" t="str">
        <f ca="1">IFERROR(__xludf.DUMMYFUNCTION("""COMPUTED_VALUE"""),"هيثم محمد مجدي عباس البنداري (صيدليات البنداري)")</f>
        <v>هيثم محمد مجدي عباس البنداري (صيدليات البنداري)</v>
      </c>
      <c r="H2971" s="5" t="str">
        <f ca="1">IFERROR(__xludf.DUMMYFUNCTION("""COMPUTED_VALUE"""),"المهندسين :69 شارع شهاب تقاطع لبنان امام حزب الشعب الجمهوري")</f>
        <v>المهندسين :69 شارع شهاب تقاطع لبنان امام حزب الشعب الجمهوري</v>
      </c>
      <c r="I2971" s="6" t="str">
        <f ca="1">IFERROR(__xludf.DUMMYFUNCTION("""COMPUTED_VALUE"""),"0233488777")</f>
        <v>0233488777</v>
      </c>
      <c r="J2971" s="6"/>
      <c r="K2971" s="6" t="str">
        <f ca="1">IFERROR(__xludf.DUMMYFUNCTION("""COMPUTED_VALUE"""),"14 % على المحلى ,7% على المستورد")</f>
        <v>14 % على المحلى ,7% على المستورد</v>
      </c>
    </row>
    <row r="2972" spans="1:11" x14ac:dyDescent="0.25">
      <c r="A2972" s="4" t="str">
        <f ca="1">IFERROR(__xludf.DUMMYFUNCTION("""COMPUTED_VALUE"""),"107286")</f>
        <v>107286</v>
      </c>
      <c r="B2972" s="5" t="str">
        <f ca="1">IFERROR(__xludf.DUMMYFUNCTION("""COMPUTED_VALUE"""),"البحيرة")</f>
        <v>البحيرة</v>
      </c>
      <c r="C2972" s="5" t="str">
        <f ca="1">IFERROR(__xludf.DUMMYFUNCTION("""COMPUTED_VALUE"""),"دمنهور")</f>
        <v>دمنهور</v>
      </c>
      <c r="D2972" s="5" t="str">
        <f ca="1">IFERROR(__xludf.DUMMYFUNCTION("""COMPUTED_VALUE"""),"صيدلية")</f>
        <v>صيدلية</v>
      </c>
      <c r="E2972" s="5" t="str">
        <f ca="1">IFERROR(__xludf.DUMMYFUNCTION("""COMPUTED_VALUE"""),"صيدلية")</f>
        <v>صيدلية</v>
      </c>
      <c r="F2972" s="5" t="str">
        <f ca="1">IFERROR(__xludf.DUMMYFUNCTION("""COMPUTED_VALUE"""),"صيدلية (أدوية ومستلزمات طبية)")</f>
        <v>صيدلية (أدوية ومستلزمات طبية)</v>
      </c>
      <c r="G2972" s="5" t="str">
        <f ca="1">IFERROR(__xludf.DUMMYFUNCTION("""COMPUTED_VALUE"""),"صيدلية د/ رحاب جمال عبدالمنعم حامد مصباح (رحاب مصباح)")</f>
        <v>صيدلية د/ رحاب جمال عبدالمنعم حامد مصباح (رحاب مصباح)</v>
      </c>
      <c r="H2972" s="5" t="str">
        <f ca="1">IFERROR(__xludf.DUMMYFUNCTION("""COMPUTED_VALUE"""),"ش متفرع من ش مدينة قونيا افلاقه - دمنهور - البحيرة")</f>
        <v>ش متفرع من ش مدينة قونيا افلاقه - دمنهور - البحيرة</v>
      </c>
      <c r="I2972" s="6" t="str">
        <f ca="1">IFERROR(__xludf.DUMMYFUNCTION("""COMPUTED_VALUE"""),"0453337014")</f>
        <v>0453337014</v>
      </c>
      <c r="J2972" s="6"/>
      <c r="K2972" s="6" t="str">
        <f ca="1">IFERROR(__xludf.DUMMYFUNCTION("""COMPUTED_VALUE"""),"14 % على المحلى ,6% على المستورد")</f>
        <v>14 % على المحلى ,6% على المستورد</v>
      </c>
    </row>
    <row r="2973" spans="1:11" x14ac:dyDescent="0.25">
      <c r="A2973" s="4" t="str">
        <f ca="1">IFERROR(__xludf.DUMMYFUNCTION("""COMPUTED_VALUE"""),"107286-B")</f>
        <v>107286-B</v>
      </c>
      <c r="B2973" s="5" t="str">
        <f ca="1">IFERROR(__xludf.DUMMYFUNCTION("""COMPUTED_VALUE"""),"البحيرة")</f>
        <v>البحيرة</v>
      </c>
      <c r="C2973" s="5" t="str">
        <f ca="1">IFERROR(__xludf.DUMMYFUNCTION("""COMPUTED_VALUE"""),"دمنهور")</f>
        <v>دمنهور</v>
      </c>
      <c r="D2973" s="5" t="str">
        <f ca="1">IFERROR(__xludf.DUMMYFUNCTION("""COMPUTED_VALUE"""),"صيدلية")</f>
        <v>صيدلية</v>
      </c>
      <c r="E2973" s="5" t="str">
        <f ca="1">IFERROR(__xludf.DUMMYFUNCTION("""COMPUTED_VALUE"""),"صيدلية")</f>
        <v>صيدلية</v>
      </c>
      <c r="F2973" s="5" t="str">
        <f ca="1">IFERROR(__xludf.DUMMYFUNCTION("""COMPUTED_VALUE"""),"صيدلية (أدوية ومستلزمات طبية)")</f>
        <v>صيدلية (أدوية ومستلزمات طبية)</v>
      </c>
      <c r="G2973" s="5" t="str">
        <f ca="1">IFERROR(__xludf.DUMMYFUNCTION("""COMPUTED_VALUE"""),"صيدلية د/ رحاب جمال عبدالمنعم حامد مصباح (رحاب مصباح)")</f>
        <v>صيدلية د/ رحاب جمال عبدالمنعم حامد مصباح (رحاب مصباح)</v>
      </c>
      <c r="H2973" s="5" t="str">
        <f ca="1">IFERROR(__xludf.DUMMYFUNCTION("""COMPUTED_VALUE"""),"شارع سعد زغلول بجوار مسجد الحبشي - دمنهور")</f>
        <v>شارع سعد زغلول بجوار مسجد الحبشي - دمنهور</v>
      </c>
      <c r="I2973" s="6" t="str">
        <f ca="1">IFERROR(__xludf.DUMMYFUNCTION("""COMPUTED_VALUE"""),"0453337014")</f>
        <v>0453337014</v>
      </c>
      <c r="J2973" s="6"/>
      <c r="K2973" s="6" t="str">
        <f ca="1">IFERROR(__xludf.DUMMYFUNCTION("""COMPUTED_VALUE"""),"14 % على المحلى ,6% على المستورد")</f>
        <v>14 % على المحلى ,6% على المستورد</v>
      </c>
    </row>
    <row r="2974" spans="1:11" x14ac:dyDescent="0.25">
      <c r="A2974" s="4" t="str">
        <f ca="1">IFERROR(__xludf.DUMMYFUNCTION("""COMPUTED_VALUE"""),"107286-B")</f>
        <v>107286-B</v>
      </c>
      <c r="B2974" s="5" t="str">
        <f ca="1">IFERROR(__xludf.DUMMYFUNCTION("""COMPUTED_VALUE"""),"البحيرة")</f>
        <v>البحيرة</v>
      </c>
      <c r="C2974" s="5" t="str">
        <f ca="1">IFERROR(__xludf.DUMMYFUNCTION("""COMPUTED_VALUE"""),"دمنهور")</f>
        <v>دمنهور</v>
      </c>
      <c r="D2974" s="5" t="str">
        <f ca="1">IFERROR(__xludf.DUMMYFUNCTION("""COMPUTED_VALUE"""),"صيدلية")</f>
        <v>صيدلية</v>
      </c>
      <c r="E2974" s="5" t="str">
        <f ca="1">IFERROR(__xludf.DUMMYFUNCTION("""COMPUTED_VALUE"""),"صيدلية")</f>
        <v>صيدلية</v>
      </c>
      <c r="F2974" s="5" t="str">
        <f ca="1">IFERROR(__xludf.DUMMYFUNCTION("""COMPUTED_VALUE"""),"صيدلية (أدوية ومستلزمات طبية)")</f>
        <v>صيدلية (أدوية ومستلزمات طبية)</v>
      </c>
      <c r="G2974" s="5" t="str">
        <f ca="1">IFERROR(__xludf.DUMMYFUNCTION("""COMPUTED_VALUE"""),"صيدلية د/ رحاب جمال عبدالمنعم حامد مصباح (رحاب مصباح)")</f>
        <v>صيدلية د/ رحاب جمال عبدالمنعم حامد مصباح (رحاب مصباح)</v>
      </c>
      <c r="H2974" s="5" t="str">
        <f ca="1">IFERROR(__xludf.DUMMYFUNCTION("""COMPUTED_VALUE"""),"بندر دمنهور - شارع المقريزي")</f>
        <v>بندر دمنهور - شارع المقريزي</v>
      </c>
      <c r="I2974" s="6" t="str">
        <f ca="1">IFERROR(__xludf.DUMMYFUNCTION("""COMPUTED_VALUE"""),"0453337014")</f>
        <v>0453337014</v>
      </c>
      <c r="J2974" s="6"/>
      <c r="K2974" s="6" t="str">
        <f ca="1">IFERROR(__xludf.DUMMYFUNCTION("""COMPUTED_VALUE"""),"14 % على المحلى ,6% على المستورد")</f>
        <v>14 % على المحلى ,6% على المستورد</v>
      </c>
    </row>
    <row r="2975" spans="1:11" x14ac:dyDescent="0.25">
      <c r="A2975" s="4" t="str">
        <f ca="1">IFERROR(__xludf.DUMMYFUNCTION("""COMPUTED_VALUE"""),"107287")</f>
        <v>107287</v>
      </c>
      <c r="B2975" s="5" t="str">
        <f ca="1">IFERROR(__xludf.DUMMYFUNCTION("""COMPUTED_VALUE"""),"الجيزة")</f>
        <v>الجيزة</v>
      </c>
      <c r="C2975" s="5" t="str">
        <f ca="1">IFERROR(__xludf.DUMMYFUNCTION("""COMPUTED_VALUE"""),"السادس من اكتوبر")</f>
        <v>السادس من اكتوبر</v>
      </c>
      <c r="D2975" s="5" t="str">
        <f ca="1">IFERROR(__xludf.DUMMYFUNCTION("""COMPUTED_VALUE"""),"هيئة الأطباء")</f>
        <v>هيئة الأطباء</v>
      </c>
      <c r="E2975" s="5" t="str">
        <f ca="1">IFERROR(__xludf.DUMMYFUNCTION("""COMPUTED_VALUE"""),"اسنان")</f>
        <v>اسنان</v>
      </c>
      <c r="F2975" s="5" t="str">
        <f ca="1">IFERROR(__xludf.DUMMYFUNCTION("""COMPUTED_VALUE"""),"جراحة الفم والأسنان")</f>
        <v>جراحة الفم والأسنان</v>
      </c>
      <c r="G2975" s="5" t="str">
        <f ca="1">IFERROR(__xludf.DUMMYFUNCTION("""COMPUTED_VALUE"""),"د/ عمرو صبحي عبدالمنعم علي نصار (عيادة الاسرة للاسنان)")</f>
        <v>د/ عمرو صبحي عبدالمنعم علي نصار (عيادة الاسرة للاسنان)</v>
      </c>
      <c r="H2975" s="5" t="str">
        <f ca="1">IFERROR(__xludf.DUMMYFUNCTION("""COMPUTED_VALUE"""),"مول الجوهرة - ارض المخابرات - حدائق اكتوبر")</f>
        <v>مول الجوهرة - ارض المخابرات - حدائق اكتوبر</v>
      </c>
      <c r="I2975" s="6" t="str">
        <f ca="1">IFERROR(__xludf.DUMMYFUNCTION("""COMPUTED_VALUE"""),"01116543028")</f>
        <v>01116543028</v>
      </c>
      <c r="J2975" s="6"/>
      <c r="K2975" s="6" t="str">
        <f ca="1">IFERROR(__xludf.DUMMYFUNCTION("""COMPUTED_VALUE"""),"خصم 40% علي الأسعار النقدي المعلنة")</f>
        <v>خصم 40% علي الأسعار النقدي المعلنة</v>
      </c>
    </row>
    <row r="2976" spans="1:11" x14ac:dyDescent="0.25">
      <c r="A2976" s="4" t="str">
        <f ca="1">IFERROR(__xludf.DUMMYFUNCTION("""COMPUTED_VALUE"""),"107287-B")</f>
        <v>107287-B</v>
      </c>
      <c r="B2976" s="5" t="str">
        <f ca="1">IFERROR(__xludf.DUMMYFUNCTION("""COMPUTED_VALUE"""),"الجيزة")</f>
        <v>الجيزة</v>
      </c>
      <c r="C2976" s="5" t="str">
        <f ca="1">IFERROR(__xludf.DUMMYFUNCTION("""COMPUTED_VALUE"""),"الهرم")</f>
        <v>الهرم</v>
      </c>
      <c r="D2976" s="5" t="str">
        <f ca="1">IFERROR(__xludf.DUMMYFUNCTION("""COMPUTED_VALUE"""),"هيئة الأطباء")</f>
        <v>هيئة الأطباء</v>
      </c>
      <c r="E2976" s="5" t="str">
        <f ca="1">IFERROR(__xludf.DUMMYFUNCTION("""COMPUTED_VALUE"""),"اسنان")</f>
        <v>اسنان</v>
      </c>
      <c r="F2976" s="5" t="str">
        <f ca="1">IFERROR(__xludf.DUMMYFUNCTION("""COMPUTED_VALUE"""),"جراحة الفم والأسنان")</f>
        <v>جراحة الفم والأسنان</v>
      </c>
      <c r="G2976" s="5" t="str">
        <f ca="1">IFERROR(__xludf.DUMMYFUNCTION("""COMPUTED_VALUE"""),"د/ عمرو صبحي عبدالمنعم علي نصار (عيادة الاسرة للاسنان)")</f>
        <v>د/ عمرو صبحي عبدالمنعم علي نصار (عيادة الاسرة للاسنان)</v>
      </c>
      <c r="H2976" s="5" t="str">
        <f ca="1">IFERROR(__xludf.DUMMYFUNCTION("""COMPUTED_VALUE"""),"97 ش رمسيس الثاني اسباتس - الهرم - الجيزة")</f>
        <v>97 ش رمسيس الثاني اسباتس - الهرم - الجيزة</v>
      </c>
      <c r="I2976" s="6" t="str">
        <f ca="1">IFERROR(__xludf.DUMMYFUNCTION("""COMPUTED_VALUE"""),"01116543028")</f>
        <v>01116543028</v>
      </c>
      <c r="J2976" s="6"/>
      <c r="K2976" s="6" t="str">
        <f ca="1">IFERROR(__xludf.DUMMYFUNCTION("""COMPUTED_VALUE"""),"خصم 40% علي الأسعار النقدي المعلنة")</f>
        <v>خصم 40% علي الأسعار النقدي المعلنة</v>
      </c>
    </row>
    <row r="2977" spans="1:11" x14ac:dyDescent="0.25">
      <c r="A2977" s="4" t="str">
        <f ca="1">IFERROR(__xludf.DUMMYFUNCTION("""COMPUTED_VALUE"""),"107287-B")</f>
        <v>107287-B</v>
      </c>
      <c r="B2977" s="5" t="str">
        <f ca="1">IFERROR(__xludf.DUMMYFUNCTION("""COMPUTED_VALUE"""),"القاهرة")</f>
        <v>القاهرة</v>
      </c>
      <c r="C2977" s="5" t="str">
        <f ca="1">IFERROR(__xludf.DUMMYFUNCTION("""COMPUTED_VALUE"""),"القاهرة الجديدة")</f>
        <v>القاهرة الجديدة</v>
      </c>
      <c r="D2977" s="5" t="str">
        <f ca="1">IFERROR(__xludf.DUMMYFUNCTION("""COMPUTED_VALUE"""),"هيئة الأطباء")</f>
        <v>هيئة الأطباء</v>
      </c>
      <c r="E2977" s="5" t="str">
        <f ca="1">IFERROR(__xludf.DUMMYFUNCTION("""COMPUTED_VALUE"""),"اسنان")</f>
        <v>اسنان</v>
      </c>
      <c r="F2977" s="5" t="str">
        <f ca="1">IFERROR(__xludf.DUMMYFUNCTION("""COMPUTED_VALUE"""),"جراحة الفم والأسنان")</f>
        <v>جراحة الفم والأسنان</v>
      </c>
      <c r="G2977" s="5" t="str">
        <f ca="1">IFERROR(__xludf.DUMMYFUNCTION("""COMPUTED_VALUE"""),"د/ عمرو صبحي عبدالمنعم علي نصار (عيادة الاسرة للاسنان)")</f>
        <v>د/ عمرو صبحي عبدالمنعم علي نصار (عيادة الاسرة للاسنان)</v>
      </c>
      <c r="H2977" s="5" t="str">
        <f ca="1">IFERROR(__xludf.DUMMYFUNCTION("""COMPUTED_VALUE"""),"مدينة المستقبل - فيوتشر مول - القاهرة")</f>
        <v>مدينة المستقبل - فيوتشر مول - القاهرة</v>
      </c>
      <c r="I2977" s="6" t="str">
        <f ca="1">IFERROR(__xludf.DUMMYFUNCTION("""COMPUTED_VALUE"""),"01116543028")</f>
        <v>01116543028</v>
      </c>
      <c r="J2977" s="6"/>
      <c r="K2977" s="6" t="str">
        <f ca="1">IFERROR(__xludf.DUMMYFUNCTION("""COMPUTED_VALUE"""),"خصم 40% علي الأسعار النقدي المعلنة")</f>
        <v>خصم 40% علي الأسعار النقدي المعلنة</v>
      </c>
    </row>
    <row r="2978" spans="1:11" x14ac:dyDescent="0.25">
      <c r="A2978" s="4" t="str">
        <f ca="1">IFERROR(__xludf.DUMMYFUNCTION("""COMPUTED_VALUE"""),"107288")</f>
        <v>107288</v>
      </c>
      <c r="B2978" s="5" t="str">
        <f ca="1">IFERROR(__xludf.DUMMYFUNCTION("""COMPUTED_VALUE"""),"الشرقية")</f>
        <v>الشرقية</v>
      </c>
      <c r="C2978" s="5" t="str">
        <f ca="1">IFERROR(__xludf.DUMMYFUNCTION("""COMPUTED_VALUE"""),"فاقوس")</f>
        <v>فاقوس</v>
      </c>
      <c r="D2978" s="5" t="str">
        <f ca="1">IFERROR(__xludf.DUMMYFUNCTION("""COMPUTED_VALUE"""),"مجمع عيادات")</f>
        <v>مجمع عيادات</v>
      </c>
      <c r="E2978" s="5" t="str">
        <f ca="1">IFERROR(__xludf.DUMMYFUNCTION("""COMPUTED_VALUE"""),"جميع التخصصات")</f>
        <v>جميع التخصصات</v>
      </c>
      <c r="F2978" s="5" t="str">
        <f ca="1">IFERROR(__xludf.DUMMYFUNCTION("""COMPUTED_VALUE"""),"جميع التخصصات الطبية")</f>
        <v>جميع التخصصات الطبية</v>
      </c>
      <c r="G2978" s="5" t="str">
        <f ca="1">IFERROR(__xludf.DUMMYFUNCTION("""COMPUTED_VALUE"""),"وكيل كير لادارة المستشفيات و الخدمات الطبيه (عيادات وكيل كيرالتخصصية)")</f>
        <v>وكيل كير لادارة المستشفيات و الخدمات الطبيه (عيادات وكيل كيرالتخصصية)</v>
      </c>
      <c r="H2978" s="5" t="str">
        <f ca="1">IFERROR(__xludf.DUMMYFUNCTION("""COMPUTED_VALUE"""),"11 ش علي مبارك المنشية الجديدة - فاقوس - الشرقيه")</f>
        <v>11 ش علي مبارك المنشية الجديدة - فاقوس - الشرقيه</v>
      </c>
      <c r="I2978" s="6" t="str">
        <f ca="1">IFERROR(__xludf.DUMMYFUNCTION("""COMPUTED_VALUE"""),"01060011178")</f>
        <v>01060011178</v>
      </c>
      <c r="J2978" s="6"/>
      <c r="K2978" s="6" t="str">
        <f ca="1">IFERROR(__xludf.DUMMYFUNCTION("""COMPUTED_VALUE"""),"خصم 30% علي الأسعار النقدي المعلنة")</f>
        <v>خصم 30% علي الأسعار النقدي المعلنة</v>
      </c>
    </row>
    <row r="2979" spans="1:11" x14ac:dyDescent="0.25">
      <c r="A2979" s="4" t="str">
        <f ca="1">IFERROR(__xludf.DUMMYFUNCTION("""COMPUTED_VALUE"""),"107289")</f>
        <v>107289</v>
      </c>
      <c r="B2979" s="5" t="str">
        <f ca="1">IFERROR(__xludf.DUMMYFUNCTION("""COMPUTED_VALUE"""),"الشرقية")</f>
        <v>الشرقية</v>
      </c>
      <c r="C2979" s="5" t="str">
        <f ca="1">IFERROR(__xludf.DUMMYFUNCTION("""COMPUTED_VALUE"""),"أبو حماد")</f>
        <v>أبو حماد</v>
      </c>
      <c r="D2979" s="5" t="str">
        <f ca="1">IFERROR(__xludf.DUMMYFUNCTION("""COMPUTED_VALUE"""),"مركز أشعة")</f>
        <v>مركز أشعة</v>
      </c>
      <c r="E2979" s="5" t="str">
        <f ca="1">IFERROR(__xludf.DUMMYFUNCTION("""COMPUTED_VALUE"""),"مركز أشعة")</f>
        <v>مركز أشعة</v>
      </c>
      <c r="F2979" s="5" t="str">
        <f ca="1">IFERROR(__xludf.DUMMYFUNCTION("""COMPUTED_VALUE"""),"أشعة تشخيصية")</f>
        <v>أشعة تشخيصية</v>
      </c>
      <c r="G2979" s="5" t="str">
        <f ca="1">IFERROR(__xludf.DUMMYFUNCTION("""COMPUTED_VALUE"""),"ايمن محمود احمد ابراهيم (مركز الحكمة سكان للأشعه)")</f>
        <v>ايمن محمود احمد ابراهيم (مركز الحكمة سكان للأشعه)</v>
      </c>
      <c r="H2979" s="5" t="str">
        <f ca="1">IFERROR(__xludf.DUMMYFUNCTION("""COMPUTED_VALUE"""),"ش المركيزة - السكة الحديد - أبو حماد - الشرقيه")</f>
        <v>ش المركيزة - السكة الحديد - أبو حماد - الشرقيه</v>
      </c>
      <c r="I2979" s="6" t="str">
        <f ca="1">IFERROR(__xludf.DUMMYFUNCTION("""COMPUTED_VALUE"""),"01007946009")</f>
        <v>01007946009</v>
      </c>
      <c r="J2979" s="6"/>
      <c r="K2979" s="6" t="str">
        <f ca="1">IFERROR(__xludf.DUMMYFUNCTION("""COMPUTED_VALUE"""),"خصم 30% علي الأسعار النقدي المعلنة")</f>
        <v>خصم 30% علي الأسعار النقدي المعلنة</v>
      </c>
    </row>
    <row r="2980" spans="1:11" x14ac:dyDescent="0.25">
      <c r="A2980" s="4" t="str">
        <f ca="1">IFERROR(__xludf.DUMMYFUNCTION("""COMPUTED_VALUE"""),"107291")</f>
        <v>107291</v>
      </c>
      <c r="B2980" s="5" t="str">
        <f ca="1">IFERROR(__xludf.DUMMYFUNCTION("""COMPUTED_VALUE"""),"الفيوم")</f>
        <v>الفيوم</v>
      </c>
      <c r="C2980" s="5" t="str">
        <f ca="1">IFERROR(__xludf.DUMMYFUNCTION("""COMPUTED_VALUE"""),"سنورس")</f>
        <v>سنورس</v>
      </c>
      <c r="D2980" s="5" t="str">
        <f ca="1">IFERROR(__xludf.DUMMYFUNCTION("""COMPUTED_VALUE"""),"مركز أشعة")</f>
        <v>مركز أشعة</v>
      </c>
      <c r="E2980" s="5" t="str">
        <f ca="1">IFERROR(__xludf.DUMMYFUNCTION("""COMPUTED_VALUE"""),"مركز أشعة")</f>
        <v>مركز أشعة</v>
      </c>
      <c r="F2980" s="5" t="str">
        <f ca="1">IFERROR(__xludf.DUMMYFUNCTION("""COMPUTED_VALUE"""),"أشعة تشخيصية")</f>
        <v>أشعة تشخيصية</v>
      </c>
      <c r="G2980" s="5" t="str">
        <f ca="1">IFERROR(__xludf.DUMMYFUNCTION("""COMPUTED_VALUE"""),"مركز بيتا سكان للاشعه")</f>
        <v>مركز بيتا سكان للاشعه</v>
      </c>
      <c r="H2980" s="5" t="str">
        <f ca="1">IFERROR(__xludf.DUMMYFUNCTION("""COMPUTED_VALUE"""),"أبو عيطة طريق مصر الفيوم القديم - منزل الحاج محمد رمضان - سنورس - الفيوم")</f>
        <v>أبو عيطة طريق مصر الفيوم القديم - منزل الحاج محمد رمضان - سنورس - الفيوم</v>
      </c>
      <c r="I2980" s="6" t="str">
        <f ca="1">IFERROR(__xludf.DUMMYFUNCTION("""COMPUTED_VALUE"""),"01004892140")</f>
        <v>01004892140</v>
      </c>
      <c r="J2980" s="6"/>
      <c r="K2980" s="6" t="str">
        <f ca="1">IFERROR(__xludf.DUMMYFUNCTION("""COMPUTED_VALUE"""),"خصم 25% علي الأسعار النقدي المعلنة")</f>
        <v>خصم 25% علي الأسعار النقدي المعلنة</v>
      </c>
    </row>
    <row r="2981" spans="1:11" x14ac:dyDescent="0.25">
      <c r="A2981" s="4" t="str">
        <f ca="1">IFERROR(__xludf.DUMMYFUNCTION("""COMPUTED_VALUE"""),"107291-B")</f>
        <v>107291-B</v>
      </c>
      <c r="B2981" s="5" t="str">
        <f ca="1">IFERROR(__xludf.DUMMYFUNCTION("""COMPUTED_VALUE"""),"الفيوم")</f>
        <v>الفيوم</v>
      </c>
      <c r="C2981" s="5" t="str">
        <f ca="1">IFERROR(__xludf.DUMMYFUNCTION("""COMPUTED_VALUE"""),"الفيوم")</f>
        <v>الفيوم</v>
      </c>
      <c r="D2981" s="5" t="str">
        <f ca="1">IFERROR(__xludf.DUMMYFUNCTION("""COMPUTED_VALUE"""),"مركز أشعة")</f>
        <v>مركز أشعة</v>
      </c>
      <c r="E2981" s="5" t="str">
        <f ca="1">IFERROR(__xludf.DUMMYFUNCTION("""COMPUTED_VALUE"""),"مركز أشعة")</f>
        <v>مركز أشعة</v>
      </c>
      <c r="F2981" s="5" t="str">
        <f ca="1">IFERROR(__xludf.DUMMYFUNCTION("""COMPUTED_VALUE"""),"أشعة تشخيصية")</f>
        <v>أشعة تشخيصية</v>
      </c>
      <c r="G2981" s="5" t="str">
        <f ca="1">IFERROR(__xludf.DUMMYFUNCTION("""COMPUTED_VALUE"""),"مركز بيتا سكان للاشعه")</f>
        <v>مركز بيتا سكان للاشعه</v>
      </c>
      <c r="H2981" s="5" t="str">
        <f ca="1">IFERROR(__xludf.DUMMYFUNCTION("""COMPUTED_VALUE"""),"114 ش جمال عبدالناصر ق ناحية دار الرماد - الفيوم")</f>
        <v>114 ش جمال عبدالناصر ق ناحية دار الرماد - الفيوم</v>
      </c>
      <c r="I2981" s="6" t="str">
        <f ca="1">IFERROR(__xludf.DUMMYFUNCTION("""COMPUTED_VALUE"""),"01004892140")</f>
        <v>01004892140</v>
      </c>
      <c r="J2981" s="6"/>
      <c r="K2981" s="6" t="str">
        <f ca="1">IFERROR(__xludf.DUMMYFUNCTION("""COMPUTED_VALUE"""),"خصم 25% علي الأسعار النقدي المعلنة")</f>
        <v>خصم 25% علي الأسعار النقدي المعلنة</v>
      </c>
    </row>
    <row r="2982" spans="1:11" x14ac:dyDescent="0.25">
      <c r="A2982" s="4" t="str">
        <f ca="1">IFERROR(__xludf.DUMMYFUNCTION("""COMPUTED_VALUE"""),"107292")</f>
        <v>107292</v>
      </c>
      <c r="B2982" s="5" t="str">
        <f ca="1">IFERROR(__xludf.DUMMYFUNCTION("""COMPUTED_VALUE"""),"الشرقية")</f>
        <v>الشرقية</v>
      </c>
      <c r="C2982" s="5" t="str">
        <f ca="1">IFERROR(__xludf.DUMMYFUNCTION("""COMPUTED_VALUE"""),"العاشر من رمضان")</f>
        <v>العاشر من رمضان</v>
      </c>
      <c r="D2982" s="5" t="str">
        <f ca="1">IFERROR(__xludf.DUMMYFUNCTION("""COMPUTED_VALUE"""),"مركز أشعة")</f>
        <v>مركز أشعة</v>
      </c>
      <c r="E2982" s="5" t="str">
        <f ca="1">IFERROR(__xludf.DUMMYFUNCTION("""COMPUTED_VALUE"""),"مركز أشعة")</f>
        <v>مركز أشعة</v>
      </c>
      <c r="F2982" s="5" t="str">
        <f ca="1">IFERROR(__xludf.DUMMYFUNCTION("""COMPUTED_VALUE"""),"أشعة تشخيصية")</f>
        <v>أشعة تشخيصية</v>
      </c>
      <c r="G2982" s="5" t="str">
        <f ca="1">IFERROR(__xludf.DUMMYFUNCTION("""COMPUTED_VALUE"""),"ايجي سكان للاشعه التشخيصية و العيادات المتخصصة")</f>
        <v>ايجي سكان للاشعه التشخيصية و العيادات المتخصصة</v>
      </c>
      <c r="H2982" s="5" t="str">
        <f ca="1">IFERROR(__xludf.DUMMYFUNCTION("""COMPUTED_VALUE"""),"مول الدوحة مدخل ب البدروم - العاشر من رمضان - الشرقيه")</f>
        <v>مول الدوحة مدخل ب البدروم - العاشر من رمضان - الشرقيه</v>
      </c>
      <c r="I2982" s="6" t="str">
        <f ca="1">IFERROR(__xludf.DUMMYFUNCTION("""COMPUTED_VALUE"""),"0554350251")</f>
        <v>0554350251</v>
      </c>
      <c r="J2982" s="6"/>
      <c r="K2982" s="6" t="str">
        <f ca="1">IFERROR(__xludf.DUMMYFUNCTION("""COMPUTED_VALUE"""),"خصم 20% علي الأسعار النقدي المعلنة")</f>
        <v>خصم 20% علي الأسعار النقدي المعلنة</v>
      </c>
    </row>
    <row r="2983" spans="1:11" x14ac:dyDescent="0.25">
      <c r="A2983" s="4" t="str">
        <f ca="1">IFERROR(__xludf.DUMMYFUNCTION("""COMPUTED_VALUE"""),"105945-B")</f>
        <v>105945-B</v>
      </c>
      <c r="B2983" s="5" t="str">
        <f ca="1">IFERROR(__xludf.DUMMYFUNCTION("""COMPUTED_VALUE"""),"الجيزة")</f>
        <v>الجيزة</v>
      </c>
      <c r="C2983" s="5" t="str">
        <f ca="1">IFERROR(__xludf.DUMMYFUNCTION("""COMPUTED_VALUE"""),"الشيخ زايد")</f>
        <v>الشيخ زايد</v>
      </c>
      <c r="D2983" s="5" t="str">
        <f ca="1">IFERROR(__xludf.DUMMYFUNCTION("""COMPUTED_VALUE"""),"مجمع عيادات")</f>
        <v>مجمع عيادات</v>
      </c>
      <c r="E2983" s="5" t="str">
        <f ca="1">IFERROR(__xludf.DUMMYFUNCTION("""COMPUTED_VALUE"""),"جميع التخصصات")</f>
        <v>جميع التخصصات</v>
      </c>
      <c r="F2983" s="5" t="str">
        <f ca="1">IFERROR(__xludf.DUMMYFUNCTION("""COMPUTED_VALUE"""),"جميع التخصصات الطبية")</f>
        <v>جميع التخصصات الطبية</v>
      </c>
      <c r="G2983" s="5" t="str">
        <f ca="1">IFERROR(__xludf.DUMMYFUNCTION("""COMPUTED_VALUE"""),"د/ شريف عبداللاه محمود نصيب ( عيادات نصيب التخصصيه )")</f>
        <v>د/ شريف عبداللاه محمود نصيب ( عيادات نصيب التخصصيه )</v>
      </c>
      <c r="H2983" s="5" t="str">
        <f ca="1">IFERROR(__xludf.DUMMYFUNCTION("""COMPUTED_VALUE"""),"العقار رقم 13 خدمات بيفرلي هيلز الشيخ زايد")</f>
        <v>العقار رقم 13 خدمات بيفرلي هيلز الشيخ زايد</v>
      </c>
      <c r="I2983" s="6" t="str">
        <f ca="1">IFERROR(__xludf.DUMMYFUNCTION("""COMPUTED_VALUE"""),"38361177")</f>
        <v>38361177</v>
      </c>
      <c r="J2983" s="6"/>
      <c r="K2983" s="6" t="str">
        <f ca="1">IFERROR(__xludf.DUMMYFUNCTION("""COMPUTED_VALUE"""),"خصم 40% علي الأسعار النقدي المعلنه")</f>
        <v>خصم 40% علي الأسعار النقدي المعلنه</v>
      </c>
    </row>
    <row r="2984" spans="1:11" x14ac:dyDescent="0.25">
      <c r="A2984" s="4" t="str">
        <f ca="1">IFERROR(__xludf.DUMMYFUNCTION("""COMPUTED_VALUE"""),"107298")</f>
        <v>107298</v>
      </c>
      <c r="B2984" s="5" t="str">
        <f ca="1">IFERROR(__xludf.DUMMYFUNCTION("""COMPUTED_VALUE"""),"الدقهلية")</f>
        <v>الدقهلية</v>
      </c>
      <c r="C2984" s="5" t="str">
        <f ca="1">IFERROR(__xludf.DUMMYFUNCTION("""COMPUTED_VALUE"""),"ميت غمر")</f>
        <v>ميت غمر</v>
      </c>
      <c r="D2984" s="5" t="str">
        <f ca="1">IFERROR(__xludf.DUMMYFUNCTION("""COMPUTED_VALUE"""),"صيدلية")</f>
        <v>صيدلية</v>
      </c>
      <c r="E2984" s="5" t="str">
        <f ca="1">IFERROR(__xludf.DUMMYFUNCTION("""COMPUTED_VALUE"""),"صيدلية")</f>
        <v>صيدلية</v>
      </c>
      <c r="F2984" s="5" t="str">
        <f ca="1">IFERROR(__xludf.DUMMYFUNCTION("""COMPUTED_VALUE"""),"صيدلية (أدوية ومستلزمات طبية)")</f>
        <v>صيدلية (أدوية ومستلزمات طبية)</v>
      </c>
      <c r="G2984" s="5" t="str">
        <f ca="1">IFERROR(__xludf.DUMMYFUNCTION("""COMPUTED_VALUE"""),"صيدلية د/ محمد محمود عبدالقادر علي عبدالرازق")</f>
        <v>صيدلية د/ محمد محمود عبدالقادر علي عبدالرازق</v>
      </c>
      <c r="H2984" s="5" t="str">
        <f ca="1">IFERROR(__xludf.DUMMYFUNCTION("""COMPUTED_VALUE"""),"شارع الحرية ميدان السيف - ميت غمر - الدقهلية")</f>
        <v>شارع الحرية ميدان السيف - ميت غمر - الدقهلية</v>
      </c>
      <c r="I2984" s="6" t="str">
        <f ca="1">IFERROR(__xludf.DUMMYFUNCTION("""COMPUTED_VALUE"""),"01101417197")</f>
        <v>01101417197</v>
      </c>
      <c r="J2984" s="6"/>
      <c r="K2984" s="6" t="str">
        <f ca="1">IFERROR(__xludf.DUMMYFUNCTION("""COMPUTED_VALUE"""),"15 % على المحلى ,7% على المستورد")</f>
        <v>15 % على المحلى ,7% على المستورد</v>
      </c>
    </row>
    <row r="2985" spans="1:11" x14ac:dyDescent="0.25">
      <c r="A2985" s="4" t="str">
        <f ca="1">IFERROR(__xludf.DUMMYFUNCTION("""COMPUTED_VALUE"""),"107299")</f>
        <v>107299</v>
      </c>
      <c r="B2985" s="5" t="str">
        <f ca="1">IFERROR(__xludf.DUMMYFUNCTION("""COMPUTED_VALUE"""),"سوهاج")</f>
        <v>سوهاج</v>
      </c>
      <c r="C2985" s="5" t="str">
        <f ca="1">IFERROR(__xludf.DUMMYFUNCTION("""COMPUTED_VALUE"""),"جرجا")</f>
        <v>جرجا</v>
      </c>
      <c r="D2985" s="5" t="str">
        <f ca="1">IFERROR(__xludf.DUMMYFUNCTION("""COMPUTED_VALUE"""),"هيئة الأطباء")</f>
        <v>هيئة الأطباء</v>
      </c>
      <c r="E2985" s="5" t="str">
        <f ca="1">IFERROR(__xludf.DUMMYFUNCTION("""COMPUTED_VALUE"""),"اسنان")</f>
        <v>اسنان</v>
      </c>
      <c r="F2985" s="5" t="str">
        <f ca="1">IFERROR(__xludf.DUMMYFUNCTION("""COMPUTED_VALUE"""),"جراحة الفم والأسنان")</f>
        <v>جراحة الفم والأسنان</v>
      </c>
      <c r="G2985" s="5" t="str">
        <f ca="1">IFERROR(__xludf.DUMMYFUNCTION("""COMPUTED_VALUE"""),"د/ ماجد مختار ابراهيم عبدالله (عيادة المختار للأسنان)")</f>
        <v>د/ ماجد مختار ابراهيم عبدالله (عيادة المختار للأسنان)</v>
      </c>
      <c r="H2985" s="5" t="str">
        <f ca="1">IFERROR(__xludf.DUMMYFUNCTION("""COMPUTED_VALUE"""),"ش الحرية - جرجا - سوهاج")</f>
        <v>ش الحرية - جرجا - سوهاج</v>
      </c>
      <c r="I2985" s="6" t="str">
        <f ca="1">IFERROR(__xludf.DUMMYFUNCTION("""COMPUTED_VALUE"""),"01552774605")</f>
        <v>01552774605</v>
      </c>
      <c r="J2985" s="6"/>
      <c r="K2985" s="6" t="str">
        <f ca="1">IFERROR(__xludf.DUMMYFUNCTION("""COMPUTED_VALUE"""),"خصم 40% علي الأسعار النقدي المعلنه")</f>
        <v>خصم 40% علي الأسعار النقدي المعلنه</v>
      </c>
    </row>
    <row r="2986" spans="1:11" x14ac:dyDescent="0.25">
      <c r="A2986" s="4" t="str">
        <f ca="1">IFERROR(__xludf.DUMMYFUNCTION("""COMPUTED_VALUE"""),"107300")</f>
        <v>107300</v>
      </c>
      <c r="B2986" s="5" t="str">
        <f ca="1">IFERROR(__xludf.DUMMYFUNCTION("""COMPUTED_VALUE"""),"المنوفية")</f>
        <v>المنوفية</v>
      </c>
      <c r="C2986" s="5" t="str">
        <f ca="1">IFERROR(__xludf.DUMMYFUNCTION("""COMPUTED_VALUE"""),"قويسنا")</f>
        <v>قويسنا</v>
      </c>
      <c r="D2986" s="5" t="str">
        <f ca="1">IFERROR(__xludf.DUMMYFUNCTION("""COMPUTED_VALUE"""),"هيئة الأطباء")</f>
        <v>هيئة الأطباء</v>
      </c>
      <c r="E2986" s="5" t="str">
        <f ca="1">IFERROR(__xludf.DUMMYFUNCTION("""COMPUTED_VALUE"""),"أطفال")</f>
        <v>أطفال</v>
      </c>
      <c r="F2986" s="5" t="str">
        <f ca="1">IFERROR(__xludf.DUMMYFUNCTION("""COMPUTED_VALUE"""),"طب أطفال")</f>
        <v>طب أطفال</v>
      </c>
      <c r="G2986" s="5" t="str">
        <f ca="1">IFERROR(__xludf.DUMMYFUNCTION("""COMPUTED_VALUE"""),"د/ أحمد توفيق عبدالعزيز بدر")</f>
        <v>د/ أحمد توفيق عبدالعزيز بدر</v>
      </c>
      <c r="H2986" s="5" t="str">
        <f ca="1">IFERROR(__xludf.DUMMYFUNCTION("""COMPUTED_VALUE"""),"شارع العهد الجديد - برج الروما - قويسنا - المنوفية")</f>
        <v>شارع العهد الجديد - برج الروما - قويسنا - المنوفية</v>
      </c>
      <c r="I2986" s="6" t="str">
        <f ca="1">IFERROR(__xludf.DUMMYFUNCTION("""COMPUTED_VALUE"""),"01024630029")</f>
        <v>01024630029</v>
      </c>
      <c r="J2986" s="6"/>
      <c r="K2986" s="6" t="str">
        <f ca="1">IFERROR(__xludf.DUMMYFUNCTION("""COMPUTED_VALUE"""),"خصم 40% علي الأسعار النقدي المعلنه")</f>
        <v>خصم 40% علي الأسعار النقدي المعلنه</v>
      </c>
    </row>
    <row r="2987" spans="1:11" x14ac:dyDescent="0.25">
      <c r="A2987" s="4" t="str">
        <f ca="1">IFERROR(__xludf.DUMMYFUNCTION("""COMPUTED_VALUE"""),"107302")</f>
        <v>107302</v>
      </c>
      <c r="B2987" s="5" t="str">
        <f ca="1">IFERROR(__xludf.DUMMYFUNCTION("""COMPUTED_VALUE"""),"القليوبية")</f>
        <v>القليوبية</v>
      </c>
      <c r="C2987" s="5" t="str">
        <f ca="1">IFERROR(__xludf.DUMMYFUNCTION("""COMPUTED_VALUE"""),"طوخ")</f>
        <v>طوخ</v>
      </c>
      <c r="D2987" s="5" t="str">
        <f ca="1">IFERROR(__xludf.DUMMYFUNCTION("""COMPUTED_VALUE"""),"صيدلية")</f>
        <v>صيدلية</v>
      </c>
      <c r="E2987" s="5" t="str">
        <f ca="1">IFERROR(__xludf.DUMMYFUNCTION("""COMPUTED_VALUE"""),"صيدلية")</f>
        <v>صيدلية</v>
      </c>
      <c r="F2987" s="5" t="str">
        <f ca="1">IFERROR(__xludf.DUMMYFUNCTION("""COMPUTED_VALUE"""),"صيدلية (أدوية ومستلزمات طبية)")</f>
        <v>صيدلية (أدوية ومستلزمات طبية)</v>
      </c>
      <c r="G2987" s="5" t="str">
        <f ca="1">IFERROR(__xludf.DUMMYFUNCTION("""COMPUTED_VALUE"""),"صيدلية د/ محمد أشرف شفيق ابراهيم سعودي (صيدلية سعودي)")</f>
        <v>صيدلية د/ محمد أشرف شفيق ابراهيم سعودي (صيدلية سعودي)</v>
      </c>
      <c r="H2987" s="5" t="str">
        <f ca="1">IFERROR(__xludf.DUMMYFUNCTION("""COMPUTED_VALUE"""),"5 شارع الحجاز بحري المساكن - طوخ - القليوبية")</f>
        <v>5 شارع الحجاز بحري المساكن - طوخ - القليوبية</v>
      </c>
      <c r="I2987" s="6" t="str">
        <f ca="1">IFERROR(__xludf.DUMMYFUNCTION("""COMPUTED_VALUE"""),"01027035282")</f>
        <v>01027035282</v>
      </c>
      <c r="J2987" s="6"/>
      <c r="K2987" s="6" t="str">
        <f ca="1">IFERROR(__xludf.DUMMYFUNCTION("""COMPUTED_VALUE"""),"15 % على المحلى ,7% على المستورد")</f>
        <v>15 % على المحلى ,7% على المستورد</v>
      </c>
    </row>
    <row r="2988" spans="1:11" x14ac:dyDescent="0.25">
      <c r="A2988" s="4" t="str">
        <f ca="1">IFERROR(__xludf.DUMMYFUNCTION("""COMPUTED_VALUE"""),"107303")</f>
        <v>107303</v>
      </c>
      <c r="B2988" s="5" t="str">
        <f ca="1">IFERROR(__xludf.DUMMYFUNCTION("""COMPUTED_VALUE"""),"الاسكندرية")</f>
        <v>الاسكندرية</v>
      </c>
      <c r="C2988" s="5" t="str">
        <f ca="1">IFERROR(__xludf.DUMMYFUNCTION("""COMPUTED_VALUE"""),"العامرية")</f>
        <v>العامرية</v>
      </c>
      <c r="D2988" s="5" t="str">
        <f ca="1">IFERROR(__xludf.DUMMYFUNCTION("""COMPUTED_VALUE"""),"صيدلية")</f>
        <v>صيدلية</v>
      </c>
      <c r="E2988" s="5" t="str">
        <f ca="1">IFERROR(__xludf.DUMMYFUNCTION("""COMPUTED_VALUE"""),"صيدلية")</f>
        <v>صيدلية</v>
      </c>
      <c r="F2988" s="5" t="str">
        <f ca="1">IFERROR(__xludf.DUMMYFUNCTION("""COMPUTED_VALUE"""),"صيدلية (أدوية ومستلزمات طبية)")</f>
        <v>صيدلية (أدوية ومستلزمات طبية)</v>
      </c>
      <c r="G2988" s="5" t="str">
        <f ca="1">IFERROR(__xludf.DUMMYFUNCTION("""COMPUTED_VALUE"""),"صيدلية مستشفي السعودي الالماني - الاسكندرية")</f>
        <v>صيدلية مستشفي السعودي الالماني - الاسكندرية</v>
      </c>
      <c r="H2988" s="5" t="str">
        <f ca="1">IFERROR(__xludf.DUMMYFUNCTION("""COMPUTED_VALUE"""),"كمبوند اليكس ويست - طريق التعمير الساحل الشمالي، الكيلو 23، الإسكندرية")</f>
        <v>كمبوند اليكس ويست - طريق التعمير الساحل الشمالي، الكيلو 23، الإسكندرية</v>
      </c>
      <c r="I2988" s="6"/>
      <c r="J2988" s="6" t="str">
        <f ca="1">IFERROR(__xludf.DUMMYFUNCTION("""COMPUTED_VALUE"""),"16259")</f>
        <v>16259</v>
      </c>
      <c r="K2988" s="6" t="str">
        <f ca="1">IFERROR(__xludf.DUMMYFUNCTION("""COMPUTED_VALUE"""),"-")</f>
        <v>-</v>
      </c>
    </row>
    <row r="2989" spans="1:11" x14ac:dyDescent="0.25">
      <c r="A2989" s="4" t="str">
        <f ca="1">IFERROR(__xludf.DUMMYFUNCTION("""COMPUTED_VALUE"""),"107301")</f>
        <v>107301</v>
      </c>
      <c r="B2989" s="5" t="str">
        <f ca="1">IFERROR(__xludf.DUMMYFUNCTION("""COMPUTED_VALUE"""),"الاسكندرية")</f>
        <v>الاسكندرية</v>
      </c>
      <c r="C2989" s="5" t="str">
        <f ca="1">IFERROR(__xludf.DUMMYFUNCTION("""COMPUTED_VALUE"""),"الابراهيمية")</f>
        <v>الابراهيمية</v>
      </c>
      <c r="D2989" s="5" t="str">
        <f ca="1">IFERROR(__xludf.DUMMYFUNCTION("""COMPUTED_VALUE"""),"مركز أشعة")</f>
        <v>مركز أشعة</v>
      </c>
      <c r="E2989" s="5" t="str">
        <f ca="1">IFERROR(__xludf.DUMMYFUNCTION("""COMPUTED_VALUE"""),"مركز أشعة")</f>
        <v>مركز أشعة</v>
      </c>
      <c r="F2989" s="5" t="str">
        <f ca="1">IFERROR(__xludf.DUMMYFUNCTION("""COMPUTED_VALUE"""),"أشعة تشخيصية")</f>
        <v>أشعة تشخيصية</v>
      </c>
      <c r="G2989" s="5" t="str">
        <f ca="1">IFERROR(__xludf.DUMMYFUNCTION("""COMPUTED_VALUE"""),"مركز هيلثي سكان للأشعه")</f>
        <v>مركز هيلثي سكان للأشعه</v>
      </c>
      <c r="H2989" s="5" t="str">
        <f ca="1">IFERROR(__xludf.DUMMYFUNCTION("""COMPUTED_VALUE"""),"170-172-174-176 قصر السلاملك طريق الحرية - باب الشرق - الابراهيمية - الاسكندرية")</f>
        <v>170-172-174-176 قصر السلاملك طريق الحرية - باب الشرق - الابراهيمية - الاسكندرية</v>
      </c>
      <c r="I2989" s="6" t="str">
        <f ca="1">IFERROR(__xludf.DUMMYFUNCTION("""COMPUTED_VALUE"""),"35920013")</f>
        <v>35920013</v>
      </c>
      <c r="J2989" s="6"/>
      <c r="K2989" s="6" t="str">
        <f ca="1">IFERROR(__xludf.DUMMYFUNCTION("""COMPUTED_VALUE"""),"خصم 30% علي الأسعار النقدي المعلنة")</f>
        <v>خصم 30% علي الأسعار النقدي المعلنة</v>
      </c>
    </row>
    <row r="2990" spans="1:11" x14ac:dyDescent="0.25">
      <c r="A2990" s="4" t="str">
        <f ca="1">IFERROR(__xludf.DUMMYFUNCTION("""COMPUTED_VALUE"""),"107305")</f>
        <v>107305</v>
      </c>
      <c r="B2990" s="5" t="str">
        <f ca="1">IFERROR(__xludf.DUMMYFUNCTION("""COMPUTED_VALUE"""),"الجيزة")</f>
        <v>الجيزة</v>
      </c>
      <c r="C2990" s="5" t="str">
        <f ca="1">IFERROR(__xludf.DUMMYFUNCTION("""COMPUTED_VALUE"""),"الجيزة")</f>
        <v>الجيزة</v>
      </c>
      <c r="D2990" s="5" t="str">
        <f ca="1">IFERROR(__xludf.DUMMYFUNCTION("""COMPUTED_VALUE"""),"هيئة الأطباء")</f>
        <v>هيئة الأطباء</v>
      </c>
      <c r="E2990" s="5" t="str">
        <f ca="1">IFERROR(__xludf.DUMMYFUNCTION("""COMPUTED_VALUE"""),"اسنان")</f>
        <v>اسنان</v>
      </c>
      <c r="F2990" s="5" t="str">
        <f ca="1">IFERROR(__xludf.DUMMYFUNCTION("""COMPUTED_VALUE"""),"جراحة الفم والأسنان")</f>
        <v>جراحة الفم والأسنان</v>
      </c>
      <c r="G2990" s="5" t="str">
        <f ca="1">IFERROR(__xludf.DUMMYFUNCTION("""COMPUTED_VALUE"""),"د/ أحمد حمدي عبده حسنين")</f>
        <v>د/ أحمد حمدي عبده حسنين</v>
      </c>
      <c r="H2990" s="5" t="str">
        <f ca="1">IFERROR(__xludf.DUMMYFUNCTION("""COMPUTED_VALUE"""),"5 شارع مراد - الجيزة")</f>
        <v>5 شارع مراد - الجيزة</v>
      </c>
      <c r="I2990" s="6" t="str">
        <f ca="1">IFERROR(__xludf.DUMMYFUNCTION("""COMPUTED_VALUE"""),"01121350470")</f>
        <v>01121350470</v>
      </c>
      <c r="J2990" s="6"/>
      <c r="K2990" s="6" t="str">
        <f ca="1">IFERROR(__xludf.DUMMYFUNCTION("""COMPUTED_VALUE"""),"خصم 40% علي الأسعار النقدي المعلنه")</f>
        <v>خصم 40% علي الأسعار النقدي المعلنه</v>
      </c>
    </row>
    <row r="2991" spans="1:11" x14ac:dyDescent="0.25">
      <c r="A2991" s="4" t="str">
        <f ca="1">IFERROR(__xludf.DUMMYFUNCTION("""COMPUTED_VALUE"""),"107306")</f>
        <v>107306</v>
      </c>
      <c r="B2991" s="5" t="str">
        <f ca="1">IFERROR(__xludf.DUMMYFUNCTION("""COMPUTED_VALUE"""),"القليوبية")</f>
        <v>القليوبية</v>
      </c>
      <c r="C2991" s="5" t="str">
        <f ca="1">IFERROR(__xludf.DUMMYFUNCTION("""COMPUTED_VALUE"""),"القناطر الخيرية")</f>
        <v>القناطر الخيرية</v>
      </c>
      <c r="D2991" s="5" t="str">
        <f ca="1">IFERROR(__xludf.DUMMYFUNCTION("""COMPUTED_VALUE"""),"صيدلية")</f>
        <v>صيدلية</v>
      </c>
      <c r="E2991" s="5" t="str">
        <f ca="1">IFERROR(__xludf.DUMMYFUNCTION("""COMPUTED_VALUE"""),"صيدلية")</f>
        <v>صيدلية</v>
      </c>
      <c r="F2991" s="5" t="str">
        <f ca="1">IFERROR(__xludf.DUMMYFUNCTION("""COMPUTED_VALUE"""),"صيدلية (أدوية ومستلزمات طبية)")</f>
        <v>صيدلية (أدوية ومستلزمات طبية)</v>
      </c>
      <c r="G2991" s="5" t="str">
        <f ca="1">IFERROR(__xludf.DUMMYFUNCTION("""COMPUTED_VALUE"""),"صيدلية د. مختار محمود عبدالحميد احمد")</f>
        <v>صيدلية د. مختار محمود عبدالحميد احمد</v>
      </c>
      <c r="H2991" s="5" t="str">
        <f ca="1">IFERROR(__xludf.DUMMYFUNCTION("""COMPUTED_VALUE"""),"7 ش امتداد المستشفي - التقسيم السياحي - القناطر الخيرية - القليوبية")</f>
        <v>7 ش امتداد المستشفي - التقسيم السياحي - القناطر الخيرية - القليوبية</v>
      </c>
      <c r="I2991" s="6" t="str">
        <f ca="1">IFERROR(__xludf.DUMMYFUNCTION("""COMPUTED_VALUE"""),"01112289925")</f>
        <v>01112289925</v>
      </c>
      <c r="J2991" s="6"/>
      <c r="K2991" s="6" t="str">
        <f ca="1">IFERROR(__xludf.DUMMYFUNCTION("""COMPUTED_VALUE"""),"15 % على المحلى ,8% على المستورد")</f>
        <v>15 % على المحلى ,8% على المستورد</v>
      </c>
    </row>
    <row r="2992" spans="1:11" x14ac:dyDescent="0.25">
      <c r="A2992" s="4" t="str">
        <f ca="1">IFERROR(__xludf.DUMMYFUNCTION("""COMPUTED_VALUE"""),"107307")</f>
        <v>107307</v>
      </c>
      <c r="B2992" s="5" t="str">
        <f ca="1">IFERROR(__xludf.DUMMYFUNCTION("""COMPUTED_VALUE"""),"البحيرة")</f>
        <v>البحيرة</v>
      </c>
      <c r="C2992" s="5" t="str">
        <f ca="1">IFERROR(__xludf.DUMMYFUNCTION("""COMPUTED_VALUE"""),"كفر الدوار")</f>
        <v>كفر الدوار</v>
      </c>
      <c r="D2992" s="5" t="str">
        <f ca="1">IFERROR(__xludf.DUMMYFUNCTION("""COMPUTED_VALUE"""),"مجمع عيادات")</f>
        <v>مجمع عيادات</v>
      </c>
      <c r="E2992" s="5" t="str">
        <f ca="1">IFERROR(__xludf.DUMMYFUNCTION("""COMPUTED_VALUE"""),"جميع التخصصات")</f>
        <v>جميع التخصصات</v>
      </c>
      <c r="F2992" s="5" t="str">
        <f ca="1">IFERROR(__xludf.DUMMYFUNCTION("""COMPUTED_VALUE"""),"جميع التخصصات الطبية")</f>
        <v>جميع التخصصات الطبية</v>
      </c>
      <c r="G2992" s="5" t="str">
        <f ca="1">IFERROR(__xludf.DUMMYFUNCTION("""COMPUTED_VALUE"""),"شركة جمال المشد للخدمات الطبية (عيادات الصفا التخصصية)")</f>
        <v>شركة جمال المشد للخدمات الطبية (عيادات الصفا التخصصية)</v>
      </c>
      <c r="H2992" s="5" t="str">
        <f ca="1">IFERROR(__xludf.DUMMYFUNCTION("""COMPUTED_VALUE"""),"ش مدخل كفر الدوار برج كافيتريا العمدة الدور الاول - كفرالدوار - البحيرة")</f>
        <v>ش مدخل كفر الدوار برج كافيتريا العمدة الدور الاول - كفرالدوار - البحيرة</v>
      </c>
      <c r="I2992" s="6" t="str">
        <f ca="1">IFERROR(__xludf.DUMMYFUNCTION("""COMPUTED_VALUE"""),"01220022196")</f>
        <v>01220022196</v>
      </c>
      <c r="J2992" s="6"/>
      <c r="K2992" s="6" t="str">
        <f ca="1">IFERROR(__xludf.DUMMYFUNCTION("""COMPUTED_VALUE"""),"خصم 20% علي الأسعار النقدي المعلنة")</f>
        <v>خصم 20% علي الأسعار النقدي المعلنة</v>
      </c>
    </row>
    <row r="2993" spans="1:11" x14ac:dyDescent="0.25">
      <c r="A2993" s="4" t="str">
        <f ca="1">IFERROR(__xludf.DUMMYFUNCTION("""COMPUTED_VALUE"""),"107308")</f>
        <v>107308</v>
      </c>
      <c r="B2993" s="5" t="str">
        <f ca="1">IFERROR(__xludf.DUMMYFUNCTION("""COMPUTED_VALUE"""),"الشرقية")</f>
        <v>الشرقية</v>
      </c>
      <c r="C2993" s="5" t="str">
        <f ca="1">IFERROR(__xludf.DUMMYFUNCTION("""COMPUTED_VALUE"""),"الزقازيق")</f>
        <v>الزقازيق</v>
      </c>
      <c r="D2993" s="5" t="str">
        <f ca="1">IFERROR(__xludf.DUMMYFUNCTION("""COMPUTED_VALUE"""),"مركز علاج طبيعي")</f>
        <v>مركز علاج طبيعي</v>
      </c>
      <c r="E2993" s="5" t="str">
        <f ca="1">IFERROR(__xludf.DUMMYFUNCTION("""COMPUTED_VALUE"""),"علاج طبيعي")</f>
        <v>علاج طبيعي</v>
      </c>
      <c r="F2993" s="5" t="str">
        <f ca="1">IFERROR(__xludf.DUMMYFUNCTION("""COMPUTED_VALUE"""),"جلسات العلاج الطبيعي")</f>
        <v>جلسات العلاج الطبيعي</v>
      </c>
      <c r="G2993" s="5" t="str">
        <f ca="1">IFERROR(__xludf.DUMMYFUNCTION("""COMPUTED_VALUE"""),"مركز الهدي للعلاج الطبيعي (د. أحمد عادل علي)")</f>
        <v>مركز الهدي للعلاج الطبيعي (د. أحمد عادل علي)</v>
      </c>
      <c r="H2993" s="5" t="str">
        <f ca="1">IFERROR(__xludf.DUMMYFUNCTION("""COMPUTED_VALUE"""),"الزقازيق مفارق المنصورة امام مطعم رزق")</f>
        <v>الزقازيق مفارق المنصورة امام مطعم رزق</v>
      </c>
      <c r="I2993" s="6" t="str">
        <f ca="1">IFERROR(__xludf.DUMMYFUNCTION("""COMPUTED_VALUE"""),"01010218349")</f>
        <v>01010218349</v>
      </c>
      <c r="J2993" s="6"/>
      <c r="K2993" s="6" t="str">
        <f ca="1">IFERROR(__xludf.DUMMYFUNCTION("""COMPUTED_VALUE"""),"خصم 40% علي الأسعار النقدي المعلنه")</f>
        <v>خصم 40% علي الأسعار النقدي المعلنه</v>
      </c>
    </row>
    <row r="2994" spans="1:11" x14ac:dyDescent="0.25">
      <c r="A2994" s="4" t="str">
        <f ca="1">IFERROR(__xludf.DUMMYFUNCTION("""COMPUTED_VALUE"""),"107308-B")</f>
        <v>107308-B</v>
      </c>
      <c r="B2994" s="5" t="str">
        <f ca="1">IFERROR(__xludf.DUMMYFUNCTION("""COMPUTED_VALUE"""),"الشرقية")</f>
        <v>الشرقية</v>
      </c>
      <c r="C2994" s="5" t="str">
        <f ca="1">IFERROR(__xludf.DUMMYFUNCTION("""COMPUTED_VALUE"""),"منيا القمح")</f>
        <v>منيا القمح</v>
      </c>
      <c r="D2994" s="5" t="str">
        <f ca="1">IFERROR(__xludf.DUMMYFUNCTION("""COMPUTED_VALUE"""),"مركز علاج طبيعي")</f>
        <v>مركز علاج طبيعي</v>
      </c>
      <c r="E2994" s="5" t="str">
        <f ca="1">IFERROR(__xludf.DUMMYFUNCTION("""COMPUTED_VALUE"""),"علاج طبيعي")</f>
        <v>علاج طبيعي</v>
      </c>
      <c r="F2994" s="5" t="str">
        <f ca="1">IFERROR(__xludf.DUMMYFUNCTION("""COMPUTED_VALUE"""),"جلسات العلاج الطبيعي")</f>
        <v>جلسات العلاج الطبيعي</v>
      </c>
      <c r="G2994" s="5" t="str">
        <f ca="1">IFERROR(__xludf.DUMMYFUNCTION("""COMPUTED_VALUE"""),"مركز الهدي للعلاج الطبيعي (د. أحمد عادل علي)")</f>
        <v>مركز الهدي للعلاج الطبيعي (د. أحمد عادل علي)</v>
      </c>
      <c r="H2994" s="5" t="str">
        <f ca="1">IFERROR(__xludf.DUMMYFUNCTION("""COMPUTED_VALUE"""),"شارع سعد زغلول بالقرب من مستشفى سلامات د/محمد زهران")</f>
        <v>شارع سعد زغلول بالقرب من مستشفى سلامات د/محمد زهران</v>
      </c>
      <c r="I2994" s="6" t="str">
        <f ca="1">IFERROR(__xludf.DUMMYFUNCTION("""COMPUTED_VALUE"""),"01060709998")</f>
        <v>01060709998</v>
      </c>
      <c r="J2994" s="6"/>
      <c r="K2994" s="6" t="str">
        <f ca="1">IFERROR(__xludf.DUMMYFUNCTION("""COMPUTED_VALUE"""),"خصم 40% علي الأسعار النقدي المعلنه")</f>
        <v>خصم 40% علي الأسعار النقدي المعلنه</v>
      </c>
    </row>
    <row r="2995" spans="1:11" x14ac:dyDescent="0.25">
      <c r="A2995" s="4" t="str">
        <f ca="1">IFERROR(__xludf.DUMMYFUNCTION("""COMPUTED_VALUE"""),"107308-B")</f>
        <v>107308-B</v>
      </c>
      <c r="B2995" s="5" t="str">
        <f ca="1">IFERROR(__xludf.DUMMYFUNCTION("""COMPUTED_VALUE"""),"الشرقية")</f>
        <v>الشرقية</v>
      </c>
      <c r="C2995" s="5" t="str">
        <f ca="1">IFERROR(__xludf.DUMMYFUNCTION("""COMPUTED_VALUE"""),"العاشر من رمضان")</f>
        <v>العاشر من رمضان</v>
      </c>
      <c r="D2995" s="5" t="str">
        <f ca="1">IFERROR(__xludf.DUMMYFUNCTION("""COMPUTED_VALUE"""),"مركز علاج طبيعي")</f>
        <v>مركز علاج طبيعي</v>
      </c>
      <c r="E2995" s="5" t="str">
        <f ca="1">IFERROR(__xludf.DUMMYFUNCTION("""COMPUTED_VALUE"""),"علاج طبيعي")</f>
        <v>علاج طبيعي</v>
      </c>
      <c r="F2995" s="5" t="str">
        <f ca="1">IFERROR(__xludf.DUMMYFUNCTION("""COMPUTED_VALUE"""),"جلسات العلاج الطبيعي")</f>
        <v>جلسات العلاج الطبيعي</v>
      </c>
      <c r="G2995" s="5" t="str">
        <f ca="1">IFERROR(__xludf.DUMMYFUNCTION("""COMPUTED_VALUE"""),"مركز الهدي للعلاج الطبيعي (د. أحمد عادل علي)")</f>
        <v>مركز الهدي للعلاج الطبيعي (د. أحمد عادل علي)</v>
      </c>
      <c r="H2995" s="5" t="str">
        <f ca="1">IFERROR(__xludf.DUMMYFUNCTION("""COMPUTED_VALUE"""),"منطقه الاردنيه - مول سينكو ٢٠٠٠ - أعلى تكنوسكان للاشعه خلف مكتبه الأسكندريه")</f>
        <v>منطقه الاردنيه - مول سينكو ٢٠٠٠ - أعلى تكنوسكان للاشعه خلف مكتبه الأسكندريه</v>
      </c>
      <c r="I2995" s="6" t="str">
        <f ca="1">IFERROR(__xludf.DUMMYFUNCTION("""COMPUTED_VALUE"""),"01066088070")</f>
        <v>01066088070</v>
      </c>
      <c r="J2995" s="6"/>
      <c r="K2995" s="6" t="str">
        <f ca="1">IFERROR(__xludf.DUMMYFUNCTION("""COMPUTED_VALUE"""),"خصم 40% علي الأسعار النقدي المعلنه")</f>
        <v>خصم 40% علي الأسعار النقدي المعلنه</v>
      </c>
    </row>
    <row r="2996" spans="1:11" x14ac:dyDescent="0.25">
      <c r="A2996" s="4" t="str">
        <f ca="1">IFERROR(__xludf.DUMMYFUNCTION("""COMPUTED_VALUE"""),"107308-B")</f>
        <v>107308-B</v>
      </c>
      <c r="B2996" s="5" t="str">
        <f ca="1">IFERROR(__xludf.DUMMYFUNCTION("""COMPUTED_VALUE"""),"الشرقية")</f>
        <v>الشرقية</v>
      </c>
      <c r="C2996" s="5" t="str">
        <f ca="1">IFERROR(__xludf.DUMMYFUNCTION("""COMPUTED_VALUE"""),"أبو حماد")</f>
        <v>أبو حماد</v>
      </c>
      <c r="D2996" s="5" t="str">
        <f ca="1">IFERROR(__xludf.DUMMYFUNCTION("""COMPUTED_VALUE"""),"مركز علاج طبيعي")</f>
        <v>مركز علاج طبيعي</v>
      </c>
      <c r="E2996" s="5" t="str">
        <f ca="1">IFERROR(__xludf.DUMMYFUNCTION("""COMPUTED_VALUE"""),"علاج طبيعي")</f>
        <v>علاج طبيعي</v>
      </c>
      <c r="F2996" s="5" t="str">
        <f ca="1">IFERROR(__xludf.DUMMYFUNCTION("""COMPUTED_VALUE"""),"جلسات العلاج الطبيعي")</f>
        <v>جلسات العلاج الطبيعي</v>
      </c>
      <c r="G2996" s="5" t="str">
        <f ca="1">IFERROR(__xludf.DUMMYFUNCTION("""COMPUTED_VALUE"""),"مركز الهدي للعلاج الطبيعي (د. أحمد عادل علي)")</f>
        <v>مركز الهدي للعلاج الطبيعي (د. أحمد عادل علي)</v>
      </c>
      <c r="H2996" s="5" t="str">
        <f ca="1">IFERROR(__xludf.DUMMYFUNCTION("""COMPUTED_VALUE"""),"مركز نورين الطبى الجيش كفر العزازى ابوحماد")</f>
        <v>مركز نورين الطبى الجيش كفر العزازى ابوحماد</v>
      </c>
      <c r="I2996" s="6" t="str">
        <f ca="1">IFERROR(__xludf.DUMMYFUNCTION("""COMPUTED_VALUE"""),"01040622775")</f>
        <v>01040622775</v>
      </c>
      <c r="J2996" s="6"/>
      <c r="K2996" s="6" t="str">
        <f ca="1">IFERROR(__xludf.DUMMYFUNCTION("""COMPUTED_VALUE"""),"خصم 40% علي الأسعار النقدي المعلنه")</f>
        <v>خصم 40% علي الأسعار النقدي المعلنه</v>
      </c>
    </row>
    <row r="2997" spans="1:11" x14ac:dyDescent="0.25">
      <c r="A2997" s="4" t="str">
        <f ca="1">IFERROR(__xludf.DUMMYFUNCTION("""COMPUTED_VALUE"""),"107308-B")</f>
        <v>107308-B</v>
      </c>
      <c r="B2997" s="5" t="str">
        <f ca="1">IFERROR(__xludf.DUMMYFUNCTION("""COMPUTED_VALUE"""),"الشرقية")</f>
        <v>الشرقية</v>
      </c>
      <c r="C2997" s="5" t="str">
        <f ca="1">IFERROR(__xludf.DUMMYFUNCTION("""COMPUTED_VALUE"""),"ديرب نجم")</f>
        <v>ديرب نجم</v>
      </c>
      <c r="D2997" s="5" t="str">
        <f ca="1">IFERROR(__xludf.DUMMYFUNCTION("""COMPUTED_VALUE"""),"مركز علاج طبيعي")</f>
        <v>مركز علاج طبيعي</v>
      </c>
      <c r="E2997" s="5" t="str">
        <f ca="1">IFERROR(__xludf.DUMMYFUNCTION("""COMPUTED_VALUE"""),"علاج طبيعي")</f>
        <v>علاج طبيعي</v>
      </c>
      <c r="F2997" s="5" t="str">
        <f ca="1">IFERROR(__xludf.DUMMYFUNCTION("""COMPUTED_VALUE"""),"جلسات العلاج الطبيعي")</f>
        <v>جلسات العلاج الطبيعي</v>
      </c>
      <c r="G2997" s="5" t="str">
        <f ca="1">IFERROR(__xludf.DUMMYFUNCTION("""COMPUTED_VALUE"""),"مركز الهدي للعلاج الطبيعي (د. أحمد عادل علي)")</f>
        <v>مركز الهدي للعلاج الطبيعي (د. أحمد عادل علي)</v>
      </c>
      <c r="H2997" s="5" t="str">
        <f ca="1">IFERROR(__xludf.DUMMYFUNCTION("""COMPUTED_VALUE"""),"دكتور أسامة الهيدبى ديرب نجم -شارع النصر امام مسجد الادارة الزراعية بجوار البنك الاهلى")</f>
        <v>دكتور أسامة الهيدبى ديرب نجم -شارع النصر امام مسجد الادارة الزراعية بجوار البنك الاهلى</v>
      </c>
      <c r="I2997" s="6" t="str">
        <f ca="1">IFERROR(__xludf.DUMMYFUNCTION("""COMPUTED_VALUE"""),"01012152265")</f>
        <v>01012152265</v>
      </c>
      <c r="J2997" s="6"/>
      <c r="K2997" s="6" t="str">
        <f ca="1">IFERROR(__xludf.DUMMYFUNCTION("""COMPUTED_VALUE"""),"خصم 40% علي الأسعار النقدي المعلنه")</f>
        <v>خصم 40% علي الأسعار النقدي المعلنه</v>
      </c>
    </row>
    <row r="2998" spans="1:11" x14ac:dyDescent="0.25">
      <c r="A2998" s="4" t="str">
        <f ca="1">IFERROR(__xludf.DUMMYFUNCTION("""COMPUTED_VALUE"""),"107308-B")</f>
        <v>107308-B</v>
      </c>
      <c r="B2998" s="5" t="str">
        <f ca="1">IFERROR(__xludf.DUMMYFUNCTION("""COMPUTED_VALUE"""),"الشرقية")</f>
        <v>الشرقية</v>
      </c>
      <c r="C2998" s="5" t="str">
        <f ca="1">IFERROR(__xludf.DUMMYFUNCTION("""COMPUTED_VALUE"""),"منيا القمح")</f>
        <v>منيا القمح</v>
      </c>
      <c r="D2998" s="5" t="str">
        <f ca="1">IFERROR(__xludf.DUMMYFUNCTION("""COMPUTED_VALUE"""),"مركز علاج طبيعي")</f>
        <v>مركز علاج طبيعي</v>
      </c>
      <c r="E2998" s="5" t="str">
        <f ca="1">IFERROR(__xludf.DUMMYFUNCTION("""COMPUTED_VALUE"""),"علاج طبيعي")</f>
        <v>علاج طبيعي</v>
      </c>
      <c r="F2998" s="5" t="str">
        <f ca="1">IFERROR(__xludf.DUMMYFUNCTION("""COMPUTED_VALUE"""),"جلسات العلاج الطبيعي")</f>
        <v>جلسات العلاج الطبيعي</v>
      </c>
      <c r="G2998" s="5" t="str">
        <f ca="1">IFERROR(__xludf.DUMMYFUNCTION("""COMPUTED_VALUE"""),"مركز الهدي للعلاج الطبيعي (د. أحمد عادل علي)")</f>
        <v>مركز الهدي للعلاج الطبيعي (د. أحمد عادل علي)</v>
      </c>
      <c r="H2998" s="5" t="str">
        <f ca="1">IFERROR(__xludf.DUMMYFUNCTION("""COMPUTED_VALUE"""),"مركز الندى منيا القمح امام موقف بنها ومحطه القطر اعلى ابوالقاسم للادوات المنزلية")</f>
        <v>مركز الندى منيا القمح امام موقف بنها ومحطه القطر اعلى ابوالقاسم للادوات المنزلية</v>
      </c>
      <c r="I2998" s="6" t="str">
        <f ca="1">IFERROR(__xludf.DUMMYFUNCTION("""COMPUTED_VALUE"""),"01150257520")</f>
        <v>01150257520</v>
      </c>
      <c r="J2998" s="6"/>
      <c r="K2998" s="6" t="str">
        <f ca="1">IFERROR(__xludf.DUMMYFUNCTION("""COMPUTED_VALUE"""),"خصم 40% علي الأسعار النقدي المعلنه")</f>
        <v>خصم 40% علي الأسعار النقدي المعلنه</v>
      </c>
    </row>
    <row r="2999" spans="1:11" x14ac:dyDescent="0.25">
      <c r="A2999" s="4" t="str">
        <f ca="1">IFERROR(__xludf.DUMMYFUNCTION("""COMPUTED_VALUE"""),"107308-B")</f>
        <v>107308-B</v>
      </c>
      <c r="B2999" s="5" t="str">
        <f ca="1">IFERROR(__xludf.DUMMYFUNCTION("""COMPUTED_VALUE"""),"الإسماعيلية")</f>
        <v>الإسماعيلية</v>
      </c>
      <c r="C2999" s="5" t="str">
        <f ca="1">IFERROR(__xludf.DUMMYFUNCTION("""COMPUTED_VALUE"""),"الإسماعيلية")</f>
        <v>الإسماعيلية</v>
      </c>
      <c r="D2999" s="5" t="str">
        <f ca="1">IFERROR(__xludf.DUMMYFUNCTION("""COMPUTED_VALUE"""),"مركز علاج طبيعي")</f>
        <v>مركز علاج طبيعي</v>
      </c>
      <c r="E2999" s="5" t="str">
        <f ca="1">IFERROR(__xludf.DUMMYFUNCTION("""COMPUTED_VALUE"""),"علاج طبيعي")</f>
        <v>علاج طبيعي</v>
      </c>
      <c r="F2999" s="5" t="str">
        <f ca="1">IFERROR(__xludf.DUMMYFUNCTION("""COMPUTED_VALUE"""),"جلسات العلاج الطبيعي")</f>
        <v>جلسات العلاج الطبيعي</v>
      </c>
      <c r="G2999" s="5" t="str">
        <f ca="1">IFERROR(__xludf.DUMMYFUNCTION("""COMPUTED_VALUE"""),"مركز الهدي للعلاج الطبيعي (د. أحمد عادل علي)")</f>
        <v>مركز الهدي للعلاج الطبيعي (د. أحمد عادل علي)</v>
      </c>
      <c r="H2999" s="5" t="str">
        <f ca="1">IFERROR(__xludf.DUMMYFUNCTION("""COMPUTED_VALUE"""),"شارع النخيل - اعلي شركة اريمكس - بجوار مدرسة الطائق")</f>
        <v>شارع النخيل - اعلي شركة اريمكس - بجوار مدرسة الطائق</v>
      </c>
      <c r="I2999" s="6" t="str">
        <f ca="1">IFERROR(__xludf.DUMMYFUNCTION("""COMPUTED_VALUE"""),"01065591010")</f>
        <v>01065591010</v>
      </c>
      <c r="J2999" s="6"/>
      <c r="K2999" s="6" t="str">
        <f ca="1">IFERROR(__xludf.DUMMYFUNCTION("""COMPUTED_VALUE"""),"خصم 40% علي الأسعار النقدي المعلنه")</f>
        <v>خصم 40% علي الأسعار النقدي المعلنه</v>
      </c>
    </row>
    <row r="3000" spans="1:11" x14ac:dyDescent="0.25">
      <c r="A3000" s="4" t="str">
        <f ca="1">IFERROR(__xludf.DUMMYFUNCTION("""COMPUTED_VALUE"""),"107308-B")</f>
        <v>107308-B</v>
      </c>
      <c r="B3000" s="5" t="str">
        <f ca="1">IFERROR(__xludf.DUMMYFUNCTION("""COMPUTED_VALUE"""),"القاهرة")</f>
        <v>القاهرة</v>
      </c>
      <c r="C3000" s="5" t="str">
        <f ca="1">IFERROR(__xludf.DUMMYFUNCTION("""COMPUTED_VALUE"""),"العباسية")</f>
        <v>العباسية</v>
      </c>
      <c r="D3000" s="5" t="str">
        <f ca="1">IFERROR(__xludf.DUMMYFUNCTION("""COMPUTED_VALUE"""),"مركز علاج طبيعي")</f>
        <v>مركز علاج طبيعي</v>
      </c>
      <c r="E3000" s="5" t="str">
        <f ca="1">IFERROR(__xludf.DUMMYFUNCTION("""COMPUTED_VALUE"""),"علاج طبيعي")</f>
        <v>علاج طبيعي</v>
      </c>
      <c r="F3000" s="5" t="str">
        <f ca="1">IFERROR(__xludf.DUMMYFUNCTION("""COMPUTED_VALUE"""),"جلسات العلاج الطبيعي")</f>
        <v>جلسات العلاج الطبيعي</v>
      </c>
      <c r="G3000" s="5" t="str">
        <f ca="1">IFERROR(__xludf.DUMMYFUNCTION("""COMPUTED_VALUE"""),"مركز الهدي للعلاج الطبيعي (د. أحمد عادل علي)")</f>
        <v>مركز الهدي للعلاج الطبيعي (د. أحمد عادل علي)</v>
      </c>
      <c r="H3000" s="5" t="str">
        <f ca="1">IFERROR(__xludf.DUMMYFUNCTION("""COMPUTED_VALUE"""),"5ش العباسية ميدان الظاهر بيبرس بجوار مترو الجيش")</f>
        <v>5ش العباسية ميدان الظاهر بيبرس بجوار مترو الجيش</v>
      </c>
      <c r="I3000" s="6" t="str">
        <f ca="1">IFERROR(__xludf.DUMMYFUNCTION("""COMPUTED_VALUE"""),"01008747920")</f>
        <v>01008747920</v>
      </c>
      <c r="J3000" s="6"/>
      <c r="K3000" s="6" t="str">
        <f ca="1">IFERROR(__xludf.DUMMYFUNCTION("""COMPUTED_VALUE"""),"خصم 40% علي الأسعار النقدي المعلنه")</f>
        <v>خصم 40% علي الأسعار النقدي المعلنه</v>
      </c>
    </row>
    <row r="3001" spans="1:11" x14ac:dyDescent="0.25">
      <c r="A3001" s="4" t="str">
        <f ca="1">IFERROR(__xludf.DUMMYFUNCTION("""COMPUTED_VALUE"""),"107308-B")</f>
        <v>107308-B</v>
      </c>
      <c r="B3001" s="5" t="str">
        <f ca="1">IFERROR(__xludf.DUMMYFUNCTION("""COMPUTED_VALUE"""),"البحيرة")</f>
        <v>البحيرة</v>
      </c>
      <c r="C3001" s="5" t="str">
        <f ca="1">IFERROR(__xludf.DUMMYFUNCTION("""COMPUTED_VALUE"""),"ايتاي البارود")</f>
        <v>ايتاي البارود</v>
      </c>
      <c r="D3001" s="5" t="str">
        <f ca="1">IFERROR(__xludf.DUMMYFUNCTION("""COMPUTED_VALUE"""),"مركز علاج طبيعي")</f>
        <v>مركز علاج طبيعي</v>
      </c>
      <c r="E3001" s="5" t="str">
        <f ca="1">IFERROR(__xludf.DUMMYFUNCTION("""COMPUTED_VALUE"""),"علاج طبيعي")</f>
        <v>علاج طبيعي</v>
      </c>
      <c r="F3001" s="5" t="str">
        <f ca="1">IFERROR(__xludf.DUMMYFUNCTION("""COMPUTED_VALUE"""),"جلسات العلاج الطبيعي")</f>
        <v>جلسات العلاج الطبيعي</v>
      </c>
      <c r="G3001" s="5" t="str">
        <f ca="1">IFERROR(__xludf.DUMMYFUNCTION("""COMPUTED_VALUE"""),"مركز الهدي للعلاج الطبيعي (د. أحمد عادل علي)")</f>
        <v>مركز الهدي للعلاج الطبيعي (د. أحمد عادل علي)</v>
      </c>
      <c r="H3001" s="5" t="str">
        <f ca="1">IFERROR(__xludf.DUMMYFUNCTION("""COMPUTED_VALUE"""),"ايتاى البارود اول طريق امليط امام المدرسة الفكرية اعلى صيدلية ناهد سعد")</f>
        <v>ايتاى البارود اول طريق امليط امام المدرسة الفكرية اعلى صيدلية ناهد سعد</v>
      </c>
      <c r="I3001" s="6" t="str">
        <f ca="1">IFERROR(__xludf.DUMMYFUNCTION("""COMPUTED_VALUE"""),"01026016621")</f>
        <v>01026016621</v>
      </c>
      <c r="J3001" s="6"/>
      <c r="K3001" s="6" t="str">
        <f ca="1">IFERROR(__xludf.DUMMYFUNCTION("""COMPUTED_VALUE"""),"خصم 40% علي الأسعار النقدي المعلنه")</f>
        <v>خصم 40% علي الأسعار النقدي المعلنه</v>
      </c>
    </row>
    <row r="3002" spans="1:11" x14ac:dyDescent="0.25">
      <c r="A3002" s="4" t="str">
        <f ca="1">IFERROR(__xludf.DUMMYFUNCTION("""COMPUTED_VALUE"""),"107308-B")</f>
        <v>107308-B</v>
      </c>
      <c r="B3002" s="5" t="str">
        <f ca="1">IFERROR(__xludf.DUMMYFUNCTION("""COMPUTED_VALUE"""),"البحيرة")</f>
        <v>البحيرة</v>
      </c>
      <c r="C3002" s="5" t="str">
        <f ca="1">IFERROR(__xludf.DUMMYFUNCTION("""COMPUTED_VALUE"""),"شبراخيت")</f>
        <v>شبراخيت</v>
      </c>
      <c r="D3002" s="5" t="str">
        <f ca="1">IFERROR(__xludf.DUMMYFUNCTION("""COMPUTED_VALUE"""),"مركز علاج طبيعي")</f>
        <v>مركز علاج طبيعي</v>
      </c>
      <c r="E3002" s="5" t="str">
        <f ca="1">IFERROR(__xludf.DUMMYFUNCTION("""COMPUTED_VALUE"""),"علاج طبيعي")</f>
        <v>علاج طبيعي</v>
      </c>
      <c r="F3002" s="5" t="str">
        <f ca="1">IFERROR(__xludf.DUMMYFUNCTION("""COMPUTED_VALUE"""),"جلسات العلاج الطبيعي")</f>
        <v>جلسات العلاج الطبيعي</v>
      </c>
      <c r="G3002" s="5" t="str">
        <f ca="1">IFERROR(__xludf.DUMMYFUNCTION("""COMPUTED_VALUE"""),"مركز الهدي للعلاج الطبيعي (د. أحمد عادل علي)")</f>
        <v>مركز الهدي للعلاج الطبيعي (د. أحمد عادل علي)</v>
      </c>
      <c r="H3002" s="5" t="str">
        <f ca="1">IFERROR(__xludf.DUMMYFUNCTION("""COMPUTED_VALUE"""),"شبراخيت خلف مسجد السلام حى الاطباء امام صيدلية ابوعسل")</f>
        <v>شبراخيت خلف مسجد السلام حى الاطباء امام صيدلية ابوعسل</v>
      </c>
      <c r="I3002" s="6" t="str">
        <f ca="1">IFERROR(__xludf.DUMMYFUNCTION("""COMPUTED_VALUE"""),"0453932843")</f>
        <v>0453932843</v>
      </c>
      <c r="J3002" s="6"/>
      <c r="K3002" s="6" t="str">
        <f ca="1">IFERROR(__xludf.DUMMYFUNCTION("""COMPUTED_VALUE"""),"خصم 40% علي الأسعار النقدي المعلنه")</f>
        <v>خصم 40% علي الأسعار النقدي المعلنه</v>
      </c>
    </row>
    <row r="3003" spans="1:11" x14ac:dyDescent="0.25">
      <c r="A3003" s="4" t="str">
        <f ca="1">IFERROR(__xludf.DUMMYFUNCTION("""COMPUTED_VALUE"""),"107308-B")</f>
        <v>107308-B</v>
      </c>
      <c r="B3003" s="5" t="str">
        <f ca="1">IFERROR(__xludf.DUMMYFUNCTION("""COMPUTED_VALUE"""),"القليوبية")</f>
        <v>القليوبية</v>
      </c>
      <c r="C3003" s="5" t="str">
        <f ca="1">IFERROR(__xludf.DUMMYFUNCTION("""COMPUTED_VALUE"""),"مدينة العبور")</f>
        <v>مدينة العبور</v>
      </c>
      <c r="D3003" s="5" t="str">
        <f ca="1">IFERROR(__xludf.DUMMYFUNCTION("""COMPUTED_VALUE"""),"مركز علاج طبيعي")</f>
        <v>مركز علاج طبيعي</v>
      </c>
      <c r="E3003" s="5" t="str">
        <f ca="1">IFERROR(__xludf.DUMMYFUNCTION("""COMPUTED_VALUE"""),"علاج طبيعي")</f>
        <v>علاج طبيعي</v>
      </c>
      <c r="F3003" s="5" t="str">
        <f ca="1">IFERROR(__xludf.DUMMYFUNCTION("""COMPUTED_VALUE"""),"جلسات العلاج الطبيعي")</f>
        <v>جلسات العلاج الطبيعي</v>
      </c>
      <c r="G3003" s="5" t="str">
        <f ca="1">IFERROR(__xludf.DUMMYFUNCTION("""COMPUTED_VALUE"""),"مركز الهدي للعلاج الطبيعي (د. أحمد عادل علي)")</f>
        <v>مركز الهدي للعلاج الطبيعي (د. أحمد عادل علي)</v>
      </c>
      <c r="H3003" s="5" t="str">
        <f ca="1">IFERROR(__xludf.DUMMYFUNCTION("""COMPUTED_VALUE"""),"الحى الول محطة حليم بجوار مسجد السيدة خديجة عمارة 47")</f>
        <v>الحى الول محطة حليم بجوار مسجد السيدة خديجة عمارة 47</v>
      </c>
      <c r="I3003" s="6" t="str">
        <f ca="1">IFERROR(__xludf.DUMMYFUNCTION("""COMPUTED_VALUE"""),"01010078548")</f>
        <v>01010078548</v>
      </c>
      <c r="J3003" s="6"/>
      <c r="K3003" s="6" t="str">
        <f ca="1">IFERROR(__xludf.DUMMYFUNCTION("""COMPUTED_VALUE"""),"خصم 40% علي الأسعار النقدي المعلنه")</f>
        <v>خصم 40% علي الأسعار النقدي المعلنه</v>
      </c>
    </row>
    <row r="3004" spans="1:11" x14ac:dyDescent="0.25">
      <c r="A3004" s="4" t="str">
        <f ca="1">IFERROR(__xludf.DUMMYFUNCTION("""COMPUTED_VALUE"""),"107309")</f>
        <v>107309</v>
      </c>
      <c r="B3004" s="5" t="str">
        <f ca="1">IFERROR(__xludf.DUMMYFUNCTION("""COMPUTED_VALUE"""),"بني سويف")</f>
        <v>بني سويف</v>
      </c>
      <c r="C3004" s="5" t="str">
        <f ca="1">IFERROR(__xludf.DUMMYFUNCTION("""COMPUTED_VALUE"""),"بني سويف")</f>
        <v>بني سويف</v>
      </c>
      <c r="D3004" s="5" t="str">
        <f ca="1">IFERROR(__xludf.DUMMYFUNCTION("""COMPUTED_VALUE"""),"هيئة الأطباء")</f>
        <v>هيئة الأطباء</v>
      </c>
      <c r="E3004" s="5" t="str">
        <f ca="1">IFERROR(__xludf.DUMMYFUNCTION("""COMPUTED_VALUE"""),"اسنان")</f>
        <v>اسنان</v>
      </c>
      <c r="F3004" s="5" t="str">
        <f ca="1">IFERROR(__xludf.DUMMYFUNCTION("""COMPUTED_VALUE"""),"جراحة الفم والأسنان")</f>
        <v>جراحة الفم والأسنان</v>
      </c>
      <c r="G3004" s="5" t="str">
        <f ca="1">IFERROR(__xludf.DUMMYFUNCTION("""COMPUTED_VALUE"""),"د. اسلام محمد يونس نوح (عيادة Spark للأسنان)")</f>
        <v>د. اسلام محمد يونس نوح (عيادة Spark للأسنان)</v>
      </c>
      <c r="H3004" s="5" t="str">
        <f ca="1">IFERROR(__xludf.DUMMYFUNCTION("""COMPUTED_VALUE"""),"العقار رقم 22 برج حديث المدينة - خلف البنك الاهلي ش صلاح سالم - بني سويف")</f>
        <v>العقار رقم 22 برج حديث المدينة - خلف البنك الاهلي ش صلاح سالم - بني سويف</v>
      </c>
      <c r="I3004" s="6" t="str">
        <f ca="1">IFERROR(__xludf.DUMMYFUNCTION("""COMPUTED_VALUE"""),"01110121260")</f>
        <v>01110121260</v>
      </c>
      <c r="J3004" s="6"/>
      <c r="K3004" s="6" t="str">
        <f ca="1">IFERROR(__xludf.DUMMYFUNCTION("""COMPUTED_VALUE"""),"خصم 30% علي الأسعار النقدي المعلنة")</f>
        <v>خصم 30% علي الأسعار النقدي المعلنة</v>
      </c>
    </row>
    <row r="3005" spans="1:11" x14ac:dyDescent="0.25">
      <c r="A3005" s="4" t="str">
        <f ca="1">IFERROR(__xludf.DUMMYFUNCTION("""COMPUTED_VALUE"""),"103307-B")</f>
        <v>103307-B</v>
      </c>
      <c r="B3005" s="5" t="str">
        <f ca="1">IFERROR(__xludf.DUMMYFUNCTION("""COMPUTED_VALUE"""),"الجيزة")</f>
        <v>الجيزة</v>
      </c>
      <c r="C3005" s="5" t="str">
        <f ca="1">IFERROR(__xludf.DUMMYFUNCTION("""COMPUTED_VALUE"""),"المهندسين")</f>
        <v>المهندسين</v>
      </c>
      <c r="D3005" s="5" t="str">
        <f ca="1">IFERROR(__xludf.DUMMYFUNCTION("""COMPUTED_VALUE"""),"مركز أشعة و تحاليل")</f>
        <v>مركز أشعة و تحاليل</v>
      </c>
      <c r="E3005" s="5" t="str">
        <f ca="1">IFERROR(__xludf.DUMMYFUNCTION("""COMPUTED_VALUE""")," أشعة و تحاليل")</f>
        <v xml:space="preserve"> أشعة و تحاليل</v>
      </c>
      <c r="F3005" s="5" t="str">
        <f ca="1">IFERROR(__xludf.DUMMYFUNCTION("""COMPUTED_VALUE""")," أشعة و تحاليل")</f>
        <v xml:space="preserve"> أشعة و تحاليل</v>
      </c>
      <c r="G3005" s="5" t="str">
        <f ca="1">IFERROR(__xludf.DUMMYFUNCTION("""COMPUTED_VALUE"""),"مركز القاهرة للأشعة (كايرو سكان)")</f>
        <v>مركز القاهرة للأشعة (كايرو سكان)</v>
      </c>
      <c r="H3005" s="5" t="str">
        <f ca="1">IFERROR(__xludf.DUMMYFUNCTION("""COMPUTED_VALUE"""),"210 ش السودان - ميدان لبنان")</f>
        <v>210 ش السودان - ميدان لبنان</v>
      </c>
      <c r="I3005" s="6"/>
      <c r="J3005" s="6" t="str">
        <f ca="1">IFERROR(__xludf.DUMMYFUNCTION("""COMPUTED_VALUE"""),"19144")</f>
        <v>19144</v>
      </c>
      <c r="K3005" s="6" t="str">
        <f ca="1">IFERROR(__xludf.DUMMYFUNCTION("""COMPUTED_VALUE"""),"29% على جميع الخدمات")</f>
        <v>29% على جميع الخدمات</v>
      </c>
    </row>
    <row r="3006" spans="1:11" x14ac:dyDescent="0.25">
      <c r="A3006" s="4" t="str">
        <f ca="1">IFERROR(__xludf.DUMMYFUNCTION("""COMPUTED_VALUE"""),"107325")</f>
        <v>107325</v>
      </c>
      <c r="B3006" s="5" t="str">
        <f ca="1">IFERROR(__xludf.DUMMYFUNCTION("""COMPUTED_VALUE"""),"المنيا")</f>
        <v>المنيا</v>
      </c>
      <c r="C3006" s="5" t="str">
        <f ca="1">IFERROR(__xludf.DUMMYFUNCTION("""COMPUTED_VALUE"""),"المنيا")</f>
        <v>المنيا</v>
      </c>
      <c r="D3006" s="5" t="str">
        <f ca="1">IFERROR(__xludf.DUMMYFUNCTION("""COMPUTED_VALUE"""),"مستشفى")</f>
        <v>مستشفى</v>
      </c>
      <c r="E3006" s="5" t="str">
        <f ca="1">IFERROR(__xludf.DUMMYFUNCTION("""COMPUTED_VALUE"""),"جميع التخصصات")</f>
        <v>جميع التخصصات</v>
      </c>
      <c r="F3006" s="5" t="str">
        <f ca="1">IFERROR(__xludf.DUMMYFUNCTION("""COMPUTED_VALUE"""),"جميع التخصصات الطبية")</f>
        <v>جميع التخصصات الطبية</v>
      </c>
      <c r="G3006" s="5" t="str">
        <f ca="1">IFERROR(__xludf.DUMMYFUNCTION("""COMPUTED_VALUE"""),"مستشفي الحياة التخصصي الحديثة - المنيا")</f>
        <v>مستشفي الحياة التخصصي الحديثة - المنيا</v>
      </c>
      <c r="H3006" s="5" t="str">
        <f ca="1">IFERROR(__xludf.DUMMYFUNCTION("""COMPUTED_VALUE"""),"33 شارع الجيش - المنيا")</f>
        <v>33 شارع الجيش - المنيا</v>
      </c>
      <c r="I3006" s="6" t="str">
        <f ca="1">IFERROR(__xludf.DUMMYFUNCTION("""COMPUTED_VALUE"""),"01044152915")</f>
        <v>01044152915</v>
      </c>
      <c r="J3006" s="6"/>
      <c r="K3006" s="6" t="str">
        <f ca="1">IFERROR(__xludf.DUMMYFUNCTION("""COMPUTED_VALUE"""),"خصم 30% علي الأسعار النقدي المعلنة")</f>
        <v>خصم 30% علي الأسعار النقدي المعلنة</v>
      </c>
    </row>
    <row r="3007" spans="1:11" x14ac:dyDescent="0.25">
      <c r="A3007" s="4" t="str">
        <f ca="1">IFERROR(__xludf.DUMMYFUNCTION("""COMPUTED_VALUE"""),"107326")</f>
        <v>107326</v>
      </c>
      <c r="B3007" s="5" t="str">
        <f ca="1">IFERROR(__xludf.DUMMYFUNCTION("""COMPUTED_VALUE"""),"البحر الاحمر")</f>
        <v>البحر الاحمر</v>
      </c>
      <c r="C3007" s="5" t="str">
        <f ca="1">IFERROR(__xludf.DUMMYFUNCTION("""COMPUTED_VALUE"""),"القصير")</f>
        <v>القصير</v>
      </c>
      <c r="D3007" s="5" t="str">
        <f ca="1">IFERROR(__xludf.DUMMYFUNCTION("""COMPUTED_VALUE"""),"هيئة الأطباء")</f>
        <v>هيئة الأطباء</v>
      </c>
      <c r="E3007" s="5" t="str">
        <f ca="1">IFERROR(__xludf.DUMMYFUNCTION("""COMPUTED_VALUE"""),"باطنة")</f>
        <v>باطنة</v>
      </c>
      <c r="F3007" s="5" t="str">
        <f ca="1">IFERROR(__xludf.DUMMYFUNCTION("""COMPUTED_VALUE"""),"باطنة عامة")</f>
        <v>باطنة عامة</v>
      </c>
      <c r="G3007" s="5" t="str">
        <f ca="1">IFERROR(__xludf.DUMMYFUNCTION("""COMPUTED_VALUE"""),"محمد يوسف علي عبدالرحيم احمد")</f>
        <v>محمد يوسف علي عبدالرحيم احمد</v>
      </c>
      <c r="H3007" s="5" t="str">
        <f ca="1">IFERROR(__xludf.DUMMYFUNCTION("""COMPUTED_VALUE"""),"القصير خلف المستشفي المركزي - البحر الأحمر")</f>
        <v>القصير خلف المستشفي المركزي - البحر الأحمر</v>
      </c>
      <c r="I3007" s="6" t="str">
        <f ca="1">IFERROR(__xludf.DUMMYFUNCTION("""COMPUTED_VALUE"""),"01224436785")</f>
        <v>01224436785</v>
      </c>
      <c r="J3007" s="6"/>
      <c r="K3007" s="6" t="str">
        <f ca="1">IFERROR(__xludf.DUMMYFUNCTION("""COMPUTED_VALUE"""),"خصم 40% علي الأسعار النقدي المعلنه")</f>
        <v>خصم 40% علي الأسعار النقدي المعلنه</v>
      </c>
    </row>
    <row r="3008" spans="1:11" x14ac:dyDescent="0.25">
      <c r="A3008" s="4" t="str">
        <f ca="1">IFERROR(__xludf.DUMMYFUNCTION("""COMPUTED_VALUE"""),"107327")</f>
        <v>107327</v>
      </c>
      <c r="B3008" s="5" t="str">
        <f ca="1">IFERROR(__xludf.DUMMYFUNCTION("""COMPUTED_VALUE"""),"أسيوط")</f>
        <v>أسيوط</v>
      </c>
      <c r="C3008" s="5" t="str">
        <f ca="1">IFERROR(__xludf.DUMMYFUNCTION("""COMPUTED_VALUE"""),"أسيوط")</f>
        <v>أسيوط</v>
      </c>
      <c r="D3008" s="5" t="str">
        <f ca="1">IFERROR(__xludf.DUMMYFUNCTION("""COMPUTED_VALUE"""),"هيئة الأطباء")</f>
        <v>هيئة الأطباء</v>
      </c>
      <c r="E3008" s="5" t="str">
        <f ca="1">IFERROR(__xludf.DUMMYFUNCTION("""COMPUTED_VALUE"""),"باطنة")</f>
        <v>باطنة</v>
      </c>
      <c r="F3008" s="5" t="str">
        <f ca="1">IFERROR(__xludf.DUMMYFUNCTION("""COMPUTED_VALUE"""),"باطنة عامة")</f>
        <v>باطنة عامة</v>
      </c>
      <c r="G3008" s="5" t="str">
        <f ca="1">IFERROR(__xludf.DUMMYFUNCTION("""COMPUTED_VALUE"""),"د/ رشاد وهيب قسطندي تاوضروس")</f>
        <v>د/ رشاد وهيب قسطندي تاوضروس</v>
      </c>
      <c r="H3008" s="5" t="str">
        <f ca="1">IFERROR(__xludf.DUMMYFUNCTION("""COMPUTED_VALUE"""),"9 شارع الجمهورية امام بنك القاهرة - أسيوط")</f>
        <v>9 شارع الجمهورية امام بنك القاهرة - أسيوط</v>
      </c>
      <c r="I3008" s="6" t="str">
        <f ca="1">IFERROR(__xludf.DUMMYFUNCTION("""COMPUTED_VALUE"""),"0882062365")</f>
        <v>0882062365</v>
      </c>
      <c r="J3008" s="6"/>
      <c r="K3008" s="6" t="str">
        <f ca="1">IFERROR(__xludf.DUMMYFUNCTION("""COMPUTED_VALUE"""),"خصم 50% علي الأسعار النقدي المعلنة")</f>
        <v>خصم 50% علي الأسعار النقدي المعلنة</v>
      </c>
    </row>
    <row r="3009" spans="1:11" x14ac:dyDescent="0.25">
      <c r="A3009" s="4" t="str">
        <f ca="1">IFERROR(__xludf.DUMMYFUNCTION("""COMPUTED_VALUE"""),"107328")</f>
        <v>107328</v>
      </c>
      <c r="B3009" s="5" t="str">
        <f ca="1">IFERROR(__xludf.DUMMYFUNCTION("""COMPUTED_VALUE"""),"سوهاج")</f>
        <v>سوهاج</v>
      </c>
      <c r="C3009" s="5" t="str">
        <f ca="1">IFERROR(__xludf.DUMMYFUNCTION("""COMPUTED_VALUE"""),"دار السلام")</f>
        <v>دار السلام</v>
      </c>
      <c r="D3009" s="5" t="str">
        <f ca="1">IFERROR(__xludf.DUMMYFUNCTION("""COMPUTED_VALUE"""),"صيدلية")</f>
        <v>صيدلية</v>
      </c>
      <c r="E3009" s="5" t="str">
        <f ca="1">IFERROR(__xludf.DUMMYFUNCTION("""COMPUTED_VALUE"""),"صيدلية")</f>
        <v>صيدلية</v>
      </c>
      <c r="F3009" s="5" t="str">
        <f ca="1">IFERROR(__xludf.DUMMYFUNCTION("""COMPUTED_VALUE"""),"صيدلية (أدوية ومستلزمات طبية)")</f>
        <v>صيدلية (أدوية ومستلزمات طبية)</v>
      </c>
      <c r="G3009" s="5" t="str">
        <f ca="1">IFERROR(__xludf.DUMMYFUNCTION("""COMPUTED_VALUE"""),"صيدلية د/ أحمد عبدالعزيز محمد عبدالرحيم (صيدلية الفتح)")</f>
        <v>صيدلية د/ أحمد عبدالعزيز محمد عبدالرحيم (صيدلية الفتح)</v>
      </c>
      <c r="H3009" s="5" t="str">
        <f ca="1">IFERROR(__xludf.DUMMYFUNCTION("""COMPUTED_VALUE"""),"26 ش البوستة القديمة من ش المجلس القديم خلف السنترال - دار السلام - سوهاج")</f>
        <v>26 ش البوستة القديمة من ش المجلس القديم خلف السنترال - دار السلام - سوهاج</v>
      </c>
      <c r="I3009" s="6" t="str">
        <f ca="1">IFERROR(__xludf.DUMMYFUNCTION("""COMPUTED_VALUE"""),"01065010036")</f>
        <v>01065010036</v>
      </c>
      <c r="J3009" s="6"/>
      <c r="K3009" s="6" t="str">
        <f ca="1">IFERROR(__xludf.DUMMYFUNCTION("""COMPUTED_VALUE"""),"16 % على المحلى ,8% على المستورد")</f>
        <v>16 % على المحلى ,8% على المستورد</v>
      </c>
    </row>
    <row r="3010" spans="1:11" x14ac:dyDescent="0.25">
      <c r="A3010" s="4" t="str">
        <f ca="1">IFERROR(__xludf.DUMMYFUNCTION("""COMPUTED_VALUE"""),"107329")</f>
        <v>107329</v>
      </c>
      <c r="B3010" s="5" t="str">
        <f ca="1">IFERROR(__xludf.DUMMYFUNCTION("""COMPUTED_VALUE"""),"الوادى الجديد")</f>
        <v>الوادى الجديد</v>
      </c>
      <c r="C3010" s="5" t="str">
        <f ca="1">IFERROR(__xludf.DUMMYFUNCTION("""COMPUTED_VALUE"""),"الخارجة")</f>
        <v>الخارجة</v>
      </c>
      <c r="D3010" s="5" t="str">
        <f ca="1">IFERROR(__xludf.DUMMYFUNCTION("""COMPUTED_VALUE"""),"صيدلية")</f>
        <v>صيدلية</v>
      </c>
      <c r="E3010" s="5" t="str">
        <f ca="1">IFERROR(__xludf.DUMMYFUNCTION("""COMPUTED_VALUE"""),"صيدلية")</f>
        <v>صيدلية</v>
      </c>
      <c r="F3010" s="5" t="str">
        <f ca="1">IFERROR(__xludf.DUMMYFUNCTION("""COMPUTED_VALUE"""),"صيدلية (أدوية ومستلزمات طبية)")</f>
        <v>صيدلية (أدوية ومستلزمات طبية)</v>
      </c>
      <c r="G3010" s="5" t="str">
        <f ca="1">IFERROR(__xludf.DUMMYFUNCTION("""COMPUTED_VALUE"""),"صيدلية د/ وائل نان سبيل قرياقوص")</f>
        <v>صيدلية د/ وائل نان سبيل قرياقوص</v>
      </c>
      <c r="H3010" s="5" t="str">
        <f ca="1">IFERROR(__xludf.DUMMYFUNCTION("""COMPUTED_VALUE"""),"اول شارع انور البارودي - الخارجة - الوادي الجديد")</f>
        <v>اول شارع انور البارودي - الخارجة - الوادي الجديد</v>
      </c>
      <c r="I3010" s="6" t="str">
        <f ca="1">IFERROR(__xludf.DUMMYFUNCTION("""COMPUTED_VALUE"""),"01002550707")</f>
        <v>01002550707</v>
      </c>
      <c r="J3010" s="6"/>
      <c r="K3010" s="6" t="str">
        <f ca="1">IFERROR(__xludf.DUMMYFUNCTION("""COMPUTED_VALUE"""),"16 % على المحلى ,8% على المستورد")</f>
        <v>16 % على المحلى ,8% على المستورد</v>
      </c>
    </row>
    <row r="3011" spans="1:11" x14ac:dyDescent="0.25">
      <c r="A3011" s="4" t="str">
        <f ca="1">IFERROR(__xludf.DUMMYFUNCTION("""COMPUTED_VALUE"""),"107330")</f>
        <v>107330</v>
      </c>
      <c r="B3011" s="5" t="str">
        <f ca="1">IFERROR(__xludf.DUMMYFUNCTION("""COMPUTED_VALUE"""),"الاسكندرية")</f>
        <v>الاسكندرية</v>
      </c>
      <c r="C3011" s="5" t="str">
        <f ca="1">IFERROR(__xludf.DUMMYFUNCTION("""COMPUTED_VALUE"""),"رشدي")</f>
        <v>رشدي</v>
      </c>
      <c r="D3011" s="5" t="str">
        <f ca="1">IFERROR(__xludf.DUMMYFUNCTION("""COMPUTED_VALUE"""),"مركز علاج طبيعي")</f>
        <v>مركز علاج طبيعي</v>
      </c>
      <c r="E3011" s="5" t="str">
        <f ca="1">IFERROR(__xludf.DUMMYFUNCTION("""COMPUTED_VALUE"""),"علاج طبيعي")</f>
        <v>علاج طبيعي</v>
      </c>
      <c r="F3011" s="5" t="str">
        <f ca="1">IFERROR(__xludf.DUMMYFUNCTION("""COMPUTED_VALUE"""),"جلسات العلاج الطبيعي")</f>
        <v>جلسات العلاج الطبيعي</v>
      </c>
      <c r="G3011" s="5" t="str">
        <f ca="1">IFERROR(__xludf.DUMMYFUNCTION("""COMPUTED_VALUE"""),"محمد كمال علي حافظ عامر (مركز عناية للعلاج الطبيعي و التأهيل)")</f>
        <v>محمد كمال علي حافظ عامر (مركز عناية للعلاج الطبيعي و التأهيل)</v>
      </c>
      <c r="H3011" s="5" t="str">
        <f ca="1">IFERROR(__xludf.DUMMYFUNCTION("""COMPUTED_VALUE"""),"3 شارع مصطفي كامل - رشدي - الاسكندرية")</f>
        <v>3 شارع مصطفي كامل - رشدي - الاسكندرية</v>
      </c>
      <c r="I3011" s="6" t="str">
        <f ca="1">IFERROR(__xludf.DUMMYFUNCTION("""COMPUTED_VALUE"""),"01007070808")</f>
        <v>01007070808</v>
      </c>
      <c r="J3011" s="6"/>
      <c r="K3011" s="6" t="str">
        <f ca="1">IFERROR(__xludf.DUMMYFUNCTION("""COMPUTED_VALUE"""),"خصم 40% علي الأسعار النقدي المعلنه")</f>
        <v>خصم 40% علي الأسعار النقدي المعلنه</v>
      </c>
    </row>
    <row r="3012" spans="1:11" x14ac:dyDescent="0.25">
      <c r="A3012" s="4" t="str">
        <f ca="1">IFERROR(__xludf.DUMMYFUNCTION("""COMPUTED_VALUE"""),"107331")</f>
        <v>107331</v>
      </c>
      <c r="B3012" s="5" t="str">
        <f ca="1">IFERROR(__xludf.DUMMYFUNCTION("""COMPUTED_VALUE"""),"الجيزة")</f>
        <v>الجيزة</v>
      </c>
      <c r="C3012" s="5" t="str">
        <f ca="1">IFERROR(__xludf.DUMMYFUNCTION("""COMPUTED_VALUE"""),"ميدان الجيزة")</f>
        <v>ميدان الجيزة</v>
      </c>
      <c r="D3012" s="5" t="str">
        <f ca="1">IFERROR(__xludf.DUMMYFUNCTION("""COMPUTED_VALUE"""),"مركز علاج طبيعي")</f>
        <v>مركز علاج طبيعي</v>
      </c>
      <c r="E3012" s="5" t="str">
        <f ca="1">IFERROR(__xludf.DUMMYFUNCTION("""COMPUTED_VALUE"""),"علاج طبيعي")</f>
        <v>علاج طبيعي</v>
      </c>
      <c r="F3012" s="5" t="str">
        <f ca="1">IFERROR(__xludf.DUMMYFUNCTION("""COMPUTED_VALUE"""),"جلسات العلاج الطبيعي")</f>
        <v>جلسات العلاج الطبيعي</v>
      </c>
      <c r="G3012" s="5" t="str">
        <f ca="1">IFERROR(__xludf.DUMMYFUNCTION("""COMPUTED_VALUE"""),"داليا محمد كامل عواد (مركز طنطاوي للعلاج الطبيعي)")</f>
        <v>داليا محمد كامل عواد (مركز طنطاوي للعلاج الطبيعي)</v>
      </c>
      <c r="H3012" s="5" t="str">
        <f ca="1">IFERROR(__xludf.DUMMYFUNCTION("""COMPUTED_VALUE"""),"5 شارع جامعه القاهرة - ميدان الجيزة - الجيزة")</f>
        <v>5 شارع جامعه القاهرة - ميدان الجيزة - الجيزة</v>
      </c>
      <c r="I3012" s="6" t="str">
        <f ca="1">IFERROR(__xludf.DUMMYFUNCTION("""COMPUTED_VALUE"""),"01501075161")</f>
        <v>01501075161</v>
      </c>
      <c r="J3012" s="6"/>
      <c r="K3012" s="6" t="str">
        <f ca="1">IFERROR(__xludf.DUMMYFUNCTION("""COMPUTED_VALUE"""),"خصم 30% علي الأسعار النقدي المعلنه")</f>
        <v>خصم 30% علي الأسعار النقدي المعلنه</v>
      </c>
    </row>
    <row r="3013" spans="1:11" x14ac:dyDescent="0.25">
      <c r="A3013" s="4" t="str">
        <f ca="1">IFERROR(__xludf.DUMMYFUNCTION("""COMPUTED_VALUE"""),"107334")</f>
        <v>107334</v>
      </c>
      <c r="B3013" s="5" t="str">
        <f ca="1">IFERROR(__xludf.DUMMYFUNCTION("""COMPUTED_VALUE"""),"القاهرة")</f>
        <v>القاهرة</v>
      </c>
      <c r="C3013" s="5" t="str">
        <f ca="1">IFERROR(__xludf.DUMMYFUNCTION("""COMPUTED_VALUE"""),"المعادى")</f>
        <v>المعادى</v>
      </c>
      <c r="D3013" s="5" t="str">
        <f ca="1">IFERROR(__xludf.DUMMYFUNCTION("""COMPUTED_VALUE"""),"مجمع عيادات")</f>
        <v>مجمع عيادات</v>
      </c>
      <c r="E3013" s="5" t="str">
        <f ca="1">IFERROR(__xludf.DUMMYFUNCTION("""COMPUTED_VALUE"""),"جميع التخصصات")</f>
        <v>جميع التخصصات</v>
      </c>
      <c r="F3013" s="5" t="str">
        <f ca="1">IFERROR(__xludf.DUMMYFUNCTION("""COMPUTED_VALUE"""),"جميع التخصصات الطبية")</f>
        <v>جميع التخصصات الطبية</v>
      </c>
      <c r="G3013" s="5" t="str">
        <f ca="1">IFERROR(__xludf.DUMMYFUNCTION("""COMPUTED_VALUE"""),"لاب ميد معامل للتحاليل الطبية (عيادات لابميد ايجيبت التخصصية)")</f>
        <v>لاب ميد معامل للتحاليل الطبية (عيادات لابميد ايجيبت التخصصية)</v>
      </c>
      <c r="H3013" s="5" t="str">
        <f ca="1">IFERROR(__xludf.DUMMYFUNCTION("""COMPUTED_VALUE"""),"93 شارع 9 شقة رقم 4 بالدور الاول - المعادي - القاهرة")</f>
        <v>93 شارع 9 شقة رقم 4 بالدور الاول - المعادي - القاهرة</v>
      </c>
      <c r="I3013" s="6" t="str">
        <f ca="1">IFERROR(__xludf.DUMMYFUNCTION("""COMPUTED_VALUE"""),"01101193141")</f>
        <v>01101193141</v>
      </c>
      <c r="J3013" s="6"/>
      <c r="K3013" s="6" t="str">
        <f ca="1">IFERROR(__xludf.DUMMYFUNCTION("""COMPUTED_VALUE"""),"خصم 30% علي الأسعار النقدي المعلنه")</f>
        <v>خصم 30% علي الأسعار النقدي المعلنه</v>
      </c>
    </row>
    <row r="3014" spans="1:11" x14ac:dyDescent="0.25">
      <c r="A3014" s="4" t="str">
        <f ca="1">IFERROR(__xludf.DUMMYFUNCTION("""COMPUTED_VALUE"""),"107334-B")</f>
        <v>107334-B</v>
      </c>
      <c r="B3014" s="5" t="str">
        <f ca="1">IFERROR(__xludf.DUMMYFUNCTION("""COMPUTED_VALUE"""),"القاهرة")</f>
        <v>القاهرة</v>
      </c>
      <c r="C3014" s="5" t="str">
        <f ca="1">IFERROR(__xludf.DUMMYFUNCTION("""COMPUTED_VALUE"""),"مدينة نصر")</f>
        <v>مدينة نصر</v>
      </c>
      <c r="D3014" s="5" t="str">
        <f ca="1">IFERROR(__xludf.DUMMYFUNCTION("""COMPUTED_VALUE"""),"مجمع عيادات")</f>
        <v>مجمع عيادات</v>
      </c>
      <c r="E3014" s="5" t="str">
        <f ca="1">IFERROR(__xludf.DUMMYFUNCTION("""COMPUTED_VALUE"""),"جميع التخصصات")</f>
        <v>جميع التخصصات</v>
      </c>
      <c r="F3014" s="5" t="str">
        <f ca="1">IFERROR(__xludf.DUMMYFUNCTION("""COMPUTED_VALUE"""),"جميع التخصصات الطبية")</f>
        <v>جميع التخصصات الطبية</v>
      </c>
      <c r="G3014" s="5" t="str">
        <f ca="1">IFERROR(__xludf.DUMMYFUNCTION("""COMPUTED_VALUE"""),"لاب ميد معامل للتحاليل الطبية (عيادات لابميد ايجيبت التخصصية)")</f>
        <v>لاب ميد معامل للتحاليل الطبية (عيادات لابميد ايجيبت التخصصية)</v>
      </c>
      <c r="H3014" s="5" t="str">
        <f ca="1">IFERROR(__xludf.DUMMYFUNCTION("""COMPUTED_VALUE"""),"البرج الطبي 2 ، 1 تقاطع طريق النصر مع يوسف عباس - مدينة نصر - القاهرة")</f>
        <v>البرج الطبي 2 ، 1 تقاطع طريق النصر مع يوسف عباس - مدينة نصر - القاهرة</v>
      </c>
      <c r="I3014" s="6" t="str">
        <f ca="1">IFERROR(__xludf.DUMMYFUNCTION("""COMPUTED_VALUE"""),"01101193141")</f>
        <v>01101193141</v>
      </c>
      <c r="J3014" s="6"/>
      <c r="K3014" s="6" t="str">
        <f ca="1">IFERROR(__xludf.DUMMYFUNCTION("""COMPUTED_VALUE"""),"خصم 30% علي الأسعار النقدي المعلنه")</f>
        <v>خصم 30% علي الأسعار النقدي المعلنه</v>
      </c>
    </row>
    <row r="3015" spans="1:11" x14ac:dyDescent="0.25">
      <c r="A3015" s="4" t="str">
        <f ca="1">IFERROR(__xludf.DUMMYFUNCTION("""COMPUTED_VALUE"""),"107334-B")</f>
        <v>107334-B</v>
      </c>
      <c r="B3015" s="5" t="str">
        <f ca="1">IFERROR(__xludf.DUMMYFUNCTION("""COMPUTED_VALUE"""),"القاهرة")</f>
        <v>القاهرة</v>
      </c>
      <c r="C3015" s="5" t="str">
        <f ca="1">IFERROR(__xludf.DUMMYFUNCTION("""COMPUTED_VALUE"""),"مصر الجديدة")</f>
        <v>مصر الجديدة</v>
      </c>
      <c r="D3015" s="5" t="str">
        <f ca="1">IFERROR(__xludf.DUMMYFUNCTION("""COMPUTED_VALUE"""),"مجمع عيادات")</f>
        <v>مجمع عيادات</v>
      </c>
      <c r="E3015" s="5" t="str">
        <f ca="1">IFERROR(__xludf.DUMMYFUNCTION("""COMPUTED_VALUE"""),"جميع التخصصات")</f>
        <v>جميع التخصصات</v>
      </c>
      <c r="F3015" s="5" t="str">
        <f ca="1">IFERROR(__xludf.DUMMYFUNCTION("""COMPUTED_VALUE"""),"جميع التخصصات الطبية")</f>
        <v>جميع التخصصات الطبية</v>
      </c>
      <c r="G3015" s="5" t="str">
        <f ca="1">IFERROR(__xludf.DUMMYFUNCTION("""COMPUTED_VALUE"""),"لاب ميد معامل للتحاليل الطبية (عيادات لابميد ايجيبت التخصصية)")</f>
        <v>لاب ميد معامل للتحاليل الطبية (عيادات لابميد ايجيبت التخصصية)</v>
      </c>
      <c r="H3015" s="5" t="str">
        <f ca="1">IFERROR(__xludf.DUMMYFUNCTION("""COMPUTED_VALUE"""),"54شارع رمسيس - الكوربة - الدور الثالث - بجوار الحرية مول")</f>
        <v>54شارع رمسيس - الكوربة - الدور الثالث - بجوار الحرية مول</v>
      </c>
      <c r="I3015" s="6" t="str">
        <f ca="1">IFERROR(__xludf.DUMMYFUNCTION("""COMPUTED_VALUE"""),"01101193141")</f>
        <v>01101193141</v>
      </c>
      <c r="J3015" s="6"/>
      <c r="K3015" s="6" t="str">
        <f ca="1">IFERROR(__xludf.DUMMYFUNCTION("""COMPUTED_VALUE"""),"خصم 30% علي الأسعار النقدي المعلنه")</f>
        <v>خصم 30% علي الأسعار النقدي المعلنه</v>
      </c>
    </row>
    <row r="3016" spans="1:11" x14ac:dyDescent="0.25">
      <c r="A3016" s="4" t="str">
        <f ca="1">IFERROR(__xludf.DUMMYFUNCTION("""COMPUTED_VALUE"""),"107335")</f>
        <v>107335</v>
      </c>
      <c r="B3016" s="5" t="str">
        <f ca="1">IFERROR(__xludf.DUMMYFUNCTION("""COMPUTED_VALUE"""),"الغربية")</f>
        <v>الغربية</v>
      </c>
      <c r="C3016" s="5" t="str">
        <f ca="1">IFERROR(__xludf.DUMMYFUNCTION("""COMPUTED_VALUE"""),"طنطا")</f>
        <v>طنطا</v>
      </c>
      <c r="D3016" s="5" t="str">
        <f ca="1">IFERROR(__xludf.DUMMYFUNCTION("""COMPUTED_VALUE"""),"معمل")</f>
        <v>معمل</v>
      </c>
      <c r="E3016" s="5" t="str">
        <f ca="1">IFERROR(__xludf.DUMMYFUNCTION("""COMPUTED_VALUE"""),"معمل")</f>
        <v>معمل</v>
      </c>
      <c r="F3016" s="5" t="str">
        <f ca="1">IFERROR(__xludf.DUMMYFUNCTION("""COMPUTED_VALUE"""),"معمل التحاليل الطبية")</f>
        <v>معمل التحاليل الطبية</v>
      </c>
      <c r="G3016" s="5" t="str">
        <f ca="1">IFERROR(__xludf.DUMMYFUNCTION("""COMPUTED_VALUE"""),"وليد فتحي حامد زين الدين وشريكه (معامل لؤلؤة الحياة)")</f>
        <v>وليد فتحي حامد زين الدين وشريكه (معامل لؤلؤة الحياة)</v>
      </c>
      <c r="H3016" s="5" t="str">
        <f ca="1">IFERROR(__xludf.DUMMYFUNCTION("""COMPUTED_VALUE"""),"ش البحر امام مستشفي الجامعه اعلي توكيل وي بجوار البنك العقاري العربي")</f>
        <v>ش البحر امام مستشفي الجامعه اعلي توكيل وي بجوار البنك العقاري العربي</v>
      </c>
      <c r="I3016" s="6" t="str">
        <f ca="1">IFERROR(__xludf.DUMMYFUNCTION("""COMPUTED_VALUE"""),"1147402224")</f>
        <v>1147402224</v>
      </c>
      <c r="J3016" s="6" t="str">
        <f ca="1">IFERROR(__xludf.DUMMYFUNCTION("""COMPUTED_VALUE"""),"15613")</f>
        <v>15613</v>
      </c>
      <c r="K3016" s="6" t="str">
        <f ca="1">IFERROR(__xludf.DUMMYFUNCTION("""COMPUTED_VALUE"""),"خصم 40% علي الأسعار النقدي المعلنه")</f>
        <v>خصم 40% علي الأسعار النقدي المعلنه</v>
      </c>
    </row>
    <row r="3017" spans="1:11" x14ac:dyDescent="0.25">
      <c r="A3017" s="4" t="str">
        <f ca="1">IFERROR(__xludf.DUMMYFUNCTION("""COMPUTED_VALUE"""),"107335-B")</f>
        <v>107335-B</v>
      </c>
      <c r="B3017" s="5" t="str">
        <f ca="1">IFERROR(__xludf.DUMMYFUNCTION("""COMPUTED_VALUE"""),"الغربية")</f>
        <v>الغربية</v>
      </c>
      <c r="C3017" s="5" t="str">
        <f ca="1">IFERROR(__xludf.DUMMYFUNCTION("""COMPUTED_VALUE"""),"طنطا")</f>
        <v>طنطا</v>
      </c>
      <c r="D3017" s="5" t="str">
        <f ca="1">IFERROR(__xludf.DUMMYFUNCTION("""COMPUTED_VALUE"""),"معمل")</f>
        <v>معمل</v>
      </c>
      <c r="E3017" s="5" t="str">
        <f ca="1">IFERROR(__xludf.DUMMYFUNCTION("""COMPUTED_VALUE"""),"معمل")</f>
        <v>معمل</v>
      </c>
      <c r="F3017" s="5" t="str">
        <f ca="1">IFERROR(__xludf.DUMMYFUNCTION("""COMPUTED_VALUE"""),"معمل التحاليل الطبية")</f>
        <v>معمل التحاليل الطبية</v>
      </c>
      <c r="G3017" s="5" t="str">
        <f ca="1">IFERROR(__xludf.DUMMYFUNCTION("""COMPUTED_VALUE"""),"وليد فتحي حامد زين الدين وشريكه (معامل لؤلؤة الحياة)")</f>
        <v>وليد فتحي حامد زين الدين وشريكه (معامل لؤلؤة الحياة)</v>
      </c>
      <c r="H3017" s="5" t="str">
        <f ca="1">IFERROR(__xludf.DUMMYFUNCTION("""COMPUTED_VALUE"""),"ميدان ستوته برج اللؤلؤة اعلى التوحيد والنور الدورس السابع")</f>
        <v>ميدان ستوته برج اللؤلؤة اعلى التوحيد والنور الدورس السابع</v>
      </c>
      <c r="I3017" s="6" t="str">
        <f ca="1">IFERROR(__xludf.DUMMYFUNCTION("""COMPUTED_VALUE"""),"1103927719")</f>
        <v>1103927719</v>
      </c>
      <c r="J3017" s="6" t="str">
        <f ca="1">IFERROR(__xludf.DUMMYFUNCTION("""COMPUTED_VALUE"""),"15613")</f>
        <v>15613</v>
      </c>
      <c r="K3017" s="6" t="str">
        <f ca="1">IFERROR(__xludf.DUMMYFUNCTION("""COMPUTED_VALUE"""),"خصم 40% علي الأسعار النقدي المعلنه")</f>
        <v>خصم 40% علي الأسعار النقدي المعلنه</v>
      </c>
    </row>
    <row r="3018" spans="1:11" x14ac:dyDescent="0.25">
      <c r="A3018" s="4" t="str">
        <f ca="1">IFERROR(__xludf.DUMMYFUNCTION("""COMPUTED_VALUE"""),"107335-B")</f>
        <v>107335-B</v>
      </c>
      <c r="B3018" s="5" t="str">
        <f ca="1">IFERROR(__xludf.DUMMYFUNCTION("""COMPUTED_VALUE"""),"الغربية")</f>
        <v>الغربية</v>
      </c>
      <c r="C3018" s="5" t="str">
        <f ca="1">IFERROR(__xludf.DUMMYFUNCTION("""COMPUTED_VALUE"""),"طنطا")</f>
        <v>طنطا</v>
      </c>
      <c r="D3018" s="5" t="str">
        <f ca="1">IFERROR(__xludf.DUMMYFUNCTION("""COMPUTED_VALUE"""),"معمل")</f>
        <v>معمل</v>
      </c>
      <c r="E3018" s="5" t="str">
        <f ca="1">IFERROR(__xludf.DUMMYFUNCTION("""COMPUTED_VALUE"""),"معمل")</f>
        <v>معمل</v>
      </c>
      <c r="F3018" s="5" t="str">
        <f ca="1">IFERROR(__xludf.DUMMYFUNCTION("""COMPUTED_VALUE"""),"معمل التحاليل الطبية")</f>
        <v>معمل التحاليل الطبية</v>
      </c>
      <c r="G3018" s="5" t="str">
        <f ca="1">IFERROR(__xludf.DUMMYFUNCTION("""COMPUTED_VALUE"""),"وليد فتحي حامد زين الدين وشريكه (معامل لؤلؤة الحياة)")</f>
        <v>وليد فتحي حامد زين الدين وشريكه (معامل لؤلؤة الحياة)</v>
      </c>
      <c r="H3018" s="5" t="str">
        <f ca="1">IFERROR(__xludf.DUMMYFUNCTION("""COMPUTED_VALUE"""),"سبرباى أمام المستشفى العام")</f>
        <v>سبرباى أمام المستشفى العام</v>
      </c>
      <c r="I3018" s="6" t="str">
        <f ca="1">IFERROR(__xludf.DUMMYFUNCTION("""COMPUTED_VALUE"""),"1144457982")</f>
        <v>1144457982</v>
      </c>
      <c r="J3018" s="6" t="str">
        <f ca="1">IFERROR(__xludf.DUMMYFUNCTION("""COMPUTED_VALUE"""),"15613")</f>
        <v>15613</v>
      </c>
      <c r="K3018" s="6" t="str">
        <f ca="1">IFERROR(__xludf.DUMMYFUNCTION("""COMPUTED_VALUE"""),"خصم 40% علي الأسعار النقدي المعلنه")</f>
        <v>خصم 40% علي الأسعار النقدي المعلنه</v>
      </c>
    </row>
    <row r="3019" spans="1:11" x14ac:dyDescent="0.25">
      <c r="A3019" s="4" t="str">
        <f ca="1">IFERROR(__xludf.DUMMYFUNCTION("""COMPUTED_VALUE"""),"107335-B")</f>
        <v>107335-B</v>
      </c>
      <c r="B3019" s="5" t="str">
        <f ca="1">IFERROR(__xludf.DUMMYFUNCTION("""COMPUTED_VALUE"""),"الغربية")</f>
        <v>الغربية</v>
      </c>
      <c r="C3019" s="5" t="str">
        <f ca="1">IFERROR(__xludf.DUMMYFUNCTION("""COMPUTED_VALUE"""),"طنطا")</f>
        <v>طنطا</v>
      </c>
      <c r="D3019" s="5" t="str">
        <f ca="1">IFERROR(__xludf.DUMMYFUNCTION("""COMPUTED_VALUE"""),"معمل")</f>
        <v>معمل</v>
      </c>
      <c r="E3019" s="5" t="str">
        <f ca="1">IFERROR(__xludf.DUMMYFUNCTION("""COMPUTED_VALUE"""),"معمل")</f>
        <v>معمل</v>
      </c>
      <c r="F3019" s="5" t="str">
        <f ca="1">IFERROR(__xludf.DUMMYFUNCTION("""COMPUTED_VALUE"""),"معمل التحاليل الطبية")</f>
        <v>معمل التحاليل الطبية</v>
      </c>
      <c r="G3019" s="5" t="str">
        <f ca="1">IFERROR(__xludf.DUMMYFUNCTION("""COMPUTED_VALUE"""),"وليد فتحي حامد زين الدين وشريكه (معامل لؤلؤة الحياة)")</f>
        <v>وليد فتحي حامد زين الدين وشريكه (معامل لؤلؤة الحياة)</v>
      </c>
      <c r="H3019" s="5" t="str">
        <f ca="1">IFERROR(__xludf.DUMMYFUNCTION("""COMPUTED_VALUE"""),"شارع البحر أمام السنترال برج نيو لايف اعلي قباني للاثاث الدور الاول اداري وحده رقم 4")</f>
        <v>شارع البحر أمام السنترال برج نيو لايف اعلي قباني للاثاث الدور الاول اداري وحده رقم 4</v>
      </c>
      <c r="I3019" s="6" t="str">
        <f ca="1">IFERROR(__xludf.DUMMYFUNCTION("""COMPUTED_VALUE"""),"1103386606")</f>
        <v>1103386606</v>
      </c>
      <c r="J3019" s="6" t="str">
        <f ca="1">IFERROR(__xludf.DUMMYFUNCTION("""COMPUTED_VALUE"""),"15613")</f>
        <v>15613</v>
      </c>
      <c r="K3019" s="6" t="str">
        <f ca="1">IFERROR(__xludf.DUMMYFUNCTION("""COMPUTED_VALUE"""),"خصم 40% علي الأسعار النقدي المعلنه")</f>
        <v>خصم 40% علي الأسعار النقدي المعلنه</v>
      </c>
    </row>
    <row r="3020" spans="1:11" x14ac:dyDescent="0.25">
      <c r="A3020" s="4" t="str">
        <f ca="1">IFERROR(__xludf.DUMMYFUNCTION("""COMPUTED_VALUE"""),"107335-B")</f>
        <v>107335-B</v>
      </c>
      <c r="B3020" s="5" t="str">
        <f ca="1">IFERROR(__xludf.DUMMYFUNCTION("""COMPUTED_VALUE"""),"الغربية")</f>
        <v>الغربية</v>
      </c>
      <c r="C3020" s="5" t="str">
        <f ca="1">IFERROR(__xludf.DUMMYFUNCTION("""COMPUTED_VALUE"""),"طنطا")</f>
        <v>طنطا</v>
      </c>
      <c r="D3020" s="5" t="str">
        <f ca="1">IFERROR(__xludf.DUMMYFUNCTION("""COMPUTED_VALUE"""),"معمل")</f>
        <v>معمل</v>
      </c>
      <c r="E3020" s="5" t="str">
        <f ca="1">IFERROR(__xludf.DUMMYFUNCTION("""COMPUTED_VALUE"""),"معمل")</f>
        <v>معمل</v>
      </c>
      <c r="F3020" s="5" t="str">
        <f ca="1">IFERROR(__xludf.DUMMYFUNCTION("""COMPUTED_VALUE"""),"معمل التحاليل الطبية")</f>
        <v>معمل التحاليل الطبية</v>
      </c>
      <c r="G3020" s="5" t="str">
        <f ca="1">IFERROR(__xludf.DUMMYFUNCTION("""COMPUTED_VALUE"""),"وليد فتحي حامد زين الدين وشريكه (معامل لؤلؤة الحياة)")</f>
        <v>وليد فتحي حامد زين الدين وشريكه (معامل لؤلؤة الحياة)</v>
      </c>
      <c r="H3020" s="5" t="str">
        <f ca="1">IFERROR(__xludf.DUMMYFUNCTION("""COMPUTED_VALUE"""),"الجلاء مع الحلو أعلى معرض الخيال للسيارات عماره النحاس الدور التاني خلف الاسانسير")</f>
        <v>الجلاء مع الحلو أعلى معرض الخيال للسيارات عماره النحاس الدور التاني خلف الاسانسير</v>
      </c>
      <c r="I3020" s="6" t="str">
        <f ca="1">IFERROR(__xludf.DUMMYFUNCTION("""COMPUTED_VALUE"""),"403415842")</f>
        <v>403415842</v>
      </c>
      <c r="J3020" s="6" t="str">
        <f ca="1">IFERROR(__xludf.DUMMYFUNCTION("""COMPUTED_VALUE"""),"15613")</f>
        <v>15613</v>
      </c>
      <c r="K3020" s="6" t="str">
        <f ca="1">IFERROR(__xludf.DUMMYFUNCTION("""COMPUTED_VALUE"""),"خصم 40% علي الأسعار النقدي المعلنه")</f>
        <v>خصم 40% علي الأسعار النقدي المعلنه</v>
      </c>
    </row>
    <row r="3021" spans="1:11" x14ac:dyDescent="0.25">
      <c r="A3021" s="4" t="str">
        <f ca="1">IFERROR(__xludf.DUMMYFUNCTION("""COMPUTED_VALUE"""),"107335-B")</f>
        <v>107335-B</v>
      </c>
      <c r="B3021" s="5" t="str">
        <f ca="1">IFERROR(__xludf.DUMMYFUNCTION("""COMPUTED_VALUE"""),"الغربية")</f>
        <v>الغربية</v>
      </c>
      <c r="C3021" s="5" t="str">
        <f ca="1">IFERROR(__xludf.DUMMYFUNCTION("""COMPUTED_VALUE"""),"طنطا")</f>
        <v>طنطا</v>
      </c>
      <c r="D3021" s="5" t="str">
        <f ca="1">IFERROR(__xludf.DUMMYFUNCTION("""COMPUTED_VALUE"""),"معمل")</f>
        <v>معمل</v>
      </c>
      <c r="E3021" s="5" t="str">
        <f ca="1">IFERROR(__xludf.DUMMYFUNCTION("""COMPUTED_VALUE"""),"معمل")</f>
        <v>معمل</v>
      </c>
      <c r="F3021" s="5" t="str">
        <f ca="1">IFERROR(__xludf.DUMMYFUNCTION("""COMPUTED_VALUE"""),"معمل التحاليل الطبية")</f>
        <v>معمل التحاليل الطبية</v>
      </c>
      <c r="G3021" s="5" t="str">
        <f ca="1">IFERROR(__xludf.DUMMYFUNCTION("""COMPUTED_VALUE"""),"وليد فتحي حامد زين الدين وشريكه (معامل لؤلؤة الحياة)")</f>
        <v>وليد فتحي حامد زين الدين وشريكه (معامل لؤلؤة الحياة)</v>
      </c>
      <c r="H3021" s="5" t="str">
        <f ca="1">IFERROR(__xludf.DUMMYFUNCTION("""COMPUTED_VALUE"""),"79ش المديريه-برج المروة-امام ينبع للسياحه-اعلى صيدليه مشعل")</f>
        <v>79ش المديريه-برج المروة-امام ينبع للسياحه-اعلى صيدليه مشعل</v>
      </c>
      <c r="I3021" s="6" t="str">
        <f ca="1">IFERROR(__xludf.DUMMYFUNCTION("""COMPUTED_VALUE"""),"1103927717")</f>
        <v>1103927717</v>
      </c>
      <c r="J3021" s="6" t="str">
        <f ca="1">IFERROR(__xludf.DUMMYFUNCTION("""COMPUTED_VALUE"""),"15613")</f>
        <v>15613</v>
      </c>
      <c r="K3021" s="6" t="str">
        <f ca="1">IFERROR(__xludf.DUMMYFUNCTION("""COMPUTED_VALUE"""),"خصم 40% علي الأسعار النقدي المعلنه")</f>
        <v>خصم 40% علي الأسعار النقدي المعلنه</v>
      </c>
    </row>
    <row r="3022" spans="1:11" x14ac:dyDescent="0.25">
      <c r="A3022" s="4" t="str">
        <f ca="1">IFERROR(__xludf.DUMMYFUNCTION("""COMPUTED_VALUE"""),"107335-B")</f>
        <v>107335-B</v>
      </c>
      <c r="B3022" s="5" t="str">
        <f ca="1">IFERROR(__xludf.DUMMYFUNCTION("""COMPUTED_VALUE"""),"الغربية")</f>
        <v>الغربية</v>
      </c>
      <c r="C3022" s="5" t="str">
        <f ca="1">IFERROR(__xludf.DUMMYFUNCTION("""COMPUTED_VALUE"""),"طنطا")</f>
        <v>طنطا</v>
      </c>
      <c r="D3022" s="5" t="str">
        <f ca="1">IFERROR(__xludf.DUMMYFUNCTION("""COMPUTED_VALUE"""),"معمل")</f>
        <v>معمل</v>
      </c>
      <c r="E3022" s="5" t="str">
        <f ca="1">IFERROR(__xludf.DUMMYFUNCTION("""COMPUTED_VALUE"""),"معمل")</f>
        <v>معمل</v>
      </c>
      <c r="F3022" s="5" t="str">
        <f ca="1">IFERROR(__xludf.DUMMYFUNCTION("""COMPUTED_VALUE"""),"معمل التحاليل الطبية")</f>
        <v>معمل التحاليل الطبية</v>
      </c>
      <c r="G3022" s="5" t="str">
        <f ca="1">IFERROR(__xludf.DUMMYFUNCTION("""COMPUTED_VALUE"""),"وليد فتحي حامد زين الدين وشريكه (معامل لؤلؤة الحياة)")</f>
        <v>وليد فتحي حامد زين الدين وشريكه (معامل لؤلؤة الحياة)</v>
      </c>
      <c r="H3022" s="5" t="str">
        <f ca="1">IFERROR(__xludf.DUMMYFUNCTION("""COMPUTED_VALUE"""),"شارع النادي داخل نادي طنطا الرياضي")</f>
        <v>شارع النادي داخل نادي طنطا الرياضي</v>
      </c>
      <c r="I3022" s="6" t="str">
        <f ca="1">IFERROR(__xludf.DUMMYFUNCTION("""COMPUTED_VALUE"""),"1103386601")</f>
        <v>1103386601</v>
      </c>
      <c r="J3022" s="6" t="str">
        <f ca="1">IFERROR(__xludf.DUMMYFUNCTION("""COMPUTED_VALUE"""),"15613")</f>
        <v>15613</v>
      </c>
      <c r="K3022" s="6" t="str">
        <f ca="1">IFERROR(__xludf.DUMMYFUNCTION("""COMPUTED_VALUE"""),"خصم 40% علي الأسعار النقدي المعلنه")</f>
        <v>خصم 40% علي الأسعار النقدي المعلنه</v>
      </c>
    </row>
    <row r="3023" spans="1:11" x14ac:dyDescent="0.25">
      <c r="A3023" s="4" t="str">
        <f ca="1">IFERROR(__xludf.DUMMYFUNCTION("""COMPUTED_VALUE"""),"107335-B")</f>
        <v>107335-B</v>
      </c>
      <c r="B3023" s="5" t="str">
        <f ca="1">IFERROR(__xludf.DUMMYFUNCTION("""COMPUTED_VALUE"""),"الغربية")</f>
        <v>الغربية</v>
      </c>
      <c r="C3023" s="5" t="str">
        <f ca="1">IFERROR(__xludf.DUMMYFUNCTION("""COMPUTED_VALUE"""),"طنطا")</f>
        <v>طنطا</v>
      </c>
      <c r="D3023" s="5" t="str">
        <f ca="1">IFERROR(__xludf.DUMMYFUNCTION("""COMPUTED_VALUE"""),"معمل")</f>
        <v>معمل</v>
      </c>
      <c r="E3023" s="5" t="str">
        <f ca="1">IFERROR(__xludf.DUMMYFUNCTION("""COMPUTED_VALUE"""),"معمل")</f>
        <v>معمل</v>
      </c>
      <c r="F3023" s="5" t="str">
        <f ca="1">IFERROR(__xludf.DUMMYFUNCTION("""COMPUTED_VALUE"""),"معمل التحاليل الطبية")</f>
        <v>معمل التحاليل الطبية</v>
      </c>
      <c r="G3023" s="5" t="str">
        <f ca="1">IFERROR(__xludf.DUMMYFUNCTION("""COMPUTED_VALUE"""),"وليد فتحي حامد زين الدين وشريكه (معامل لؤلؤة الحياة)")</f>
        <v>وليد فتحي حامد زين الدين وشريكه (معامل لؤلؤة الحياة)</v>
      </c>
      <c r="H3023" s="5" t="str">
        <f ca="1">IFERROR(__xludf.DUMMYFUNCTION("""COMPUTED_VALUE"""),"داخل نادي ماتركس بجوار مجمع حمامات السباحه")</f>
        <v>داخل نادي ماتركس بجوار مجمع حمامات السباحه</v>
      </c>
      <c r="I3023" s="6" t="str">
        <f ca="1">IFERROR(__xludf.DUMMYFUNCTION("""COMPUTED_VALUE"""),"1113350500")</f>
        <v>1113350500</v>
      </c>
      <c r="J3023" s="6" t="str">
        <f ca="1">IFERROR(__xludf.DUMMYFUNCTION("""COMPUTED_VALUE"""),"15613")</f>
        <v>15613</v>
      </c>
      <c r="K3023" s="6" t="str">
        <f ca="1">IFERROR(__xludf.DUMMYFUNCTION("""COMPUTED_VALUE"""),"خصم 40% علي الأسعار النقدي المعلنه")</f>
        <v>خصم 40% علي الأسعار النقدي المعلنه</v>
      </c>
    </row>
    <row r="3024" spans="1:11" x14ac:dyDescent="0.25">
      <c r="A3024" s="4" t="str">
        <f ca="1">IFERROR(__xludf.DUMMYFUNCTION("""COMPUTED_VALUE"""),"107335-B")</f>
        <v>107335-B</v>
      </c>
      <c r="B3024" s="5" t="str">
        <f ca="1">IFERROR(__xludf.DUMMYFUNCTION("""COMPUTED_VALUE"""),"الغربية")</f>
        <v>الغربية</v>
      </c>
      <c r="C3024" s="5" t="str">
        <f ca="1">IFERROR(__xludf.DUMMYFUNCTION("""COMPUTED_VALUE"""),"السنطة")</f>
        <v>السنطة</v>
      </c>
      <c r="D3024" s="5" t="str">
        <f ca="1">IFERROR(__xludf.DUMMYFUNCTION("""COMPUTED_VALUE"""),"معمل")</f>
        <v>معمل</v>
      </c>
      <c r="E3024" s="5" t="str">
        <f ca="1">IFERROR(__xludf.DUMMYFUNCTION("""COMPUTED_VALUE"""),"معمل")</f>
        <v>معمل</v>
      </c>
      <c r="F3024" s="5" t="str">
        <f ca="1">IFERROR(__xludf.DUMMYFUNCTION("""COMPUTED_VALUE"""),"معمل التحاليل الطبية")</f>
        <v>معمل التحاليل الطبية</v>
      </c>
      <c r="G3024" s="5" t="str">
        <f ca="1">IFERROR(__xludf.DUMMYFUNCTION("""COMPUTED_VALUE"""),"وليد فتحي حامد زين الدين وشريكه (معامل لؤلؤة الحياة)")</f>
        <v>وليد فتحي حامد زين الدين وشريكه (معامل لؤلؤة الحياة)</v>
      </c>
      <c r="H3024" s="5" t="str">
        <f ca="1">IFERROR(__xludf.DUMMYFUNCTION("""COMPUTED_VALUE"""),"برج الاطباء شارع المعاهده الدور الثالث علوى اعلى النساجون الشرقيون")</f>
        <v>برج الاطباء شارع المعاهده الدور الثالث علوى اعلى النساجون الشرقيون</v>
      </c>
      <c r="I3024" s="6" t="str">
        <f ca="1">IFERROR(__xludf.DUMMYFUNCTION("""COMPUTED_VALUE"""),"1550142288")</f>
        <v>1550142288</v>
      </c>
      <c r="J3024" s="6" t="str">
        <f ca="1">IFERROR(__xludf.DUMMYFUNCTION("""COMPUTED_VALUE"""),"15613")</f>
        <v>15613</v>
      </c>
      <c r="K3024" s="6" t="str">
        <f ca="1">IFERROR(__xludf.DUMMYFUNCTION("""COMPUTED_VALUE"""),"خصم 40% علي الأسعار النقدي المعلنه")</f>
        <v>خصم 40% علي الأسعار النقدي المعلنه</v>
      </c>
    </row>
    <row r="3025" spans="1:11" x14ac:dyDescent="0.25">
      <c r="A3025" s="4" t="str">
        <f ca="1">IFERROR(__xludf.DUMMYFUNCTION("""COMPUTED_VALUE"""),"107335-B")</f>
        <v>107335-B</v>
      </c>
      <c r="B3025" s="5" t="str">
        <f ca="1">IFERROR(__xludf.DUMMYFUNCTION("""COMPUTED_VALUE"""),"الغربية")</f>
        <v>الغربية</v>
      </c>
      <c r="C3025" s="5" t="str">
        <f ca="1">IFERROR(__xludf.DUMMYFUNCTION("""COMPUTED_VALUE"""),"السنطة")</f>
        <v>السنطة</v>
      </c>
      <c r="D3025" s="5" t="str">
        <f ca="1">IFERROR(__xludf.DUMMYFUNCTION("""COMPUTED_VALUE"""),"معمل")</f>
        <v>معمل</v>
      </c>
      <c r="E3025" s="5" t="str">
        <f ca="1">IFERROR(__xludf.DUMMYFUNCTION("""COMPUTED_VALUE"""),"معمل")</f>
        <v>معمل</v>
      </c>
      <c r="F3025" s="5" t="str">
        <f ca="1">IFERROR(__xludf.DUMMYFUNCTION("""COMPUTED_VALUE"""),"معمل التحاليل الطبية")</f>
        <v>معمل التحاليل الطبية</v>
      </c>
      <c r="G3025" s="5" t="str">
        <f ca="1">IFERROR(__xludf.DUMMYFUNCTION("""COMPUTED_VALUE"""),"وليد فتحي حامد زين الدين وشريكه (معامل لؤلؤة الحياة)")</f>
        <v>وليد فتحي حامد زين الدين وشريكه (معامل لؤلؤة الحياة)</v>
      </c>
      <c r="H3025" s="5" t="str">
        <f ca="1">IFERROR(__xludf.DUMMYFUNCTION("""COMPUTED_VALUE"""),"شبرا قاص امام بنك التنميه الزراعى عند الكوبرى الدور الاول")</f>
        <v>شبرا قاص امام بنك التنميه الزراعى عند الكوبرى الدور الاول</v>
      </c>
      <c r="I3025" s="6" t="str">
        <f ca="1">IFERROR(__xludf.DUMMYFUNCTION("""COMPUTED_VALUE"""),"1103386550")</f>
        <v>1103386550</v>
      </c>
      <c r="J3025" s="6" t="str">
        <f ca="1">IFERROR(__xludf.DUMMYFUNCTION("""COMPUTED_VALUE"""),"15613")</f>
        <v>15613</v>
      </c>
      <c r="K3025" s="6" t="str">
        <f ca="1">IFERROR(__xludf.DUMMYFUNCTION("""COMPUTED_VALUE"""),"خصم 40% علي الأسعار النقدي المعلنه")</f>
        <v>خصم 40% علي الأسعار النقدي المعلنه</v>
      </c>
    </row>
    <row r="3026" spans="1:11" x14ac:dyDescent="0.25">
      <c r="A3026" s="4" t="str">
        <f ca="1">IFERROR(__xludf.DUMMYFUNCTION("""COMPUTED_VALUE"""),"107335-B")</f>
        <v>107335-B</v>
      </c>
      <c r="B3026" s="5" t="str">
        <f ca="1">IFERROR(__xludf.DUMMYFUNCTION("""COMPUTED_VALUE"""),"الدقهلية")</f>
        <v>الدقهلية</v>
      </c>
      <c r="C3026" s="5" t="str">
        <f ca="1">IFERROR(__xludf.DUMMYFUNCTION("""COMPUTED_VALUE"""),"المنصورة")</f>
        <v>المنصورة</v>
      </c>
      <c r="D3026" s="5" t="str">
        <f ca="1">IFERROR(__xludf.DUMMYFUNCTION("""COMPUTED_VALUE"""),"معمل")</f>
        <v>معمل</v>
      </c>
      <c r="E3026" s="5" t="str">
        <f ca="1">IFERROR(__xludf.DUMMYFUNCTION("""COMPUTED_VALUE"""),"معمل")</f>
        <v>معمل</v>
      </c>
      <c r="F3026" s="5" t="str">
        <f ca="1">IFERROR(__xludf.DUMMYFUNCTION("""COMPUTED_VALUE"""),"معمل التحاليل الطبية")</f>
        <v>معمل التحاليل الطبية</v>
      </c>
      <c r="G3026" s="5" t="str">
        <f ca="1">IFERROR(__xludf.DUMMYFUNCTION("""COMPUTED_VALUE"""),"وليد فتحي حامد زين الدين وشريكه (معامل لؤلؤة الحياة)")</f>
        <v>وليد فتحي حامد زين الدين وشريكه (معامل لؤلؤة الحياة)</v>
      </c>
      <c r="H3026" s="5" t="str">
        <f ca="1">IFERROR(__xludf.DUMMYFUNCTION("""COMPUTED_VALUE"""),"معمل الحياه امام بوابه مستشفي الجامعه الرئيسيه اعلي ماركت الجمل عماره الغزالي الدور الرابع")</f>
        <v>معمل الحياه امام بوابه مستشفي الجامعه الرئيسيه اعلي ماركت الجمل عماره الغزالي الدور الرابع</v>
      </c>
      <c r="I3026" s="6" t="str">
        <f ca="1">IFERROR(__xludf.DUMMYFUNCTION("""COMPUTED_VALUE"""),"502202846")</f>
        <v>502202846</v>
      </c>
      <c r="J3026" s="6" t="str">
        <f ca="1">IFERROR(__xludf.DUMMYFUNCTION("""COMPUTED_VALUE"""),"15613")</f>
        <v>15613</v>
      </c>
      <c r="K3026" s="6" t="str">
        <f ca="1">IFERROR(__xludf.DUMMYFUNCTION("""COMPUTED_VALUE"""),"خصم 40% علي الأسعار النقدي المعلنه")</f>
        <v>خصم 40% علي الأسعار النقدي المعلنه</v>
      </c>
    </row>
    <row r="3027" spans="1:11" x14ac:dyDescent="0.25">
      <c r="A3027" s="4" t="str">
        <f ca="1">IFERROR(__xludf.DUMMYFUNCTION("""COMPUTED_VALUE"""),"107335-B")</f>
        <v>107335-B</v>
      </c>
      <c r="B3027" s="5" t="str">
        <f ca="1">IFERROR(__xludf.DUMMYFUNCTION("""COMPUTED_VALUE"""),"الاسكندرية")</f>
        <v>الاسكندرية</v>
      </c>
      <c r="C3027" s="5" t="str">
        <f ca="1">IFERROR(__xludf.DUMMYFUNCTION("""COMPUTED_VALUE"""),"ميامي")</f>
        <v>ميامي</v>
      </c>
      <c r="D3027" s="5" t="str">
        <f ca="1">IFERROR(__xludf.DUMMYFUNCTION("""COMPUTED_VALUE"""),"معمل")</f>
        <v>معمل</v>
      </c>
      <c r="E3027" s="5" t="str">
        <f ca="1">IFERROR(__xludf.DUMMYFUNCTION("""COMPUTED_VALUE"""),"معمل")</f>
        <v>معمل</v>
      </c>
      <c r="F3027" s="5" t="str">
        <f ca="1">IFERROR(__xludf.DUMMYFUNCTION("""COMPUTED_VALUE"""),"معمل التحاليل الطبية")</f>
        <v>معمل التحاليل الطبية</v>
      </c>
      <c r="G3027" s="5" t="str">
        <f ca="1">IFERROR(__xludf.DUMMYFUNCTION("""COMPUTED_VALUE"""),"وليد فتحي حامد زين الدين وشريكه (معامل لؤلؤة الحياة)")</f>
        <v>وليد فتحي حامد زين الدين وشريكه (معامل لؤلؤة الحياة)</v>
      </c>
      <c r="H3027" s="5" t="str">
        <f ca="1">IFERROR(__xludf.DUMMYFUNCTION("""COMPUTED_VALUE"""),"ميامى / 227 ش جمال عبدالناصر تقاطع خليل حمادة دوران جيهان امام مستشفى شرق المدينة")</f>
        <v>ميامى / 227 ش جمال عبدالناصر تقاطع خليل حمادة دوران جيهان امام مستشفى شرق المدينة</v>
      </c>
      <c r="I3027" s="6" t="str">
        <f ca="1">IFERROR(__xludf.DUMMYFUNCTION("""COMPUTED_VALUE"""),"1149978670")</f>
        <v>1149978670</v>
      </c>
      <c r="J3027" s="6" t="str">
        <f ca="1">IFERROR(__xludf.DUMMYFUNCTION("""COMPUTED_VALUE"""),"15613")</f>
        <v>15613</v>
      </c>
      <c r="K3027" s="6" t="str">
        <f ca="1">IFERROR(__xludf.DUMMYFUNCTION("""COMPUTED_VALUE"""),"خصم 40% علي الأسعار النقدي المعلنه")</f>
        <v>خصم 40% علي الأسعار النقدي المعلنه</v>
      </c>
    </row>
    <row r="3028" spans="1:11" x14ac:dyDescent="0.25">
      <c r="A3028" s="4" t="str">
        <f ca="1">IFERROR(__xludf.DUMMYFUNCTION("""COMPUTED_VALUE"""),"107335-B")</f>
        <v>107335-B</v>
      </c>
      <c r="B3028" s="5" t="str">
        <f ca="1">IFERROR(__xludf.DUMMYFUNCTION("""COMPUTED_VALUE"""),"الاسكندرية")</f>
        <v>الاسكندرية</v>
      </c>
      <c r="C3028" s="5" t="str">
        <f ca="1">IFERROR(__xludf.DUMMYFUNCTION("""COMPUTED_VALUE"""),"محطة الرمل")</f>
        <v>محطة الرمل</v>
      </c>
      <c r="D3028" s="5" t="str">
        <f ca="1">IFERROR(__xludf.DUMMYFUNCTION("""COMPUTED_VALUE"""),"معمل")</f>
        <v>معمل</v>
      </c>
      <c r="E3028" s="5" t="str">
        <f ca="1">IFERROR(__xludf.DUMMYFUNCTION("""COMPUTED_VALUE"""),"معمل")</f>
        <v>معمل</v>
      </c>
      <c r="F3028" s="5" t="str">
        <f ca="1">IFERROR(__xludf.DUMMYFUNCTION("""COMPUTED_VALUE"""),"معمل التحاليل الطبية")</f>
        <v>معمل التحاليل الطبية</v>
      </c>
      <c r="G3028" s="5" t="str">
        <f ca="1">IFERROR(__xludf.DUMMYFUNCTION("""COMPUTED_VALUE"""),"وليد فتحي حامد زين الدين وشريكه (معامل لؤلؤة الحياة)")</f>
        <v>وليد فتحي حامد زين الدين وشريكه (معامل لؤلؤة الحياة)</v>
      </c>
      <c r="H3028" s="5" t="str">
        <f ca="1">IFERROR(__xludf.DUMMYFUNCTION("""COMPUTED_VALUE"""),"٢٢ شارع امين فكرى متفرع من كليه الطب محطه الرمل")</f>
        <v>٢٢ شارع امين فكرى متفرع من كليه الطب محطه الرمل</v>
      </c>
      <c r="I3028" s="6" t="str">
        <f ca="1">IFERROR(__xludf.DUMMYFUNCTION("""COMPUTED_VALUE"""),"34811805")</f>
        <v>34811805</v>
      </c>
      <c r="J3028" s="6" t="str">
        <f ca="1">IFERROR(__xludf.DUMMYFUNCTION("""COMPUTED_VALUE"""),"15613")</f>
        <v>15613</v>
      </c>
      <c r="K3028" s="6" t="str">
        <f ca="1">IFERROR(__xludf.DUMMYFUNCTION("""COMPUTED_VALUE"""),"خصم 40% علي الأسعار النقدي المعلنه")</f>
        <v>خصم 40% علي الأسعار النقدي المعلنه</v>
      </c>
    </row>
    <row r="3029" spans="1:11" x14ac:dyDescent="0.25">
      <c r="A3029" s="4" t="str">
        <f ca="1">IFERROR(__xludf.DUMMYFUNCTION("""COMPUTED_VALUE"""),"107335-B")</f>
        <v>107335-B</v>
      </c>
      <c r="B3029" s="5" t="str">
        <f ca="1">IFERROR(__xludf.DUMMYFUNCTION("""COMPUTED_VALUE"""),"الاسكندرية")</f>
        <v>الاسكندرية</v>
      </c>
      <c r="C3029" s="5" t="str">
        <f ca="1">IFERROR(__xludf.DUMMYFUNCTION("""COMPUTED_VALUE"""),"العجمي")</f>
        <v>العجمي</v>
      </c>
      <c r="D3029" s="5" t="str">
        <f ca="1">IFERROR(__xludf.DUMMYFUNCTION("""COMPUTED_VALUE"""),"معمل")</f>
        <v>معمل</v>
      </c>
      <c r="E3029" s="5" t="str">
        <f ca="1">IFERROR(__xludf.DUMMYFUNCTION("""COMPUTED_VALUE"""),"معمل")</f>
        <v>معمل</v>
      </c>
      <c r="F3029" s="5" t="str">
        <f ca="1">IFERROR(__xludf.DUMMYFUNCTION("""COMPUTED_VALUE"""),"معمل التحاليل الطبية")</f>
        <v>معمل التحاليل الطبية</v>
      </c>
      <c r="G3029" s="5" t="str">
        <f ca="1">IFERROR(__xludf.DUMMYFUNCTION("""COMPUTED_VALUE"""),"وليد فتحي حامد زين الدين وشريكه (معامل لؤلؤة الحياة)")</f>
        <v>وليد فتحي حامد زين الدين وشريكه (معامل لؤلؤة الحياة)</v>
      </c>
      <c r="H3029" s="5" t="str">
        <f ca="1">IFERROR(__xludf.DUMMYFUNCTION("""COMPUTED_VALUE"""),"الهانوفيل شارع اسكندريه مطروح برج الندى امام كارفور العجمي")</f>
        <v>الهانوفيل شارع اسكندريه مطروح برج الندى امام كارفور العجمي</v>
      </c>
      <c r="I3029" s="6" t="str">
        <f ca="1">IFERROR(__xludf.DUMMYFUNCTION("""COMPUTED_VALUE"""),"33024226")</f>
        <v>33024226</v>
      </c>
      <c r="J3029" s="6" t="str">
        <f ca="1">IFERROR(__xludf.DUMMYFUNCTION("""COMPUTED_VALUE"""),"15613")</f>
        <v>15613</v>
      </c>
      <c r="K3029" s="6" t="str">
        <f ca="1">IFERROR(__xludf.DUMMYFUNCTION("""COMPUTED_VALUE"""),"خصم 40% علي الأسعار النقدي المعلنه")</f>
        <v>خصم 40% علي الأسعار النقدي المعلنه</v>
      </c>
    </row>
    <row r="3030" spans="1:11" x14ac:dyDescent="0.25">
      <c r="A3030" s="4" t="str">
        <f ca="1">IFERROR(__xludf.DUMMYFUNCTION("""COMPUTED_VALUE"""),"107335-B")</f>
        <v>107335-B</v>
      </c>
      <c r="B3030" s="5" t="str">
        <f ca="1">IFERROR(__xludf.DUMMYFUNCTION("""COMPUTED_VALUE"""),"الاسكندرية")</f>
        <v>الاسكندرية</v>
      </c>
      <c r="C3030" s="5" t="str">
        <f ca="1">IFERROR(__xludf.DUMMYFUNCTION("""COMPUTED_VALUE"""),"سموحة")</f>
        <v>سموحة</v>
      </c>
      <c r="D3030" s="5" t="str">
        <f ca="1">IFERROR(__xludf.DUMMYFUNCTION("""COMPUTED_VALUE"""),"معمل")</f>
        <v>معمل</v>
      </c>
      <c r="E3030" s="5" t="str">
        <f ca="1">IFERROR(__xludf.DUMMYFUNCTION("""COMPUTED_VALUE"""),"معمل")</f>
        <v>معمل</v>
      </c>
      <c r="F3030" s="5" t="str">
        <f ca="1">IFERROR(__xludf.DUMMYFUNCTION("""COMPUTED_VALUE"""),"معمل التحاليل الطبية")</f>
        <v>معمل التحاليل الطبية</v>
      </c>
      <c r="G3030" s="5" t="str">
        <f ca="1">IFERROR(__xludf.DUMMYFUNCTION("""COMPUTED_VALUE"""),"وليد فتحي حامد زين الدين وشريكه (معامل لؤلؤة الحياة)")</f>
        <v>وليد فتحي حامد زين الدين وشريكه (معامل لؤلؤة الحياة)</v>
      </c>
      <c r="H3030" s="5" t="str">
        <f ca="1">IFERROR(__xludf.DUMMYFUNCTION("""COMPUTED_VALUE"""),"سموحة 27 ميدان فيكتوريا عمانويل برج الزهراء اعلى لابوار")</f>
        <v>سموحة 27 ميدان فيكتوريا عمانويل برج الزهراء اعلى لابوار</v>
      </c>
      <c r="I3030" s="6" t="str">
        <f ca="1">IFERROR(__xludf.DUMMYFUNCTION("""COMPUTED_VALUE"""),"1146533111")</f>
        <v>1146533111</v>
      </c>
      <c r="J3030" s="6" t="str">
        <f ca="1">IFERROR(__xludf.DUMMYFUNCTION("""COMPUTED_VALUE"""),"15613")</f>
        <v>15613</v>
      </c>
      <c r="K3030" s="6" t="str">
        <f ca="1">IFERROR(__xludf.DUMMYFUNCTION("""COMPUTED_VALUE"""),"خصم 40% علي الأسعار النقدي المعلنه")</f>
        <v>خصم 40% علي الأسعار النقدي المعلنه</v>
      </c>
    </row>
    <row r="3031" spans="1:11" x14ac:dyDescent="0.25">
      <c r="A3031" s="4" t="str">
        <f ca="1">IFERROR(__xludf.DUMMYFUNCTION("""COMPUTED_VALUE"""),"107335-B")</f>
        <v>107335-B</v>
      </c>
      <c r="B3031" s="5" t="str">
        <f ca="1">IFERROR(__xludf.DUMMYFUNCTION("""COMPUTED_VALUE"""),"الغربية")</f>
        <v>الغربية</v>
      </c>
      <c r="C3031" s="5" t="str">
        <f ca="1">IFERROR(__xludf.DUMMYFUNCTION("""COMPUTED_VALUE"""),"المحلة الكبرى")</f>
        <v>المحلة الكبرى</v>
      </c>
      <c r="D3031" s="5" t="str">
        <f ca="1">IFERROR(__xludf.DUMMYFUNCTION("""COMPUTED_VALUE"""),"معمل")</f>
        <v>معمل</v>
      </c>
      <c r="E3031" s="5" t="str">
        <f ca="1">IFERROR(__xludf.DUMMYFUNCTION("""COMPUTED_VALUE"""),"معمل")</f>
        <v>معمل</v>
      </c>
      <c r="F3031" s="5" t="str">
        <f ca="1">IFERROR(__xludf.DUMMYFUNCTION("""COMPUTED_VALUE"""),"معمل التحاليل الطبية")</f>
        <v>معمل التحاليل الطبية</v>
      </c>
      <c r="G3031" s="5" t="str">
        <f ca="1">IFERROR(__xludf.DUMMYFUNCTION("""COMPUTED_VALUE"""),"وليد فتحي حامد زين الدين وشريكه (معامل لؤلؤة الحياة)")</f>
        <v>وليد فتحي حامد زين الدين وشريكه (معامل لؤلؤة الحياة)</v>
      </c>
      <c r="H3031" s="5" t="str">
        <f ca="1">IFERROR(__xludf.DUMMYFUNCTION("""COMPUTED_VALUE"""),"طلعت حرب برج الصفا والمروه اعلى صيدليه ناصر")</f>
        <v>طلعت حرب برج الصفا والمروه اعلى صيدليه ناصر</v>
      </c>
      <c r="I3031" s="6" t="str">
        <f ca="1">IFERROR(__xludf.DUMMYFUNCTION("""COMPUTED_VALUE"""),"1144457985")</f>
        <v>1144457985</v>
      </c>
      <c r="J3031" s="6" t="str">
        <f ca="1">IFERROR(__xludf.DUMMYFUNCTION("""COMPUTED_VALUE"""),"15613")</f>
        <v>15613</v>
      </c>
      <c r="K3031" s="6" t="str">
        <f ca="1">IFERROR(__xludf.DUMMYFUNCTION("""COMPUTED_VALUE"""),"خصم 40% علي الأسعار النقدي المعلنه")</f>
        <v>خصم 40% علي الأسعار النقدي المعلنه</v>
      </c>
    </row>
    <row r="3032" spans="1:11" x14ac:dyDescent="0.25">
      <c r="A3032" s="4" t="str">
        <f ca="1">IFERROR(__xludf.DUMMYFUNCTION("""COMPUTED_VALUE"""),"107335-B")</f>
        <v>107335-B</v>
      </c>
      <c r="B3032" s="5" t="str">
        <f ca="1">IFERROR(__xludf.DUMMYFUNCTION("""COMPUTED_VALUE"""),"الغربية")</f>
        <v>الغربية</v>
      </c>
      <c r="C3032" s="5" t="str">
        <f ca="1">IFERROR(__xludf.DUMMYFUNCTION("""COMPUTED_VALUE"""),"المحلة الكبرى")</f>
        <v>المحلة الكبرى</v>
      </c>
      <c r="D3032" s="5" t="str">
        <f ca="1">IFERROR(__xludf.DUMMYFUNCTION("""COMPUTED_VALUE"""),"معمل")</f>
        <v>معمل</v>
      </c>
      <c r="E3032" s="5" t="str">
        <f ca="1">IFERROR(__xludf.DUMMYFUNCTION("""COMPUTED_VALUE"""),"معمل")</f>
        <v>معمل</v>
      </c>
      <c r="F3032" s="5" t="str">
        <f ca="1">IFERROR(__xludf.DUMMYFUNCTION("""COMPUTED_VALUE"""),"معمل التحاليل الطبية")</f>
        <v>معمل التحاليل الطبية</v>
      </c>
      <c r="G3032" s="5" t="str">
        <f ca="1">IFERROR(__xludf.DUMMYFUNCTION("""COMPUTED_VALUE"""),"وليد فتحي حامد زين الدين وشريكه (معامل لؤلؤة الحياة)")</f>
        <v>وليد فتحي حامد زين الدين وشريكه (معامل لؤلؤة الحياة)</v>
      </c>
      <c r="H3032" s="5" t="str">
        <f ca="1">IFERROR(__xludf.DUMMYFUNCTION("""COMPUTED_VALUE"""),"اعلى استوديو الدهان امام موقف طلعت حرب")</f>
        <v>اعلى استوديو الدهان امام موقف طلعت حرب</v>
      </c>
      <c r="I3032" s="6" t="str">
        <f ca="1">IFERROR(__xludf.DUMMYFUNCTION("""COMPUTED_VALUE"""),"1147402223")</f>
        <v>1147402223</v>
      </c>
      <c r="J3032" s="6" t="str">
        <f ca="1">IFERROR(__xludf.DUMMYFUNCTION("""COMPUTED_VALUE"""),"15613")</f>
        <v>15613</v>
      </c>
      <c r="K3032" s="6" t="str">
        <f ca="1">IFERROR(__xludf.DUMMYFUNCTION("""COMPUTED_VALUE"""),"خصم 40% علي الأسعار النقدي المعلنه")</f>
        <v>خصم 40% علي الأسعار النقدي المعلنه</v>
      </c>
    </row>
    <row r="3033" spans="1:11" x14ac:dyDescent="0.25">
      <c r="A3033" s="4" t="str">
        <f ca="1">IFERROR(__xludf.DUMMYFUNCTION("""COMPUTED_VALUE"""),"107335-B")</f>
        <v>107335-B</v>
      </c>
      <c r="B3033" s="5" t="str">
        <f ca="1">IFERROR(__xludf.DUMMYFUNCTION("""COMPUTED_VALUE"""),"الغربية")</f>
        <v>الغربية</v>
      </c>
      <c r="C3033" s="5" t="str">
        <f ca="1">IFERROR(__xludf.DUMMYFUNCTION("""COMPUTED_VALUE"""),"المحلة الكبرى")</f>
        <v>المحلة الكبرى</v>
      </c>
      <c r="D3033" s="5" t="str">
        <f ca="1">IFERROR(__xludf.DUMMYFUNCTION("""COMPUTED_VALUE"""),"معمل")</f>
        <v>معمل</v>
      </c>
      <c r="E3033" s="5" t="str">
        <f ca="1">IFERROR(__xludf.DUMMYFUNCTION("""COMPUTED_VALUE"""),"معمل")</f>
        <v>معمل</v>
      </c>
      <c r="F3033" s="5" t="str">
        <f ca="1">IFERROR(__xludf.DUMMYFUNCTION("""COMPUTED_VALUE"""),"معمل التحاليل الطبية")</f>
        <v>معمل التحاليل الطبية</v>
      </c>
      <c r="G3033" s="5" t="str">
        <f ca="1">IFERROR(__xludf.DUMMYFUNCTION("""COMPUTED_VALUE"""),"وليد فتحي حامد زين الدين وشريكه (معامل لؤلؤة الحياة)")</f>
        <v>وليد فتحي حامد زين الدين وشريكه (معامل لؤلؤة الحياة)</v>
      </c>
      <c r="H3033" s="5" t="str">
        <f ca="1">IFERROR(__xludf.DUMMYFUNCTION("""COMPUTED_VALUE"""),"الشون اعلى تيشرتك للملابس برج النخبه الدور الاول")</f>
        <v>الشون اعلى تيشرتك للملابس برج النخبه الدور الاول</v>
      </c>
      <c r="I3033" s="6" t="str">
        <f ca="1">IFERROR(__xludf.DUMMYFUNCTION("""COMPUTED_VALUE"""),"402201001")</f>
        <v>402201001</v>
      </c>
      <c r="J3033" s="6" t="str">
        <f ca="1">IFERROR(__xludf.DUMMYFUNCTION("""COMPUTED_VALUE"""),"15613")</f>
        <v>15613</v>
      </c>
      <c r="K3033" s="6" t="str">
        <f ca="1">IFERROR(__xludf.DUMMYFUNCTION("""COMPUTED_VALUE"""),"خصم 40% علي الأسعار النقدي المعلنه")</f>
        <v>خصم 40% علي الأسعار النقدي المعلنه</v>
      </c>
    </row>
    <row r="3034" spans="1:11" x14ac:dyDescent="0.25">
      <c r="A3034" s="4" t="str">
        <f ca="1">IFERROR(__xludf.DUMMYFUNCTION("""COMPUTED_VALUE"""),"107335-B")</f>
        <v>107335-B</v>
      </c>
      <c r="B3034" s="5" t="str">
        <f ca="1">IFERROR(__xludf.DUMMYFUNCTION("""COMPUTED_VALUE"""),"الغربية")</f>
        <v>الغربية</v>
      </c>
      <c r="C3034" s="5" t="str">
        <f ca="1">IFERROR(__xludf.DUMMYFUNCTION("""COMPUTED_VALUE"""),"المحلة الكبرى")</f>
        <v>المحلة الكبرى</v>
      </c>
      <c r="D3034" s="5" t="str">
        <f ca="1">IFERROR(__xludf.DUMMYFUNCTION("""COMPUTED_VALUE"""),"معمل")</f>
        <v>معمل</v>
      </c>
      <c r="E3034" s="5" t="str">
        <f ca="1">IFERROR(__xludf.DUMMYFUNCTION("""COMPUTED_VALUE"""),"معمل")</f>
        <v>معمل</v>
      </c>
      <c r="F3034" s="5" t="str">
        <f ca="1">IFERROR(__xludf.DUMMYFUNCTION("""COMPUTED_VALUE"""),"معمل التحاليل الطبية")</f>
        <v>معمل التحاليل الطبية</v>
      </c>
      <c r="G3034" s="5" t="str">
        <f ca="1">IFERROR(__xludf.DUMMYFUNCTION("""COMPUTED_VALUE"""),"وليد فتحي حامد زين الدين وشريكه (معامل لؤلؤة الحياة)")</f>
        <v>وليد فتحي حامد زين الدين وشريكه (معامل لؤلؤة الحياة)</v>
      </c>
      <c r="H3034" s="5" t="str">
        <f ca="1">IFERROR(__xludf.DUMMYFUNCTION("""COMPUTED_VALUE"""),"شارع البحر امام مجلس المدينه")</f>
        <v>شارع البحر امام مجلس المدينه</v>
      </c>
      <c r="I3034" s="6" t="str">
        <f ca="1">IFERROR(__xludf.DUMMYFUNCTION("""COMPUTED_VALUE"""),"402235960")</f>
        <v>402235960</v>
      </c>
      <c r="J3034" s="6" t="str">
        <f ca="1">IFERROR(__xludf.DUMMYFUNCTION("""COMPUTED_VALUE"""),"15613")</f>
        <v>15613</v>
      </c>
      <c r="K3034" s="6" t="str">
        <f ca="1">IFERROR(__xludf.DUMMYFUNCTION("""COMPUTED_VALUE"""),"خصم 40% علي الأسعار النقدي المعلنه")</f>
        <v>خصم 40% علي الأسعار النقدي المعلنه</v>
      </c>
    </row>
    <row r="3035" spans="1:11" x14ac:dyDescent="0.25">
      <c r="A3035" s="4" t="str">
        <f ca="1">IFERROR(__xludf.DUMMYFUNCTION("""COMPUTED_VALUE"""),"107335-B")</f>
        <v>107335-B</v>
      </c>
      <c r="B3035" s="5" t="str">
        <f ca="1">IFERROR(__xludf.DUMMYFUNCTION("""COMPUTED_VALUE"""),"الغربية")</f>
        <v>الغربية</v>
      </c>
      <c r="C3035" s="5" t="str">
        <f ca="1">IFERROR(__xludf.DUMMYFUNCTION("""COMPUTED_VALUE"""),"كفر الزيات")</f>
        <v>كفر الزيات</v>
      </c>
      <c r="D3035" s="5" t="str">
        <f ca="1">IFERROR(__xludf.DUMMYFUNCTION("""COMPUTED_VALUE"""),"معمل")</f>
        <v>معمل</v>
      </c>
      <c r="E3035" s="5" t="str">
        <f ca="1">IFERROR(__xludf.DUMMYFUNCTION("""COMPUTED_VALUE"""),"معمل")</f>
        <v>معمل</v>
      </c>
      <c r="F3035" s="5" t="str">
        <f ca="1">IFERROR(__xludf.DUMMYFUNCTION("""COMPUTED_VALUE"""),"معمل التحاليل الطبية")</f>
        <v>معمل التحاليل الطبية</v>
      </c>
      <c r="G3035" s="5" t="str">
        <f ca="1">IFERROR(__xludf.DUMMYFUNCTION("""COMPUTED_VALUE"""),"وليد فتحي حامد زين الدين وشريكه (معامل لؤلؤة الحياة)")</f>
        <v>وليد فتحي حامد زين الدين وشريكه (معامل لؤلؤة الحياة)</v>
      </c>
      <c r="H3035" s="5" t="str">
        <f ca="1">IFERROR(__xludf.DUMMYFUNCTION("""COMPUTED_VALUE"""),"بجوار جامع القيعي")</f>
        <v>بجوار جامع القيعي</v>
      </c>
      <c r="I3035" s="6" t="str">
        <f ca="1">IFERROR(__xludf.DUMMYFUNCTION("""COMPUTED_VALUE"""),"0110392 7718")</f>
        <v>0110392 7718</v>
      </c>
      <c r="J3035" s="6" t="str">
        <f ca="1">IFERROR(__xludf.DUMMYFUNCTION("""COMPUTED_VALUE"""),"15613")</f>
        <v>15613</v>
      </c>
      <c r="K3035" s="6" t="str">
        <f ca="1">IFERROR(__xludf.DUMMYFUNCTION("""COMPUTED_VALUE"""),"خصم 40% علي الأسعار النقدي المعلنه")</f>
        <v>خصم 40% علي الأسعار النقدي المعلنه</v>
      </c>
    </row>
    <row r="3036" spans="1:11" x14ac:dyDescent="0.25">
      <c r="A3036" s="4" t="str">
        <f ca="1">IFERROR(__xludf.DUMMYFUNCTION("""COMPUTED_VALUE"""),"107335-B")</f>
        <v>107335-B</v>
      </c>
      <c r="B3036" s="5" t="str">
        <f ca="1">IFERROR(__xludf.DUMMYFUNCTION("""COMPUTED_VALUE"""),"كفر الشيخ")</f>
        <v>كفر الشيخ</v>
      </c>
      <c r="C3036" s="5" t="str">
        <f ca="1">IFERROR(__xludf.DUMMYFUNCTION("""COMPUTED_VALUE"""),"كفر الشيخ")</f>
        <v>كفر الشيخ</v>
      </c>
      <c r="D3036" s="5" t="str">
        <f ca="1">IFERROR(__xludf.DUMMYFUNCTION("""COMPUTED_VALUE"""),"معمل")</f>
        <v>معمل</v>
      </c>
      <c r="E3036" s="5" t="str">
        <f ca="1">IFERROR(__xludf.DUMMYFUNCTION("""COMPUTED_VALUE"""),"معمل")</f>
        <v>معمل</v>
      </c>
      <c r="F3036" s="5" t="str">
        <f ca="1">IFERROR(__xludf.DUMMYFUNCTION("""COMPUTED_VALUE"""),"معمل التحاليل الطبية")</f>
        <v>معمل التحاليل الطبية</v>
      </c>
      <c r="G3036" s="5" t="str">
        <f ca="1">IFERROR(__xludf.DUMMYFUNCTION("""COMPUTED_VALUE"""),"وليد فتحي حامد زين الدين وشريكه (معامل لؤلؤة الحياة)")</f>
        <v>وليد فتحي حامد زين الدين وشريكه (معامل لؤلؤة الحياة)</v>
      </c>
      <c r="H3036" s="5" t="str">
        <f ca="1">IFERROR(__xludf.DUMMYFUNCTION("""COMPUTED_VALUE"""),"المحاربين أبراج فينسيا اعلي بنك التجاري الدولي.برج 1 شقه2-كفرالشيخ")</f>
        <v>المحاربين أبراج فينسيا اعلي بنك التجاري الدولي.برج 1 شقه2-كفرالشيخ</v>
      </c>
      <c r="I3036" s="6" t="str">
        <f ca="1">IFERROR(__xludf.DUMMYFUNCTION("""COMPUTED_VALUE"""),"473144199")</f>
        <v>473144199</v>
      </c>
      <c r="J3036" s="6" t="str">
        <f ca="1">IFERROR(__xludf.DUMMYFUNCTION("""COMPUTED_VALUE"""),"15613")</f>
        <v>15613</v>
      </c>
      <c r="K3036" s="6" t="str">
        <f ca="1">IFERROR(__xludf.DUMMYFUNCTION("""COMPUTED_VALUE"""),"خصم 40% علي الأسعار النقدي المعلنه")</f>
        <v>خصم 40% علي الأسعار النقدي المعلنه</v>
      </c>
    </row>
    <row r="3037" spans="1:11" x14ac:dyDescent="0.25">
      <c r="A3037" s="4" t="str">
        <f ca="1">IFERROR(__xludf.DUMMYFUNCTION("""COMPUTED_VALUE"""),"107335-B")</f>
        <v>107335-B</v>
      </c>
      <c r="B3037" s="5" t="str">
        <f ca="1">IFERROR(__xludf.DUMMYFUNCTION("""COMPUTED_VALUE"""),"كفر الشيخ")</f>
        <v>كفر الشيخ</v>
      </c>
      <c r="C3037" s="5" t="str">
        <f ca="1">IFERROR(__xludf.DUMMYFUNCTION("""COMPUTED_VALUE"""),"كفر الشيخ")</f>
        <v>كفر الشيخ</v>
      </c>
      <c r="D3037" s="5" t="str">
        <f ca="1">IFERROR(__xludf.DUMMYFUNCTION("""COMPUTED_VALUE"""),"معمل")</f>
        <v>معمل</v>
      </c>
      <c r="E3037" s="5" t="str">
        <f ca="1">IFERROR(__xludf.DUMMYFUNCTION("""COMPUTED_VALUE"""),"معمل")</f>
        <v>معمل</v>
      </c>
      <c r="F3037" s="5" t="str">
        <f ca="1">IFERROR(__xludf.DUMMYFUNCTION("""COMPUTED_VALUE"""),"معمل التحاليل الطبية")</f>
        <v>معمل التحاليل الطبية</v>
      </c>
      <c r="G3037" s="5" t="str">
        <f ca="1">IFERROR(__xludf.DUMMYFUNCTION("""COMPUTED_VALUE"""),"وليد فتحي حامد زين الدين وشريكه (معامل لؤلؤة الحياة)")</f>
        <v>وليد فتحي حامد زين الدين وشريكه (معامل لؤلؤة الحياة)</v>
      </c>
      <c r="H3037" s="5" t="str">
        <f ca="1">IFERROR(__xludf.DUMMYFUNCTION("""COMPUTED_VALUE"""),"50 شارع معهد الكبد خلف المستشفي العام امام بوابة الإدارة-كفرالشيخ")</f>
        <v>50 شارع معهد الكبد خلف المستشفي العام امام بوابة الإدارة-كفرالشيخ</v>
      </c>
      <c r="I3037" s="6" t="str">
        <f ca="1">IFERROR(__xludf.DUMMYFUNCTION("""COMPUTED_VALUE"""),"1103386604")</f>
        <v>1103386604</v>
      </c>
      <c r="J3037" s="6" t="str">
        <f ca="1">IFERROR(__xludf.DUMMYFUNCTION("""COMPUTED_VALUE"""),"15613")</f>
        <v>15613</v>
      </c>
      <c r="K3037" s="6" t="str">
        <f ca="1">IFERROR(__xludf.DUMMYFUNCTION("""COMPUTED_VALUE"""),"خصم 40% علي الأسعار النقدي المعلنه")</f>
        <v>خصم 40% علي الأسعار النقدي المعلنه</v>
      </c>
    </row>
    <row r="3038" spans="1:11" x14ac:dyDescent="0.25">
      <c r="A3038" s="4" t="str">
        <f ca="1">IFERROR(__xludf.DUMMYFUNCTION("""COMPUTED_VALUE"""),"107335-B")</f>
        <v>107335-B</v>
      </c>
      <c r="B3038" s="5" t="str">
        <f ca="1">IFERROR(__xludf.DUMMYFUNCTION("""COMPUTED_VALUE"""),"الغربية")</f>
        <v>الغربية</v>
      </c>
      <c r="C3038" s="5" t="str">
        <f ca="1">IFERROR(__xludf.DUMMYFUNCTION("""COMPUTED_VALUE"""),"بسيون")</f>
        <v>بسيون</v>
      </c>
      <c r="D3038" s="5" t="str">
        <f ca="1">IFERROR(__xludf.DUMMYFUNCTION("""COMPUTED_VALUE"""),"معمل")</f>
        <v>معمل</v>
      </c>
      <c r="E3038" s="5" t="str">
        <f ca="1">IFERROR(__xludf.DUMMYFUNCTION("""COMPUTED_VALUE"""),"معمل")</f>
        <v>معمل</v>
      </c>
      <c r="F3038" s="5" t="str">
        <f ca="1">IFERROR(__xludf.DUMMYFUNCTION("""COMPUTED_VALUE"""),"معمل التحاليل الطبية")</f>
        <v>معمل التحاليل الطبية</v>
      </c>
      <c r="G3038" s="5" t="str">
        <f ca="1">IFERROR(__xludf.DUMMYFUNCTION("""COMPUTED_VALUE"""),"وليد فتحي حامد زين الدين وشريكه (معامل لؤلؤة الحياة)")</f>
        <v>وليد فتحي حامد زين الدين وشريكه (معامل لؤلؤة الحياة)</v>
      </c>
      <c r="H3038" s="5" t="str">
        <f ca="1">IFERROR(__xludf.DUMMYFUNCTION("""COMPUTED_VALUE"""),"بسيون الموقف الجديد قبل الوكايل")</f>
        <v>بسيون الموقف الجديد قبل الوكايل</v>
      </c>
      <c r="I3038" s="6" t="str">
        <f ca="1">IFERROR(__xludf.DUMMYFUNCTION("""COMPUTED_VALUE"""),"0100403 9971")</f>
        <v>0100403 9971</v>
      </c>
      <c r="J3038" s="6" t="str">
        <f ca="1">IFERROR(__xludf.DUMMYFUNCTION("""COMPUTED_VALUE"""),"15613")</f>
        <v>15613</v>
      </c>
      <c r="K3038" s="6" t="str">
        <f ca="1">IFERROR(__xludf.DUMMYFUNCTION("""COMPUTED_VALUE"""),"خصم 40% علي الأسعار النقدي المعلنه")</f>
        <v>خصم 40% علي الأسعار النقدي المعلنه</v>
      </c>
    </row>
    <row r="3039" spans="1:11" x14ac:dyDescent="0.25">
      <c r="A3039" s="4" t="str">
        <f ca="1">IFERROR(__xludf.DUMMYFUNCTION("""COMPUTED_VALUE"""),"107336")</f>
        <v>107336</v>
      </c>
      <c r="B3039" s="5" t="str">
        <f ca="1">IFERROR(__xludf.DUMMYFUNCTION("""COMPUTED_VALUE"""),"الاسكندرية")</f>
        <v>الاسكندرية</v>
      </c>
      <c r="C3039" s="5" t="str">
        <f ca="1">IFERROR(__xludf.DUMMYFUNCTION("""COMPUTED_VALUE"""),"سموحة")</f>
        <v>سموحة</v>
      </c>
      <c r="D3039" s="5" t="str">
        <f ca="1">IFERROR(__xludf.DUMMYFUNCTION("""COMPUTED_VALUE"""),"مركز علاج طبيعي")</f>
        <v>مركز علاج طبيعي</v>
      </c>
      <c r="E3039" s="5" t="str">
        <f ca="1">IFERROR(__xludf.DUMMYFUNCTION("""COMPUTED_VALUE"""),"علاج طبيعي")</f>
        <v>علاج طبيعي</v>
      </c>
      <c r="F3039" s="5" t="str">
        <f ca="1">IFERROR(__xludf.DUMMYFUNCTION("""COMPUTED_VALUE"""),"جلسات العلاج الطبيعي")</f>
        <v>جلسات العلاج الطبيعي</v>
      </c>
      <c r="G3039" s="5" t="str">
        <f ca="1">IFERROR(__xludf.DUMMYFUNCTION("""COMPUTED_VALUE"""),"محمد جمال محمد محمود رضوان (مركز فيزيو للعلاج الطبيعي)")</f>
        <v>محمد جمال محمد محمود رضوان (مركز فيزيو للعلاج الطبيعي)</v>
      </c>
      <c r="H3039" s="5" t="str">
        <f ca="1">IFERROR(__xludf.DUMMYFUNCTION("""COMPUTED_VALUE"""),"عمارات سما سموحة وحدتان 1 و 2 سم C 1 شارع فوزي معاذ - سموحه - الاسكندرية")</f>
        <v>عمارات سما سموحة وحدتان 1 و 2 سم C 1 شارع فوزي معاذ - سموحه - الاسكندرية</v>
      </c>
      <c r="I3039" s="6" t="str">
        <f ca="1">IFERROR(__xludf.DUMMYFUNCTION("""COMPUTED_VALUE"""),"01061703070")</f>
        <v>01061703070</v>
      </c>
      <c r="J3039" s="6"/>
      <c r="K3039" s="6" t="str">
        <f ca="1">IFERROR(__xludf.DUMMYFUNCTION("""COMPUTED_VALUE"""),"خصم 30% علي الأسعار النقدي المعلنه")</f>
        <v>خصم 30% علي الأسعار النقدي المعلنه</v>
      </c>
    </row>
    <row r="3040" spans="1:11" x14ac:dyDescent="0.25">
      <c r="A3040" s="4" t="str">
        <f ca="1">IFERROR(__xludf.DUMMYFUNCTION("""COMPUTED_VALUE"""),"107342")</f>
        <v>107342</v>
      </c>
      <c r="B3040" s="5" t="str">
        <f ca="1">IFERROR(__xludf.DUMMYFUNCTION("""COMPUTED_VALUE"""),"كفر الشيخ")</f>
        <v>كفر الشيخ</v>
      </c>
      <c r="C3040" s="5" t="str">
        <f ca="1">IFERROR(__xludf.DUMMYFUNCTION("""COMPUTED_VALUE"""),"كفر الشيخ")</f>
        <v>كفر الشيخ</v>
      </c>
      <c r="D3040" s="5" t="str">
        <f ca="1">IFERROR(__xludf.DUMMYFUNCTION("""COMPUTED_VALUE"""),"مركز علاج طبيعي")</f>
        <v>مركز علاج طبيعي</v>
      </c>
      <c r="E3040" s="5" t="str">
        <f ca="1">IFERROR(__xludf.DUMMYFUNCTION("""COMPUTED_VALUE"""),"علاج طبيعي")</f>
        <v>علاج طبيعي</v>
      </c>
      <c r="F3040" s="5" t="str">
        <f ca="1">IFERROR(__xludf.DUMMYFUNCTION("""COMPUTED_VALUE"""),"جلسات العلاج الطبيعي")</f>
        <v>جلسات العلاج الطبيعي</v>
      </c>
      <c r="G3040" s="5" t="str">
        <f ca="1">IFERROR(__xludf.DUMMYFUNCTION("""COMPUTED_VALUE"""),"د/ محمد حسين محمد أبو المكارم حماد (مركز أبو المكارم للعلاج الطبيعي)")</f>
        <v>د/ محمد حسين محمد أبو المكارم حماد (مركز أبو المكارم للعلاج الطبيعي)</v>
      </c>
      <c r="H3040" s="5" t="str">
        <f ca="1">IFERROR(__xludf.DUMMYFUNCTION("""COMPUTED_VALUE"""),"شارع الحرية ميت علوان برج دله أمام قصر بدوي للموبيليا - كفرالشيخ")</f>
        <v>شارع الحرية ميت علوان برج دله أمام قصر بدوي للموبيليا - كفرالشيخ</v>
      </c>
      <c r="I3040" s="6" t="str">
        <f ca="1">IFERROR(__xludf.DUMMYFUNCTION("""COMPUTED_VALUE"""),"01096655677")</f>
        <v>01096655677</v>
      </c>
      <c r="J3040" s="6"/>
      <c r="K3040" s="6" t="str">
        <f ca="1">IFERROR(__xludf.DUMMYFUNCTION("""COMPUTED_VALUE"""),"خصم 40% علي الأسعار النقدي المعلنه")</f>
        <v>خصم 40% علي الأسعار النقدي المعلنه</v>
      </c>
    </row>
    <row r="3041" spans="1:11" x14ac:dyDescent="0.25">
      <c r="A3041" s="4" t="str">
        <f ca="1">IFERROR(__xludf.DUMMYFUNCTION("""COMPUTED_VALUE"""),"107343")</f>
        <v>107343</v>
      </c>
      <c r="B3041" s="5" t="str">
        <f ca="1">IFERROR(__xludf.DUMMYFUNCTION("""COMPUTED_VALUE"""),"الدقهلية")</f>
        <v>الدقهلية</v>
      </c>
      <c r="C3041" s="5" t="str">
        <f ca="1">IFERROR(__xludf.DUMMYFUNCTION("""COMPUTED_VALUE"""),"ميت غمر")</f>
        <v>ميت غمر</v>
      </c>
      <c r="D3041" s="5" t="str">
        <f ca="1">IFERROR(__xludf.DUMMYFUNCTION("""COMPUTED_VALUE"""),"مركز علاج طبيعي")</f>
        <v>مركز علاج طبيعي</v>
      </c>
      <c r="E3041" s="5" t="str">
        <f ca="1">IFERROR(__xludf.DUMMYFUNCTION("""COMPUTED_VALUE"""),"علاج طبيعي")</f>
        <v>علاج طبيعي</v>
      </c>
      <c r="F3041" s="5" t="str">
        <f ca="1">IFERROR(__xludf.DUMMYFUNCTION("""COMPUTED_VALUE"""),"جلسات العلاج الطبيعي")</f>
        <v>جلسات العلاج الطبيعي</v>
      </c>
      <c r="G3041" s="5" t="str">
        <f ca="1">IFERROR(__xludf.DUMMYFUNCTION("""COMPUTED_VALUE"""),"د/ السعيد عبدالرحمن حسن عبدالرحمن خاطر (مركز خاطر للعلاج الطبيعي)")</f>
        <v>د/ السعيد عبدالرحمن حسن عبدالرحمن خاطر (مركز خاطر للعلاج الطبيعي)</v>
      </c>
      <c r="H3041" s="5" t="str">
        <f ca="1">IFERROR(__xludf.DUMMYFUNCTION("""COMPUTED_VALUE"""),"ش بكير من ش سكة داقوس - ميت غمر - الدقهلية")</f>
        <v>ش بكير من ش سكة داقوس - ميت غمر - الدقهلية</v>
      </c>
      <c r="I3041" s="6" t="str">
        <f ca="1">IFERROR(__xludf.DUMMYFUNCTION("""COMPUTED_VALUE"""),"054908405")</f>
        <v>054908405</v>
      </c>
      <c r="J3041" s="6"/>
      <c r="K3041" s="6" t="str">
        <f ca="1">IFERROR(__xludf.DUMMYFUNCTION("""COMPUTED_VALUE"""),"خصم 50% علي الأسعار النقدي المعلنه")</f>
        <v>خصم 50% علي الأسعار النقدي المعلنه</v>
      </c>
    </row>
    <row r="3042" spans="1:11" x14ac:dyDescent="0.25">
      <c r="A3042" s="4" t="str">
        <f ca="1">IFERROR(__xludf.DUMMYFUNCTION("""COMPUTED_VALUE"""),"107344")</f>
        <v>107344</v>
      </c>
      <c r="B3042" s="5" t="str">
        <f ca="1">IFERROR(__xludf.DUMMYFUNCTION("""COMPUTED_VALUE"""),"القليوبية")</f>
        <v>القليوبية</v>
      </c>
      <c r="C3042" s="5" t="str">
        <f ca="1">IFERROR(__xludf.DUMMYFUNCTION("""COMPUTED_VALUE"""),"طوخ")</f>
        <v>طوخ</v>
      </c>
      <c r="D3042" s="5" t="str">
        <f ca="1">IFERROR(__xludf.DUMMYFUNCTION("""COMPUTED_VALUE"""),"مستشفى")</f>
        <v>مستشفى</v>
      </c>
      <c r="E3042" s="5" t="str">
        <f ca="1">IFERROR(__xludf.DUMMYFUNCTION("""COMPUTED_VALUE"""),"مستشفي طبي متكامل")</f>
        <v>مستشفي طبي متكامل</v>
      </c>
      <c r="F3042" s="5" t="str">
        <f ca="1">IFERROR(__xludf.DUMMYFUNCTION("""COMPUTED_VALUE"""),"جميع التخصصات الطبية")</f>
        <v>جميع التخصصات الطبية</v>
      </c>
      <c r="G3042" s="5" t="str">
        <f ca="1">IFERROR(__xludf.DUMMYFUNCTION("""COMPUTED_VALUE"""),"دار الحكمة الطبية - القليوبية")</f>
        <v>دار الحكمة الطبية - القليوبية</v>
      </c>
      <c r="H3042" s="5" t="str">
        <f ca="1">IFERROR(__xludf.DUMMYFUNCTION("""COMPUTED_VALUE"""),"ميت كنانة بجوار ابو جميل")</f>
        <v>ميت كنانة بجوار ابو جميل</v>
      </c>
      <c r="I3042" s="6" t="str">
        <f ca="1">IFERROR(__xludf.DUMMYFUNCTION("""COMPUTED_VALUE"""),"0132405588")</f>
        <v>0132405588</v>
      </c>
      <c r="J3042" s="6"/>
      <c r="K3042" s="6" t="str">
        <f ca="1">IFERROR(__xludf.DUMMYFUNCTION("""COMPUTED_VALUE"""),"خصم 20% علي الأسعار النقدي المعلنه")</f>
        <v>خصم 20% علي الأسعار النقدي المعلنه</v>
      </c>
    </row>
    <row r="3043" spans="1:11" x14ac:dyDescent="0.25">
      <c r="A3043" s="4" t="str">
        <f ca="1">IFERROR(__xludf.DUMMYFUNCTION("""COMPUTED_VALUE"""),"107345")</f>
        <v>107345</v>
      </c>
      <c r="B3043" s="5" t="str">
        <f ca="1">IFERROR(__xludf.DUMMYFUNCTION("""COMPUTED_VALUE"""),"الشرقية")</f>
        <v>الشرقية</v>
      </c>
      <c r="C3043" s="5" t="str">
        <f ca="1">IFERROR(__xludf.DUMMYFUNCTION("""COMPUTED_VALUE"""),"كفر صقر")</f>
        <v>كفر صقر</v>
      </c>
      <c r="D3043" s="5" t="str">
        <f ca="1">IFERROR(__xludf.DUMMYFUNCTION("""COMPUTED_VALUE"""),"هيئة الأطباء")</f>
        <v>هيئة الأطباء</v>
      </c>
      <c r="E3043" s="5" t="str">
        <f ca="1">IFERROR(__xludf.DUMMYFUNCTION("""COMPUTED_VALUE"""),"رمد")</f>
        <v>رمد</v>
      </c>
      <c r="F3043" s="5" t="str">
        <f ca="1">IFERROR(__xludf.DUMMYFUNCTION("""COMPUTED_VALUE"""),"رمد (جراحة عيون)")</f>
        <v>رمد (جراحة عيون)</v>
      </c>
      <c r="G3043" s="5" t="str">
        <f ca="1">IFERROR(__xludf.DUMMYFUNCTION("""COMPUTED_VALUE"""),"د/ احمد سعيد عبدالرازق احمد")</f>
        <v>د/ احمد سعيد عبدالرازق احمد</v>
      </c>
      <c r="H3043" s="5" t="str">
        <f ca="1">IFERROR(__xludf.DUMMYFUNCTION("""COMPUTED_VALUE"""),"شارع التحرير حي النصر - كفر صقر - الشرقية")</f>
        <v>شارع التحرير حي النصر - كفر صقر - الشرقية</v>
      </c>
      <c r="I3043" s="6" t="str">
        <f ca="1">IFERROR(__xludf.DUMMYFUNCTION("""COMPUTED_VALUE"""),"01098875565")</f>
        <v>01098875565</v>
      </c>
      <c r="J3043" s="6"/>
      <c r="K3043" s="6" t="str">
        <f ca="1">IFERROR(__xludf.DUMMYFUNCTION("""COMPUTED_VALUE"""),"خصم 20% علي الأسعار النقدي المعلنه")</f>
        <v>خصم 20% علي الأسعار النقدي المعلنه</v>
      </c>
    </row>
    <row r="3044" spans="1:11" x14ac:dyDescent="0.25">
      <c r="A3044" s="4" t="str">
        <f ca="1">IFERROR(__xludf.DUMMYFUNCTION("""COMPUTED_VALUE"""),"107345-B")</f>
        <v>107345-B</v>
      </c>
      <c r="B3044" s="5" t="str">
        <f ca="1">IFERROR(__xludf.DUMMYFUNCTION("""COMPUTED_VALUE"""),"القاهرة")</f>
        <v>القاهرة</v>
      </c>
      <c r="C3044" s="5" t="str">
        <f ca="1">IFERROR(__xludf.DUMMYFUNCTION("""COMPUTED_VALUE"""),"القاهرة الجديدة")</f>
        <v>القاهرة الجديدة</v>
      </c>
      <c r="D3044" s="5" t="str">
        <f ca="1">IFERROR(__xludf.DUMMYFUNCTION("""COMPUTED_VALUE"""),"هيئة الأطباء")</f>
        <v>هيئة الأطباء</v>
      </c>
      <c r="E3044" s="5" t="str">
        <f ca="1">IFERROR(__xludf.DUMMYFUNCTION("""COMPUTED_VALUE"""),"رمد")</f>
        <v>رمد</v>
      </c>
      <c r="F3044" s="5" t="str">
        <f ca="1">IFERROR(__xludf.DUMMYFUNCTION("""COMPUTED_VALUE"""),"رمد (جراحة عيون)")</f>
        <v>رمد (جراحة عيون)</v>
      </c>
      <c r="G3044" s="5" t="str">
        <f ca="1">IFERROR(__xludf.DUMMYFUNCTION("""COMPUTED_VALUE"""),"د/ احمد سعيد عبدالرازق احمد")</f>
        <v>د/ احمد سعيد عبدالرازق احمد</v>
      </c>
      <c r="H3044" s="5" t="str">
        <f ca="1">IFERROR(__xludf.DUMMYFUNCTION("""COMPUTED_VALUE"""),"مول ايترنا الطبي امام كومباوند ميفيدا - التجمع الخامس - القاهرة")</f>
        <v>مول ايترنا الطبي امام كومباوند ميفيدا - التجمع الخامس - القاهرة</v>
      </c>
      <c r="I3044" s="6" t="str">
        <f ca="1">IFERROR(__xludf.DUMMYFUNCTION("""COMPUTED_VALUE"""),"01098875565")</f>
        <v>01098875565</v>
      </c>
      <c r="J3044" s="6"/>
      <c r="K3044" s="6" t="str">
        <f ca="1">IFERROR(__xludf.DUMMYFUNCTION("""COMPUTED_VALUE"""),"خصم 20% علي الأسعار النقدي المعلنه")</f>
        <v>خصم 20% علي الأسعار النقدي المعلنه</v>
      </c>
    </row>
    <row r="3045" spans="1:11" x14ac:dyDescent="0.25">
      <c r="A3045" s="4" t="str">
        <f ca="1">IFERROR(__xludf.DUMMYFUNCTION("""COMPUTED_VALUE"""),"107345-B")</f>
        <v>107345-B</v>
      </c>
      <c r="B3045" s="5" t="str">
        <f ca="1">IFERROR(__xludf.DUMMYFUNCTION("""COMPUTED_VALUE"""),"الشرقية")</f>
        <v>الشرقية</v>
      </c>
      <c r="C3045" s="5" t="str">
        <f ca="1">IFERROR(__xludf.DUMMYFUNCTION("""COMPUTED_VALUE"""),"الزقازيق")</f>
        <v>الزقازيق</v>
      </c>
      <c r="D3045" s="5" t="str">
        <f ca="1">IFERROR(__xludf.DUMMYFUNCTION("""COMPUTED_VALUE"""),"هيئة الأطباء")</f>
        <v>هيئة الأطباء</v>
      </c>
      <c r="E3045" s="5" t="str">
        <f ca="1">IFERROR(__xludf.DUMMYFUNCTION("""COMPUTED_VALUE"""),"رمد")</f>
        <v>رمد</v>
      </c>
      <c r="F3045" s="5" t="str">
        <f ca="1">IFERROR(__xludf.DUMMYFUNCTION("""COMPUTED_VALUE"""),"رمد (جراحة عيون)")</f>
        <v>رمد (جراحة عيون)</v>
      </c>
      <c r="G3045" s="5" t="str">
        <f ca="1">IFERROR(__xludf.DUMMYFUNCTION("""COMPUTED_VALUE"""),"د/ احمد سعيد عبدالرازق احمد")</f>
        <v>د/ احمد سعيد عبدالرازق احمد</v>
      </c>
      <c r="H3045" s="5" t="str">
        <f ca="1">IFERROR(__xludf.DUMMYFUNCTION("""COMPUTED_VALUE"""),"ش المشير احمد اسماعيل اعلي بلبن القومية - الزقازيق - الشرقية")</f>
        <v>ش المشير احمد اسماعيل اعلي بلبن القومية - الزقازيق - الشرقية</v>
      </c>
      <c r="I3045" s="6" t="str">
        <f ca="1">IFERROR(__xludf.DUMMYFUNCTION("""COMPUTED_VALUE"""),"01098875565")</f>
        <v>01098875565</v>
      </c>
      <c r="J3045" s="6"/>
      <c r="K3045" s="6" t="str">
        <f ca="1">IFERROR(__xludf.DUMMYFUNCTION("""COMPUTED_VALUE"""),"خصم 20% علي الأسعار النقدي المعلنه")</f>
        <v>خصم 20% علي الأسعار النقدي المعلنه</v>
      </c>
    </row>
    <row r="3046" spans="1:11" x14ac:dyDescent="0.25">
      <c r="A3046" s="4" t="str">
        <f ca="1">IFERROR(__xludf.DUMMYFUNCTION("""COMPUTED_VALUE"""),"107346")</f>
        <v>107346</v>
      </c>
      <c r="B3046" s="5" t="str">
        <f ca="1">IFERROR(__xludf.DUMMYFUNCTION("""COMPUTED_VALUE"""),"بني سويف")</f>
        <v>بني سويف</v>
      </c>
      <c r="C3046" s="5" t="str">
        <f ca="1">IFERROR(__xludf.DUMMYFUNCTION("""COMPUTED_VALUE"""),"بني سويف")</f>
        <v>بني سويف</v>
      </c>
      <c r="D3046" s="5" t="str">
        <f ca="1">IFERROR(__xludf.DUMMYFUNCTION("""COMPUTED_VALUE"""),"هيئة الأطباء")</f>
        <v>هيئة الأطباء</v>
      </c>
      <c r="E3046" s="5" t="str">
        <f ca="1">IFERROR(__xludf.DUMMYFUNCTION("""COMPUTED_VALUE"""),"اسنان")</f>
        <v>اسنان</v>
      </c>
      <c r="F3046" s="5" t="str">
        <f ca="1">IFERROR(__xludf.DUMMYFUNCTION("""COMPUTED_VALUE"""),"جراحة الفم والأسنان")</f>
        <v>جراحة الفم والأسنان</v>
      </c>
      <c r="G3046" s="5" t="str">
        <f ca="1">IFERROR(__xludf.DUMMYFUNCTION("""COMPUTED_VALUE"""),"د/ بسام محمد حسين سليمان سرحان")</f>
        <v>د/ بسام محمد حسين سليمان سرحان</v>
      </c>
      <c r="H3046" s="5" t="str">
        <f ca="1">IFERROR(__xludf.DUMMYFUNCTION("""COMPUTED_VALUE"""),"12 السيدة حورية من ش أحمد عرابي - بني سويف")</f>
        <v>12 السيدة حورية من ش أحمد عرابي - بني سويف</v>
      </c>
      <c r="I3046" s="6" t="str">
        <f ca="1">IFERROR(__xludf.DUMMYFUNCTION("""COMPUTED_VALUE"""),"01101678029")</f>
        <v>01101678029</v>
      </c>
      <c r="J3046" s="6"/>
      <c r="K3046" s="6" t="str">
        <f ca="1">IFERROR(__xludf.DUMMYFUNCTION("""COMPUTED_VALUE"""),"خصم 30% علي الأسعار النقدي المعلنه")</f>
        <v>خصم 30% علي الأسعار النقدي المعلنه</v>
      </c>
    </row>
    <row r="3047" spans="1:11" x14ac:dyDescent="0.25">
      <c r="A3047" s="4" t="str">
        <f ca="1">IFERROR(__xludf.DUMMYFUNCTION("""COMPUTED_VALUE"""),"107159-B")</f>
        <v>107159-B</v>
      </c>
      <c r="B3047" s="5" t="str">
        <f ca="1">IFERROR(__xludf.DUMMYFUNCTION("""COMPUTED_VALUE"""),"القاهرة")</f>
        <v>القاهرة</v>
      </c>
      <c r="C3047" s="5" t="str">
        <f ca="1">IFERROR(__xludf.DUMMYFUNCTION("""COMPUTED_VALUE"""),"مصر الجديدة")</f>
        <v>مصر الجديدة</v>
      </c>
      <c r="D3047" s="5" t="str">
        <f ca="1">IFERROR(__xludf.DUMMYFUNCTION("""COMPUTED_VALUE"""),"هيئة الأطباء")</f>
        <v>هيئة الأطباء</v>
      </c>
      <c r="E3047" s="5" t="str">
        <f ca="1">IFERROR(__xludf.DUMMYFUNCTION("""COMPUTED_VALUE"""),"اسنان")</f>
        <v>اسنان</v>
      </c>
      <c r="F3047" s="5" t="str">
        <f ca="1">IFERROR(__xludf.DUMMYFUNCTION("""COMPUTED_VALUE"""),"جراحة الفم والأسنان")</f>
        <v>جراحة الفم والأسنان</v>
      </c>
      <c r="G3047" s="5" t="str">
        <f ca="1">IFERROR(__xludf.DUMMYFUNCTION("""COMPUTED_VALUE"""),"د. مايكل عياد صبري حبيب")</f>
        <v>د. مايكل عياد صبري حبيب</v>
      </c>
      <c r="H3047" s="5" t="str">
        <f ca="1">IFERROR(__xludf.DUMMYFUNCTION("""COMPUTED_VALUE"""),"18 ش المنصورة - ميدان الجامع مصر الجديدة / الدور الثالث")</f>
        <v>18 ش المنصورة - ميدان الجامع مصر الجديدة / الدور الثالث</v>
      </c>
      <c r="I3047" s="6" t="str">
        <f ca="1">IFERROR(__xludf.DUMMYFUNCTION("""COMPUTED_VALUE"""),"01208880218")</f>
        <v>01208880218</v>
      </c>
      <c r="J3047" s="6"/>
      <c r="K3047" s="6" t="str">
        <f ca="1">IFERROR(__xludf.DUMMYFUNCTION("""COMPUTED_VALUE"""),"خصم 30%علي الأسعار النقدي المعلنة")</f>
        <v>خصم 30%علي الأسعار النقدي المعلنة</v>
      </c>
    </row>
    <row r="3048" spans="1:11" x14ac:dyDescent="0.25">
      <c r="A3048" s="4" t="str">
        <f ca="1">IFERROR(__xludf.DUMMYFUNCTION("""COMPUTED_VALUE"""),"107159-B")</f>
        <v>107159-B</v>
      </c>
      <c r="B3048" s="5" t="str">
        <f ca="1">IFERROR(__xludf.DUMMYFUNCTION("""COMPUTED_VALUE"""),"القاهرة")</f>
        <v>القاهرة</v>
      </c>
      <c r="C3048" s="5" t="str">
        <f ca="1">IFERROR(__xludf.DUMMYFUNCTION("""COMPUTED_VALUE"""),"شبرا")</f>
        <v>شبرا</v>
      </c>
      <c r="D3048" s="5" t="str">
        <f ca="1">IFERROR(__xludf.DUMMYFUNCTION("""COMPUTED_VALUE"""),"هيئة الأطباء")</f>
        <v>هيئة الأطباء</v>
      </c>
      <c r="E3048" s="5" t="str">
        <f ca="1">IFERROR(__xludf.DUMMYFUNCTION("""COMPUTED_VALUE"""),"اسنان")</f>
        <v>اسنان</v>
      </c>
      <c r="F3048" s="5" t="str">
        <f ca="1">IFERROR(__xludf.DUMMYFUNCTION("""COMPUTED_VALUE"""),"جراحة الفم والأسنان")</f>
        <v>جراحة الفم والأسنان</v>
      </c>
      <c r="G3048" s="5" t="str">
        <f ca="1">IFERROR(__xludf.DUMMYFUNCTION("""COMPUTED_VALUE"""),"د. مايكل عياد صبري حبيب")</f>
        <v>د. مايكل عياد صبري حبيب</v>
      </c>
      <c r="H3048" s="5" t="str">
        <f ca="1">IFERROR(__xludf.DUMMYFUNCTION("""COMPUTED_VALUE"""),"211 شارع شبرا، فوق مونجيني، الدور الثالث، عند محطة مترو سانت تيريز")</f>
        <v>211 شارع شبرا، فوق مونجيني، الدور الثالث، عند محطة مترو سانت تيريز</v>
      </c>
      <c r="I3048" s="6" t="str">
        <f ca="1">IFERROR(__xludf.DUMMYFUNCTION("""COMPUTED_VALUE"""),"01090317518")</f>
        <v>01090317518</v>
      </c>
      <c r="J3048" s="6"/>
      <c r="K3048" s="6" t="str">
        <f ca="1">IFERROR(__xludf.DUMMYFUNCTION("""COMPUTED_VALUE"""),"خصم 30%علي الأسعار النقدي المعلنة")</f>
        <v>خصم 30%علي الأسعار النقدي المعلنة</v>
      </c>
    </row>
    <row r="3049" spans="1:11" x14ac:dyDescent="0.25">
      <c r="A3049" s="4" t="str">
        <f ca="1">IFERROR(__xludf.DUMMYFUNCTION("""COMPUTED_VALUE"""),"107349-B")</f>
        <v>107349-B</v>
      </c>
      <c r="B3049" s="5" t="str">
        <f ca="1">IFERROR(__xludf.DUMMYFUNCTION("""COMPUTED_VALUE"""),"الغربية")</f>
        <v>الغربية</v>
      </c>
      <c r="C3049" s="5" t="str">
        <f ca="1">IFERROR(__xludf.DUMMYFUNCTION("""COMPUTED_VALUE"""),"قاطور")</f>
        <v>قاطور</v>
      </c>
      <c r="D3049" s="5" t="str">
        <f ca="1">IFERROR(__xludf.DUMMYFUNCTION("""COMPUTED_VALUE"""),"صيدلية")</f>
        <v>صيدلية</v>
      </c>
      <c r="E3049" s="5" t="str">
        <f ca="1">IFERROR(__xludf.DUMMYFUNCTION("""COMPUTED_VALUE"""),"صيدلية")</f>
        <v>صيدلية</v>
      </c>
      <c r="F3049" s="5" t="str">
        <f ca="1">IFERROR(__xludf.DUMMYFUNCTION("""COMPUTED_VALUE"""),"صيدلية (أدوية ومستلزمات طبية)")</f>
        <v>صيدلية (أدوية ومستلزمات طبية)</v>
      </c>
      <c r="G3049" s="5" t="str">
        <f ca="1">IFERROR(__xludf.DUMMYFUNCTION("""COMPUTED_VALUE"""),"محمد عبدالهادي مصطفي جبر (صيدليات جبر)")</f>
        <v>محمد عبدالهادي مصطفي جبر (صيدليات جبر)</v>
      </c>
      <c r="H3049" s="5" t="str">
        <f ca="1">IFERROR(__xludf.DUMMYFUNCTION("""COMPUTED_VALUE"""),"سجين الكوم مركز قطور - الغربية")</f>
        <v>سجين الكوم مركز قطور - الغربية</v>
      </c>
      <c r="I3049" s="6" t="str">
        <f ca="1">IFERROR(__xludf.DUMMYFUNCTION("""COMPUTED_VALUE"""),"01226666149")</f>
        <v>01226666149</v>
      </c>
      <c r="J3049" s="6"/>
      <c r="K3049" s="6" t="str">
        <f ca="1">IFERROR(__xludf.DUMMYFUNCTION("""COMPUTED_VALUE"""),"13 % على المحلى ,7% على المستورد")</f>
        <v>13 % على المحلى ,7% على المستورد</v>
      </c>
    </row>
    <row r="3050" spans="1:11" x14ac:dyDescent="0.25">
      <c r="A3050" s="4" t="str">
        <f ca="1">IFERROR(__xludf.DUMMYFUNCTION("""COMPUTED_VALUE"""),"107349-B")</f>
        <v>107349-B</v>
      </c>
      <c r="B3050" s="5" t="str">
        <f ca="1">IFERROR(__xludf.DUMMYFUNCTION("""COMPUTED_VALUE"""),"القاهرة")</f>
        <v>القاهرة</v>
      </c>
      <c r="C3050" s="5" t="str">
        <f ca="1">IFERROR(__xludf.DUMMYFUNCTION("""COMPUTED_VALUE"""),"المقطم")</f>
        <v>المقطم</v>
      </c>
      <c r="D3050" s="5" t="str">
        <f ca="1">IFERROR(__xludf.DUMMYFUNCTION("""COMPUTED_VALUE"""),"صيدلية")</f>
        <v>صيدلية</v>
      </c>
      <c r="E3050" s="5" t="str">
        <f ca="1">IFERROR(__xludf.DUMMYFUNCTION("""COMPUTED_VALUE"""),"صيدلية")</f>
        <v>صيدلية</v>
      </c>
      <c r="F3050" s="5" t="str">
        <f ca="1">IFERROR(__xludf.DUMMYFUNCTION("""COMPUTED_VALUE"""),"صيدلية (أدوية ومستلزمات طبية)")</f>
        <v>صيدلية (أدوية ومستلزمات طبية)</v>
      </c>
      <c r="G3050" s="5" t="str">
        <f ca="1">IFERROR(__xludf.DUMMYFUNCTION("""COMPUTED_VALUE"""),"محمد عبدالهادي مصطفي جبر (صيدليات جبر)")</f>
        <v>محمد عبدالهادي مصطفي جبر (صيدليات جبر)</v>
      </c>
      <c r="H3050" s="5" t="str">
        <f ca="1">IFERROR(__xludf.DUMMYFUNCTION("""COMPUTED_VALUE"""),"ع 3121 الحي الثاني الهضبة الوسطى أمام مدرسة الواحه")</f>
        <v>ع 3121 الحي الثاني الهضبة الوسطى أمام مدرسة الواحه</v>
      </c>
      <c r="I3050" s="6" t="str">
        <f ca="1">IFERROR(__xludf.DUMMYFUNCTION("""COMPUTED_VALUE"""),"1554864555")</f>
        <v>1554864555</v>
      </c>
      <c r="J3050" s="6"/>
      <c r="K3050" s="6" t="str">
        <f ca="1">IFERROR(__xludf.DUMMYFUNCTION("""COMPUTED_VALUE"""),"13 % على المحلى ,7% على المستورد")</f>
        <v>13 % على المحلى ,7% على المستورد</v>
      </c>
    </row>
    <row r="3051" spans="1:11" x14ac:dyDescent="0.25">
      <c r="A3051" s="4" t="str">
        <f ca="1">IFERROR(__xludf.DUMMYFUNCTION("""COMPUTED_VALUE"""),"107349-B")</f>
        <v>107349-B</v>
      </c>
      <c r="B3051" s="5" t="str">
        <f ca="1">IFERROR(__xludf.DUMMYFUNCTION("""COMPUTED_VALUE"""),"القاهرة")</f>
        <v>القاهرة</v>
      </c>
      <c r="C3051" s="5" t="str">
        <f ca="1">IFERROR(__xludf.DUMMYFUNCTION("""COMPUTED_VALUE"""),"المعادى")</f>
        <v>المعادى</v>
      </c>
      <c r="D3051" s="5" t="str">
        <f ca="1">IFERROR(__xludf.DUMMYFUNCTION("""COMPUTED_VALUE"""),"صيدلية")</f>
        <v>صيدلية</v>
      </c>
      <c r="E3051" s="5" t="str">
        <f ca="1">IFERROR(__xludf.DUMMYFUNCTION("""COMPUTED_VALUE"""),"صيدلية")</f>
        <v>صيدلية</v>
      </c>
      <c r="F3051" s="5" t="str">
        <f ca="1">IFERROR(__xludf.DUMMYFUNCTION("""COMPUTED_VALUE"""),"صيدلية (أدوية ومستلزمات طبية)")</f>
        <v>صيدلية (أدوية ومستلزمات طبية)</v>
      </c>
      <c r="G3051" s="5" t="str">
        <f ca="1">IFERROR(__xludf.DUMMYFUNCTION("""COMPUTED_VALUE"""),"محمد عبدالهادي مصطفي جبر (صيدليات جبر)")</f>
        <v>محمد عبدالهادي مصطفي جبر (صيدليات جبر)</v>
      </c>
      <c r="H3051" s="5" t="str">
        <f ca="1">IFERROR(__xludf.DUMMYFUNCTION("""COMPUTED_VALUE"""),"ع 9074 المجاورة التاسعه المعراج السفلي")</f>
        <v>ع 9074 المجاورة التاسعه المعراج السفلي</v>
      </c>
      <c r="I3051" s="6" t="str">
        <f ca="1">IFERROR(__xludf.DUMMYFUNCTION("""COMPUTED_VALUE"""),"1210379340")</f>
        <v>1210379340</v>
      </c>
      <c r="J3051" s="6"/>
      <c r="K3051" s="6" t="str">
        <f ca="1">IFERROR(__xludf.DUMMYFUNCTION("""COMPUTED_VALUE"""),"13 % على المحلى ,7% على المستورد")</f>
        <v>13 % على المحلى ,7% على المستورد</v>
      </c>
    </row>
    <row r="3052" spans="1:11" x14ac:dyDescent="0.25">
      <c r="A3052" s="4" t="str">
        <f ca="1">IFERROR(__xludf.DUMMYFUNCTION("""COMPUTED_VALUE"""),"107349-B")</f>
        <v>107349-B</v>
      </c>
      <c r="B3052" s="5" t="str">
        <f ca="1">IFERROR(__xludf.DUMMYFUNCTION("""COMPUTED_VALUE"""),"القاهرة")</f>
        <v>القاهرة</v>
      </c>
      <c r="C3052" s="5" t="str">
        <f ca="1">IFERROR(__xludf.DUMMYFUNCTION("""COMPUTED_VALUE"""),"المعادى")</f>
        <v>المعادى</v>
      </c>
      <c r="D3052" s="5" t="str">
        <f ca="1">IFERROR(__xludf.DUMMYFUNCTION("""COMPUTED_VALUE"""),"صيدلية")</f>
        <v>صيدلية</v>
      </c>
      <c r="E3052" s="5" t="str">
        <f ca="1">IFERROR(__xludf.DUMMYFUNCTION("""COMPUTED_VALUE"""),"صيدلية")</f>
        <v>صيدلية</v>
      </c>
      <c r="F3052" s="5" t="str">
        <f ca="1">IFERROR(__xludf.DUMMYFUNCTION("""COMPUTED_VALUE"""),"صيدلية (أدوية ومستلزمات طبية)")</f>
        <v>صيدلية (أدوية ومستلزمات طبية)</v>
      </c>
      <c r="G3052" s="5" t="str">
        <f ca="1">IFERROR(__xludf.DUMMYFUNCTION("""COMPUTED_VALUE"""),"محمد عبدالهادي مصطفي جبر (صيدليات جبر)")</f>
        <v>محمد عبدالهادي مصطفي جبر (صيدليات جبر)</v>
      </c>
      <c r="H3052" s="5" t="str">
        <f ca="1">IFERROR(__xludf.DUMMYFUNCTION("""COMPUTED_VALUE"""),"ع 5060 خلف المعادي سنتر متفرع من ش الكورنيشش المعراج العلوي")</f>
        <v>ع 5060 خلف المعادي سنتر متفرع من ش الكورنيشش المعراج العلوي</v>
      </c>
      <c r="I3052" s="6" t="str">
        <f ca="1">IFERROR(__xludf.DUMMYFUNCTION("""COMPUTED_VALUE"""),"1022632253")</f>
        <v>1022632253</v>
      </c>
      <c r="J3052" s="6"/>
      <c r="K3052" s="6" t="str">
        <f ca="1">IFERROR(__xludf.DUMMYFUNCTION("""COMPUTED_VALUE"""),"13 % على المحلى ,7% على المستورد")</f>
        <v>13 % على المحلى ,7% على المستورد</v>
      </c>
    </row>
    <row r="3053" spans="1:11" x14ac:dyDescent="0.25">
      <c r="A3053" s="4" t="str">
        <f ca="1">IFERROR(__xludf.DUMMYFUNCTION("""COMPUTED_VALUE"""),"107349")</f>
        <v>107349</v>
      </c>
      <c r="B3053" s="5" t="str">
        <f ca="1">IFERROR(__xludf.DUMMYFUNCTION("""COMPUTED_VALUE"""),"القاهرة")</f>
        <v>القاهرة</v>
      </c>
      <c r="C3053" s="5" t="str">
        <f ca="1">IFERROR(__xludf.DUMMYFUNCTION("""COMPUTED_VALUE"""),"المعادى")</f>
        <v>المعادى</v>
      </c>
      <c r="D3053" s="5" t="str">
        <f ca="1">IFERROR(__xludf.DUMMYFUNCTION("""COMPUTED_VALUE"""),"صيدلية")</f>
        <v>صيدلية</v>
      </c>
      <c r="E3053" s="5" t="str">
        <f ca="1">IFERROR(__xludf.DUMMYFUNCTION("""COMPUTED_VALUE"""),"صيدلية")</f>
        <v>صيدلية</v>
      </c>
      <c r="F3053" s="5" t="str">
        <f ca="1">IFERROR(__xludf.DUMMYFUNCTION("""COMPUTED_VALUE"""),"صيدلية (أدوية ومستلزمات طبية)")</f>
        <v>صيدلية (أدوية ومستلزمات طبية)</v>
      </c>
      <c r="G3053" s="5" t="str">
        <f ca="1">IFERROR(__xludf.DUMMYFUNCTION("""COMPUTED_VALUE"""),"محمد عبدالهادي مصطفي جبر (صيدليات جبر)")</f>
        <v>محمد عبدالهادي مصطفي جبر (صيدليات جبر)</v>
      </c>
      <c r="H3053" s="5" t="str">
        <f ca="1">IFERROR(__xludf.DUMMYFUNCTION("""COMPUTED_VALUE"""),"ع 10021 خلف المعادي سنتر مدينة المعراج العلوي")</f>
        <v>ع 10021 خلف المعادي سنتر مدينة المعراج العلوي</v>
      </c>
      <c r="I3053" s="6" t="str">
        <f ca="1">IFERROR(__xludf.DUMMYFUNCTION("""COMPUTED_VALUE"""),"1018183361")</f>
        <v>1018183361</v>
      </c>
      <c r="J3053" s="6"/>
      <c r="K3053" s="6" t="str">
        <f ca="1">IFERROR(__xludf.DUMMYFUNCTION("""COMPUTED_VALUE"""),"13 % على المحلى ,7% على المستورد")</f>
        <v>13 % على المحلى ,7% على المستورد</v>
      </c>
    </row>
    <row r="3054" spans="1:11" x14ac:dyDescent="0.25">
      <c r="A3054" s="4" t="str">
        <f ca="1">IFERROR(__xludf.DUMMYFUNCTION("""COMPUTED_VALUE"""),"107350")</f>
        <v>107350</v>
      </c>
      <c r="B3054" s="5" t="str">
        <f ca="1">IFERROR(__xludf.DUMMYFUNCTION("""COMPUTED_VALUE"""),"القاهرة")</f>
        <v>القاهرة</v>
      </c>
      <c r="C3054" s="5" t="str">
        <f ca="1">IFERROR(__xludf.DUMMYFUNCTION("""COMPUTED_VALUE"""),"عابدين")</f>
        <v>عابدين</v>
      </c>
      <c r="D3054" s="5" t="str">
        <f ca="1">IFERROR(__xludf.DUMMYFUNCTION("""COMPUTED_VALUE"""),"صيدلية")</f>
        <v>صيدلية</v>
      </c>
      <c r="E3054" s="5" t="str">
        <f ca="1">IFERROR(__xludf.DUMMYFUNCTION("""COMPUTED_VALUE"""),"صيدلية")</f>
        <v>صيدلية</v>
      </c>
      <c r="F3054" s="5" t="str">
        <f ca="1">IFERROR(__xludf.DUMMYFUNCTION("""COMPUTED_VALUE"""),"صيدلية (أدوية ومستلزمات طبية)")</f>
        <v>صيدلية (أدوية ومستلزمات طبية)</v>
      </c>
      <c r="G3054" s="5" t="str">
        <f ca="1">IFERROR(__xludf.DUMMYFUNCTION("""COMPUTED_VALUE"""),"هايدي سامي سعد حنا (صيدلية الداخلية)")</f>
        <v>هايدي سامي سعد حنا (صيدلية الداخلية)</v>
      </c>
      <c r="H3054" s="5" t="str">
        <f ca="1">IFERROR(__xludf.DUMMYFUNCTION("""COMPUTED_VALUE"""),"32 ش الشيخ ريحان - عابدين - القاهرة")</f>
        <v>32 ش الشيخ ريحان - عابدين - القاهرة</v>
      </c>
      <c r="I3054" s="6" t="str">
        <f ca="1">IFERROR(__xludf.DUMMYFUNCTION("""COMPUTED_VALUE"""),"01220406622")</f>
        <v>01220406622</v>
      </c>
      <c r="J3054" s="6"/>
      <c r="K3054" s="6" t="str">
        <f ca="1">IFERROR(__xludf.DUMMYFUNCTION("""COMPUTED_VALUE"""),"17 % على المحلى ,17% على المستورد")</f>
        <v>17 % على المحلى ,17% على المستورد</v>
      </c>
    </row>
    <row r="3055" spans="1:11" x14ac:dyDescent="0.25">
      <c r="A3055" s="4" t="str">
        <f ca="1">IFERROR(__xludf.DUMMYFUNCTION("""COMPUTED_VALUE"""),"107351")</f>
        <v>107351</v>
      </c>
      <c r="B3055" s="5" t="str">
        <f ca="1">IFERROR(__xludf.DUMMYFUNCTION("""COMPUTED_VALUE"""),"البحيرة")</f>
        <v>البحيرة</v>
      </c>
      <c r="C3055" s="5" t="str">
        <f ca="1">IFERROR(__xludf.DUMMYFUNCTION("""COMPUTED_VALUE"""),"دمنهور")</f>
        <v>دمنهور</v>
      </c>
      <c r="D3055" s="5" t="str">
        <f ca="1">IFERROR(__xludf.DUMMYFUNCTION("""COMPUTED_VALUE"""),"مستشفى")</f>
        <v>مستشفى</v>
      </c>
      <c r="E3055" s="5" t="str">
        <f ca="1">IFERROR(__xludf.DUMMYFUNCTION("""COMPUTED_VALUE"""),"مستشفي طبي متخصص")</f>
        <v>مستشفي طبي متخصص</v>
      </c>
      <c r="F3055" s="5" t="str">
        <f ca="1">IFERROR(__xludf.DUMMYFUNCTION("""COMPUTED_VALUE"""),"أمراض الكلى و المسالك و الكلى الصناعية")</f>
        <v>أمراض الكلى و المسالك و الكلى الصناعية</v>
      </c>
      <c r="G3055" s="5" t="str">
        <f ca="1">IFERROR(__xludf.DUMMYFUNCTION("""COMPUTED_VALUE"""),"مركز دمنهورللكلي")</f>
        <v>مركز دمنهورللكلي</v>
      </c>
      <c r="H3055" s="5" t="str">
        <f ca="1">IFERROR(__xludf.DUMMYFUNCTION("""COMPUTED_VALUE"""),"شارع عباس الاعصر متفرع من ش عرابي - ارض الميري برج الشروق - دمنهور - البحيرة")</f>
        <v>شارع عباس الاعصر متفرع من ش عرابي - ارض الميري برج الشروق - دمنهور - البحيرة</v>
      </c>
      <c r="I3055" s="6" t="str">
        <f ca="1">IFERROR(__xludf.DUMMYFUNCTION("""COMPUTED_VALUE"""),"010027053333")</f>
        <v>010027053333</v>
      </c>
      <c r="J3055" s="6"/>
      <c r="K3055" s="6" t="str">
        <f ca="1">IFERROR(__xludf.DUMMYFUNCTION("""COMPUTED_VALUE"""),"خصم 30%علي الأسعار النقدي المعلنة")</f>
        <v>خصم 30%علي الأسعار النقدي المعلنة</v>
      </c>
    </row>
    <row r="3056" spans="1:11" x14ac:dyDescent="0.25">
      <c r="A3056" s="4" t="str">
        <f ca="1">IFERROR(__xludf.DUMMYFUNCTION("""COMPUTED_VALUE"""),"107352")</f>
        <v>107352</v>
      </c>
      <c r="B3056" s="5" t="str">
        <f ca="1">IFERROR(__xludf.DUMMYFUNCTION("""COMPUTED_VALUE"""),"الأقصر")</f>
        <v>الأقصر</v>
      </c>
      <c r="C3056" s="5" t="str">
        <f ca="1">IFERROR(__xludf.DUMMYFUNCTION("""COMPUTED_VALUE"""),"الأقصر")</f>
        <v>الأقصر</v>
      </c>
      <c r="D3056" s="5" t="str">
        <f ca="1">IFERROR(__xludf.DUMMYFUNCTION("""COMPUTED_VALUE"""),"مركز علاج طبيعي")</f>
        <v>مركز علاج طبيعي</v>
      </c>
      <c r="E3056" s="5" t="str">
        <f ca="1">IFERROR(__xludf.DUMMYFUNCTION("""COMPUTED_VALUE"""),"علاج طبيعي")</f>
        <v>علاج طبيعي</v>
      </c>
      <c r="F3056" s="5" t="str">
        <f ca="1">IFERROR(__xludf.DUMMYFUNCTION("""COMPUTED_VALUE"""),"جلسات العلاج الطبيعي")</f>
        <v>جلسات العلاج الطبيعي</v>
      </c>
      <c r="G3056" s="5" t="str">
        <f ca="1">IFERROR(__xludf.DUMMYFUNCTION("""COMPUTED_VALUE"""),"محمد عثمان ابراهيم احمد (مركز رعاية للعلاج الطبيعي)")</f>
        <v>محمد عثمان ابراهيم احمد (مركز رعاية للعلاج الطبيعي)</v>
      </c>
      <c r="H3056" s="5" t="str">
        <f ca="1">IFERROR(__xludf.DUMMYFUNCTION("""COMPUTED_VALUE"""),"ش سيناء متفرع من ش التلفزيون - الاقصر")</f>
        <v>ش سيناء متفرع من ش التلفزيون - الاقصر</v>
      </c>
      <c r="I3056" s="6" t="str">
        <f ca="1">IFERROR(__xludf.DUMMYFUNCTION("""COMPUTED_VALUE"""),"01141334393")</f>
        <v>01141334393</v>
      </c>
      <c r="J3056" s="6"/>
      <c r="K3056" s="6" t="str">
        <f ca="1">IFERROR(__xludf.DUMMYFUNCTION("""COMPUTED_VALUE"""),"خصم 30%علي الأسعار النقدي المعلنة")</f>
        <v>خصم 30%علي الأسعار النقدي المعلنة</v>
      </c>
    </row>
    <row r="3057" spans="1:11" x14ac:dyDescent="0.25">
      <c r="A3057" s="4" t="str">
        <f ca="1">IFERROR(__xludf.DUMMYFUNCTION("""COMPUTED_VALUE"""),"107353")</f>
        <v>107353</v>
      </c>
      <c r="B3057" s="5" t="str">
        <f ca="1">IFERROR(__xludf.DUMMYFUNCTION("""COMPUTED_VALUE"""),"الأقصر")</f>
        <v>الأقصر</v>
      </c>
      <c r="C3057" s="5" t="str">
        <f ca="1">IFERROR(__xludf.DUMMYFUNCTION("""COMPUTED_VALUE"""),"الأقصر")</f>
        <v>الأقصر</v>
      </c>
      <c r="D3057" s="5" t="str">
        <f ca="1">IFERROR(__xludf.DUMMYFUNCTION("""COMPUTED_VALUE"""),"شركة")</f>
        <v>شركة</v>
      </c>
      <c r="E3057" s="5" t="str">
        <f ca="1">IFERROR(__xludf.DUMMYFUNCTION("""COMPUTED_VALUE"""),"شركة اجهزة طبية")</f>
        <v>شركة اجهزة طبية</v>
      </c>
      <c r="F3057" s="5" t="str">
        <f ca="1">IFERROR(__xludf.DUMMYFUNCTION("""COMPUTED_VALUE"""),"مركز بصريات")</f>
        <v>مركز بصريات</v>
      </c>
      <c r="G3057" s="5" t="str">
        <f ca="1">IFERROR(__xludf.DUMMYFUNCTION("""COMPUTED_VALUE"""),"معاذ عبدالستار احمد محمد (مركز ماس للبصريات)")</f>
        <v>معاذ عبدالستار احمد محمد (مركز ماس للبصريات)</v>
      </c>
      <c r="H3057" s="5" t="str">
        <f ca="1">IFERROR(__xludf.DUMMYFUNCTION("""COMPUTED_VALUE"""),"ارمنت الوابورات ش مستشفي حورس بجوار الاسعاف")</f>
        <v>ارمنت الوابورات ش مستشفي حورس بجوار الاسعاف</v>
      </c>
      <c r="I3057" s="6" t="str">
        <f ca="1">IFERROR(__xludf.DUMMYFUNCTION("""COMPUTED_VALUE"""),"01062826602")</f>
        <v>01062826602</v>
      </c>
      <c r="J3057" s="6"/>
      <c r="K3057" s="6" t="str">
        <f ca="1">IFERROR(__xludf.DUMMYFUNCTION("""COMPUTED_VALUE"""),"خصم 30%علي الأسعار النقدي المعلنة")</f>
        <v>خصم 30%علي الأسعار النقدي المعلنة</v>
      </c>
    </row>
    <row r="3058" spans="1:11" x14ac:dyDescent="0.25">
      <c r="A3058" s="4" t="str">
        <f ca="1">IFERROR(__xludf.DUMMYFUNCTION("""COMPUTED_VALUE"""),"107354")</f>
        <v>107354</v>
      </c>
      <c r="B3058" s="5" t="str">
        <f ca="1">IFERROR(__xludf.DUMMYFUNCTION("""COMPUTED_VALUE"""),"القاهرة")</f>
        <v>القاهرة</v>
      </c>
      <c r="C3058" s="5" t="str">
        <f ca="1">IFERROR(__xludf.DUMMYFUNCTION("""COMPUTED_VALUE"""),"عابدين")</f>
        <v>عابدين</v>
      </c>
      <c r="D3058" s="5" t="str">
        <f ca="1">IFERROR(__xludf.DUMMYFUNCTION("""COMPUTED_VALUE"""),"صيدلية")</f>
        <v>صيدلية</v>
      </c>
      <c r="E3058" s="5" t="str">
        <f ca="1">IFERROR(__xludf.DUMMYFUNCTION("""COMPUTED_VALUE"""),"صيدلية")</f>
        <v>صيدلية</v>
      </c>
      <c r="F3058" s="5" t="str">
        <f ca="1">IFERROR(__xludf.DUMMYFUNCTION("""COMPUTED_VALUE"""),"صيدلية (أدوية ومستلزمات طبية)")</f>
        <v>صيدلية (أدوية ومستلزمات طبية)</v>
      </c>
      <c r="G3058" s="5" t="str">
        <f ca="1">IFERROR(__xludf.DUMMYFUNCTION("""COMPUTED_VALUE"""),"صيدلية ورثة د وليد - ولاء امام و شركائها (صيدلية وليد وحيد)")</f>
        <v>صيدلية ورثة د وليد - ولاء امام و شركائها (صيدلية وليد وحيد)</v>
      </c>
      <c r="H3058" s="5" t="str">
        <f ca="1">IFERROR(__xludf.DUMMYFUNCTION("""COMPUTED_VALUE"""),"22 ميدان الجمهورية و ياخذ 1  قوله - عابدين - القاهرة")</f>
        <v>22 ميدان الجمهورية و ياخذ 1  قوله - عابدين - القاهرة</v>
      </c>
      <c r="I3058" s="6" t="str">
        <f ca="1">IFERROR(__xludf.DUMMYFUNCTION("""COMPUTED_VALUE"""),"0223956072")</f>
        <v>0223956072</v>
      </c>
      <c r="J3058" s="6"/>
      <c r="K3058" s="6" t="str">
        <f ca="1">IFERROR(__xludf.DUMMYFUNCTION("""COMPUTED_VALUE"""),"17 % على المحلى ,17% على المستورد")</f>
        <v>17 % على المحلى ,17% على المستورد</v>
      </c>
    </row>
    <row r="3059" spans="1:11" x14ac:dyDescent="0.25">
      <c r="A3059" s="4" t="str">
        <f ca="1">IFERROR(__xludf.DUMMYFUNCTION("""COMPUTED_VALUE"""),"107355")</f>
        <v>107355</v>
      </c>
      <c r="B3059" s="5" t="str">
        <f ca="1">IFERROR(__xludf.DUMMYFUNCTION("""COMPUTED_VALUE"""),"الأقصر")</f>
        <v>الأقصر</v>
      </c>
      <c r="C3059" s="5" t="str">
        <f ca="1">IFERROR(__xludf.DUMMYFUNCTION("""COMPUTED_VALUE"""),"الأقصر")</f>
        <v>الأقصر</v>
      </c>
      <c r="D3059" s="5" t="str">
        <f ca="1">IFERROR(__xludf.DUMMYFUNCTION("""COMPUTED_VALUE"""),"مركز أشعة")</f>
        <v>مركز أشعة</v>
      </c>
      <c r="E3059" s="5" t="str">
        <f ca="1">IFERROR(__xludf.DUMMYFUNCTION("""COMPUTED_VALUE"""),"مركز أشعة")</f>
        <v>مركز أشعة</v>
      </c>
      <c r="F3059" s="5" t="str">
        <f ca="1">IFERROR(__xludf.DUMMYFUNCTION("""COMPUTED_VALUE"""),"أشعة تشخيصية")</f>
        <v>أشعة تشخيصية</v>
      </c>
      <c r="G3059" s="5" t="str">
        <f ca="1">IFERROR(__xludf.DUMMYFUNCTION("""COMPUTED_VALUE"""),"عبداللاه نظير يسن محمد (مركز الصفا للأشعه) - موافقة مسبقة")</f>
        <v>عبداللاه نظير يسن محمد (مركز الصفا للأشعه) - موافقة مسبقة</v>
      </c>
      <c r="H3059" s="5" t="str">
        <f ca="1">IFERROR(__xludf.DUMMYFUNCTION("""COMPUTED_VALUE"""),"ش عمر علي متفرع من ش التليفزيون - الاقصر")</f>
        <v>ش عمر علي متفرع من ش التليفزيون - الاقصر</v>
      </c>
      <c r="I3059" s="6" t="str">
        <f ca="1">IFERROR(__xludf.DUMMYFUNCTION("""COMPUTED_VALUE"""),"01064661660")</f>
        <v>01064661660</v>
      </c>
      <c r="J3059" s="6"/>
      <c r="K3059" s="6" t="str">
        <f ca="1">IFERROR(__xludf.DUMMYFUNCTION("""COMPUTED_VALUE"""),"خصم 10%علي الأسعار النقدي المعلنة")</f>
        <v>خصم 10%علي الأسعار النقدي المعلنة</v>
      </c>
    </row>
    <row r="3060" spans="1:11" x14ac:dyDescent="0.25">
      <c r="A3060" s="4" t="str">
        <f ca="1">IFERROR(__xludf.DUMMYFUNCTION("""COMPUTED_VALUE"""),"107356")</f>
        <v>107356</v>
      </c>
      <c r="B3060" s="5" t="str">
        <f ca="1">IFERROR(__xludf.DUMMYFUNCTION("""COMPUTED_VALUE"""),"الشرقية")</f>
        <v>الشرقية</v>
      </c>
      <c r="C3060" s="5" t="str">
        <f ca="1">IFERROR(__xludf.DUMMYFUNCTION("""COMPUTED_VALUE"""),"مشتول السوق")</f>
        <v>مشتول السوق</v>
      </c>
      <c r="D3060" s="5" t="str">
        <f ca="1">IFERROR(__xludf.DUMMYFUNCTION("""COMPUTED_VALUE"""),"مركز أشعة")</f>
        <v>مركز أشعة</v>
      </c>
      <c r="E3060" s="5" t="str">
        <f ca="1">IFERROR(__xludf.DUMMYFUNCTION("""COMPUTED_VALUE"""),"مركز أشعة")</f>
        <v>مركز أشعة</v>
      </c>
      <c r="F3060" s="5" t="str">
        <f ca="1">IFERROR(__xludf.DUMMYFUNCTION("""COMPUTED_VALUE"""),"أشعة تشخيصية")</f>
        <v>أشعة تشخيصية</v>
      </c>
      <c r="G3060" s="5" t="str">
        <f ca="1">IFERROR(__xludf.DUMMYFUNCTION("""COMPUTED_VALUE"""),"مودرن سكان للأشعة ش ذ م م")</f>
        <v>مودرن سكان للأشعة ش ذ م م</v>
      </c>
      <c r="H3060" s="5" t="str">
        <f ca="1">IFERROR(__xludf.DUMMYFUNCTION("""COMPUTED_VALUE"""),"شقة 1 بملك جيهان 2 ش دار الشفاء من ش العروبة مشتول السوق - الشرقية")</f>
        <v>شقة 1 بملك جيهان 2 ش دار الشفاء من ش العروبة مشتول السوق - الشرقية</v>
      </c>
      <c r="I3060" s="6" t="str">
        <f ca="1">IFERROR(__xludf.DUMMYFUNCTION("""COMPUTED_VALUE"""),"01060624251")</f>
        <v>01060624251</v>
      </c>
      <c r="J3060" s="6"/>
      <c r="K3060" s="6" t="str">
        <f ca="1">IFERROR(__xludf.DUMMYFUNCTION("""COMPUTED_VALUE"""),"خصم 30%علي الأسعار النقدي المعلنة")</f>
        <v>خصم 30%علي الأسعار النقدي المعلنة</v>
      </c>
    </row>
    <row r="3061" spans="1:11" x14ac:dyDescent="0.25">
      <c r="A3061" s="4" t="str">
        <f ca="1">IFERROR(__xludf.DUMMYFUNCTION("""COMPUTED_VALUE"""),"107357")</f>
        <v>107357</v>
      </c>
      <c r="B3061" s="5" t="str">
        <f ca="1">IFERROR(__xludf.DUMMYFUNCTION("""COMPUTED_VALUE"""),"سوهاج")</f>
        <v>سوهاج</v>
      </c>
      <c r="C3061" s="5" t="str">
        <f ca="1">IFERROR(__xludf.DUMMYFUNCTION("""COMPUTED_VALUE"""),"المراغة")</f>
        <v>المراغة</v>
      </c>
      <c r="D3061" s="5" t="str">
        <f ca="1">IFERROR(__xludf.DUMMYFUNCTION("""COMPUTED_VALUE"""),"مستشفى")</f>
        <v>مستشفى</v>
      </c>
      <c r="E3061" s="5" t="str">
        <f ca="1">IFERROR(__xludf.DUMMYFUNCTION("""COMPUTED_VALUE"""),"جميع التخصصات")</f>
        <v>جميع التخصصات</v>
      </c>
      <c r="F3061" s="5" t="str">
        <f ca="1">IFERROR(__xludf.DUMMYFUNCTION("""COMPUTED_VALUE"""),"جميع التخصصات الطبية")</f>
        <v>جميع التخصصات الطبية</v>
      </c>
      <c r="G3061" s="5" t="str">
        <f ca="1">IFERROR(__xludf.DUMMYFUNCTION("""COMPUTED_VALUE"""),"مستشفي الراعي الطبي الخيري")</f>
        <v>مستشفي الراعي الطبي الخيري</v>
      </c>
      <c r="H3061" s="5" t="str">
        <f ca="1">IFERROR(__xludf.DUMMYFUNCTION("""COMPUTED_VALUE"""),"شارع بورسعيد - المراغة - سوهاج")</f>
        <v>شارع بورسعيد - المراغة - سوهاج</v>
      </c>
      <c r="I3061" s="6" t="str">
        <f ca="1">IFERROR(__xludf.DUMMYFUNCTION("""COMPUTED_VALUE"""),"01277656465")</f>
        <v>01277656465</v>
      </c>
      <c r="J3061" s="6"/>
      <c r="K3061" s="6" t="str">
        <f ca="1">IFERROR(__xludf.DUMMYFUNCTION("""COMPUTED_VALUE"""),"خصم 30%علي الأسعار النقدي المعلنة")</f>
        <v>خصم 30%علي الأسعار النقدي المعلنة</v>
      </c>
    </row>
    <row r="3062" spans="1:11" x14ac:dyDescent="0.25">
      <c r="A3062" s="4" t="str">
        <f ca="1">IFERROR(__xludf.DUMMYFUNCTION("""COMPUTED_VALUE"""),"107358")</f>
        <v>107358</v>
      </c>
      <c r="B3062" s="5" t="str">
        <f ca="1">IFERROR(__xludf.DUMMYFUNCTION("""COMPUTED_VALUE"""),"المنيا")</f>
        <v>المنيا</v>
      </c>
      <c r="C3062" s="5" t="str">
        <f ca="1">IFERROR(__xludf.DUMMYFUNCTION("""COMPUTED_VALUE"""),"المنيا")</f>
        <v>المنيا</v>
      </c>
      <c r="D3062" s="5" t="str">
        <f ca="1">IFERROR(__xludf.DUMMYFUNCTION("""COMPUTED_VALUE"""),"مستشفى")</f>
        <v>مستشفى</v>
      </c>
      <c r="E3062" s="5" t="str">
        <f ca="1">IFERROR(__xludf.DUMMYFUNCTION("""COMPUTED_VALUE"""),"جميع التخصصات")</f>
        <v>جميع التخصصات</v>
      </c>
      <c r="F3062" s="5" t="str">
        <f ca="1">IFERROR(__xludf.DUMMYFUNCTION("""COMPUTED_VALUE"""),"جميع التخصصات الطبية")</f>
        <v>جميع التخصصات الطبية</v>
      </c>
      <c r="G3062" s="5" t="str">
        <f ca="1">IFERROR(__xludf.DUMMYFUNCTION("""COMPUTED_VALUE"""),"ترست للخدمات الطبية - مستشفي السلامة بالمنيا")</f>
        <v>ترست للخدمات الطبية - مستشفي السلامة بالمنيا</v>
      </c>
      <c r="H3062" s="5" t="str">
        <f ca="1">IFERROR(__xludf.DUMMYFUNCTION("""COMPUTED_VALUE"""),"مبني نقابة المعلمين شارع بورسعيد - المنيا")</f>
        <v>مبني نقابة المعلمين شارع بورسعيد - المنيا</v>
      </c>
      <c r="I3062" s="6" t="str">
        <f ca="1">IFERROR(__xludf.DUMMYFUNCTION("""COMPUTED_VALUE"""),"01050896001")</f>
        <v>01050896001</v>
      </c>
      <c r="J3062" s="6"/>
      <c r="K3062" s="6" t="str">
        <f ca="1">IFERROR(__xludf.DUMMYFUNCTION("""COMPUTED_VALUE"""),"خصم 20%علي الأسعار النقدي المعلنة")</f>
        <v>خصم 20%علي الأسعار النقدي المعلنة</v>
      </c>
    </row>
    <row r="3063" spans="1:11" x14ac:dyDescent="0.25">
      <c r="A3063" s="4" t="str">
        <f ca="1">IFERROR(__xludf.DUMMYFUNCTION("""COMPUTED_VALUE"""),"107367")</f>
        <v>107367</v>
      </c>
      <c r="B3063" s="5" t="str">
        <f ca="1">IFERROR(__xludf.DUMMYFUNCTION("""COMPUTED_VALUE"""),"القاهرة")</f>
        <v>القاهرة</v>
      </c>
      <c r="C3063" s="5" t="str">
        <f ca="1">IFERROR(__xludf.DUMMYFUNCTION("""COMPUTED_VALUE"""),"المعادى")</f>
        <v>المعادى</v>
      </c>
      <c r="D3063" s="5" t="str">
        <f ca="1">IFERROR(__xludf.DUMMYFUNCTION("""COMPUTED_VALUE"""),"صيدلية")</f>
        <v>صيدلية</v>
      </c>
      <c r="E3063" s="5" t="str">
        <f ca="1">IFERROR(__xludf.DUMMYFUNCTION("""COMPUTED_VALUE"""),"صيدلية")</f>
        <v>صيدلية</v>
      </c>
      <c r="F3063" s="5" t="str">
        <f ca="1">IFERROR(__xludf.DUMMYFUNCTION("""COMPUTED_VALUE"""),"صيدلية (أدوية ومستلزمات طبية)")</f>
        <v>صيدلية (أدوية ومستلزمات طبية)</v>
      </c>
      <c r="G3063" s="5" t="str">
        <f ca="1">IFERROR(__xludf.DUMMYFUNCTION("""COMPUTED_VALUE"""),"شركة وياك فارما")</f>
        <v>شركة وياك فارما</v>
      </c>
      <c r="H3063" s="5" t="str">
        <f ca="1">IFERROR(__xludf.DUMMYFUNCTION("""COMPUTED_VALUE"""),"عمارة رقم 9151/4 المجاورة التاسعة - المعراج السفلي - المعادي - القاهرة")</f>
        <v>عمارة رقم 9151/4 المجاورة التاسعة - المعراج السفلي - المعادي - القاهرة</v>
      </c>
      <c r="I3063" s="6" t="str">
        <f ca="1">IFERROR(__xludf.DUMMYFUNCTION("""COMPUTED_VALUE"""),"01272015070")</f>
        <v>01272015070</v>
      </c>
      <c r="J3063" s="6"/>
      <c r="K3063" s="6" t="str">
        <f ca="1">IFERROR(__xludf.DUMMYFUNCTION("""COMPUTED_VALUE"""),"17 % على المحلى ,7% على المستورد")</f>
        <v>17 % على المحلى ,7% على المستورد</v>
      </c>
    </row>
    <row r="3064" spans="1:11" x14ac:dyDescent="0.25">
      <c r="A3064" s="4" t="str">
        <f ca="1">IFERROR(__xludf.DUMMYFUNCTION("""COMPUTED_VALUE"""),"107367-B")</f>
        <v>107367-B</v>
      </c>
      <c r="B3064" s="5" t="str">
        <f ca="1">IFERROR(__xludf.DUMMYFUNCTION("""COMPUTED_VALUE"""),"الجيزة")</f>
        <v>الجيزة</v>
      </c>
      <c r="C3064" s="5" t="str">
        <f ca="1">IFERROR(__xludf.DUMMYFUNCTION("""COMPUTED_VALUE"""),"الهرم")</f>
        <v>الهرم</v>
      </c>
      <c r="D3064" s="5" t="str">
        <f ca="1">IFERROR(__xludf.DUMMYFUNCTION("""COMPUTED_VALUE"""),"صيدلية")</f>
        <v>صيدلية</v>
      </c>
      <c r="E3064" s="5" t="str">
        <f ca="1">IFERROR(__xludf.DUMMYFUNCTION("""COMPUTED_VALUE"""),"صيدلية")</f>
        <v>صيدلية</v>
      </c>
      <c r="F3064" s="5" t="str">
        <f ca="1">IFERROR(__xludf.DUMMYFUNCTION("""COMPUTED_VALUE"""),"صيدلية (أدوية ومستلزمات طبية)")</f>
        <v>صيدلية (أدوية ومستلزمات طبية)</v>
      </c>
      <c r="G3064" s="5" t="str">
        <f ca="1">IFERROR(__xludf.DUMMYFUNCTION("""COMPUTED_VALUE"""),"شركة وياك فارما")</f>
        <v>شركة وياك فارما</v>
      </c>
      <c r="H3064" s="5" t="str">
        <f ca="1">IFERROR(__xludf.DUMMYFUNCTION("""COMPUTED_VALUE"""),"جرين لايف سلطان خطار اللبيني هرم - الجيزة")</f>
        <v>جرين لايف سلطان خطار اللبيني هرم - الجيزة</v>
      </c>
      <c r="I3064" s="6" t="str">
        <f ca="1">IFERROR(__xludf.DUMMYFUNCTION("""COMPUTED_VALUE"""),"01272015070")</f>
        <v>01272015070</v>
      </c>
      <c r="J3064" s="6"/>
      <c r="K3064" s="6" t="str">
        <f ca="1">IFERROR(__xludf.DUMMYFUNCTION("""COMPUTED_VALUE"""),"17 % على المحلى ,7% على المستورد")</f>
        <v>17 % على المحلى ,7% على المستورد</v>
      </c>
    </row>
    <row r="3065" spans="1:11" x14ac:dyDescent="0.25">
      <c r="A3065" s="4" t="str">
        <f ca="1">IFERROR(__xludf.DUMMYFUNCTION("""COMPUTED_VALUE"""),"107368")</f>
        <v>107368</v>
      </c>
      <c r="B3065" s="5" t="str">
        <f ca="1">IFERROR(__xludf.DUMMYFUNCTION("""COMPUTED_VALUE"""),"القليوبية")</f>
        <v>القليوبية</v>
      </c>
      <c r="C3065" s="5" t="str">
        <f ca="1">IFERROR(__xludf.DUMMYFUNCTION("""COMPUTED_VALUE"""),"شبين القناطر")</f>
        <v>شبين القناطر</v>
      </c>
      <c r="D3065" s="5" t="str">
        <f ca="1">IFERROR(__xludf.DUMMYFUNCTION("""COMPUTED_VALUE"""),"صيدلية")</f>
        <v>صيدلية</v>
      </c>
      <c r="E3065" s="5" t="str">
        <f ca="1">IFERROR(__xludf.DUMMYFUNCTION("""COMPUTED_VALUE"""),"صيدلية")</f>
        <v>صيدلية</v>
      </c>
      <c r="F3065" s="5" t="str">
        <f ca="1">IFERROR(__xludf.DUMMYFUNCTION("""COMPUTED_VALUE"""),"صيدلية (أدوية ومستلزمات طبية)")</f>
        <v>صيدلية (أدوية ومستلزمات طبية)</v>
      </c>
      <c r="G3065" s="5" t="str">
        <f ca="1">IFERROR(__xludf.DUMMYFUNCTION("""COMPUTED_VALUE"""),"أحمد سعيد ابوهاشم محمد كوانيني (صيدليات كوانيني)")</f>
        <v>أحمد سعيد ابوهاشم محمد كوانيني (صيدليات كوانيني)</v>
      </c>
      <c r="H3065" s="5" t="str">
        <f ca="1">IFERROR(__xludf.DUMMYFUNCTION("""COMPUTED_VALUE"""),"القليوبيه شبين القناطر ارض الدلتا بجوار مسجد مهران منزل دكتور الاورام دكتور هشام ابو الدهب")</f>
        <v>القليوبيه شبين القناطر ارض الدلتا بجوار مسجد مهران منزل دكتور الاورام دكتور هشام ابو الدهب</v>
      </c>
      <c r="I3065" s="6" t="str">
        <f ca="1">IFERROR(__xludf.DUMMYFUNCTION("""COMPUTED_VALUE"""),"01212495226")</f>
        <v>01212495226</v>
      </c>
      <c r="J3065" s="6"/>
      <c r="K3065" s="6" t="str">
        <f ca="1">IFERROR(__xludf.DUMMYFUNCTION("""COMPUTED_VALUE"""),"14 % على المحلى ,7% على المستورد")</f>
        <v>14 % على المحلى ,7% على المستورد</v>
      </c>
    </row>
    <row r="3066" spans="1:11" x14ac:dyDescent="0.25">
      <c r="A3066" s="4" t="str">
        <f ca="1">IFERROR(__xludf.DUMMYFUNCTION("""COMPUTED_VALUE"""),"107368-B")</f>
        <v>107368-B</v>
      </c>
      <c r="B3066" s="5" t="str">
        <f ca="1">IFERROR(__xludf.DUMMYFUNCTION("""COMPUTED_VALUE"""),"القليوبية")</f>
        <v>القليوبية</v>
      </c>
      <c r="C3066" s="5" t="str">
        <f ca="1">IFERROR(__xludf.DUMMYFUNCTION("""COMPUTED_VALUE"""),"شبين القناطر")</f>
        <v>شبين القناطر</v>
      </c>
      <c r="D3066" s="5" t="str">
        <f ca="1">IFERROR(__xludf.DUMMYFUNCTION("""COMPUTED_VALUE"""),"صيدلية")</f>
        <v>صيدلية</v>
      </c>
      <c r="E3066" s="5" t="str">
        <f ca="1">IFERROR(__xludf.DUMMYFUNCTION("""COMPUTED_VALUE"""),"صيدلية")</f>
        <v>صيدلية</v>
      </c>
      <c r="F3066" s="5" t="str">
        <f ca="1">IFERROR(__xludf.DUMMYFUNCTION("""COMPUTED_VALUE"""),"صيدلية (أدوية ومستلزمات طبية)")</f>
        <v>صيدلية (أدوية ومستلزمات طبية)</v>
      </c>
      <c r="G3066" s="5" t="str">
        <f ca="1">IFERROR(__xludf.DUMMYFUNCTION("""COMPUTED_VALUE"""),"أحمد سعيد ابوهاشم محمد كوانيني (صيدليات كوانيني)")</f>
        <v>أحمد سعيد ابوهاشم محمد كوانيني (صيدليات كوانيني)</v>
      </c>
      <c r="H3066" s="5" t="str">
        <f ca="1">IFERROR(__xludf.DUMMYFUNCTION("""COMPUTED_VALUE"""),"القليوبيه شبين القناطر منشاة الكرام بجوار منزل العمده")</f>
        <v>القليوبيه شبين القناطر منشاة الكرام بجوار منزل العمده</v>
      </c>
      <c r="I3066" s="6" t="str">
        <f ca="1">IFERROR(__xludf.DUMMYFUNCTION("""COMPUTED_VALUE"""),"01017298760")</f>
        <v>01017298760</v>
      </c>
      <c r="J3066" s="6"/>
      <c r="K3066" s="6" t="str">
        <f ca="1">IFERROR(__xludf.DUMMYFUNCTION("""COMPUTED_VALUE"""),"14 % على المحلى ,7% على المستورد")</f>
        <v>14 % على المحلى ,7% على المستورد</v>
      </c>
    </row>
    <row r="3067" spans="1:11" x14ac:dyDescent="0.25">
      <c r="A3067" s="4" t="str">
        <f ca="1">IFERROR(__xludf.DUMMYFUNCTION("""COMPUTED_VALUE"""),"107368-B")</f>
        <v>107368-B</v>
      </c>
      <c r="B3067" s="5" t="str">
        <f ca="1">IFERROR(__xludf.DUMMYFUNCTION("""COMPUTED_VALUE"""),"الجيزة")</f>
        <v>الجيزة</v>
      </c>
      <c r="C3067" s="5" t="str">
        <f ca="1">IFERROR(__xludf.DUMMYFUNCTION("""COMPUTED_VALUE"""),"منشيه القناطر")</f>
        <v>منشيه القناطر</v>
      </c>
      <c r="D3067" s="5" t="str">
        <f ca="1">IFERROR(__xludf.DUMMYFUNCTION("""COMPUTED_VALUE"""),"صيدلية")</f>
        <v>صيدلية</v>
      </c>
      <c r="E3067" s="5" t="str">
        <f ca="1">IFERROR(__xludf.DUMMYFUNCTION("""COMPUTED_VALUE"""),"صيدلية")</f>
        <v>صيدلية</v>
      </c>
      <c r="F3067" s="5" t="str">
        <f ca="1">IFERROR(__xludf.DUMMYFUNCTION("""COMPUTED_VALUE"""),"صيدلية (أدوية ومستلزمات طبية)")</f>
        <v>صيدلية (أدوية ومستلزمات طبية)</v>
      </c>
      <c r="G3067" s="5" t="str">
        <f ca="1">IFERROR(__xludf.DUMMYFUNCTION("""COMPUTED_VALUE"""),"أحمد سعيد ابوهاشم محمد كوانيني (صيدليات كوانيني)")</f>
        <v>أحمد سعيد ابوهاشم محمد كوانيني (صيدليات كوانيني)</v>
      </c>
      <c r="H3067" s="5" t="str">
        <f ca="1">IFERROR(__xludf.DUMMYFUNCTION("""COMPUTED_VALUE"""),"الجيزه منشاة القناطر برقاش امام الوحده الصحيه")</f>
        <v>الجيزه منشاة القناطر برقاش امام الوحده الصحيه</v>
      </c>
      <c r="I3067" s="6" t="str">
        <f ca="1">IFERROR(__xludf.DUMMYFUNCTION("""COMPUTED_VALUE"""),"01060440063")</f>
        <v>01060440063</v>
      </c>
      <c r="J3067" s="6"/>
      <c r="K3067" s="6" t="str">
        <f ca="1">IFERROR(__xludf.DUMMYFUNCTION("""COMPUTED_VALUE"""),"14 % على المحلى ,7% على المستورد")</f>
        <v>14 % على المحلى ,7% على المستورد</v>
      </c>
    </row>
    <row r="3068" spans="1:11" x14ac:dyDescent="0.25">
      <c r="A3068" s="4" t="str">
        <f ca="1">IFERROR(__xludf.DUMMYFUNCTION("""COMPUTED_VALUE"""),"107368-B")</f>
        <v>107368-B</v>
      </c>
      <c r="B3068" s="5" t="str">
        <f ca="1">IFERROR(__xludf.DUMMYFUNCTION("""COMPUTED_VALUE"""),"الشرقية")</f>
        <v>الشرقية</v>
      </c>
      <c r="C3068" s="5" t="str">
        <f ca="1">IFERROR(__xludf.DUMMYFUNCTION("""COMPUTED_VALUE"""),"مشتول السوق")</f>
        <v>مشتول السوق</v>
      </c>
      <c r="D3068" s="5" t="str">
        <f ca="1">IFERROR(__xludf.DUMMYFUNCTION("""COMPUTED_VALUE"""),"صيدلية")</f>
        <v>صيدلية</v>
      </c>
      <c r="E3068" s="5" t="str">
        <f ca="1">IFERROR(__xludf.DUMMYFUNCTION("""COMPUTED_VALUE"""),"صيدلية")</f>
        <v>صيدلية</v>
      </c>
      <c r="F3068" s="5" t="str">
        <f ca="1">IFERROR(__xludf.DUMMYFUNCTION("""COMPUTED_VALUE"""),"صيدلية (أدوية ومستلزمات طبية)")</f>
        <v>صيدلية (أدوية ومستلزمات طبية)</v>
      </c>
      <c r="G3068" s="5" t="str">
        <f ca="1">IFERROR(__xludf.DUMMYFUNCTION("""COMPUTED_VALUE"""),"أحمد سعيد ابوهاشم محمد كوانيني (صيدليات كوانيني)")</f>
        <v>أحمد سعيد ابوهاشم محمد كوانيني (صيدليات كوانيني)</v>
      </c>
      <c r="H3068" s="5" t="str">
        <f ca="1">IFERROR(__xludf.DUMMYFUNCTION("""COMPUTED_VALUE"""),"الشرقيه مشتول السوق بجوار مستشفى دار الشفا")</f>
        <v>الشرقيه مشتول السوق بجوار مستشفى دار الشفا</v>
      </c>
      <c r="I3068" s="6" t="str">
        <f ca="1">IFERROR(__xludf.DUMMYFUNCTION("""COMPUTED_VALUE"""),"01060440063")</f>
        <v>01060440063</v>
      </c>
      <c r="J3068" s="6"/>
      <c r="K3068" s="6" t="str">
        <f ca="1">IFERROR(__xludf.DUMMYFUNCTION("""COMPUTED_VALUE"""),"14 % على المحلى ,7% على المستورد")</f>
        <v>14 % على المحلى ,7% على المستورد</v>
      </c>
    </row>
    <row r="3069" spans="1:11" x14ac:dyDescent="0.25">
      <c r="A3069" s="4" t="str">
        <f ca="1">IFERROR(__xludf.DUMMYFUNCTION("""COMPUTED_VALUE"""),"107368-B")</f>
        <v>107368-B</v>
      </c>
      <c r="B3069" s="5" t="str">
        <f ca="1">IFERROR(__xludf.DUMMYFUNCTION("""COMPUTED_VALUE"""),"الشرقية")</f>
        <v>الشرقية</v>
      </c>
      <c r="C3069" s="5" t="str">
        <f ca="1">IFERROR(__xludf.DUMMYFUNCTION("""COMPUTED_VALUE"""),"الزقازيق")</f>
        <v>الزقازيق</v>
      </c>
      <c r="D3069" s="5" t="str">
        <f ca="1">IFERROR(__xludf.DUMMYFUNCTION("""COMPUTED_VALUE"""),"صيدلية")</f>
        <v>صيدلية</v>
      </c>
      <c r="E3069" s="5" t="str">
        <f ca="1">IFERROR(__xludf.DUMMYFUNCTION("""COMPUTED_VALUE"""),"صيدلية")</f>
        <v>صيدلية</v>
      </c>
      <c r="F3069" s="5" t="str">
        <f ca="1">IFERROR(__xludf.DUMMYFUNCTION("""COMPUTED_VALUE"""),"صيدلية (أدوية ومستلزمات طبية)")</f>
        <v>صيدلية (أدوية ومستلزمات طبية)</v>
      </c>
      <c r="G3069" s="5" t="str">
        <f ca="1">IFERROR(__xludf.DUMMYFUNCTION("""COMPUTED_VALUE"""),"أحمد سعيد ابوهاشم محمد كوانيني (صيدليات كوانيني)")</f>
        <v>أحمد سعيد ابوهاشم محمد كوانيني (صيدليات كوانيني)</v>
      </c>
      <c r="H3069" s="5" t="str">
        <f ca="1">IFERROR(__xludf.DUMMYFUNCTION("""COMPUTED_VALUE"""),"الشرقيه الزقازيق ميدان المحطه بجوار محطه البنزين")</f>
        <v>الشرقيه الزقازيق ميدان المحطه بجوار محطه البنزين</v>
      </c>
      <c r="I3069" s="6" t="str">
        <f ca="1">IFERROR(__xludf.DUMMYFUNCTION("""COMPUTED_VALUE"""),"01060440063")</f>
        <v>01060440063</v>
      </c>
      <c r="J3069" s="6"/>
      <c r="K3069" s="6" t="str">
        <f ca="1">IFERROR(__xludf.DUMMYFUNCTION("""COMPUTED_VALUE"""),"14 % على المحلى ,7% على المستورد")</f>
        <v>14 % على المحلى ,7% على المستورد</v>
      </c>
    </row>
    <row r="3070" spans="1:11" x14ac:dyDescent="0.25">
      <c r="A3070" s="4" t="str">
        <f ca="1">IFERROR(__xludf.DUMMYFUNCTION("""COMPUTED_VALUE"""),"104676-B")</f>
        <v>104676-B</v>
      </c>
      <c r="B3070" s="5" t="str">
        <f ca="1">IFERROR(__xludf.DUMMYFUNCTION("""COMPUTED_VALUE"""),"الاسكندرية")</f>
        <v>الاسكندرية</v>
      </c>
      <c r="C3070" s="5" t="str">
        <f ca="1">IFERROR(__xludf.DUMMYFUNCTION("""COMPUTED_VALUE"""),"العصافرة")</f>
        <v>العصافرة</v>
      </c>
      <c r="D3070" s="5" t="str">
        <f ca="1">IFERROR(__xludf.DUMMYFUNCTION("""COMPUTED_VALUE"""),"صيدلية")</f>
        <v>صيدلية</v>
      </c>
      <c r="E3070" s="5" t="str">
        <f ca="1">IFERROR(__xludf.DUMMYFUNCTION("""COMPUTED_VALUE"""),"صيدلية")</f>
        <v>صيدلية</v>
      </c>
      <c r="F3070" s="5" t="str">
        <f ca="1">IFERROR(__xludf.DUMMYFUNCTION("""COMPUTED_VALUE"""),"صيدلية (أدوية ومستلزمات طبية)")</f>
        <v>صيدلية (أدوية ومستلزمات طبية)</v>
      </c>
      <c r="G3070" s="5" t="str">
        <f ca="1">IFERROR(__xludf.DUMMYFUNCTION("""COMPUTED_VALUE"""),"صيدليات الدواء")</f>
        <v>صيدليات الدواء</v>
      </c>
      <c r="H3070" s="5" t="str">
        <f ca="1">IFERROR(__xludf.DUMMYFUNCTION("""COMPUTED_VALUE"""),"372 من جمال عبد الناصر العصافرة امام عروس دمشق   ")</f>
        <v xml:space="preserve">372 من جمال عبد الناصر العصافرة امام عروس دمشق   </v>
      </c>
      <c r="I3070" s="6" t="str">
        <f ca="1">IFERROR(__xludf.DUMMYFUNCTION("""COMPUTED_VALUE"""),"01283925106")</f>
        <v>01283925106</v>
      </c>
      <c r="J3070" s="6" t="str">
        <f ca="1">IFERROR(__xludf.DUMMYFUNCTION("""COMPUTED_VALUE"""),"15252")</f>
        <v>15252</v>
      </c>
      <c r="K3070" s="6" t="str">
        <f ca="1">IFERROR(__xludf.DUMMYFUNCTION("""COMPUTED_VALUE"""),"خصم 10% علي كل الادويه")</f>
        <v>خصم 10% علي كل الادويه</v>
      </c>
    </row>
    <row r="3071" spans="1:11" x14ac:dyDescent="0.25">
      <c r="A3071" s="4" t="str">
        <f ca="1">IFERROR(__xludf.DUMMYFUNCTION("""COMPUTED_VALUE"""),"104676-B")</f>
        <v>104676-B</v>
      </c>
      <c r="B3071" s="5" t="str">
        <f ca="1">IFERROR(__xludf.DUMMYFUNCTION("""COMPUTED_VALUE"""),"الاسكندرية")</f>
        <v>الاسكندرية</v>
      </c>
      <c r="C3071" s="5" t="str">
        <f ca="1">IFERROR(__xludf.DUMMYFUNCTION("""COMPUTED_VALUE"""),"محرم بيك")</f>
        <v>محرم بيك</v>
      </c>
      <c r="D3071" s="5" t="str">
        <f ca="1">IFERROR(__xludf.DUMMYFUNCTION("""COMPUTED_VALUE"""),"صيدلية")</f>
        <v>صيدلية</v>
      </c>
      <c r="E3071" s="5" t="str">
        <f ca="1">IFERROR(__xludf.DUMMYFUNCTION("""COMPUTED_VALUE"""),"صيدلية")</f>
        <v>صيدلية</v>
      </c>
      <c r="F3071" s="5" t="str">
        <f ca="1">IFERROR(__xludf.DUMMYFUNCTION("""COMPUTED_VALUE"""),"صيدلية (أدوية ومستلزمات طبية)")</f>
        <v>صيدلية (أدوية ومستلزمات طبية)</v>
      </c>
      <c r="G3071" s="5" t="str">
        <f ca="1">IFERROR(__xludf.DUMMYFUNCTION("""COMPUTED_VALUE"""),"صيدليات الدواء")</f>
        <v>صيدليات الدواء</v>
      </c>
      <c r="H3071" s="5" t="str">
        <f ca="1">IFERROR(__xludf.DUMMYFUNCTION("""COMPUTED_VALUE"""),"6 طريق الشهيد جلال الدسوقي تفاطع شارع المنارة وابور المياه ")</f>
        <v xml:space="preserve">6 طريق الشهيد جلال الدسوقي تفاطع شارع المنارة وابور المياه </v>
      </c>
      <c r="I3071" s="6" t="str">
        <f ca="1">IFERROR(__xludf.DUMMYFUNCTION("""COMPUTED_VALUE"""),"01211694166")</f>
        <v>01211694166</v>
      </c>
      <c r="J3071" s="6" t="str">
        <f ca="1">IFERROR(__xludf.DUMMYFUNCTION("""COMPUTED_VALUE"""),"15252")</f>
        <v>15252</v>
      </c>
      <c r="K3071" s="6" t="str">
        <f ca="1">IFERROR(__xludf.DUMMYFUNCTION("""COMPUTED_VALUE"""),"خصم 10% علي كل الادويه")</f>
        <v>خصم 10% علي كل الادويه</v>
      </c>
    </row>
    <row r="3072" spans="1:11" x14ac:dyDescent="0.25">
      <c r="A3072" s="4" t="str">
        <f ca="1">IFERROR(__xludf.DUMMYFUNCTION("""COMPUTED_VALUE"""),"104676-B")</f>
        <v>104676-B</v>
      </c>
      <c r="B3072" s="5" t="str">
        <f ca="1">IFERROR(__xludf.DUMMYFUNCTION("""COMPUTED_VALUE"""),"الاسكندرية")</f>
        <v>الاسكندرية</v>
      </c>
      <c r="C3072" s="5" t="str">
        <f ca="1">IFERROR(__xludf.DUMMYFUNCTION("""COMPUTED_VALUE"""),"محرم بيك")</f>
        <v>محرم بيك</v>
      </c>
      <c r="D3072" s="5" t="str">
        <f ca="1">IFERROR(__xludf.DUMMYFUNCTION("""COMPUTED_VALUE"""),"صيدلية")</f>
        <v>صيدلية</v>
      </c>
      <c r="E3072" s="5" t="str">
        <f ca="1">IFERROR(__xludf.DUMMYFUNCTION("""COMPUTED_VALUE"""),"صيدلية")</f>
        <v>صيدلية</v>
      </c>
      <c r="F3072" s="5" t="str">
        <f ca="1">IFERROR(__xludf.DUMMYFUNCTION("""COMPUTED_VALUE"""),"صيدلية (أدوية ومستلزمات طبية)")</f>
        <v>صيدلية (أدوية ومستلزمات طبية)</v>
      </c>
      <c r="G3072" s="5" t="str">
        <f ca="1">IFERROR(__xludf.DUMMYFUNCTION("""COMPUTED_VALUE"""),"صيدليات الدواء")</f>
        <v>صيدليات الدواء</v>
      </c>
      <c r="H3072" s="5" t="str">
        <f ca="1">IFERROR(__xludf.DUMMYFUNCTION("""COMPUTED_VALUE"""),"83 ش الرصافة محرم بك دوران حساب")</f>
        <v>83 ش الرصافة محرم بك دوران حساب</v>
      </c>
      <c r="I3072" s="6" t="str">
        <f ca="1">IFERROR(__xludf.DUMMYFUNCTION("""COMPUTED_VALUE"""),"01226046882")</f>
        <v>01226046882</v>
      </c>
      <c r="J3072" s="6" t="str">
        <f ca="1">IFERROR(__xludf.DUMMYFUNCTION("""COMPUTED_VALUE"""),"15252")</f>
        <v>15252</v>
      </c>
      <c r="K3072" s="6" t="str">
        <f ca="1">IFERROR(__xludf.DUMMYFUNCTION("""COMPUTED_VALUE"""),"خصم 10% علي كل الادويه")</f>
        <v>خصم 10% علي كل الادويه</v>
      </c>
    </row>
    <row r="3073" spans="1:11" x14ac:dyDescent="0.25">
      <c r="A3073" s="4" t="str">
        <f ca="1">IFERROR(__xludf.DUMMYFUNCTION("""COMPUTED_VALUE"""),"104676-B")</f>
        <v>104676-B</v>
      </c>
      <c r="B3073" s="5" t="str">
        <f ca="1">IFERROR(__xludf.DUMMYFUNCTION("""COMPUTED_VALUE"""),"الاسكندرية")</f>
        <v>الاسكندرية</v>
      </c>
      <c r="C3073" s="5" t="str">
        <f ca="1">IFERROR(__xludf.DUMMYFUNCTION("""COMPUTED_VALUE"""),"مصطفى كامل")</f>
        <v>مصطفى كامل</v>
      </c>
      <c r="D3073" s="5" t="str">
        <f ca="1">IFERROR(__xludf.DUMMYFUNCTION("""COMPUTED_VALUE"""),"صيدلية")</f>
        <v>صيدلية</v>
      </c>
      <c r="E3073" s="5" t="str">
        <f ca="1">IFERROR(__xludf.DUMMYFUNCTION("""COMPUTED_VALUE"""),"صيدلية")</f>
        <v>صيدلية</v>
      </c>
      <c r="F3073" s="5" t="str">
        <f ca="1">IFERROR(__xludf.DUMMYFUNCTION("""COMPUTED_VALUE"""),"صيدلية (أدوية ومستلزمات طبية)")</f>
        <v>صيدلية (أدوية ومستلزمات طبية)</v>
      </c>
      <c r="G3073" s="5" t="str">
        <f ca="1">IFERROR(__xludf.DUMMYFUNCTION("""COMPUTED_VALUE"""),"صيدليات الدواء")</f>
        <v>صيدليات الدواء</v>
      </c>
      <c r="H3073" s="5" t="str">
        <f ca="1">IFERROR(__xludf.DUMMYFUNCTION("""COMPUTED_VALUE"""),"رقم 398 مصطفى كامل")</f>
        <v>رقم 398 مصطفى كامل</v>
      </c>
      <c r="I3073" s="6" t="str">
        <f ca="1">IFERROR(__xludf.DUMMYFUNCTION("""COMPUTED_VALUE"""),"01226808720")</f>
        <v>01226808720</v>
      </c>
      <c r="J3073" s="6" t="str">
        <f ca="1">IFERROR(__xludf.DUMMYFUNCTION("""COMPUTED_VALUE"""),"15252")</f>
        <v>15252</v>
      </c>
      <c r="K3073" s="6" t="str">
        <f ca="1">IFERROR(__xludf.DUMMYFUNCTION("""COMPUTED_VALUE"""),"خصم 10% علي كل الادويه")</f>
        <v>خصم 10% علي كل الادويه</v>
      </c>
    </row>
    <row r="3074" spans="1:11" x14ac:dyDescent="0.25">
      <c r="A3074" s="4" t="str">
        <f ca="1">IFERROR(__xludf.DUMMYFUNCTION("""COMPUTED_VALUE"""),"104676-B")</f>
        <v>104676-B</v>
      </c>
      <c r="B3074" s="5" t="str">
        <f ca="1">IFERROR(__xludf.DUMMYFUNCTION("""COMPUTED_VALUE"""),"الاسكندرية")</f>
        <v>الاسكندرية</v>
      </c>
      <c r="C3074" s="5" t="str">
        <f ca="1">IFERROR(__xludf.DUMMYFUNCTION("""COMPUTED_VALUE"""),"العجمي")</f>
        <v>العجمي</v>
      </c>
      <c r="D3074" s="5" t="str">
        <f ca="1">IFERROR(__xludf.DUMMYFUNCTION("""COMPUTED_VALUE"""),"صيدلية")</f>
        <v>صيدلية</v>
      </c>
      <c r="E3074" s="5" t="str">
        <f ca="1">IFERROR(__xludf.DUMMYFUNCTION("""COMPUTED_VALUE"""),"صيدلية")</f>
        <v>صيدلية</v>
      </c>
      <c r="F3074" s="5" t="str">
        <f ca="1">IFERROR(__xludf.DUMMYFUNCTION("""COMPUTED_VALUE"""),"صيدلية (أدوية ومستلزمات طبية)")</f>
        <v>صيدلية (أدوية ومستلزمات طبية)</v>
      </c>
      <c r="G3074" s="5" t="str">
        <f ca="1">IFERROR(__xludf.DUMMYFUNCTION("""COMPUTED_VALUE"""),"صيدليات الدواء")</f>
        <v>صيدليات الدواء</v>
      </c>
      <c r="H3074" s="5" t="str">
        <f ca="1">IFERROR(__xludf.DUMMYFUNCTION("""COMPUTED_VALUE"""),"اكتوبر النخيل خط 27 بين شارعي 10 و 12 بجوار قطونيل   ")</f>
        <v xml:space="preserve">اكتوبر النخيل خط 27 بين شارعي 10 و 12 بجوار قطونيل   </v>
      </c>
      <c r="I3074" s="6" t="str">
        <f ca="1">IFERROR(__xludf.DUMMYFUNCTION("""COMPUTED_VALUE"""),"01010065249")</f>
        <v>01010065249</v>
      </c>
      <c r="J3074" s="6" t="str">
        <f ca="1">IFERROR(__xludf.DUMMYFUNCTION("""COMPUTED_VALUE"""),"15252")</f>
        <v>15252</v>
      </c>
      <c r="K3074" s="6" t="str">
        <f ca="1">IFERROR(__xludf.DUMMYFUNCTION("""COMPUTED_VALUE"""),"خصم 10% علي كل الادويه")</f>
        <v>خصم 10% علي كل الادويه</v>
      </c>
    </row>
    <row r="3075" spans="1:11" x14ac:dyDescent="0.25">
      <c r="A3075" s="4" t="str">
        <f ca="1">IFERROR(__xludf.DUMMYFUNCTION("""COMPUTED_VALUE"""),"1763-B")</f>
        <v>1763-B</v>
      </c>
      <c r="B3075" s="5" t="str">
        <f ca="1">IFERROR(__xludf.DUMMYFUNCTION("""COMPUTED_VALUE"""),"القاهرة")</f>
        <v>القاهرة</v>
      </c>
      <c r="C3075" s="5" t="str">
        <f ca="1">IFERROR(__xludf.DUMMYFUNCTION("""COMPUTED_VALUE"""),"القاهرة الجديدة")</f>
        <v>القاهرة الجديدة</v>
      </c>
      <c r="D3075" s="5" t="str">
        <f ca="1">IFERROR(__xludf.DUMMYFUNCTION("""COMPUTED_VALUE"""),"هيئة الأطباء")</f>
        <v>هيئة الأطباء</v>
      </c>
      <c r="E3075" s="5" t="str">
        <f ca="1">IFERROR(__xludf.DUMMYFUNCTION("""COMPUTED_VALUE"""),"اسنان")</f>
        <v>اسنان</v>
      </c>
      <c r="F3075" s="5" t="str">
        <f ca="1">IFERROR(__xludf.DUMMYFUNCTION("""COMPUTED_VALUE"""),"جراحة الفم والأسنان")</f>
        <v>جراحة الفم والأسنان</v>
      </c>
      <c r="G3075" s="5" t="str">
        <f ca="1">IFERROR(__xludf.DUMMYFUNCTION("""COMPUTED_VALUE"""),"المركز المصري الاول لطب الأسنان ( د/ حسين محمد طاهر)")</f>
        <v>المركز المصري الاول لطب الأسنان ( د/ حسين محمد طاهر)</v>
      </c>
      <c r="H3075" s="5" t="str">
        <f ca="1">IFERROR(__xludf.DUMMYFUNCTION("""COMPUTED_VALUE"""),"وحدة رقم A234 - مول اوزون الطبى - حى النرجس - عمارات التجمع الخامس")</f>
        <v>وحدة رقم A234 - مول اوزون الطبى - حى النرجس - عمارات التجمع الخامس</v>
      </c>
      <c r="I3075" s="6" t="str">
        <f ca="1">IFERROR(__xludf.DUMMYFUNCTION("""COMPUTED_VALUE"""),"0554465003")</f>
        <v>0554465003</v>
      </c>
      <c r="J3075" s="6"/>
      <c r="K3075" s="6" t="str">
        <f ca="1">IFERROR(__xludf.DUMMYFUNCTION("""COMPUTED_VALUE"""),"30% على الكشوفات ,10% على التركيبات ,10% على الإجراءات ,5% على الزراعات")</f>
        <v>30% على الكشوفات ,10% على التركيبات ,10% على الإجراءات ,5% على الزراعات</v>
      </c>
    </row>
    <row r="3076" spans="1:11" x14ac:dyDescent="0.25">
      <c r="A3076" s="4" t="str">
        <f ca="1">IFERROR(__xludf.DUMMYFUNCTION("""COMPUTED_VALUE"""),"1763-B")</f>
        <v>1763-B</v>
      </c>
      <c r="B3076" s="5" t="str">
        <f ca="1">IFERROR(__xludf.DUMMYFUNCTION("""COMPUTED_VALUE"""),"الجيزة")</f>
        <v>الجيزة</v>
      </c>
      <c r="C3076" s="5" t="str">
        <f ca="1">IFERROR(__xludf.DUMMYFUNCTION("""COMPUTED_VALUE"""),"المهندسين")</f>
        <v>المهندسين</v>
      </c>
      <c r="D3076" s="5" t="str">
        <f ca="1">IFERROR(__xludf.DUMMYFUNCTION("""COMPUTED_VALUE"""),"هيئة الأطباء")</f>
        <v>هيئة الأطباء</v>
      </c>
      <c r="E3076" s="5" t="str">
        <f ca="1">IFERROR(__xludf.DUMMYFUNCTION("""COMPUTED_VALUE"""),"اسنان")</f>
        <v>اسنان</v>
      </c>
      <c r="F3076" s="5" t="str">
        <f ca="1">IFERROR(__xludf.DUMMYFUNCTION("""COMPUTED_VALUE"""),"جراحة الفم والأسنان")</f>
        <v>جراحة الفم والأسنان</v>
      </c>
      <c r="G3076" s="5" t="str">
        <f ca="1">IFERROR(__xludf.DUMMYFUNCTION("""COMPUTED_VALUE"""),"المركز المصري الاول لطب الأسنان ( د/ حسين محمد طاهر)")</f>
        <v>المركز المصري الاول لطب الأسنان ( د/ حسين محمد طاهر)</v>
      </c>
      <c r="H3076" s="5" t="str">
        <f ca="1">IFERROR(__xludf.DUMMYFUNCTION("""COMPUTED_VALUE"""),"احمد عرابى - سيتى مول السلام برج رقم 2- الدور السابع - شقه رقم 75")</f>
        <v>احمد عرابى - سيتى مول السلام برج رقم 2- الدور السابع - شقه رقم 75</v>
      </c>
      <c r="I3076" s="6" t="str">
        <f ca="1">IFERROR(__xludf.DUMMYFUNCTION("""COMPUTED_VALUE"""),"0554465003")</f>
        <v>0554465003</v>
      </c>
      <c r="J3076" s="6"/>
      <c r="K3076" s="6" t="str">
        <f ca="1">IFERROR(__xludf.DUMMYFUNCTION("""COMPUTED_VALUE"""),"30% على الكشوفات ,10% على التركيبات ,10% على الإجراءات ,5% على الزراعات")</f>
        <v>30% على الكشوفات ,10% على التركيبات ,10% على الإجراءات ,5% على الزراعات</v>
      </c>
    </row>
    <row r="3077" spans="1:11" x14ac:dyDescent="0.25">
      <c r="A3077" s="4" t="str">
        <f ca="1">IFERROR(__xludf.DUMMYFUNCTION("""COMPUTED_VALUE"""),"107378")</f>
        <v>107378</v>
      </c>
      <c r="B3077" s="5" t="str">
        <f ca="1">IFERROR(__xludf.DUMMYFUNCTION("""COMPUTED_VALUE"""),"الاسكندرية")</f>
        <v>الاسكندرية</v>
      </c>
      <c r="C3077" s="5" t="str">
        <f ca="1">IFERROR(__xludf.DUMMYFUNCTION("""COMPUTED_VALUE"""),"جناكليس")</f>
        <v>جناكليس</v>
      </c>
      <c r="D3077" s="5" t="str">
        <f ca="1">IFERROR(__xludf.DUMMYFUNCTION("""COMPUTED_VALUE"""),"مركز علاج طبيعي")</f>
        <v>مركز علاج طبيعي</v>
      </c>
      <c r="E3077" s="5" t="str">
        <f ca="1">IFERROR(__xludf.DUMMYFUNCTION("""COMPUTED_VALUE"""),"علاج طبيعي")</f>
        <v>علاج طبيعي</v>
      </c>
      <c r="F3077" s="5" t="str">
        <f ca="1">IFERROR(__xludf.DUMMYFUNCTION("""COMPUTED_VALUE"""),"جلسات العلاج الطبيعي")</f>
        <v>جلسات العلاج الطبيعي</v>
      </c>
      <c r="G3077" s="5" t="str">
        <f ca="1">IFERROR(__xludf.DUMMYFUNCTION("""COMPUTED_VALUE"""),"عمرو محمد صبري لطفي عامر (مركز المجد للعلاج الطبيعي)")</f>
        <v>عمرو محمد صبري لطفي عامر (مركز المجد للعلاج الطبيعي)</v>
      </c>
      <c r="H3077" s="5" t="str">
        <f ca="1">IFERROR(__xludf.DUMMYFUNCTION("""COMPUTED_VALUE"""),"227 شارع الفتح برج جناكليس فرست كلاس - جناكليس - الاسكندرية")</f>
        <v>227 شارع الفتح برج جناكليس فرست كلاس - جناكليس - الاسكندرية</v>
      </c>
      <c r="I3077" s="6" t="str">
        <f ca="1">IFERROR(__xludf.DUMMYFUNCTION("""COMPUTED_VALUE"""),"035744992")</f>
        <v>035744992</v>
      </c>
      <c r="J3077" s="6"/>
      <c r="K3077" s="6" t="str">
        <f ca="1">IFERROR(__xludf.DUMMYFUNCTION("""COMPUTED_VALUE"""),"خصم 30%علي الأسعار النقدي المعلنة")</f>
        <v>خصم 30%علي الأسعار النقدي المعلنة</v>
      </c>
    </row>
    <row r="3078" spans="1:11" x14ac:dyDescent="0.25">
      <c r="A3078" s="4" t="str">
        <f ca="1">IFERROR(__xludf.DUMMYFUNCTION("""COMPUTED_VALUE"""),"107379")</f>
        <v>107379</v>
      </c>
      <c r="B3078" s="5" t="str">
        <f ca="1">IFERROR(__xludf.DUMMYFUNCTION("""COMPUTED_VALUE"""),"بني سويف")</f>
        <v>بني سويف</v>
      </c>
      <c r="C3078" s="5" t="str">
        <f ca="1">IFERROR(__xludf.DUMMYFUNCTION("""COMPUTED_VALUE"""),"الفشن")</f>
        <v>الفشن</v>
      </c>
      <c r="D3078" s="5" t="str">
        <f ca="1">IFERROR(__xludf.DUMMYFUNCTION("""COMPUTED_VALUE"""),"مركز علاج طبيعي")</f>
        <v>مركز علاج طبيعي</v>
      </c>
      <c r="E3078" s="5" t="str">
        <f ca="1">IFERROR(__xludf.DUMMYFUNCTION("""COMPUTED_VALUE"""),"علاج طبيعي")</f>
        <v>علاج طبيعي</v>
      </c>
      <c r="F3078" s="5" t="str">
        <f ca="1">IFERROR(__xludf.DUMMYFUNCTION("""COMPUTED_VALUE"""),"جلسات العلاج الطبيعي")</f>
        <v>جلسات العلاج الطبيعي</v>
      </c>
      <c r="G3078" s="5" t="str">
        <f ca="1">IFERROR(__xludf.DUMMYFUNCTION("""COMPUTED_VALUE"""),"ابرام نبيل وليم ابراهيم (مركز صحتي للعلاج الطبيعي و التأهيل)")</f>
        <v>ابرام نبيل وليم ابراهيم (مركز صحتي للعلاج الطبيعي و التأهيل)</v>
      </c>
      <c r="H3078" s="5" t="str">
        <f ca="1">IFERROR(__xludf.DUMMYFUNCTION("""COMPUTED_VALUE"""),"ش الظاهر المتفرع من ش سعد زغلول - الفشن - بني سويف")</f>
        <v>ش الظاهر المتفرع من ش سعد زغلول - الفشن - بني سويف</v>
      </c>
      <c r="I3078" s="6" t="str">
        <f ca="1">IFERROR(__xludf.DUMMYFUNCTION("""COMPUTED_VALUE"""),"01229366693")</f>
        <v>01229366693</v>
      </c>
      <c r="J3078" s="6"/>
      <c r="K3078" s="6" t="str">
        <f ca="1">IFERROR(__xludf.DUMMYFUNCTION("""COMPUTED_VALUE"""),"خصم 30%علي الأسعار النقدي المعلنة")</f>
        <v>خصم 30%علي الأسعار النقدي المعلنة</v>
      </c>
    </row>
    <row r="3079" spans="1:11" x14ac:dyDescent="0.25">
      <c r="A3079" s="4" t="str">
        <f ca="1">IFERROR(__xludf.DUMMYFUNCTION("""COMPUTED_VALUE"""),"107380")</f>
        <v>107380</v>
      </c>
      <c r="B3079" s="5" t="str">
        <f ca="1">IFERROR(__xludf.DUMMYFUNCTION("""COMPUTED_VALUE"""),"أسيوط")</f>
        <v>أسيوط</v>
      </c>
      <c r="C3079" s="5" t="str">
        <f ca="1">IFERROR(__xludf.DUMMYFUNCTION("""COMPUTED_VALUE"""),"أسيوط")</f>
        <v>أسيوط</v>
      </c>
      <c r="D3079" s="5" t="str">
        <f ca="1">IFERROR(__xludf.DUMMYFUNCTION("""COMPUTED_VALUE"""),"مركز علاج طبيعي")</f>
        <v>مركز علاج طبيعي</v>
      </c>
      <c r="E3079" s="5" t="str">
        <f ca="1">IFERROR(__xludf.DUMMYFUNCTION("""COMPUTED_VALUE"""),"علاج طبيعي")</f>
        <v>علاج طبيعي</v>
      </c>
      <c r="F3079" s="5" t="str">
        <f ca="1">IFERROR(__xludf.DUMMYFUNCTION("""COMPUTED_VALUE"""),"جلسات العلاج الطبيعي")</f>
        <v>جلسات العلاج الطبيعي</v>
      </c>
      <c r="G3079" s="5" t="str">
        <f ca="1">IFERROR(__xludf.DUMMYFUNCTION("""COMPUTED_VALUE"""),"ايمن صموئيل جندي فام (مركز الشفاء للعلاج الطبيعي)")</f>
        <v>ايمن صموئيل جندي فام (مركز الشفاء للعلاج الطبيعي)</v>
      </c>
      <c r="H3079" s="5" t="str">
        <f ca="1">IFERROR(__xludf.DUMMYFUNCTION("""COMPUTED_VALUE"""),"35 ش الحكمدار بجوار شركة فريال - اسيوط")</f>
        <v>35 ش الحكمدار بجوار شركة فريال - اسيوط</v>
      </c>
      <c r="I3079" s="6" t="str">
        <f ca="1">IFERROR(__xludf.DUMMYFUNCTION("""COMPUTED_VALUE"""),"01555105355")</f>
        <v>01555105355</v>
      </c>
      <c r="J3079" s="6"/>
      <c r="K3079" s="6" t="str">
        <f ca="1">IFERROR(__xludf.DUMMYFUNCTION("""COMPUTED_VALUE"""),"خصم 30%علي الأسعار النقدي المعلنة")</f>
        <v>خصم 30%علي الأسعار النقدي المعلنة</v>
      </c>
    </row>
    <row r="3080" spans="1:11" x14ac:dyDescent="0.25">
      <c r="A3080" s="4" t="str">
        <f ca="1">IFERROR(__xludf.DUMMYFUNCTION("""COMPUTED_VALUE"""),"105534-B")</f>
        <v>105534-B</v>
      </c>
      <c r="B3080" s="5" t="str">
        <f ca="1">IFERROR(__xludf.DUMMYFUNCTION("""COMPUTED_VALUE"""),"الاسكندرية")</f>
        <v>الاسكندرية</v>
      </c>
      <c r="C3080" s="5" t="str">
        <f ca="1">IFERROR(__xludf.DUMMYFUNCTION("""COMPUTED_VALUE"""),"سموحة")</f>
        <v>سموحة</v>
      </c>
      <c r="D3080" s="5" t="str">
        <f ca="1">IFERROR(__xludf.DUMMYFUNCTION("""COMPUTED_VALUE"""),"هيئة الأطباء")</f>
        <v>هيئة الأطباء</v>
      </c>
      <c r="E3080" s="5" t="str">
        <f ca="1">IFERROR(__xludf.DUMMYFUNCTION("""COMPUTED_VALUE"""),"اسنان")</f>
        <v>اسنان</v>
      </c>
      <c r="F3080" s="5" t="str">
        <f ca="1">IFERROR(__xludf.DUMMYFUNCTION("""COMPUTED_VALUE"""),"جراحة الفم والأسنان")</f>
        <v>جراحة الفم والأسنان</v>
      </c>
      <c r="G3080" s="5" t="str">
        <f ca="1">IFERROR(__xludf.DUMMYFUNCTION("""COMPUTED_VALUE"""),"سكاي دنت  لعلاج و تجميل الاسنان (احمد شعبان محمد ابوزيد عبدالعال)")</f>
        <v>سكاي دنت  لعلاج و تجميل الاسنان (احمد شعبان محمد ابوزيد عبدالعال)</v>
      </c>
      <c r="H3080" s="5" t="str">
        <f ca="1">IFERROR(__xludf.DUMMYFUNCTION("""COMPUTED_VALUE"""),"5شارع الطيار محمود شكرى امام نادى سموحه")</f>
        <v>5شارع الطيار محمود شكرى امام نادى سموحه</v>
      </c>
      <c r="I3080" s="6" t="str">
        <f ca="1">IFERROR(__xludf.DUMMYFUNCTION("""COMPUTED_VALUE"""),"01103492212")</f>
        <v>01103492212</v>
      </c>
      <c r="J3080" s="6"/>
      <c r="K3080" s="6" t="str">
        <f ca="1">IFERROR(__xludf.DUMMYFUNCTION("""COMPUTED_VALUE"""),"خصم 30%علي الأسعار النقدي المعلنة")</f>
        <v>خصم 30%علي الأسعار النقدي المعلنة</v>
      </c>
    </row>
    <row r="3081" spans="1:11" x14ac:dyDescent="0.25">
      <c r="A3081" s="4" t="str">
        <f ca="1">IFERROR(__xludf.DUMMYFUNCTION("""COMPUTED_VALUE"""),"105534-B")</f>
        <v>105534-B</v>
      </c>
      <c r="B3081" s="5" t="str">
        <f ca="1">IFERROR(__xludf.DUMMYFUNCTION("""COMPUTED_VALUE"""),"الاسكندرية")</f>
        <v>الاسكندرية</v>
      </c>
      <c r="C3081" s="5" t="str">
        <f ca="1">IFERROR(__xludf.DUMMYFUNCTION("""COMPUTED_VALUE"""),"الابراهيمية")</f>
        <v>الابراهيمية</v>
      </c>
      <c r="D3081" s="5" t="str">
        <f ca="1">IFERROR(__xludf.DUMMYFUNCTION("""COMPUTED_VALUE"""),"هيئة الأطباء")</f>
        <v>هيئة الأطباء</v>
      </c>
      <c r="E3081" s="5" t="str">
        <f ca="1">IFERROR(__xludf.DUMMYFUNCTION("""COMPUTED_VALUE"""),"اسنان")</f>
        <v>اسنان</v>
      </c>
      <c r="F3081" s="5" t="str">
        <f ca="1">IFERROR(__xludf.DUMMYFUNCTION("""COMPUTED_VALUE"""),"جراحة الفم والأسنان")</f>
        <v>جراحة الفم والأسنان</v>
      </c>
      <c r="G3081" s="5" t="str">
        <f ca="1">IFERROR(__xludf.DUMMYFUNCTION("""COMPUTED_VALUE"""),"سكاي دنت  لعلاج و تجميل الاسنان (احمد شعبان محمد ابوزيد عبدالعال)")</f>
        <v>سكاي دنت  لعلاج و تجميل الاسنان (احمد شعبان محمد ابوزيد عبدالعال)</v>
      </c>
      <c r="H3081" s="5" t="str">
        <f ca="1">IFERROR(__xludf.DUMMYFUNCTION("""COMPUTED_VALUE"""),"51طريق الجيش - على البحرمباشرا امام اشاره الابراهيميه ")</f>
        <v xml:space="preserve">51طريق الجيش - على البحرمباشرا امام اشاره الابراهيميه </v>
      </c>
      <c r="I3081" s="6" t="str">
        <f ca="1">IFERROR(__xludf.DUMMYFUNCTION("""COMPUTED_VALUE"""),"01095956190")</f>
        <v>01095956190</v>
      </c>
      <c r="J3081" s="6"/>
      <c r="K3081" s="6" t="str">
        <f ca="1">IFERROR(__xludf.DUMMYFUNCTION("""COMPUTED_VALUE"""),"خصم 30%علي الأسعار النقدي المعلنة")</f>
        <v>خصم 30%علي الأسعار النقدي المعلنة</v>
      </c>
    </row>
    <row r="3082" spans="1:11" x14ac:dyDescent="0.25">
      <c r="A3082" s="4" t="str">
        <f ca="1">IFERROR(__xludf.DUMMYFUNCTION("""COMPUTED_VALUE"""),"105534-B")</f>
        <v>105534-B</v>
      </c>
      <c r="B3082" s="5" t="str">
        <f ca="1">IFERROR(__xludf.DUMMYFUNCTION("""COMPUTED_VALUE"""),"الاسكندرية")</f>
        <v>الاسكندرية</v>
      </c>
      <c r="C3082" s="5" t="str">
        <f ca="1">IFERROR(__xludf.DUMMYFUNCTION("""COMPUTED_VALUE"""),"محطة الرمل")</f>
        <v>محطة الرمل</v>
      </c>
      <c r="D3082" s="5" t="str">
        <f ca="1">IFERROR(__xludf.DUMMYFUNCTION("""COMPUTED_VALUE"""),"هيئة الأطباء")</f>
        <v>هيئة الأطباء</v>
      </c>
      <c r="E3082" s="5" t="str">
        <f ca="1">IFERROR(__xludf.DUMMYFUNCTION("""COMPUTED_VALUE"""),"اسنان")</f>
        <v>اسنان</v>
      </c>
      <c r="F3082" s="5" t="str">
        <f ca="1">IFERROR(__xludf.DUMMYFUNCTION("""COMPUTED_VALUE"""),"جراحة الفم والأسنان")</f>
        <v>جراحة الفم والأسنان</v>
      </c>
      <c r="G3082" s="5" t="str">
        <f ca="1">IFERROR(__xludf.DUMMYFUNCTION("""COMPUTED_VALUE"""),"سكاي دنت  لعلاج و تجميل الاسنان (احمد شعبان محمد ابوزيد عبدالعال)")</f>
        <v>سكاي دنت  لعلاج و تجميل الاسنان (احمد شعبان محمد ابوزيد عبدالعال)</v>
      </c>
      <c r="H3082" s="5" t="str">
        <f ca="1">IFERROR(__xludf.DUMMYFUNCTION("""COMPUTED_VALUE"""),"7ميدان سعد زغلول ")</f>
        <v xml:space="preserve">7ميدان سعد زغلول </v>
      </c>
      <c r="I3082" s="6" t="str">
        <f ca="1">IFERROR(__xludf.DUMMYFUNCTION("""COMPUTED_VALUE"""),"01103830113")</f>
        <v>01103830113</v>
      </c>
      <c r="J3082" s="6"/>
      <c r="K3082" s="6" t="str">
        <f ca="1">IFERROR(__xludf.DUMMYFUNCTION("""COMPUTED_VALUE"""),"خصم 30%علي الأسعار النقدي المعلنة")</f>
        <v>خصم 30%علي الأسعار النقدي المعلنة</v>
      </c>
    </row>
    <row r="3083" spans="1:11" x14ac:dyDescent="0.25">
      <c r="A3083" s="4" t="str">
        <f ca="1">IFERROR(__xludf.DUMMYFUNCTION("""COMPUTED_VALUE"""),"107381")</f>
        <v>107381</v>
      </c>
      <c r="B3083" s="5" t="str">
        <f ca="1">IFERROR(__xludf.DUMMYFUNCTION("""COMPUTED_VALUE"""),"قنا")</f>
        <v>قنا</v>
      </c>
      <c r="C3083" s="5" t="str">
        <f ca="1">IFERROR(__xludf.DUMMYFUNCTION("""COMPUTED_VALUE"""),"قفط")</f>
        <v>قفط</v>
      </c>
      <c r="D3083" s="5" t="str">
        <f ca="1">IFERROR(__xludf.DUMMYFUNCTION("""COMPUTED_VALUE"""),"هيئة الأطباء")</f>
        <v>هيئة الأطباء</v>
      </c>
      <c r="E3083" s="5" t="str">
        <f ca="1">IFERROR(__xludf.DUMMYFUNCTION("""COMPUTED_VALUE"""),"اسنان")</f>
        <v>اسنان</v>
      </c>
      <c r="F3083" s="5" t="str">
        <f ca="1">IFERROR(__xludf.DUMMYFUNCTION("""COMPUTED_VALUE"""),"جراحة الفم والأسنان")</f>
        <v>جراحة الفم والأسنان</v>
      </c>
      <c r="G3083" s="5" t="str">
        <f ca="1">IFERROR(__xludf.DUMMYFUNCTION("""COMPUTED_VALUE"""),"د/ دعاء عبدالصبور علي شحات (مكة دينتال كلينك)")</f>
        <v>د/ دعاء عبدالصبور علي شحات (مكة دينتال كلينك)</v>
      </c>
      <c r="H3083" s="5" t="str">
        <f ca="1">IFERROR(__xludf.DUMMYFUNCTION("""COMPUTED_VALUE"""),"ش سعد زغلول - مركز قفط - قنا")</f>
        <v>ش سعد زغلول - مركز قفط - قنا</v>
      </c>
      <c r="I3083" s="6" t="str">
        <f ca="1">IFERROR(__xludf.DUMMYFUNCTION("""COMPUTED_VALUE"""),"01030298577")</f>
        <v>01030298577</v>
      </c>
      <c r="J3083" s="6"/>
      <c r="K3083" s="6" t="str">
        <f ca="1">IFERROR(__xludf.DUMMYFUNCTION("""COMPUTED_VALUE"""),"خصم 40%علي الأسعار النقدي المعلنة")</f>
        <v>خصم 40%علي الأسعار النقدي المعلنة</v>
      </c>
    </row>
    <row r="3084" spans="1:11" x14ac:dyDescent="0.25">
      <c r="A3084" s="4" t="str">
        <f ca="1">IFERROR(__xludf.DUMMYFUNCTION("""COMPUTED_VALUE"""),"107381-B")</f>
        <v>107381-B</v>
      </c>
      <c r="B3084" s="5" t="str">
        <f ca="1">IFERROR(__xludf.DUMMYFUNCTION("""COMPUTED_VALUE"""),"القاهرة")</f>
        <v>القاهرة</v>
      </c>
      <c r="C3084" s="5" t="str">
        <f ca="1">IFERROR(__xludf.DUMMYFUNCTION("""COMPUTED_VALUE"""),"القاهرة الجديدة")</f>
        <v>القاهرة الجديدة</v>
      </c>
      <c r="D3084" s="5" t="str">
        <f ca="1">IFERROR(__xludf.DUMMYFUNCTION("""COMPUTED_VALUE"""),"هيئة الأطباء")</f>
        <v>هيئة الأطباء</v>
      </c>
      <c r="E3084" s="5" t="str">
        <f ca="1">IFERROR(__xludf.DUMMYFUNCTION("""COMPUTED_VALUE"""),"اسنان")</f>
        <v>اسنان</v>
      </c>
      <c r="F3084" s="5" t="str">
        <f ca="1">IFERROR(__xludf.DUMMYFUNCTION("""COMPUTED_VALUE"""),"جراحة الفم والأسنان")</f>
        <v>جراحة الفم والأسنان</v>
      </c>
      <c r="G3084" s="5" t="str">
        <f ca="1">IFERROR(__xludf.DUMMYFUNCTION("""COMPUTED_VALUE"""),"د/ دعاء عبدالصبور علي شحات (مكة دينتال كلينك)")</f>
        <v>د/ دعاء عبدالصبور علي شحات (مكة دينتال كلينك)</v>
      </c>
      <c r="H3084" s="5" t="str">
        <f ca="1">IFERROR(__xludf.DUMMYFUNCTION("""COMPUTED_VALUE"""),"اوزون مول وحدة رقم A247 - التجمع الخامس - القاهرة")</f>
        <v>اوزون مول وحدة رقم A247 - التجمع الخامس - القاهرة</v>
      </c>
      <c r="I3084" s="6" t="str">
        <f ca="1">IFERROR(__xludf.DUMMYFUNCTION("""COMPUTED_VALUE"""),"01030298577")</f>
        <v>01030298577</v>
      </c>
      <c r="J3084" s="6"/>
      <c r="K3084" s="6" t="str">
        <f ca="1">IFERROR(__xludf.DUMMYFUNCTION("""COMPUTED_VALUE"""),"خصم 40%علي الأسعار النقدي المعلنة")</f>
        <v>خصم 40%علي الأسعار النقدي المعلنة</v>
      </c>
    </row>
    <row r="3085" spans="1:11" x14ac:dyDescent="0.25">
      <c r="A3085" s="4" t="str">
        <f ca="1">IFERROR(__xludf.DUMMYFUNCTION("""COMPUTED_VALUE"""),"107382")</f>
        <v>107382</v>
      </c>
      <c r="B3085" s="5" t="str">
        <f ca="1">IFERROR(__xludf.DUMMYFUNCTION("""COMPUTED_VALUE"""),"الأقصر")</f>
        <v>الأقصر</v>
      </c>
      <c r="C3085" s="5" t="str">
        <f ca="1">IFERROR(__xludf.DUMMYFUNCTION("""COMPUTED_VALUE"""),"الأقصر")</f>
        <v>الأقصر</v>
      </c>
      <c r="D3085" s="5" t="str">
        <f ca="1">IFERROR(__xludf.DUMMYFUNCTION("""COMPUTED_VALUE"""),"هيئة الأطباء")</f>
        <v>هيئة الأطباء</v>
      </c>
      <c r="E3085" s="5" t="str">
        <f ca="1">IFERROR(__xludf.DUMMYFUNCTION("""COMPUTED_VALUE"""),"اسنان")</f>
        <v>اسنان</v>
      </c>
      <c r="F3085" s="5" t="str">
        <f ca="1">IFERROR(__xludf.DUMMYFUNCTION("""COMPUTED_VALUE"""),"جراحة الفم والأسنان")</f>
        <v>جراحة الفم والأسنان</v>
      </c>
      <c r="G3085" s="5" t="str">
        <f ca="1">IFERROR(__xludf.DUMMYFUNCTION("""COMPUTED_VALUE"""),"د/ بولا لطفي بقطر الياس")</f>
        <v>د/ بولا لطفي بقطر الياس</v>
      </c>
      <c r="H3085" s="5" t="str">
        <f ca="1">IFERROR(__xludf.DUMMYFUNCTION("""COMPUTED_VALUE"""),"79 ش صلاح سالم - الاقصر")</f>
        <v>79 ش صلاح سالم - الاقصر</v>
      </c>
      <c r="I3085" s="6" t="str">
        <f ca="1">IFERROR(__xludf.DUMMYFUNCTION("""COMPUTED_VALUE"""),"01271184213")</f>
        <v>01271184213</v>
      </c>
      <c r="J3085" s="6"/>
      <c r="K3085" s="6" t="str">
        <f ca="1">IFERROR(__xludf.DUMMYFUNCTION("""COMPUTED_VALUE"""),"خصم 30%علي الأسعار النقدي المعلنة")</f>
        <v>خصم 30%علي الأسعار النقدي المعلنة</v>
      </c>
    </row>
    <row r="3086" spans="1:11" x14ac:dyDescent="0.25">
      <c r="A3086" s="4" t="str">
        <f ca="1">IFERROR(__xludf.DUMMYFUNCTION("""COMPUTED_VALUE"""),"107384")</f>
        <v>107384</v>
      </c>
      <c r="B3086" s="5" t="str">
        <f ca="1">IFERROR(__xludf.DUMMYFUNCTION("""COMPUTED_VALUE"""),"الاسكندرية")</f>
        <v>الاسكندرية</v>
      </c>
      <c r="C3086" s="5" t="str">
        <f ca="1">IFERROR(__xludf.DUMMYFUNCTION("""COMPUTED_VALUE"""),"بولكي")</f>
        <v>بولكي</v>
      </c>
      <c r="D3086" s="5" t="str">
        <f ca="1">IFERROR(__xludf.DUMMYFUNCTION("""COMPUTED_VALUE"""),"هيئة الأطباء")</f>
        <v>هيئة الأطباء</v>
      </c>
      <c r="E3086" s="5" t="str">
        <f ca="1">IFERROR(__xludf.DUMMYFUNCTION("""COMPUTED_VALUE"""),"اسنان")</f>
        <v>اسنان</v>
      </c>
      <c r="F3086" s="5" t="str">
        <f ca="1">IFERROR(__xludf.DUMMYFUNCTION("""COMPUTED_VALUE"""),"جراحة الفم والأسنان")</f>
        <v>جراحة الفم والأسنان</v>
      </c>
      <c r="G3086" s="5" t="str">
        <f ca="1">IFERROR(__xludf.DUMMYFUNCTION("""COMPUTED_VALUE"""),"وليد فيصل نجيب الانصاري (مركز اوكسفورد للاسنان)")</f>
        <v>وليد فيصل نجيب الانصاري (مركز اوكسفورد للاسنان)</v>
      </c>
      <c r="H3086" s="5" t="str">
        <f ca="1">IFERROR(__xludf.DUMMYFUNCTION("""COMPUTED_VALUE"""),"476 ش أبو قير طريق الحرية - بولكلي - الاسكندرية")</f>
        <v>476 ش أبو قير طريق الحرية - بولكلي - الاسكندرية</v>
      </c>
      <c r="I3086" s="6" t="str">
        <f ca="1">IFERROR(__xludf.DUMMYFUNCTION("""COMPUTED_VALUE"""),"01273802080")</f>
        <v>01273802080</v>
      </c>
      <c r="J3086" s="6"/>
      <c r="K3086" s="6" t="str">
        <f ca="1">IFERROR(__xludf.DUMMYFUNCTION("""COMPUTED_VALUE"""),"خصم 30%علي الأسعار النقدي المعلنة")</f>
        <v>خصم 30%علي الأسعار النقدي المعلنة</v>
      </c>
    </row>
    <row r="3087" spans="1:11" x14ac:dyDescent="0.25">
      <c r="A3087" s="4" t="str">
        <f ca="1">IFERROR(__xludf.DUMMYFUNCTION("""COMPUTED_VALUE"""),"107384-B")</f>
        <v>107384-B</v>
      </c>
      <c r="B3087" s="5" t="str">
        <f ca="1">IFERROR(__xludf.DUMMYFUNCTION("""COMPUTED_VALUE"""),"الاسكندرية")</f>
        <v>الاسكندرية</v>
      </c>
      <c r="C3087" s="5" t="str">
        <f ca="1">IFERROR(__xludf.DUMMYFUNCTION("""COMPUTED_VALUE"""),"المنتزة")</f>
        <v>المنتزة</v>
      </c>
      <c r="D3087" s="5" t="str">
        <f ca="1">IFERROR(__xludf.DUMMYFUNCTION("""COMPUTED_VALUE"""),"هيئة الأطباء")</f>
        <v>هيئة الأطباء</v>
      </c>
      <c r="E3087" s="5" t="str">
        <f ca="1">IFERROR(__xludf.DUMMYFUNCTION("""COMPUTED_VALUE"""),"اسنان")</f>
        <v>اسنان</v>
      </c>
      <c r="F3087" s="5" t="str">
        <f ca="1">IFERROR(__xludf.DUMMYFUNCTION("""COMPUTED_VALUE"""),"جراحة الفم والأسنان")</f>
        <v>جراحة الفم والأسنان</v>
      </c>
      <c r="G3087" s="5" t="str">
        <f ca="1">IFERROR(__xludf.DUMMYFUNCTION("""COMPUTED_VALUE"""),"وليد فيصل نجيب الانصاري (مركز اوكسفورد للاسنان)")</f>
        <v>وليد فيصل نجيب الانصاري (مركز اوكسفورد للاسنان)</v>
      </c>
      <c r="H3087" s="5" t="str">
        <f ca="1">IFERROR(__xludf.DUMMYFUNCTION("""COMPUTED_VALUE"""),"5 ش سيدي بشر - المنتزه - الاسكندرية")</f>
        <v>5 ش سيدي بشر - المنتزه - الاسكندرية</v>
      </c>
      <c r="I3087" s="6" t="str">
        <f ca="1">IFERROR(__xludf.DUMMYFUNCTION("""COMPUTED_VALUE"""),"01273802080")</f>
        <v>01273802080</v>
      </c>
      <c r="J3087" s="6"/>
      <c r="K3087" s="6" t="str">
        <f ca="1">IFERROR(__xludf.DUMMYFUNCTION("""COMPUTED_VALUE"""),"خصم 30%علي الأسعار النقدي المعلنة")</f>
        <v>خصم 30%علي الأسعار النقدي المعلنة</v>
      </c>
    </row>
    <row r="3088" spans="1:11" x14ac:dyDescent="0.25">
      <c r="A3088" s="4" t="str">
        <f ca="1">IFERROR(__xludf.DUMMYFUNCTION("""COMPUTED_VALUE"""),"107386")</f>
        <v>107386</v>
      </c>
      <c r="B3088" s="5" t="str">
        <f ca="1">IFERROR(__xludf.DUMMYFUNCTION("""COMPUTED_VALUE"""),"القاهرة")</f>
        <v>القاهرة</v>
      </c>
      <c r="C3088" s="5" t="str">
        <f ca="1">IFERROR(__xludf.DUMMYFUNCTION("""COMPUTED_VALUE"""),"المعادى")</f>
        <v>المعادى</v>
      </c>
      <c r="D3088" s="5" t="str">
        <f ca="1">IFERROR(__xludf.DUMMYFUNCTION("""COMPUTED_VALUE"""),"صيدلية")</f>
        <v>صيدلية</v>
      </c>
      <c r="E3088" s="5" t="str">
        <f ca="1">IFERROR(__xludf.DUMMYFUNCTION("""COMPUTED_VALUE"""),"صيدلية")</f>
        <v>صيدلية</v>
      </c>
      <c r="F3088" s="5" t="str">
        <f ca="1">IFERROR(__xludf.DUMMYFUNCTION("""COMPUTED_VALUE"""),"صيدلية (أدوية ومستلزمات طبية)")</f>
        <v>صيدلية (أدوية ومستلزمات طبية)</v>
      </c>
      <c r="G3088" s="5" t="str">
        <f ca="1">IFERROR(__xludf.DUMMYFUNCTION("""COMPUTED_VALUE"""),"شركة الخبراء فارما لادارة الصيدليات")</f>
        <v>شركة الخبراء فارما لادارة الصيدليات</v>
      </c>
      <c r="H3088" s="5" t="str">
        <f ca="1">IFERROR(__xludf.DUMMYFUNCTION("""COMPUTED_VALUE"""),"وحدة 4 دور 4 رقم 9/د/4 تقسيم اللاسلكي ش النصر - المعادي - القاهرة")</f>
        <v>وحدة 4 دور 4 رقم 9/د/4 تقسيم اللاسلكي ش النصر - المعادي - القاهرة</v>
      </c>
      <c r="I3088" s="6" t="str">
        <f ca="1">IFERROR(__xludf.DUMMYFUNCTION("""COMPUTED_VALUE"""),"01147402736")</f>
        <v>01147402736</v>
      </c>
      <c r="J3088" s="6" t="str">
        <f ca="1">IFERROR(__xludf.DUMMYFUNCTION("""COMPUTED_VALUE"""),"17042")</f>
        <v>17042</v>
      </c>
      <c r="K3088" s="6" t="str">
        <f ca="1">IFERROR(__xludf.DUMMYFUNCTION("""COMPUTED_VALUE"""),"13 % على المحلى ,6% على المستورد")</f>
        <v>13 % على المحلى ,6% على المستورد</v>
      </c>
    </row>
    <row r="3089" spans="1:11" x14ac:dyDescent="0.25">
      <c r="A3089" s="4" t="str">
        <f ca="1">IFERROR(__xludf.DUMMYFUNCTION("""COMPUTED_VALUE"""),"107386-B")</f>
        <v>107386-B</v>
      </c>
      <c r="B3089" s="5" t="str">
        <f ca="1">IFERROR(__xludf.DUMMYFUNCTION("""COMPUTED_VALUE"""),"القاهرة")</f>
        <v>القاهرة</v>
      </c>
      <c r="C3089" s="5" t="str">
        <f ca="1">IFERROR(__xludf.DUMMYFUNCTION("""COMPUTED_VALUE"""),"المعادى")</f>
        <v>المعادى</v>
      </c>
      <c r="D3089" s="5" t="str">
        <f ca="1">IFERROR(__xludf.DUMMYFUNCTION("""COMPUTED_VALUE"""),"صيدلية")</f>
        <v>صيدلية</v>
      </c>
      <c r="E3089" s="5" t="str">
        <f ca="1">IFERROR(__xludf.DUMMYFUNCTION("""COMPUTED_VALUE"""),"صيدلية")</f>
        <v>صيدلية</v>
      </c>
      <c r="F3089" s="5" t="str">
        <f ca="1">IFERROR(__xludf.DUMMYFUNCTION("""COMPUTED_VALUE"""),"صيدلية (أدوية ومستلزمات طبية)")</f>
        <v>صيدلية (أدوية ومستلزمات طبية)</v>
      </c>
      <c r="G3089" s="5" t="str">
        <f ca="1">IFERROR(__xludf.DUMMYFUNCTION("""COMPUTED_VALUE"""),"شركة الخبراء فارما لادارة الصيدليات")</f>
        <v>شركة الخبراء فارما لادارة الصيدليات</v>
      </c>
      <c r="H3089" s="5" t="str">
        <f ca="1">IFERROR(__xludf.DUMMYFUNCTION("""COMPUTED_VALUE"""),"عمارة 1/8 نموذج 4 ش الزهراء الرئيسي الشطر الثاني")</f>
        <v>عمارة 1/8 نموذج 4 ش الزهراء الرئيسي الشطر الثاني</v>
      </c>
      <c r="I3089" s="6" t="str">
        <f ca="1">IFERROR(__xludf.DUMMYFUNCTION("""COMPUTED_VALUE"""),"01027333362")</f>
        <v>01027333362</v>
      </c>
      <c r="J3089" s="6" t="str">
        <f ca="1">IFERROR(__xludf.DUMMYFUNCTION("""COMPUTED_VALUE"""),"17042")</f>
        <v>17042</v>
      </c>
      <c r="K3089" s="6" t="str">
        <f ca="1">IFERROR(__xludf.DUMMYFUNCTION("""COMPUTED_VALUE"""),"13 % على المحلى ,6% على المستورد")</f>
        <v>13 % على المحلى ,6% على المستورد</v>
      </c>
    </row>
    <row r="3090" spans="1:11" x14ac:dyDescent="0.25">
      <c r="A3090" s="4" t="str">
        <f ca="1">IFERROR(__xludf.DUMMYFUNCTION("""COMPUTED_VALUE"""),"107386-B")</f>
        <v>107386-B</v>
      </c>
      <c r="B3090" s="5" t="str">
        <f ca="1">IFERROR(__xludf.DUMMYFUNCTION("""COMPUTED_VALUE"""),"القاهرة")</f>
        <v>القاهرة</v>
      </c>
      <c r="C3090" s="5" t="str">
        <f ca="1">IFERROR(__xludf.DUMMYFUNCTION("""COMPUTED_VALUE"""),"مصر القديمة")</f>
        <v>مصر القديمة</v>
      </c>
      <c r="D3090" s="5" t="str">
        <f ca="1">IFERROR(__xludf.DUMMYFUNCTION("""COMPUTED_VALUE"""),"صيدلية")</f>
        <v>صيدلية</v>
      </c>
      <c r="E3090" s="5" t="str">
        <f ca="1">IFERROR(__xludf.DUMMYFUNCTION("""COMPUTED_VALUE"""),"صيدلية")</f>
        <v>صيدلية</v>
      </c>
      <c r="F3090" s="5" t="str">
        <f ca="1">IFERROR(__xludf.DUMMYFUNCTION("""COMPUTED_VALUE"""),"صيدلية (أدوية ومستلزمات طبية)")</f>
        <v>صيدلية (أدوية ومستلزمات طبية)</v>
      </c>
      <c r="G3090" s="5" t="str">
        <f ca="1">IFERROR(__xludf.DUMMYFUNCTION("""COMPUTED_VALUE"""),"شركة الخبراء فارما لادارة الصيدليات")</f>
        <v>شركة الخبراء فارما لادارة الصيدليات</v>
      </c>
      <c r="H3090" s="5" t="str">
        <f ca="1">IFERROR(__xludf.DUMMYFUNCTION("""COMPUTED_VALUE"""),"899 كورنيش النيل بجوار قسم مصر القديمة")</f>
        <v>899 كورنيش النيل بجوار قسم مصر القديمة</v>
      </c>
      <c r="I3090" s="6" t="str">
        <f ca="1">IFERROR(__xludf.DUMMYFUNCTION("""COMPUTED_VALUE"""),"01101801841")</f>
        <v>01101801841</v>
      </c>
      <c r="J3090" s="6" t="str">
        <f ca="1">IFERROR(__xludf.DUMMYFUNCTION("""COMPUTED_VALUE"""),"17042")</f>
        <v>17042</v>
      </c>
      <c r="K3090" s="6" t="str">
        <f ca="1">IFERROR(__xludf.DUMMYFUNCTION("""COMPUTED_VALUE"""),"13 % على المحلى ,6% على المستورد")</f>
        <v>13 % على المحلى ,6% على المستورد</v>
      </c>
    </row>
    <row r="3091" spans="1:11" x14ac:dyDescent="0.25">
      <c r="A3091" s="4" t="str">
        <f ca="1">IFERROR(__xludf.DUMMYFUNCTION("""COMPUTED_VALUE"""),"107386-B")</f>
        <v>107386-B</v>
      </c>
      <c r="B3091" s="5" t="str">
        <f ca="1">IFERROR(__xludf.DUMMYFUNCTION("""COMPUTED_VALUE"""),"القاهرة")</f>
        <v>القاهرة</v>
      </c>
      <c r="C3091" s="5" t="str">
        <f ca="1">IFERROR(__xludf.DUMMYFUNCTION("""COMPUTED_VALUE"""),"المعادى")</f>
        <v>المعادى</v>
      </c>
      <c r="D3091" s="5" t="str">
        <f ca="1">IFERROR(__xludf.DUMMYFUNCTION("""COMPUTED_VALUE"""),"صيدلية")</f>
        <v>صيدلية</v>
      </c>
      <c r="E3091" s="5" t="str">
        <f ca="1">IFERROR(__xludf.DUMMYFUNCTION("""COMPUTED_VALUE"""),"صيدلية")</f>
        <v>صيدلية</v>
      </c>
      <c r="F3091" s="5" t="str">
        <f ca="1">IFERROR(__xludf.DUMMYFUNCTION("""COMPUTED_VALUE"""),"صيدلية (أدوية ومستلزمات طبية)")</f>
        <v>صيدلية (أدوية ومستلزمات طبية)</v>
      </c>
      <c r="G3091" s="5" t="str">
        <f ca="1">IFERROR(__xludf.DUMMYFUNCTION("""COMPUTED_VALUE"""),"شركة الخبراء فارما لادارة الصيدليات")</f>
        <v>شركة الخبراء فارما لادارة الصيدليات</v>
      </c>
      <c r="H3091" s="5" t="str">
        <f ca="1">IFERROR(__xludf.DUMMYFUNCTION("""COMPUTED_VALUE"""),"1 ش الخمسين")</f>
        <v>1 ش الخمسين</v>
      </c>
      <c r="I3091" s="6" t="str">
        <f ca="1">IFERROR(__xludf.DUMMYFUNCTION("""COMPUTED_VALUE"""),"01033337350")</f>
        <v>01033337350</v>
      </c>
      <c r="J3091" s="6" t="str">
        <f ca="1">IFERROR(__xludf.DUMMYFUNCTION("""COMPUTED_VALUE"""),"17042")</f>
        <v>17042</v>
      </c>
      <c r="K3091" s="6" t="str">
        <f ca="1">IFERROR(__xludf.DUMMYFUNCTION("""COMPUTED_VALUE"""),"13 % على المحلى ,6% على المستورد")</f>
        <v>13 % على المحلى ,6% على المستورد</v>
      </c>
    </row>
    <row r="3092" spans="1:11" x14ac:dyDescent="0.25">
      <c r="A3092" s="4" t="str">
        <f ca="1">IFERROR(__xludf.DUMMYFUNCTION("""COMPUTED_VALUE"""),"107386-B")</f>
        <v>107386-B</v>
      </c>
      <c r="B3092" s="5" t="str">
        <f ca="1">IFERROR(__xludf.DUMMYFUNCTION("""COMPUTED_VALUE"""),"الجيزة")</f>
        <v>الجيزة</v>
      </c>
      <c r="C3092" s="5" t="str">
        <f ca="1">IFERROR(__xludf.DUMMYFUNCTION("""COMPUTED_VALUE"""),"السادس من اكتوبر")</f>
        <v>السادس من اكتوبر</v>
      </c>
      <c r="D3092" s="5" t="str">
        <f ca="1">IFERROR(__xludf.DUMMYFUNCTION("""COMPUTED_VALUE"""),"صيدلية")</f>
        <v>صيدلية</v>
      </c>
      <c r="E3092" s="5" t="str">
        <f ca="1">IFERROR(__xludf.DUMMYFUNCTION("""COMPUTED_VALUE"""),"صيدلية")</f>
        <v>صيدلية</v>
      </c>
      <c r="F3092" s="5" t="str">
        <f ca="1">IFERROR(__xludf.DUMMYFUNCTION("""COMPUTED_VALUE"""),"صيدلية (أدوية ومستلزمات طبية)")</f>
        <v>صيدلية (أدوية ومستلزمات طبية)</v>
      </c>
      <c r="G3092" s="5" t="str">
        <f ca="1">IFERROR(__xludf.DUMMYFUNCTION("""COMPUTED_VALUE"""),"شركة الخبراء فارما لادارة الصيدليات")</f>
        <v>شركة الخبراء فارما لادارة الصيدليات</v>
      </c>
      <c r="H3092" s="5" t="str">
        <f ca="1">IFERROR(__xludf.DUMMYFUNCTION("""COMPUTED_VALUE"""),"37 السوق التجاري الحي الأول 6 اكتوبر")</f>
        <v>37 السوق التجاري الحي الأول 6 اكتوبر</v>
      </c>
      <c r="I3092" s="6" t="str">
        <f ca="1">IFERROR(__xludf.DUMMYFUNCTION("""COMPUTED_VALUE"""),"01050048323")</f>
        <v>01050048323</v>
      </c>
      <c r="J3092" s="6" t="str">
        <f ca="1">IFERROR(__xludf.DUMMYFUNCTION("""COMPUTED_VALUE"""),"17042")</f>
        <v>17042</v>
      </c>
      <c r="K3092" s="6" t="str">
        <f ca="1">IFERROR(__xludf.DUMMYFUNCTION("""COMPUTED_VALUE"""),"13 % على المحلى ,6% على المستورد")</f>
        <v>13 % على المحلى ,6% على المستورد</v>
      </c>
    </row>
    <row r="3093" spans="1:11" x14ac:dyDescent="0.25">
      <c r="A3093" s="4" t="str">
        <f ca="1">IFERROR(__xludf.DUMMYFUNCTION("""COMPUTED_VALUE"""),"107386-B")</f>
        <v>107386-B</v>
      </c>
      <c r="B3093" s="5" t="str">
        <f ca="1">IFERROR(__xludf.DUMMYFUNCTION("""COMPUTED_VALUE"""),"القاهرة")</f>
        <v>القاهرة</v>
      </c>
      <c r="C3093" s="5" t="str">
        <f ca="1">IFERROR(__xludf.DUMMYFUNCTION("""COMPUTED_VALUE"""),"القاهرة الجديدة")</f>
        <v>القاهرة الجديدة</v>
      </c>
      <c r="D3093" s="5" t="str">
        <f ca="1">IFERROR(__xludf.DUMMYFUNCTION("""COMPUTED_VALUE"""),"صيدلية")</f>
        <v>صيدلية</v>
      </c>
      <c r="E3093" s="5" t="str">
        <f ca="1">IFERROR(__xludf.DUMMYFUNCTION("""COMPUTED_VALUE"""),"صيدلية")</f>
        <v>صيدلية</v>
      </c>
      <c r="F3093" s="5" t="str">
        <f ca="1">IFERROR(__xludf.DUMMYFUNCTION("""COMPUTED_VALUE"""),"صيدلية (أدوية ومستلزمات طبية)")</f>
        <v>صيدلية (أدوية ومستلزمات طبية)</v>
      </c>
      <c r="G3093" s="5" t="str">
        <f ca="1">IFERROR(__xludf.DUMMYFUNCTION("""COMPUTED_VALUE"""),"شركة الخبراء فارما لادارة الصيدليات")</f>
        <v>شركة الخبراء فارما لادارة الصيدليات</v>
      </c>
      <c r="H3093" s="5" t="str">
        <f ca="1">IFERROR(__xludf.DUMMYFUNCTION("""COMPUTED_VALUE"""),"جاليريا مول ش التسعين الجنوبي مقابل لجامعه المستقبل")</f>
        <v>جاليريا مول ش التسعين الجنوبي مقابل لجامعه المستقبل</v>
      </c>
      <c r="I3093" s="6" t="str">
        <f ca="1">IFERROR(__xludf.DUMMYFUNCTION("""COMPUTED_VALUE"""),"01011116428")</f>
        <v>01011116428</v>
      </c>
      <c r="J3093" s="6" t="str">
        <f ca="1">IFERROR(__xludf.DUMMYFUNCTION("""COMPUTED_VALUE"""),"17042")</f>
        <v>17042</v>
      </c>
      <c r="K3093" s="6" t="str">
        <f ca="1">IFERROR(__xludf.DUMMYFUNCTION("""COMPUTED_VALUE"""),"13 % على المحلى ,6% على المستورد")</f>
        <v>13 % على المحلى ,6% على المستورد</v>
      </c>
    </row>
    <row r="3094" spans="1:11" x14ac:dyDescent="0.25">
      <c r="A3094" s="4" t="str">
        <f ca="1">IFERROR(__xludf.DUMMYFUNCTION("""COMPUTED_VALUE"""),"107386-B")</f>
        <v>107386-B</v>
      </c>
      <c r="B3094" s="5" t="str">
        <f ca="1">IFERROR(__xludf.DUMMYFUNCTION("""COMPUTED_VALUE"""),"الجيزة")</f>
        <v>الجيزة</v>
      </c>
      <c r="C3094" s="5" t="str">
        <f ca="1">IFERROR(__xludf.DUMMYFUNCTION("""COMPUTED_VALUE"""),"الهرم")</f>
        <v>الهرم</v>
      </c>
      <c r="D3094" s="5" t="str">
        <f ca="1">IFERROR(__xludf.DUMMYFUNCTION("""COMPUTED_VALUE"""),"صيدلية")</f>
        <v>صيدلية</v>
      </c>
      <c r="E3094" s="5" t="str">
        <f ca="1">IFERROR(__xludf.DUMMYFUNCTION("""COMPUTED_VALUE"""),"صيدلية")</f>
        <v>صيدلية</v>
      </c>
      <c r="F3094" s="5" t="str">
        <f ca="1">IFERROR(__xludf.DUMMYFUNCTION("""COMPUTED_VALUE"""),"صيدلية (أدوية ومستلزمات طبية)")</f>
        <v>صيدلية (أدوية ومستلزمات طبية)</v>
      </c>
      <c r="G3094" s="5" t="str">
        <f ca="1">IFERROR(__xludf.DUMMYFUNCTION("""COMPUTED_VALUE"""),"شركة الخبراء فارما لادارة الصيدليات")</f>
        <v>شركة الخبراء فارما لادارة الصيدليات</v>
      </c>
      <c r="H3094" s="5" t="str">
        <f ca="1">IFERROR(__xludf.DUMMYFUNCTION("""COMPUTED_VALUE"""),"كايرو مول ش الهرم")</f>
        <v>كايرو مول ش الهرم</v>
      </c>
      <c r="I3094" s="6" t="str">
        <f ca="1">IFERROR(__xludf.DUMMYFUNCTION("""COMPUTED_VALUE"""),"01144062336")</f>
        <v>01144062336</v>
      </c>
      <c r="J3094" s="6" t="str">
        <f ca="1">IFERROR(__xludf.DUMMYFUNCTION("""COMPUTED_VALUE"""),"17042")</f>
        <v>17042</v>
      </c>
      <c r="K3094" s="6" t="str">
        <f ca="1">IFERROR(__xludf.DUMMYFUNCTION("""COMPUTED_VALUE"""),"13 % على المحلى ,6% على المستورد")</f>
        <v>13 % على المحلى ,6% على المستورد</v>
      </c>
    </row>
    <row r="3095" spans="1:11" x14ac:dyDescent="0.25">
      <c r="A3095" s="4" t="str">
        <f ca="1">IFERROR(__xludf.DUMMYFUNCTION("""COMPUTED_VALUE"""),"107386-B")</f>
        <v>107386-B</v>
      </c>
      <c r="B3095" s="5" t="str">
        <f ca="1">IFERROR(__xludf.DUMMYFUNCTION("""COMPUTED_VALUE"""),"القاهرة")</f>
        <v>القاهرة</v>
      </c>
      <c r="C3095" s="5" t="str">
        <f ca="1">IFERROR(__xludf.DUMMYFUNCTION("""COMPUTED_VALUE"""),"مدينة نصر")</f>
        <v>مدينة نصر</v>
      </c>
      <c r="D3095" s="5" t="str">
        <f ca="1">IFERROR(__xludf.DUMMYFUNCTION("""COMPUTED_VALUE"""),"صيدلية")</f>
        <v>صيدلية</v>
      </c>
      <c r="E3095" s="5" t="str">
        <f ca="1">IFERROR(__xludf.DUMMYFUNCTION("""COMPUTED_VALUE"""),"صيدلية")</f>
        <v>صيدلية</v>
      </c>
      <c r="F3095" s="5" t="str">
        <f ca="1">IFERROR(__xludf.DUMMYFUNCTION("""COMPUTED_VALUE"""),"صيدلية (أدوية ومستلزمات طبية)")</f>
        <v>صيدلية (أدوية ومستلزمات طبية)</v>
      </c>
      <c r="G3095" s="5" t="str">
        <f ca="1">IFERROR(__xludf.DUMMYFUNCTION("""COMPUTED_VALUE"""),"شركة الخبراء فارما لادارة الصيدليات")</f>
        <v>شركة الخبراء فارما لادارة الصيدليات</v>
      </c>
      <c r="H3095" s="5" t="str">
        <f ca="1">IFERROR(__xludf.DUMMYFUNCTION("""COMPUTED_VALUE"""),"96 ش مصطفي النحاس برج الاطباء")</f>
        <v>96 ش مصطفي النحاس برج الاطباء</v>
      </c>
      <c r="I3095" s="6" t="str">
        <f ca="1">IFERROR(__xludf.DUMMYFUNCTION("""COMPUTED_VALUE"""),"01033331602")</f>
        <v>01033331602</v>
      </c>
      <c r="J3095" s="6" t="str">
        <f ca="1">IFERROR(__xludf.DUMMYFUNCTION("""COMPUTED_VALUE"""),"17042")</f>
        <v>17042</v>
      </c>
      <c r="K3095" s="6" t="str">
        <f ca="1">IFERROR(__xludf.DUMMYFUNCTION("""COMPUTED_VALUE"""),"13 % على المحلى ,6% على المستورد")</f>
        <v>13 % على المحلى ,6% على المستورد</v>
      </c>
    </row>
    <row r="3096" spans="1:11" x14ac:dyDescent="0.25">
      <c r="A3096" s="4" t="str">
        <f ca="1">IFERROR(__xludf.DUMMYFUNCTION("""COMPUTED_VALUE"""),"107386-B")</f>
        <v>107386-B</v>
      </c>
      <c r="B3096" s="5" t="str">
        <f ca="1">IFERROR(__xludf.DUMMYFUNCTION("""COMPUTED_VALUE"""),"القاهرة")</f>
        <v>القاهرة</v>
      </c>
      <c r="C3096" s="5" t="str">
        <f ca="1">IFERROR(__xludf.DUMMYFUNCTION("""COMPUTED_VALUE"""),"المعادى")</f>
        <v>المعادى</v>
      </c>
      <c r="D3096" s="5" t="str">
        <f ca="1">IFERROR(__xludf.DUMMYFUNCTION("""COMPUTED_VALUE"""),"صيدلية")</f>
        <v>صيدلية</v>
      </c>
      <c r="E3096" s="5" t="str">
        <f ca="1">IFERROR(__xludf.DUMMYFUNCTION("""COMPUTED_VALUE"""),"صيدلية")</f>
        <v>صيدلية</v>
      </c>
      <c r="F3096" s="5" t="str">
        <f ca="1">IFERROR(__xludf.DUMMYFUNCTION("""COMPUTED_VALUE"""),"صيدلية (أدوية ومستلزمات طبية)")</f>
        <v>صيدلية (أدوية ومستلزمات طبية)</v>
      </c>
      <c r="G3096" s="5" t="str">
        <f ca="1">IFERROR(__xludf.DUMMYFUNCTION("""COMPUTED_VALUE"""),"شركة الخبراء فارما لادارة الصيدليات")</f>
        <v>شركة الخبراء فارما لادارة الصيدليات</v>
      </c>
      <c r="H3096" s="5" t="str">
        <f ca="1">IFERROR(__xludf.DUMMYFUNCTION("""COMPUTED_VALUE"""),"4/5 ش رئاسة الحي متفرع من ش الجزائر")</f>
        <v>4/5 ش رئاسة الحي متفرع من ش الجزائر</v>
      </c>
      <c r="I3096" s="6" t="str">
        <f ca="1">IFERROR(__xludf.DUMMYFUNCTION("""COMPUTED_VALUE"""),"01101801838")</f>
        <v>01101801838</v>
      </c>
      <c r="J3096" s="6" t="str">
        <f ca="1">IFERROR(__xludf.DUMMYFUNCTION("""COMPUTED_VALUE"""),"17042")</f>
        <v>17042</v>
      </c>
      <c r="K3096" s="6" t="str">
        <f ca="1">IFERROR(__xludf.DUMMYFUNCTION("""COMPUTED_VALUE"""),"13 % على المحلى ,6% على المستورد")</f>
        <v>13 % على المحلى ,6% على المستورد</v>
      </c>
    </row>
    <row r="3097" spans="1:11" x14ac:dyDescent="0.25">
      <c r="A3097" s="4" t="str">
        <f ca="1">IFERROR(__xludf.DUMMYFUNCTION("""COMPUTED_VALUE"""),"107386-B")</f>
        <v>107386-B</v>
      </c>
      <c r="B3097" s="5" t="str">
        <f ca="1">IFERROR(__xludf.DUMMYFUNCTION("""COMPUTED_VALUE"""),"القاهرة")</f>
        <v>القاهرة</v>
      </c>
      <c r="C3097" s="5" t="str">
        <f ca="1">IFERROR(__xludf.DUMMYFUNCTION("""COMPUTED_VALUE"""),"المقطم")</f>
        <v>المقطم</v>
      </c>
      <c r="D3097" s="5" t="str">
        <f ca="1">IFERROR(__xludf.DUMMYFUNCTION("""COMPUTED_VALUE"""),"صيدلية")</f>
        <v>صيدلية</v>
      </c>
      <c r="E3097" s="5" t="str">
        <f ca="1">IFERROR(__xludf.DUMMYFUNCTION("""COMPUTED_VALUE"""),"صيدلية")</f>
        <v>صيدلية</v>
      </c>
      <c r="F3097" s="5" t="str">
        <f ca="1">IFERROR(__xludf.DUMMYFUNCTION("""COMPUTED_VALUE"""),"صيدلية (أدوية ومستلزمات طبية)")</f>
        <v>صيدلية (أدوية ومستلزمات طبية)</v>
      </c>
      <c r="G3097" s="5" t="str">
        <f ca="1">IFERROR(__xludf.DUMMYFUNCTION("""COMPUTED_VALUE"""),"شركة الخبراء فارما لادارة الصيدليات")</f>
        <v>شركة الخبراء فارما لادارة الصيدليات</v>
      </c>
      <c r="H3097" s="5" t="str">
        <f ca="1">IFERROR(__xludf.DUMMYFUNCTION("""COMPUTED_VALUE"""),"قطعه 8133 منطقة س ش 9")</f>
        <v>قطعه 8133 منطقة س ش 9</v>
      </c>
      <c r="I3097" s="6" t="str">
        <f ca="1">IFERROR(__xludf.DUMMYFUNCTION("""COMPUTED_VALUE"""),"01033331281")</f>
        <v>01033331281</v>
      </c>
      <c r="J3097" s="6" t="str">
        <f ca="1">IFERROR(__xludf.DUMMYFUNCTION("""COMPUTED_VALUE"""),"17042")</f>
        <v>17042</v>
      </c>
      <c r="K3097" s="6" t="str">
        <f ca="1">IFERROR(__xludf.DUMMYFUNCTION("""COMPUTED_VALUE"""),"13 % على المحلى ,6% على المستورد")</f>
        <v>13 % على المحلى ,6% على المستورد</v>
      </c>
    </row>
    <row r="3098" spans="1:11" x14ac:dyDescent="0.25">
      <c r="A3098" s="4" t="str">
        <f ca="1">IFERROR(__xludf.DUMMYFUNCTION("""COMPUTED_VALUE"""),"107386-B")</f>
        <v>107386-B</v>
      </c>
      <c r="B3098" s="5" t="str">
        <f ca="1">IFERROR(__xludf.DUMMYFUNCTION("""COMPUTED_VALUE"""),"الجيزة")</f>
        <v>الجيزة</v>
      </c>
      <c r="C3098" s="5" t="str">
        <f ca="1">IFERROR(__xludf.DUMMYFUNCTION("""COMPUTED_VALUE"""),"المهندسين")</f>
        <v>المهندسين</v>
      </c>
      <c r="D3098" s="5" t="str">
        <f ca="1">IFERROR(__xludf.DUMMYFUNCTION("""COMPUTED_VALUE"""),"صيدلية")</f>
        <v>صيدلية</v>
      </c>
      <c r="E3098" s="5" t="str">
        <f ca="1">IFERROR(__xludf.DUMMYFUNCTION("""COMPUTED_VALUE"""),"صيدلية")</f>
        <v>صيدلية</v>
      </c>
      <c r="F3098" s="5" t="str">
        <f ca="1">IFERROR(__xludf.DUMMYFUNCTION("""COMPUTED_VALUE"""),"صيدلية (أدوية ومستلزمات طبية)")</f>
        <v>صيدلية (أدوية ومستلزمات طبية)</v>
      </c>
      <c r="G3098" s="5" t="str">
        <f ca="1">IFERROR(__xludf.DUMMYFUNCTION("""COMPUTED_VALUE"""),"شركة الخبراء فارما لادارة الصيدليات")</f>
        <v>شركة الخبراء فارما لادارة الصيدليات</v>
      </c>
      <c r="H3098" s="5" t="str">
        <f ca="1">IFERROR(__xludf.DUMMYFUNCTION("""COMPUTED_VALUE"""),"5 شارع سوريا - المهندسين")</f>
        <v>5 شارع سوريا - المهندسين</v>
      </c>
      <c r="I3098" s="6" t="str">
        <f ca="1">IFERROR(__xludf.DUMMYFUNCTION("""COMPUTED_VALUE"""),"01044583849")</f>
        <v>01044583849</v>
      </c>
      <c r="J3098" s="6" t="str">
        <f ca="1">IFERROR(__xludf.DUMMYFUNCTION("""COMPUTED_VALUE"""),"17042")</f>
        <v>17042</v>
      </c>
      <c r="K3098" s="6" t="str">
        <f ca="1">IFERROR(__xludf.DUMMYFUNCTION("""COMPUTED_VALUE"""),"13 % على المحلى ,6% على المستورد")</f>
        <v>13 % على المحلى ,6% على المستورد</v>
      </c>
    </row>
    <row r="3099" spans="1:11" x14ac:dyDescent="0.25">
      <c r="A3099" s="4" t="str">
        <f ca="1">IFERROR(__xludf.DUMMYFUNCTION("""COMPUTED_VALUE"""),"107387")</f>
        <v>107387</v>
      </c>
      <c r="B3099" s="5" t="str">
        <f ca="1">IFERROR(__xludf.DUMMYFUNCTION("""COMPUTED_VALUE"""),"الدقهلية")</f>
        <v>الدقهلية</v>
      </c>
      <c r="C3099" s="5" t="str">
        <f ca="1">IFERROR(__xludf.DUMMYFUNCTION("""COMPUTED_VALUE"""),"أجا")</f>
        <v>أجا</v>
      </c>
      <c r="D3099" s="5" t="str">
        <f ca="1">IFERROR(__xludf.DUMMYFUNCTION("""COMPUTED_VALUE"""),"مركز أشعة")</f>
        <v>مركز أشعة</v>
      </c>
      <c r="E3099" s="5" t="str">
        <f ca="1">IFERROR(__xludf.DUMMYFUNCTION("""COMPUTED_VALUE"""),"مركز أشعة")</f>
        <v>مركز أشعة</v>
      </c>
      <c r="F3099" s="5" t="str">
        <f ca="1">IFERROR(__xludf.DUMMYFUNCTION("""COMPUTED_VALUE"""),"أشعة تشخيصية")</f>
        <v>أشعة تشخيصية</v>
      </c>
      <c r="G3099" s="5" t="str">
        <f ca="1">IFERROR(__xludf.DUMMYFUNCTION("""COMPUTED_VALUE"""),"ايجيبت سكان (مركز عرب سكان للأشعه)")</f>
        <v>ايجيبت سكان (مركز عرب سكان للأشعه)</v>
      </c>
      <c r="H3099" s="5" t="str">
        <f ca="1">IFERROR(__xludf.DUMMYFUNCTION("""COMPUTED_VALUE"""),"تقسييم جورجينا بجوار الكوبري الدور الثاني - أجا - الدقهلية")</f>
        <v>تقسييم جورجينا بجوار الكوبري الدور الثاني - أجا - الدقهلية</v>
      </c>
      <c r="I3099" s="6" t="str">
        <f ca="1">IFERROR(__xludf.DUMMYFUNCTION("""COMPUTED_VALUE"""),"01017976600")</f>
        <v>01017976600</v>
      </c>
      <c r="J3099" s="6"/>
      <c r="K3099" s="6" t="str">
        <f ca="1">IFERROR(__xludf.DUMMYFUNCTION("""COMPUTED_VALUE"""),"خصم 30%علي الأسعار النقدي المعلنة")</f>
        <v>خصم 30%علي الأسعار النقدي المعلنة</v>
      </c>
    </row>
    <row r="3100" spans="1:11" x14ac:dyDescent="0.25">
      <c r="A3100" s="4" t="str">
        <f ca="1">IFERROR(__xludf.DUMMYFUNCTION("""COMPUTED_VALUE"""),"107388")</f>
        <v>107388</v>
      </c>
      <c r="B3100" s="5" t="str">
        <f ca="1">IFERROR(__xludf.DUMMYFUNCTION("""COMPUTED_VALUE"""),"الشرقية")</f>
        <v>الشرقية</v>
      </c>
      <c r="C3100" s="5" t="str">
        <f ca="1">IFERROR(__xludf.DUMMYFUNCTION("""COMPUTED_VALUE"""),"فاقوس")</f>
        <v>فاقوس</v>
      </c>
      <c r="D3100" s="5" t="str">
        <f ca="1">IFERROR(__xludf.DUMMYFUNCTION("""COMPUTED_VALUE"""),"مركز أشعة")</f>
        <v>مركز أشعة</v>
      </c>
      <c r="E3100" s="5" t="str">
        <f ca="1">IFERROR(__xludf.DUMMYFUNCTION("""COMPUTED_VALUE"""),"مركز أشعة")</f>
        <v>مركز أشعة</v>
      </c>
      <c r="F3100" s="5" t="str">
        <f ca="1">IFERROR(__xludf.DUMMYFUNCTION("""COMPUTED_VALUE"""),"أشعة تشخيصية")</f>
        <v>أشعة تشخيصية</v>
      </c>
      <c r="G3100" s="5" t="str">
        <f ca="1">IFERROR(__xludf.DUMMYFUNCTION("""COMPUTED_VALUE"""),"البيان للخدمات الطبية (مركز البيان للأشعة)")</f>
        <v>البيان للخدمات الطبية (مركز البيان للأشعة)</v>
      </c>
      <c r="H3100" s="5" t="str">
        <f ca="1">IFERROR(__xludf.DUMMYFUNCTION("""COMPUTED_VALUE"""),"الدور الارضي - كفر الحوت - ش الملاك - فاقوس - الشرقية")</f>
        <v>الدور الارضي - كفر الحوت - ش الملاك - فاقوس - الشرقية</v>
      </c>
      <c r="I3100" s="6" t="str">
        <f ca="1">IFERROR(__xludf.DUMMYFUNCTION("""COMPUTED_VALUE"""),"01115506373")</f>
        <v>01115506373</v>
      </c>
      <c r="J3100" s="6"/>
      <c r="K3100" s="6" t="str">
        <f ca="1">IFERROR(__xludf.DUMMYFUNCTION("""COMPUTED_VALUE"""),"خصم 30%علي الأسعار النقدي المعلنة")</f>
        <v>خصم 30%علي الأسعار النقدي المعلنة</v>
      </c>
    </row>
    <row r="3101" spans="1:11" x14ac:dyDescent="0.25">
      <c r="A3101" s="4" t="str">
        <f ca="1">IFERROR(__xludf.DUMMYFUNCTION("""COMPUTED_VALUE"""),"107388-B")</f>
        <v>107388-B</v>
      </c>
      <c r="B3101" s="5" t="str">
        <f ca="1">IFERROR(__xludf.DUMMYFUNCTION("""COMPUTED_VALUE"""),"الشرقية")</f>
        <v>الشرقية</v>
      </c>
      <c r="C3101" s="5" t="str">
        <f ca="1">IFERROR(__xludf.DUMMYFUNCTION("""COMPUTED_VALUE"""),"بلبيس")</f>
        <v>بلبيس</v>
      </c>
      <c r="D3101" s="5" t="str">
        <f ca="1">IFERROR(__xludf.DUMMYFUNCTION("""COMPUTED_VALUE"""),"مركز أشعة")</f>
        <v>مركز أشعة</v>
      </c>
      <c r="E3101" s="5" t="str">
        <f ca="1">IFERROR(__xludf.DUMMYFUNCTION("""COMPUTED_VALUE"""),"مركز أشعة")</f>
        <v>مركز أشعة</v>
      </c>
      <c r="F3101" s="5" t="str">
        <f ca="1">IFERROR(__xludf.DUMMYFUNCTION("""COMPUTED_VALUE"""),"أشعة تشخيصية")</f>
        <v>أشعة تشخيصية</v>
      </c>
      <c r="G3101" s="5" t="str">
        <f ca="1">IFERROR(__xludf.DUMMYFUNCTION("""COMPUTED_VALUE"""),"البيان للخدمات الطبية (مركز البيان للأشعة)")</f>
        <v>البيان للخدمات الطبية (مركز البيان للأشعة)</v>
      </c>
      <c r="H3101" s="5" t="str">
        <f ca="1">IFERROR(__xludf.DUMMYFUNCTION("""COMPUTED_VALUE"""),"الدور الاول علوي - 80 ش بورسعيد امام بنك مصر - بلبيس - الشرقية")</f>
        <v>الدور الاول علوي - 80 ش بورسعيد امام بنك مصر - بلبيس - الشرقية</v>
      </c>
      <c r="I3101" s="6" t="str">
        <f ca="1">IFERROR(__xludf.DUMMYFUNCTION("""COMPUTED_VALUE"""),"01115506373")</f>
        <v>01115506373</v>
      </c>
      <c r="J3101" s="6"/>
      <c r="K3101" s="6" t="str">
        <f ca="1">IFERROR(__xludf.DUMMYFUNCTION("""COMPUTED_VALUE"""),"خصم 30%علي الأسعار النقدي المعلنة")</f>
        <v>خصم 30%علي الأسعار النقدي المعلنة</v>
      </c>
    </row>
    <row r="3102" spans="1:11" x14ac:dyDescent="0.25">
      <c r="A3102" s="4" t="str">
        <f ca="1">IFERROR(__xludf.DUMMYFUNCTION("""COMPUTED_VALUE"""),"107388-B")</f>
        <v>107388-B</v>
      </c>
      <c r="B3102" s="5" t="str">
        <f ca="1">IFERROR(__xludf.DUMMYFUNCTION("""COMPUTED_VALUE"""),"الشرقية")</f>
        <v>الشرقية</v>
      </c>
      <c r="C3102" s="5" t="str">
        <f ca="1">IFERROR(__xludf.DUMMYFUNCTION("""COMPUTED_VALUE"""),"بلبيس")</f>
        <v>بلبيس</v>
      </c>
      <c r="D3102" s="5" t="str">
        <f ca="1">IFERROR(__xludf.DUMMYFUNCTION("""COMPUTED_VALUE"""),"مركز أشعة")</f>
        <v>مركز أشعة</v>
      </c>
      <c r="E3102" s="5" t="str">
        <f ca="1">IFERROR(__xludf.DUMMYFUNCTION("""COMPUTED_VALUE"""),"مركز أشعة")</f>
        <v>مركز أشعة</v>
      </c>
      <c r="F3102" s="5" t="str">
        <f ca="1">IFERROR(__xludf.DUMMYFUNCTION("""COMPUTED_VALUE"""),"أشعة تشخيصية")</f>
        <v>أشعة تشخيصية</v>
      </c>
      <c r="G3102" s="5" t="str">
        <f ca="1">IFERROR(__xludf.DUMMYFUNCTION("""COMPUTED_VALUE"""),"البيان للخدمات الطبية (مركز البيان للأشعة)")</f>
        <v>البيان للخدمات الطبية (مركز البيان للأشعة)</v>
      </c>
      <c r="H3102" s="5" t="str">
        <f ca="1">IFERROR(__xludf.DUMMYFUNCTION("""COMPUTED_VALUE"""),"الدور الارضي عقار 3 ش أحمد عبدالعظيم عتمان - بلبيس - الشرقية")</f>
        <v>الدور الارضي عقار 3 ش أحمد عبدالعظيم عتمان - بلبيس - الشرقية</v>
      </c>
      <c r="I3102" s="6" t="str">
        <f ca="1">IFERROR(__xludf.DUMMYFUNCTION("""COMPUTED_VALUE"""),"01115506373")</f>
        <v>01115506373</v>
      </c>
      <c r="J3102" s="6"/>
      <c r="K3102" s="6" t="str">
        <f ca="1">IFERROR(__xludf.DUMMYFUNCTION("""COMPUTED_VALUE"""),"خصم 30%علي الأسعار النقدي المعلنة")</f>
        <v>خصم 30%علي الأسعار النقدي المعلنة</v>
      </c>
    </row>
    <row r="3103" spans="1:11" x14ac:dyDescent="0.25">
      <c r="A3103" s="4" t="str">
        <f ca="1">IFERROR(__xludf.DUMMYFUNCTION("""COMPUTED_VALUE"""),"107389")</f>
        <v>107389</v>
      </c>
      <c r="B3103" s="5" t="str">
        <f ca="1">IFERROR(__xludf.DUMMYFUNCTION("""COMPUTED_VALUE"""),"القاهرة")</f>
        <v>القاهرة</v>
      </c>
      <c r="C3103" s="5" t="str">
        <f ca="1">IFERROR(__xludf.DUMMYFUNCTION("""COMPUTED_VALUE"""),"مدينة نصر")</f>
        <v>مدينة نصر</v>
      </c>
      <c r="D3103" s="5" t="str">
        <f ca="1">IFERROR(__xludf.DUMMYFUNCTION("""COMPUTED_VALUE"""),"هيئة الأطباء")</f>
        <v>هيئة الأطباء</v>
      </c>
      <c r="E3103" s="5" t="str">
        <f ca="1">IFERROR(__xludf.DUMMYFUNCTION("""COMPUTED_VALUE"""),"جراحة")</f>
        <v>جراحة</v>
      </c>
      <c r="F3103" s="5" t="str">
        <f ca="1">IFERROR(__xludf.DUMMYFUNCTION("""COMPUTED_VALUE"""),"جراحة عظام")</f>
        <v>جراحة عظام</v>
      </c>
      <c r="G3103" s="5" t="str">
        <f ca="1">IFERROR(__xludf.DUMMYFUNCTION("""COMPUTED_VALUE"""),"د/ احمد عبدالفتاح محمد البهات")</f>
        <v>د/ احمد عبدالفتاح محمد البهات</v>
      </c>
      <c r="H3103" s="5" t="str">
        <f ca="1">IFERROR(__xludf.DUMMYFUNCTION("""COMPUTED_VALUE"""),"70 ش محمد مقلد من مصطفي النحاس - مدينة نصر - القاهرة")</f>
        <v>70 ش محمد مقلد من مصطفي النحاس - مدينة نصر - القاهرة</v>
      </c>
      <c r="I3103" s="6" t="str">
        <f ca="1">IFERROR(__xludf.DUMMYFUNCTION("""COMPUTED_VALUE"""),"01200011591")</f>
        <v>01200011591</v>
      </c>
      <c r="J3103" s="6"/>
      <c r="K3103" s="6" t="str">
        <f ca="1">IFERROR(__xludf.DUMMYFUNCTION("""COMPUTED_VALUE"""),"خصم 30%علي الأسعار النقدي المعلنة")</f>
        <v>خصم 30%علي الأسعار النقدي المعلنة</v>
      </c>
    </row>
    <row r="3104" spans="1:11" x14ac:dyDescent="0.25">
      <c r="A3104" s="4" t="str">
        <f ca="1">IFERROR(__xludf.DUMMYFUNCTION("""COMPUTED_VALUE"""),"107391")</f>
        <v>107391</v>
      </c>
      <c r="B3104" s="5" t="str">
        <f ca="1">IFERROR(__xludf.DUMMYFUNCTION("""COMPUTED_VALUE"""),"القاهرة")</f>
        <v>القاهرة</v>
      </c>
      <c r="C3104" s="5" t="str">
        <f ca="1">IFERROR(__xludf.DUMMYFUNCTION("""COMPUTED_VALUE"""),"المنيل")</f>
        <v>المنيل</v>
      </c>
      <c r="D3104" s="5" t="str">
        <f ca="1">IFERROR(__xludf.DUMMYFUNCTION("""COMPUTED_VALUE"""),"هيئة الأطباء")</f>
        <v>هيئة الأطباء</v>
      </c>
      <c r="E3104" s="5" t="str">
        <f ca="1">IFERROR(__xludf.DUMMYFUNCTION("""COMPUTED_VALUE"""),"جراحة")</f>
        <v>جراحة</v>
      </c>
      <c r="F3104" s="5" t="str">
        <f ca="1">IFERROR(__xludf.DUMMYFUNCTION("""COMPUTED_VALUE"""),"جراحة عظام")</f>
        <v>جراحة عظام</v>
      </c>
      <c r="G3104" s="5" t="str">
        <f ca="1">IFERROR(__xludf.DUMMYFUNCTION("""COMPUTED_VALUE"""),"د/ أسامة لطفي ابوزيد علي")</f>
        <v>د/ أسامة لطفي ابوزيد علي</v>
      </c>
      <c r="H3104" s="5" t="str">
        <f ca="1">IFERROR(__xludf.DUMMYFUNCTION("""COMPUTED_VALUE"""),"72 ش المنيل - مصر القديمة - القاهرة")</f>
        <v>72 ش المنيل - مصر القديمة - القاهرة</v>
      </c>
      <c r="I3104" s="6" t="str">
        <f ca="1">IFERROR(__xludf.DUMMYFUNCTION("""COMPUTED_VALUE"""),"01270784277")</f>
        <v>01270784277</v>
      </c>
      <c r="J3104" s="6"/>
      <c r="K3104" s="6" t="str">
        <f ca="1">IFERROR(__xludf.DUMMYFUNCTION("""COMPUTED_VALUE"""),"خصم 30%علي الأسعار النقدي المعلنة")</f>
        <v>خصم 30%علي الأسعار النقدي المعلنة</v>
      </c>
    </row>
    <row r="3105" spans="1:11" x14ac:dyDescent="0.25">
      <c r="A3105" s="4" t="str">
        <f ca="1">IFERROR(__xludf.DUMMYFUNCTION("""COMPUTED_VALUE"""),"107392")</f>
        <v>107392</v>
      </c>
      <c r="B3105" s="5" t="str">
        <f ca="1">IFERROR(__xludf.DUMMYFUNCTION("""COMPUTED_VALUE"""),"الاسكندرية")</f>
        <v>الاسكندرية</v>
      </c>
      <c r="C3105" s="5" t="str">
        <f ca="1">IFERROR(__xludf.DUMMYFUNCTION("""COMPUTED_VALUE"""),"المنتزة")</f>
        <v>المنتزة</v>
      </c>
      <c r="D3105" s="5" t="str">
        <f ca="1">IFERROR(__xludf.DUMMYFUNCTION("""COMPUTED_VALUE"""),"مستشفى")</f>
        <v>مستشفى</v>
      </c>
      <c r="E3105" s="5" t="str">
        <f ca="1">IFERROR(__xludf.DUMMYFUNCTION("""COMPUTED_VALUE"""),"جميع التخصصات")</f>
        <v>جميع التخصصات</v>
      </c>
      <c r="F3105" s="5" t="str">
        <f ca="1">IFERROR(__xludf.DUMMYFUNCTION("""COMPUTED_VALUE"""),"جميع التخصصات الطبية")</f>
        <v>جميع التخصصات الطبية</v>
      </c>
      <c r="G3105" s="5" t="str">
        <f ca="1">IFERROR(__xludf.DUMMYFUNCTION("""COMPUTED_VALUE"""),"مستشفي الفا - الاسكندرية")</f>
        <v>مستشفي الفا - الاسكندرية</v>
      </c>
      <c r="H3105" s="5" t="str">
        <f ca="1">IFERROR(__xludf.DUMMYFUNCTION("""COMPUTED_VALUE"""),"ش مصطفي كامل أمام معرض الاسكندرية الدولي - المنتزه - الاسكندرية")</f>
        <v>ش مصطفي كامل أمام معرض الاسكندرية الدولي - المنتزه - الاسكندرية</v>
      </c>
      <c r="I3105" s="6"/>
      <c r="J3105" s="6" t="str">
        <f ca="1">IFERROR(__xludf.DUMMYFUNCTION("""COMPUTED_VALUE"""),"15614")</f>
        <v>15614</v>
      </c>
      <c r="K3105" s="6" t="str">
        <f ca="1">IFERROR(__xludf.DUMMYFUNCTION("""COMPUTED_VALUE"""),"خصم 30%علي الأسعار النقدي المعلنة")</f>
        <v>خصم 30%علي الأسعار النقدي المعلنة</v>
      </c>
    </row>
    <row r="3106" spans="1:11" x14ac:dyDescent="0.25">
      <c r="A3106" s="4" t="str">
        <f ca="1">IFERROR(__xludf.DUMMYFUNCTION("""COMPUTED_VALUE"""),"107393")</f>
        <v>107393</v>
      </c>
      <c r="B3106" s="5" t="str">
        <f ca="1">IFERROR(__xludf.DUMMYFUNCTION("""COMPUTED_VALUE"""),"القليوبية")</f>
        <v>القليوبية</v>
      </c>
      <c r="C3106" s="5" t="str">
        <f ca="1">IFERROR(__xludf.DUMMYFUNCTION("""COMPUTED_VALUE"""),"بنها")</f>
        <v>بنها</v>
      </c>
      <c r="D3106" s="5" t="str">
        <f ca="1">IFERROR(__xludf.DUMMYFUNCTION("""COMPUTED_VALUE"""),"هيئة الأطباء")</f>
        <v>هيئة الأطباء</v>
      </c>
      <c r="E3106" s="5" t="str">
        <f ca="1">IFERROR(__xludf.DUMMYFUNCTION("""COMPUTED_VALUE"""),"باطنة")</f>
        <v>باطنة</v>
      </c>
      <c r="F3106" s="5" t="str">
        <f ca="1">IFERROR(__xludf.DUMMYFUNCTION("""COMPUTED_VALUE"""),"قلب واوعية دموية")</f>
        <v>قلب واوعية دموية</v>
      </c>
      <c r="G3106" s="5" t="str">
        <f ca="1">IFERROR(__xludf.DUMMYFUNCTION("""COMPUTED_VALUE"""),"د/ مرسي مصطفي مرسي علي")</f>
        <v>د/ مرسي مصطفي مرسي علي</v>
      </c>
      <c r="H3106" s="5" t="str">
        <f ca="1">IFERROR(__xludf.DUMMYFUNCTION("""COMPUTED_VALUE"""),"19 ش سما سكان الامل - بنها الجديدة - القليوبية")</f>
        <v>19 ش سما سكان الامل - بنها الجديدة - القليوبية</v>
      </c>
      <c r="I3106" s="6" t="str">
        <f ca="1">IFERROR(__xludf.DUMMYFUNCTION("""COMPUTED_VALUE"""),"01017671818")</f>
        <v>01017671818</v>
      </c>
      <c r="J3106" s="6"/>
      <c r="K3106" s="6" t="str">
        <f ca="1">IFERROR(__xludf.DUMMYFUNCTION("""COMPUTED_VALUE"""),"خصم 30%علي الأسعار النقدي المعلنة")</f>
        <v>خصم 30%علي الأسعار النقدي المعلنة</v>
      </c>
    </row>
    <row r="3107" spans="1:11" x14ac:dyDescent="0.25">
      <c r="A3107" s="4" t="str">
        <f ca="1">IFERROR(__xludf.DUMMYFUNCTION("""COMPUTED_VALUE"""),"107394")</f>
        <v>107394</v>
      </c>
      <c r="B3107" s="5" t="str">
        <f ca="1">IFERROR(__xludf.DUMMYFUNCTION("""COMPUTED_VALUE"""),"الشرقية")</f>
        <v>الشرقية</v>
      </c>
      <c r="C3107" s="5" t="str">
        <f ca="1">IFERROR(__xludf.DUMMYFUNCTION("""COMPUTED_VALUE"""),"الزقازيق")</f>
        <v>الزقازيق</v>
      </c>
      <c r="D3107" s="5" t="str">
        <f ca="1">IFERROR(__xludf.DUMMYFUNCTION("""COMPUTED_VALUE"""),"مستشفى")</f>
        <v>مستشفى</v>
      </c>
      <c r="E3107" s="5" t="str">
        <f ca="1">IFERROR(__xludf.DUMMYFUNCTION("""COMPUTED_VALUE"""),"مستشفي طبي متخصص")</f>
        <v>مستشفي طبي متخصص</v>
      </c>
      <c r="F3107" s="5" t="str">
        <f ca="1">IFERROR(__xludf.DUMMYFUNCTION("""COMPUTED_VALUE"""),"أنف وأذن وحنجرة")</f>
        <v>أنف وأذن وحنجرة</v>
      </c>
      <c r="G3107" s="5" t="str">
        <f ca="1">IFERROR(__xludf.DUMMYFUNCTION("""COMPUTED_VALUE"""),"شركة مركز مصر التخصصي لطب و جراحة الانف و الاذن و الحنجرة")</f>
        <v>شركة مركز مصر التخصصي لطب و جراحة الانف و الاذن و الحنجرة</v>
      </c>
      <c r="H3107" s="5" t="str">
        <f ca="1">IFERROR(__xludf.DUMMYFUNCTION("""COMPUTED_VALUE"""),"برج الغرباوي ش احمد اسماعيل القومية - الزقازيق - الشرقية")</f>
        <v>برج الغرباوي ش احمد اسماعيل القومية - الزقازيق - الشرقية</v>
      </c>
      <c r="I3107" s="6" t="str">
        <f ca="1">IFERROR(__xludf.DUMMYFUNCTION("""COMPUTED_VALUE"""),"0552387373")</f>
        <v>0552387373</v>
      </c>
      <c r="J3107" s="6"/>
      <c r="K3107" s="6" t="str">
        <f ca="1">IFERROR(__xludf.DUMMYFUNCTION("""COMPUTED_VALUE"""),"خصم 30%علي الأسعار النقدي المعلنة")</f>
        <v>خصم 30%علي الأسعار النقدي المعلنة</v>
      </c>
    </row>
    <row r="3108" spans="1:11" x14ac:dyDescent="0.25">
      <c r="A3108" s="4" t="str">
        <f ca="1">IFERROR(__xludf.DUMMYFUNCTION("""COMPUTED_VALUE"""),"107395")</f>
        <v>107395</v>
      </c>
      <c r="B3108" s="5" t="str">
        <f ca="1">IFERROR(__xludf.DUMMYFUNCTION("""COMPUTED_VALUE"""),"بني سويف")</f>
        <v>بني سويف</v>
      </c>
      <c r="C3108" s="5" t="str">
        <f ca="1">IFERROR(__xludf.DUMMYFUNCTION("""COMPUTED_VALUE"""),"بني سويف")</f>
        <v>بني سويف</v>
      </c>
      <c r="D3108" s="5" t="str">
        <f ca="1">IFERROR(__xludf.DUMMYFUNCTION("""COMPUTED_VALUE"""),"مستشفى")</f>
        <v>مستشفى</v>
      </c>
      <c r="E3108" s="5" t="str">
        <f ca="1">IFERROR(__xludf.DUMMYFUNCTION("""COMPUTED_VALUE"""),"مستشفي طبي متخصص")</f>
        <v>مستشفي طبي متخصص</v>
      </c>
      <c r="F3108" s="5" t="str">
        <f ca="1">IFERROR(__xludf.DUMMYFUNCTION("""COMPUTED_VALUE"""),"رمد (جراحة عيون)")</f>
        <v>رمد (جراحة عيون)</v>
      </c>
      <c r="G3108" s="5" t="str">
        <f ca="1">IFERROR(__xludf.DUMMYFUNCTION("""COMPUTED_VALUE"""),"علي عبدالعظيم احمد علي و شريكه (مركز عبدالعزيز للعيون)")</f>
        <v>علي عبدالعظيم احمد علي و شريكه (مركز عبدالعزيز للعيون)</v>
      </c>
      <c r="H3108" s="5" t="str">
        <f ca="1">IFERROR(__xludf.DUMMYFUNCTION("""COMPUTED_VALUE"""),"3 ش محمد متولي الشعراوي عبدالسلام عارف برج وجدي - بني سويف")</f>
        <v>3 ش محمد متولي الشعراوي عبدالسلام عارف برج وجدي - بني سويف</v>
      </c>
      <c r="I3108" s="6" t="str">
        <f ca="1">IFERROR(__xludf.DUMMYFUNCTION("""COMPUTED_VALUE"""),"01280872046")</f>
        <v>01280872046</v>
      </c>
      <c r="J3108" s="6"/>
      <c r="K3108" s="6" t="str">
        <f ca="1">IFERROR(__xludf.DUMMYFUNCTION("""COMPUTED_VALUE"""),"خصم 25%علي الأسعار النقدي المعلنة")</f>
        <v>خصم 25%علي الأسعار النقدي المعلنة</v>
      </c>
    </row>
    <row r="3109" spans="1:11" x14ac:dyDescent="0.25">
      <c r="A3109" s="4" t="str">
        <f ca="1">IFERROR(__xludf.DUMMYFUNCTION("""COMPUTED_VALUE"""),"104296-B")</f>
        <v>104296-B</v>
      </c>
      <c r="B3109" s="5" t="str">
        <f ca="1">IFERROR(__xludf.DUMMYFUNCTION("""COMPUTED_VALUE"""),"القاهرة")</f>
        <v>القاهرة</v>
      </c>
      <c r="C3109" s="5" t="str">
        <f ca="1">IFERROR(__xludf.DUMMYFUNCTION("""COMPUTED_VALUE"""),"حلوان")</f>
        <v>حلوان</v>
      </c>
      <c r="D3109" s="5" t="str">
        <f ca="1">IFERROR(__xludf.DUMMYFUNCTION("""COMPUTED_VALUE"""),"مركز علاج طبيعي")</f>
        <v>مركز علاج طبيعي</v>
      </c>
      <c r="E3109" s="5" t="str">
        <f ca="1">IFERROR(__xludf.DUMMYFUNCTION("""COMPUTED_VALUE"""),"علاج طبيعي")</f>
        <v>علاج طبيعي</v>
      </c>
      <c r="F3109" s="5" t="str">
        <f ca="1">IFERROR(__xludf.DUMMYFUNCTION("""COMPUTED_VALUE"""),"جلسات العلاج الطبيعي")</f>
        <v>جلسات العلاج الطبيعي</v>
      </c>
      <c r="G3109" s="5" t="str">
        <f ca="1">IFERROR(__xludf.DUMMYFUNCTION("""COMPUTED_VALUE"""),"مركز ألفا كير للعلاج الطبيعي (د.كريم عبدالقوى عبدالله)")</f>
        <v>مركز ألفا كير للعلاج الطبيعي (د.كريم عبدالقوى عبدالله)</v>
      </c>
      <c r="H3109" s="5" t="str">
        <f ca="1">IFERROR(__xludf.DUMMYFUNCTION("""COMPUTED_VALUE"""),"حلوان - 44 شارع منصور تقاطع شارع المراغي - برج الصيفي (2) بجانب مترو حلوان و اعلا حلواني العيسوي 
")</f>
        <v xml:space="preserve">حلوان - 44 شارع منصور تقاطع شارع المراغي - برج الصيفي (2) بجانب مترو حلوان و اعلا حلواني العيسوي 
</v>
      </c>
      <c r="I3109" s="6"/>
      <c r="J3109" s="6" t="str">
        <f ca="1">IFERROR(__xludf.DUMMYFUNCTION("""COMPUTED_VALUE"""),"15662")</f>
        <v>15662</v>
      </c>
      <c r="K3109" s="6" t="str">
        <f ca="1">IFERROR(__xludf.DUMMYFUNCTION("""COMPUTED_VALUE"""),"30% على جميع الخدمات")</f>
        <v>30% على جميع الخدمات</v>
      </c>
    </row>
    <row r="3110" spans="1:11" x14ac:dyDescent="0.25">
      <c r="A3110" s="4" t="str">
        <f ca="1">IFERROR(__xludf.DUMMYFUNCTION("""COMPUTED_VALUE"""),"104296-B")</f>
        <v>104296-B</v>
      </c>
      <c r="B3110" s="5" t="str">
        <f ca="1">IFERROR(__xludf.DUMMYFUNCTION("""COMPUTED_VALUE"""),"دمياط")</f>
        <v>دمياط</v>
      </c>
      <c r="C3110" s="5" t="str">
        <f ca="1">IFERROR(__xludf.DUMMYFUNCTION("""COMPUTED_VALUE"""),"دمياط الجديدة")</f>
        <v>دمياط الجديدة</v>
      </c>
      <c r="D3110" s="5" t="str">
        <f ca="1">IFERROR(__xludf.DUMMYFUNCTION("""COMPUTED_VALUE"""),"مركز علاج طبيعي")</f>
        <v>مركز علاج طبيعي</v>
      </c>
      <c r="E3110" s="5" t="str">
        <f ca="1">IFERROR(__xludf.DUMMYFUNCTION("""COMPUTED_VALUE"""),"علاج طبيعي")</f>
        <v>علاج طبيعي</v>
      </c>
      <c r="F3110" s="5" t="str">
        <f ca="1">IFERROR(__xludf.DUMMYFUNCTION("""COMPUTED_VALUE"""),"جلسات العلاج الطبيعي")</f>
        <v>جلسات العلاج الطبيعي</v>
      </c>
      <c r="G3110" s="5" t="str">
        <f ca="1">IFERROR(__xludf.DUMMYFUNCTION("""COMPUTED_VALUE"""),"مركز ألفا كير للعلاج الطبيعي (د.كريم عبدالقوى عبدالله)")</f>
        <v>مركز ألفا كير للعلاج الطبيعي (د.كريم عبدالقوى عبدالله)</v>
      </c>
      <c r="H3110" s="5" t="str">
        <f ca="1">IFERROR(__xludf.DUMMYFUNCTION("""COMPUTED_VALUE"""),"دمياط الجديدة - المركزيه خلف مطعم علي الفحم - أعلى قطونيل - الدور الأول - يوجد اسانسير
")</f>
        <v xml:space="preserve">دمياط الجديدة - المركزيه خلف مطعم علي الفحم - أعلى قطونيل - الدور الأول - يوجد اسانسير
</v>
      </c>
      <c r="I3110" s="6"/>
      <c r="J3110" s="6" t="str">
        <f ca="1">IFERROR(__xludf.DUMMYFUNCTION("""COMPUTED_VALUE"""),"15662")</f>
        <v>15662</v>
      </c>
      <c r="K3110" s="6" t="str">
        <f ca="1">IFERROR(__xludf.DUMMYFUNCTION("""COMPUTED_VALUE"""),"30% على جميع الخدمات")</f>
        <v>30% على جميع الخدمات</v>
      </c>
    </row>
    <row r="3111" spans="1:11" x14ac:dyDescent="0.25">
      <c r="A3111" s="4" t="str">
        <f ca="1">IFERROR(__xludf.DUMMYFUNCTION("""COMPUTED_VALUE"""),"104296-B")</f>
        <v>104296-B</v>
      </c>
      <c r="B3111" s="5" t="str">
        <f ca="1">IFERROR(__xludf.DUMMYFUNCTION("""COMPUTED_VALUE"""),"الجيزة")</f>
        <v>الجيزة</v>
      </c>
      <c r="C3111" s="5" t="str">
        <f ca="1">IFERROR(__xludf.DUMMYFUNCTION("""COMPUTED_VALUE"""),"الدقي")</f>
        <v>الدقي</v>
      </c>
      <c r="D3111" s="5" t="str">
        <f ca="1">IFERROR(__xludf.DUMMYFUNCTION("""COMPUTED_VALUE"""),"مركز علاج طبيعي")</f>
        <v>مركز علاج طبيعي</v>
      </c>
      <c r="E3111" s="5" t="str">
        <f ca="1">IFERROR(__xludf.DUMMYFUNCTION("""COMPUTED_VALUE"""),"علاج طبيعي")</f>
        <v>علاج طبيعي</v>
      </c>
      <c r="F3111" s="5" t="str">
        <f ca="1">IFERROR(__xludf.DUMMYFUNCTION("""COMPUTED_VALUE"""),"جلسات العلاج الطبيعي")</f>
        <v>جلسات العلاج الطبيعي</v>
      </c>
      <c r="G3111" s="5" t="str">
        <f ca="1">IFERROR(__xludf.DUMMYFUNCTION("""COMPUTED_VALUE"""),"مركز ألفا كير للعلاج الطبيعي (د.كريم عبدالقوى عبدالله)")</f>
        <v>مركز ألفا كير للعلاج الطبيعي (د.كريم عبدالقوى عبدالله)</v>
      </c>
      <c r="H3111" s="5" t="str">
        <f ca="1">IFERROR(__xludf.DUMMYFUNCTION("""COMPUTED_VALUE"""),"7 ب شارع السد العالى - متفرع من شارع التحرير - اعلا تكا - الدور الرابع
")</f>
        <v xml:space="preserve">7 ب شارع السد العالى - متفرع من شارع التحرير - اعلا تكا - الدور الرابع
</v>
      </c>
      <c r="I3111" s="6"/>
      <c r="J3111" s="6" t="str">
        <f ca="1">IFERROR(__xludf.DUMMYFUNCTION("""COMPUTED_VALUE"""),"15662")</f>
        <v>15662</v>
      </c>
      <c r="K3111" s="6" t="str">
        <f ca="1">IFERROR(__xludf.DUMMYFUNCTION("""COMPUTED_VALUE"""),"30% على جميع الخدمات")</f>
        <v>30% على جميع الخدمات</v>
      </c>
    </row>
    <row r="3112" spans="1:11" x14ac:dyDescent="0.25">
      <c r="A3112" s="4" t="str">
        <f ca="1">IFERROR(__xludf.DUMMYFUNCTION("""COMPUTED_VALUE"""),"104296-B")</f>
        <v>104296-B</v>
      </c>
      <c r="B3112" s="5" t="str">
        <f ca="1">IFERROR(__xludf.DUMMYFUNCTION("""COMPUTED_VALUE"""),"الدقهلية")</f>
        <v>الدقهلية</v>
      </c>
      <c r="C3112" s="5" t="str">
        <f ca="1">IFERROR(__xludf.DUMMYFUNCTION("""COMPUTED_VALUE"""),"المنصورة")</f>
        <v>المنصورة</v>
      </c>
      <c r="D3112" s="5" t="str">
        <f ca="1">IFERROR(__xludf.DUMMYFUNCTION("""COMPUTED_VALUE"""),"مركز علاج طبيعي")</f>
        <v>مركز علاج طبيعي</v>
      </c>
      <c r="E3112" s="5" t="str">
        <f ca="1">IFERROR(__xludf.DUMMYFUNCTION("""COMPUTED_VALUE"""),"علاج طبيعي")</f>
        <v>علاج طبيعي</v>
      </c>
      <c r="F3112" s="5" t="str">
        <f ca="1">IFERROR(__xludf.DUMMYFUNCTION("""COMPUTED_VALUE"""),"جلسات العلاج الطبيعي")</f>
        <v>جلسات العلاج الطبيعي</v>
      </c>
      <c r="G3112" s="5" t="str">
        <f ca="1">IFERROR(__xludf.DUMMYFUNCTION("""COMPUTED_VALUE"""),"مركز ألفا كير للعلاج الطبيعي (د.كريم عبدالقوى عبدالله)")</f>
        <v>مركز ألفا كير للعلاج الطبيعي (د.كريم عبدالقوى عبدالله)</v>
      </c>
      <c r="H3112" s="5" t="str">
        <f ca="1">IFERROR(__xludf.DUMMYFUNCTION("""COMPUTED_VALUE"""),"شارع الجمهورية - برج السوسن بلازا - ناصية محمد فتحي
")</f>
        <v xml:space="preserve">شارع الجمهورية - برج السوسن بلازا - ناصية محمد فتحي
</v>
      </c>
      <c r="I3112" s="6"/>
      <c r="J3112" s="6" t="str">
        <f ca="1">IFERROR(__xludf.DUMMYFUNCTION("""COMPUTED_VALUE"""),"15662")</f>
        <v>15662</v>
      </c>
      <c r="K3112" s="6" t="str">
        <f ca="1">IFERROR(__xludf.DUMMYFUNCTION("""COMPUTED_VALUE"""),"30% على جميع الخدمات")</f>
        <v>30% على جميع الخدمات</v>
      </c>
    </row>
    <row r="3113" spans="1:11" x14ac:dyDescent="0.25">
      <c r="A3113" s="4" t="str">
        <f ca="1">IFERROR(__xludf.DUMMYFUNCTION("""COMPUTED_VALUE"""),"104296-B")</f>
        <v>104296-B</v>
      </c>
      <c r="B3113" s="5" t="str">
        <f ca="1">IFERROR(__xludf.DUMMYFUNCTION("""COMPUTED_VALUE"""),"الدقهلية")</f>
        <v>الدقهلية</v>
      </c>
      <c r="C3113" s="5" t="str">
        <f ca="1">IFERROR(__xludf.DUMMYFUNCTION("""COMPUTED_VALUE"""),"المنصورة")</f>
        <v>المنصورة</v>
      </c>
      <c r="D3113" s="5" t="str">
        <f ca="1">IFERROR(__xludf.DUMMYFUNCTION("""COMPUTED_VALUE"""),"مركز علاج طبيعي")</f>
        <v>مركز علاج طبيعي</v>
      </c>
      <c r="E3113" s="5" t="str">
        <f ca="1">IFERROR(__xludf.DUMMYFUNCTION("""COMPUTED_VALUE"""),"علاج طبيعي")</f>
        <v>علاج طبيعي</v>
      </c>
      <c r="F3113" s="5" t="str">
        <f ca="1">IFERROR(__xludf.DUMMYFUNCTION("""COMPUTED_VALUE"""),"جلسات العلاج الطبيعي")</f>
        <v>جلسات العلاج الطبيعي</v>
      </c>
      <c r="G3113" s="5" t="str">
        <f ca="1">IFERROR(__xludf.DUMMYFUNCTION("""COMPUTED_VALUE"""),"مركز ألفا كير للعلاج الطبيعي (د.كريم عبدالقوى عبدالله)")</f>
        <v>مركز ألفا كير للعلاج الطبيعي (د.كريم عبدالقوى عبدالله)</v>
      </c>
      <c r="H3113" s="5" t="str">
        <f ca="1">IFERROR(__xludf.DUMMYFUNCTION("""COMPUTED_VALUE"""),"شارع قناة السويس - برج المدينة المنورة - اعلي غبور اوتو - بجوار هايبر ميلانو - دور ٢")</f>
        <v>شارع قناة السويس - برج المدينة المنورة - اعلي غبور اوتو - بجوار هايبر ميلانو - دور ٢</v>
      </c>
      <c r="I3113" s="6"/>
      <c r="J3113" s="6" t="str">
        <f ca="1">IFERROR(__xludf.DUMMYFUNCTION("""COMPUTED_VALUE"""),"15662")</f>
        <v>15662</v>
      </c>
      <c r="K3113" s="6" t="str">
        <f ca="1">IFERROR(__xludf.DUMMYFUNCTION("""COMPUTED_VALUE"""),"30% على جميع الخدمات")</f>
        <v>30% على جميع الخدمات</v>
      </c>
    </row>
    <row r="3114" spans="1:11" x14ac:dyDescent="0.25">
      <c r="A3114" s="4" t="str">
        <f ca="1">IFERROR(__xludf.DUMMYFUNCTION("""COMPUTED_VALUE"""),"107396")</f>
        <v>107396</v>
      </c>
      <c r="B3114" s="5" t="str">
        <f ca="1">IFERROR(__xludf.DUMMYFUNCTION("""COMPUTED_VALUE"""),"الشرقية")</f>
        <v>الشرقية</v>
      </c>
      <c r="C3114" s="5" t="str">
        <f ca="1">IFERROR(__xludf.DUMMYFUNCTION("""COMPUTED_VALUE"""),"العاشر من رمضان")</f>
        <v>العاشر من رمضان</v>
      </c>
      <c r="D3114" s="5" t="str">
        <f ca="1">IFERROR(__xludf.DUMMYFUNCTION("""COMPUTED_VALUE"""),"صيدلية")</f>
        <v>صيدلية</v>
      </c>
      <c r="E3114" s="5" t="str">
        <f ca="1">IFERROR(__xludf.DUMMYFUNCTION("""COMPUTED_VALUE"""),"صيدلية")</f>
        <v>صيدلية</v>
      </c>
      <c r="F3114" s="5" t="str">
        <f ca="1">IFERROR(__xludf.DUMMYFUNCTION("""COMPUTED_VALUE"""),"صيدلية (أدوية ومستلزمات طبية)")</f>
        <v>صيدلية (أدوية ومستلزمات طبية)</v>
      </c>
      <c r="G3114" s="5" t="str">
        <f ca="1">IFERROR(__xludf.DUMMYFUNCTION("""COMPUTED_VALUE"""),"د/علاء محمد محمد عطية ابراهيم قناوي (صيدلية د/ علاء عطية)")</f>
        <v>د/علاء محمد محمد عطية ابراهيم قناوي (صيدلية د/ علاء عطية)</v>
      </c>
      <c r="H3114" s="5" t="str">
        <f ca="1">IFERROR(__xludf.DUMMYFUNCTION("""COMPUTED_VALUE"""),"المجاورة 30 منزل 704 محل 1 - العاشر من رمضان - الشرقية")</f>
        <v>المجاورة 30 منزل 704 محل 1 - العاشر من رمضان - الشرقية</v>
      </c>
      <c r="I3114" s="6" t="str">
        <f ca="1">IFERROR(__xludf.DUMMYFUNCTION("""COMPUTED_VALUE"""),"01021488538")</f>
        <v>01021488538</v>
      </c>
      <c r="J3114" s="6"/>
      <c r="K3114" s="6" t="str">
        <f ca="1">IFERROR(__xludf.DUMMYFUNCTION("""COMPUTED_VALUE"""),"14 % على المحلى ,6% على المستورد")</f>
        <v>14 % على المحلى ,6% على المستورد</v>
      </c>
    </row>
    <row r="3115" spans="1:11" x14ac:dyDescent="0.25">
      <c r="A3115" s="4" t="str">
        <f ca="1">IFERROR(__xludf.DUMMYFUNCTION("""COMPUTED_VALUE"""),"107396-B")</f>
        <v>107396-B</v>
      </c>
      <c r="B3115" s="5" t="str">
        <f ca="1">IFERROR(__xludf.DUMMYFUNCTION("""COMPUTED_VALUE"""),"الشرقية")</f>
        <v>الشرقية</v>
      </c>
      <c r="C3115" s="5" t="str">
        <f ca="1">IFERROR(__xludf.DUMMYFUNCTION("""COMPUTED_VALUE"""),"العاشر من رمضان")</f>
        <v>العاشر من رمضان</v>
      </c>
      <c r="D3115" s="5" t="str">
        <f ca="1">IFERROR(__xludf.DUMMYFUNCTION("""COMPUTED_VALUE"""),"صيدلية")</f>
        <v>صيدلية</v>
      </c>
      <c r="E3115" s="5" t="str">
        <f ca="1">IFERROR(__xludf.DUMMYFUNCTION("""COMPUTED_VALUE"""),"صيدلية")</f>
        <v>صيدلية</v>
      </c>
      <c r="F3115" s="5" t="str">
        <f ca="1">IFERROR(__xludf.DUMMYFUNCTION("""COMPUTED_VALUE"""),"صيدلية (أدوية ومستلزمات طبية)")</f>
        <v>صيدلية (أدوية ومستلزمات طبية)</v>
      </c>
      <c r="G3115" s="5" t="str">
        <f ca="1">IFERROR(__xludf.DUMMYFUNCTION("""COMPUTED_VALUE"""),"د/علاء محمد محمد عطية ابراهيم قناوي (صيدلية د/ علاء عطية)")</f>
        <v>د/علاء محمد محمد عطية ابراهيم قناوي (صيدلية د/ علاء عطية)</v>
      </c>
      <c r="H3115" s="5" t="str">
        <f ca="1">IFERROR(__xludf.DUMMYFUNCTION("""COMPUTED_VALUE"""),"المجاورة 63 امام عمارات حدائق المهندسين - عمارة 15 - العاشر من رمضان")</f>
        <v>المجاورة 63 امام عمارات حدائق المهندسين - عمارة 15 - العاشر من رمضان</v>
      </c>
      <c r="I3115" s="6" t="str">
        <f ca="1">IFERROR(__xludf.DUMMYFUNCTION("""COMPUTED_VALUE"""),"01021488538")</f>
        <v>01021488538</v>
      </c>
      <c r="J3115" s="6"/>
      <c r="K3115" s="6" t="str">
        <f ca="1">IFERROR(__xludf.DUMMYFUNCTION("""COMPUTED_VALUE"""),"14 % على المحلى ,6% على المستورد")</f>
        <v>14 % على المحلى ,6% على المستورد</v>
      </c>
    </row>
    <row r="3116" spans="1:11" x14ac:dyDescent="0.25">
      <c r="A3116" s="4" t="str">
        <f ca="1">IFERROR(__xludf.DUMMYFUNCTION("""COMPUTED_VALUE"""),"104676-B")</f>
        <v>104676-B</v>
      </c>
      <c r="B3116" s="5" t="str">
        <f ca="1">IFERROR(__xludf.DUMMYFUNCTION("""COMPUTED_VALUE"""),"كفر الشيخ")</f>
        <v>كفر الشيخ</v>
      </c>
      <c r="C3116" s="5" t="str">
        <f ca="1">IFERROR(__xludf.DUMMYFUNCTION("""COMPUTED_VALUE"""),"بلطيم")</f>
        <v>بلطيم</v>
      </c>
      <c r="D3116" s="5" t="str">
        <f ca="1">IFERROR(__xludf.DUMMYFUNCTION("""COMPUTED_VALUE"""),"صيدلية")</f>
        <v>صيدلية</v>
      </c>
      <c r="E3116" s="5" t="str">
        <f ca="1">IFERROR(__xludf.DUMMYFUNCTION("""COMPUTED_VALUE"""),"صيدلية")</f>
        <v>صيدلية</v>
      </c>
      <c r="F3116" s="5" t="str">
        <f ca="1">IFERROR(__xludf.DUMMYFUNCTION("""COMPUTED_VALUE"""),"صيدلية (أدوية ومستلزمات طبية)")</f>
        <v>صيدلية (أدوية ومستلزمات طبية)</v>
      </c>
      <c r="G3116" s="5" t="str">
        <f ca="1">IFERROR(__xludf.DUMMYFUNCTION("""COMPUTED_VALUE"""),"صيدليات الدواء")</f>
        <v>صيدليات الدواء</v>
      </c>
      <c r="H3116" s="5" t="str">
        <f ca="1">IFERROR(__xludf.DUMMYFUNCTION("""COMPUTED_VALUE"""),"كفر الشيخ .بلطيم .مدينة بلطيم .منطقة غربية .شارع جمال عبد الناصر عمارات الاسكان  أمام شركة المياة 
رافدا الطريق الدولي ..عمارة 16.محل رقم 7،؛8")</f>
        <v>كفر الشيخ .بلطيم .مدينة بلطيم .منطقة غربية .شارع جمال عبد الناصر عمارات الاسكان  أمام شركة المياة 
رافدا الطريق الدولي ..عمارة 16.محل رقم 7،؛8</v>
      </c>
      <c r="I3116" s="6" t="str">
        <f ca="1">IFERROR(__xludf.DUMMYFUNCTION("""COMPUTED_VALUE"""),"0472514485")</f>
        <v>0472514485</v>
      </c>
      <c r="J3116" s="6" t="str">
        <f ca="1">IFERROR(__xludf.DUMMYFUNCTION("""COMPUTED_VALUE"""),"15252")</f>
        <v>15252</v>
      </c>
      <c r="K3116" s="6" t="str">
        <f ca="1">IFERROR(__xludf.DUMMYFUNCTION("""COMPUTED_VALUE"""),"خصم 10% علي كل الادويه")</f>
        <v>خصم 10% علي كل الادويه</v>
      </c>
    </row>
    <row r="3117" spans="1:11" x14ac:dyDescent="0.25">
      <c r="A3117" s="4" t="str">
        <f ca="1">IFERROR(__xludf.DUMMYFUNCTION("""COMPUTED_VALUE"""),"107398")</f>
        <v>107398</v>
      </c>
      <c r="B3117" s="5" t="str">
        <f ca="1">IFERROR(__xludf.DUMMYFUNCTION("""COMPUTED_VALUE"""),"البحيرة")</f>
        <v>البحيرة</v>
      </c>
      <c r="C3117" s="5" t="str">
        <f ca="1">IFERROR(__xludf.DUMMYFUNCTION("""COMPUTED_VALUE"""),"ابو المطامير")</f>
        <v>ابو المطامير</v>
      </c>
      <c r="D3117" s="5" t="str">
        <f ca="1">IFERROR(__xludf.DUMMYFUNCTION("""COMPUTED_VALUE"""),"هيئة الأطباء")</f>
        <v>هيئة الأطباء</v>
      </c>
      <c r="E3117" s="5" t="str">
        <f ca="1">IFERROR(__xludf.DUMMYFUNCTION("""COMPUTED_VALUE"""),"جراحة")</f>
        <v>جراحة</v>
      </c>
      <c r="F3117" s="5" t="str">
        <f ca="1">IFERROR(__xludf.DUMMYFUNCTION("""COMPUTED_VALUE"""),"جراحة عظام")</f>
        <v>جراحة عظام</v>
      </c>
      <c r="G3117" s="5" t="str">
        <f ca="1">IFERROR(__xludf.DUMMYFUNCTION("""COMPUTED_VALUE"""),"د. شادي زاهي مجلي طوسي")</f>
        <v>د. شادي زاهي مجلي طوسي</v>
      </c>
      <c r="H3117" s="5" t="str">
        <f ca="1">IFERROR(__xludf.DUMMYFUNCTION("""COMPUTED_VALUE"""),"شارع البساتين اعلي صيدلية الرحمة - أبو المطامير - البحيرة")</f>
        <v>شارع البساتين اعلي صيدلية الرحمة - أبو المطامير - البحيرة</v>
      </c>
      <c r="I3117" s="6" t="str">
        <f ca="1">IFERROR(__xludf.DUMMYFUNCTION("""COMPUTED_VALUE"""),"01120794181")</f>
        <v>01120794181</v>
      </c>
      <c r="J3117" s="6"/>
      <c r="K3117" s="6" t="str">
        <f ca="1">IFERROR(__xludf.DUMMYFUNCTION("""COMPUTED_VALUE"""),"40% على جميع الخدمات")</f>
        <v>40% على جميع الخدمات</v>
      </c>
    </row>
    <row r="3118" spans="1:11" x14ac:dyDescent="0.25">
      <c r="A3118" s="4" t="str">
        <f ca="1">IFERROR(__xludf.DUMMYFUNCTION("""COMPUTED_VALUE"""),"107404")</f>
        <v>107404</v>
      </c>
      <c r="B3118" s="5" t="str">
        <f ca="1">IFERROR(__xludf.DUMMYFUNCTION("""COMPUTED_VALUE"""),"الاسكندرية")</f>
        <v>الاسكندرية</v>
      </c>
      <c r="C3118" s="5" t="str">
        <f ca="1">IFERROR(__xludf.DUMMYFUNCTION("""COMPUTED_VALUE"""),"السيوف")</f>
        <v>السيوف</v>
      </c>
      <c r="D3118" s="5" t="str">
        <f ca="1">IFERROR(__xludf.DUMMYFUNCTION("""COMPUTED_VALUE"""),"صيدلية")</f>
        <v>صيدلية</v>
      </c>
      <c r="E3118" s="5" t="str">
        <f ca="1">IFERROR(__xludf.DUMMYFUNCTION("""COMPUTED_VALUE"""),"صيدلية")</f>
        <v>صيدلية</v>
      </c>
      <c r="F3118" s="5" t="str">
        <f ca="1">IFERROR(__xludf.DUMMYFUNCTION("""COMPUTED_VALUE"""),"صيدلية (أدوية ومستلزمات طبية)")</f>
        <v>صيدلية (أدوية ومستلزمات طبية)</v>
      </c>
      <c r="G3118" s="5" t="str">
        <f ca="1">IFERROR(__xludf.DUMMYFUNCTION("""COMPUTED_VALUE"""),"محمد احمد محمد مصطفي مرسي القاضي (صيدليات القاضي)")</f>
        <v>محمد احمد محمد مصطفي مرسي القاضي (صيدليات القاضي)</v>
      </c>
      <c r="H3118" s="5" t="str">
        <f ca="1">IFERROR(__xludf.DUMMYFUNCTION("""COMPUTED_VALUE"""),"محطة رعاية الطفل من جميلة بوحريد عمارة الشرنوبي - السيوف - الاسكندرية")</f>
        <v>محطة رعاية الطفل من جميلة بوحريد عمارة الشرنوبي - السيوف - الاسكندرية</v>
      </c>
      <c r="I3118" s="6" t="str">
        <f ca="1">IFERROR(__xludf.DUMMYFUNCTION("""COMPUTED_VALUE"""),"01207070071")</f>
        <v>01207070071</v>
      </c>
      <c r="J3118" s="6"/>
      <c r="K3118" s="6" t="str">
        <f ca="1">IFERROR(__xludf.DUMMYFUNCTION("""COMPUTED_VALUE"""),"11 % على المحلى ,6% على المستورد")</f>
        <v>11 % على المحلى ,6% على المستورد</v>
      </c>
    </row>
    <row r="3119" spans="1:11" x14ac:dyDescent="0.25">
      <c r="A3119" s="4" t="str">
        <f ca="1">IFERROR(__xludf.DUMMYFUNCTION("""COMPUTED_VALUE"""),"107404-B")</f>
        <v>107404-B</v>
      </c>
      <c r="B3119" s="5" t="str">
        <f ca="1">IFERROR(__xludf.DUMMYFUNCTION("""COMPUTED_VALUE"""),"الاسكندرية")</f>
        <v>الاسكندرية</v>
      </c>
      <c r="C3119" s="5" t="str">
        <f ca="1">IFERROR(__xludf.DUMMYFUNCTION("""COMPUTED_VALUE"""),"المندرة")</f>
        <v>المندرة</v>
      </c>
      <c r="D3119" s="5" t="str">
        <f ca="1">IFERROR(__xludf.DUMMYFUNCTION("""COMPUTED_VALUE"""),"صيدلية")</f>
        <v>صيدلية</v>
      </c>
      <c r="E3119" s="5" t="str">
        <f ca="1">IFERROR(__xludf.DUMMYFUNCTION("""COMPUTED_VALUE"""),"صيدلية")</f>
        <v>صيدلية</v>
      </c>
      <c r="F3119" s="5" t="str">
        <f ca="1">IFERROR(__xludf.DUMMYFUNCTION("""COMPUTED_VALUE"""),"صيدلية (أدوية ومستلزمات طبية)")</f>
        <v>صيدلية (أدوية ومستلزمات طبية)</v>
      </c>
      <c r="G3119" s="5" t="str">
        <f ca="1">IFERROR(__xludf.DUMMYFUNCTION("""COMPUTED_VALUE"""),"محمد احمد محمد مصطفي مرسي القاضي (صيدليات القاضي)")</f>
        <v>محمد احمد محمد مصطفي مرسي القاضي (صيدليات القاضي)</v>
      </c>
      <c r="H3119" s="5" t="str">
        <f ca="1">IFERROR(__xludf.DUMMYFUNCTION("""COMPUTED_VALUE"""),"اول ش النبوى المهندس امام مسجد السلام وبجوار مستوصف الفاروق")</f>
        <v>اول ش النبوى المهندس امام مسجد السلام وبجوار مستوصف الفاروق</v>
      </c>
      <c r="I3119" s="6" t="str">
        <f ca="1">IFERROR(__xludf.DUMMYFUNCTION("""COMPUTED_VALUE"""),"01207070071")</f>
        <v>01207070071</v>
      </c>
      <c r="J3119" s="6"/>
      <c r="K3119" s="6" t="str">
        <f ca="1">IFERROR(__xludf.DUMMYFUNCTION("""COMPUTED_VALUE"""),"11 % على المحلى ,6% على المستورد")</f>
        <v>11 % على المحلى ,6% على المستورد</v>
      </c>
    </row>
    <row r="3120" spans="1:11" x14ac:dyDescent="0.25">
      <c r="A3120" s="4" t="str">
        <f ca="1">IFERROR(__xludf.DUMMYFUNCTION("""COMPUTED_VALUE"""),"107404-B")</f>
        <v>107404-B</v>
      </c>
      <c r="B3120" s="5" t="str">
        <f ca="1">IFERROR(__xludf.DUMMYFUNCTION("""COMPUTED_VALUE"""),"الاسكندرية")</f>
        <v>الاسكندرية</v>
      </c>
      <c r="C3120" s="5" t="str">
        <f ca="1">IFERROR(__xludf.DUMMYFUNCTION("""COMPUTED_VALUE"""),"سيدي بشر")</f>
        <v>سيدي بشر</v>
      </c>
      <c r="D3120" s="5" t="str">
        <f ca="1">IFERROR(__xludf.DUMMYFUNCTION("""COMPUTED_VALUE"""),"صيدلية")</f>
        <v>صيدلية</v>
      </c>
      <c r="E3120" s="5" t="str">
        <f ca="1">IFERROR(__xludf.DUMMYFUNCTION("""COMPUTED_VALUE"""),"صيدلية")</f>
        <v>صيدلية</v>
      </c>
      <c r="F3120" s="5" t="str">
        <f ca="1">IFERROR(__xludf.DUMMYFUNCTION("""COMPUTED_VALUE"""),"صيدلية (أدوية ومستلزمات طبية)")</f>
        <v>صيدلية (أدوية ومستلزمات طبية)</v>
      </c>
      <c r="G3120" s="5" t="str">
        <f ca="1">IFERROR(__xludf.DUMMYFUNCTION("""COMPUTED_VALUE"""),"محمد احمد محمد مصطفي مرسي القاضي (صيدليات القاضي)")</f>
        <v>محمد احمد محمد مصطفي مرسي القاضي (صيدليات القاضي)</v>
      </c>
      <c r="H3120" s="5" t="str">
        <f ca="1">IFERROR(__xludf.DUMMYFUNCTION("""COMPUTED_VALUE"""),"شارع ملك حفنى قبلى - اول ش القاهرة")</f>
        <v>شارع ملك حفنى قبلى - اول ش القاهرة</v>
      </c>
      <c r="I3120" s="6" t="str">
        <f ca="1">IFERROR(__xludf.DUMMYFUNCTION("""COMPUTED_VALUE"""),"01207070071")</f>
        <v>01207070071</v>
      </c>
      <c r="J3120" s="6"/>
      <c r="K3120" s="6" t="str">
        <f ca="1">IFERROR(__xludf.DUMMYFUNCTION("""COMPUTED_VALUE"""),"11 % على المحلى ,6% على المستورد")</f>
        <v>11 % على المحلى ,6% على المستورد</v>
      </c>
    </row>
    <row r="3121" spans="1:11" x14ac:dyDescent="0.25">
      <c r="A3121" s="4" t="str">
        <f ca="1">IFERROR(__xludf.DUMMYFUNCTION("""COMPUTED_VALUE"""),"107404-B")</f>
        <v>107404-B</v>
      </c>
      <c r="B3121" s="5" t="str">
        <f ca="1">IFERROR(__xludf.DUMMYFUNCTION("""COMPUTED_VALUE"""),"الاسكندرية")</f>
        <v>الاسكندرية</v>
      </c>
      <c r="C3121" s="5" t="str">
        <f ca="1">IFERROR(__xludf.DUMMYFUNCTION("""COMPUTED_VALUE"""),"لوران")</f>
        <v>لوران</v>
      </c>
      <c r="D3121" s="5" t="str">
        <f ca="1">IFERROR(__xludf.DUMMYFUNCTION("""COMPUTED_VALUE"""),"صيدلية")</f>
        <v>صيدلية</v>
      </c>
      <c r="E3121" s="5" t="str">
        <f ca="1">IFERROR(__xludf.DUMMYFUNCTION("""COMPUTED_VALUE"""),"صيدلية")</f>
        <v>صيدلية</v>
      </c>
      <c r="F3121" s="5" t="str">
        <f ca="1">IFERROR(__xludf.DUMMYFUNCTION("""COMPUTED_VALUE"""),"صيدلية (أدوية ومستلزمات طبية)")</f>
        <v>صيدلية (أدوية ومستلزمات طبية)</v>
      </c>
      <c r="G3121" s="5" t="str">
        <f ca="1">IFERROR(__xludf.DUMMYFUNCTION("""COMPUTED_VALUE"""),"محمد احمد محمد مصطفي مرسي القاضي (صيدليات القاضي)")</f>
        <v>محمد احمد محمد مصطفي مرسي القاضي (صيدليات القاضي)</v>
      </c>
      <c r="H3121" s="5" t="str">
        <f ca="1">IFERROR(__xludf.DUMMYFUNCTION("""COMPUTED_VALUE"""),"امام محطة ترام السرايا")</f>
        <v>امام محطة ترام السرايا</v>
      </c>
      <c r="I3121" s="6" t="str">
        <f ca="1">IFERROR(__xludf.DUMMYFUNCTION("""COMPUTED_VALUE"""),"01207070071")</f>
        <v>01207070071</v>
      </c>
      <c r="J3121" s="6"/>
      <c r="K3121" s="6" t="str">
        <f ca="1">IFERROR(__xludf.DUMMYFUNCTION("""COMPUTED_VALUE"""),"11 % على المحلى ,6% على المستورد")</f>
        <v>11 % على المحلى ,6% على المستورد</v>
      </c>
    </row>
    <row r="3122" spans="1:11" x14ac:dyDescent="0.25">
      <c r="A3122" s="4" t="str">
        <f ca="1">IFERROR(__xludf.DUMMYFUNCTION("""COMPUTED_VALUE"""),"104341-B")</f>
        <v>104341-B</v>
      </c>
      <c r="B3122" s="5" t="str">
        <f ca="1">IFERROR(__xludf.DUMMYFUNCTION("""COMPUTED_VALUE"""),"أسيوط")</f>
        <v>أسيوط</v>
      </c>
      <c r="C3122" s="5" t="str">
        <f ca="1">IFERROR(__xludf.DUMMYFUNCTION("""COMPUTED_VALUE"""),"ابنوب")</f>
        <v>ابنوب</v>
      </c>
      <c r="D3122" s="5" t="str">
        <f ca="1">IFERROR(__xludf.DUMMYFUNCTION("""COMPUTED_VALUE"""),"صيدلية")</f>
        <v>صيدلية</v>
      </c>
      <c r="E3122" s="5" t="str">
        <f ca="1">IFERROR(__xludf.DUMMYFUNCTION("""COMPUTED_VALUE"""),"صيدلية")</f>
        <v>صيدلية</v>
      </c>
      <c r="F3122" s="5" t="str">
        <f ca="1">IFERROR(__xludf.DUMMYFUNCTION("""COMPUTED_VALUE"""),"صيدلية (أدوية ومستلزمات طبية)")</f>
        <v>صيدلية (أدوية ومستلزمات طبية)</v>
      </c>
      <c r="G3122" s="5" t="str">
        <f ca="1">IFERROR(__xludf.DUMMYFUNCTION("""COMPUTED_VALUE"""),"صيدلية د. مجدي")</f>
        <v>صيدلية د. مجدي</v>
      </c>
      <c r="H3122" s="5" t="str">
        <f ca="1">IFERROR(__xludf.DUMMYFUNCTION("""COMPUTED_VALUE"""),"تقسيم عادل حليم - امتداد الطريق المواجه للبنك الاهلي– مركز ابنوب - أسيوط")</f>
        <v>تقسيم عادل حليم - امتداد الطريق المواجه للبنك الاهلي– مركز ابنوب - أسيوط</v>
      </c>
      <c r="I3122" s="6" t="str">
        <f ca="1">IFERROR(__xludf.DUMMYFUNCTION("""COMPUTED_VALUE"""),"01208790974")</f>
        <v>01208790974</v>
      </c>
      <c r="J3122" s="6"/>
      <c r="K3122" s="6" t="str">
        <f ca="1">IFERROR(__xludf.DUMMYFUNCTION("""COMPUTED_VALUE"""),"خصم 10% علي المحلي و 6 % علي المستورد")</f>
        <v>خصم 10% علي المحلي و 6 % علي المستورد</v>
      </c>
    </row>
    <row r="3123" spans="1:11" x14ac:dyDescent="0.25">
      <c r="A3123" s="4" t="str">
        <f ca="1">IFERROR(__xludf.DUMMYFUNCTION("""COMPUTED_VALUE"""),"107405")</f>
        <v>107405</v>
      </c>
      <c r="B3123" s="5" t="str">
        <f ca="1">IFERROR(__xludf.DUMMYFUNCTION("""COMPUTED_VALUE"""),"الجيزة")</f>
        <v>الجيزة</v>
      </c>
      <c r="C3123" s="5" t="str">
        <f ca="1">IFERROR(__xludf.DUMMYFUNCTION("""COMPUTED_VALUE"""),"أوسيم")</f>
        <v>أوسيم</v>
      </c>
      <c r="D3123" s="5" t="str">
        <f ca="1">IFERROR(__xludf.DUMMYFUNCTION("""COMPUTED_VALUE"""),"صيدلية")</f>
        <v>صيدلية</v>
      </c>
      <c r="E3123" s="5" t="str">
        <f ca="1">IFERROR(__xludf.DUMMYFUNCTION("""COMPUTED_VALUE"""),"صيدلية")</f>
        <v>صيدلية</v>
      </c>
      <c r="F3123" s="5" t="str">
        <f ca="1">IFERROR(__xludf.DUMMYFUNCTION("""COMPUTED_VALUE"""),"صيدلية (أدوية ومستلزمات طبية)")</f>
        <v>صيدلية (أدوية ومستلزمات طبية)</v>
      </c>
      <c r="G3123" s="5" t="str">
        <f ca="1">IFERROR(__xludf.DUMMYFUNCTION("""COMPUTED_VALUE"""),"مصر فارماسي كير (صيدليات مصر كير)")</f>
        <v>مصر فارماسي كير (صيدليات مصر كير)</v>
      </c>
      <c r="H3123" s="5" t="str">
        <f ca="1">IFERROR(__xludf.DUMMYFUNCTION("""COMPUTED_VALUE"""),"شقة بالدور الاول - شارع الجمهورية أمام مركز أوسيم - الجيزة")</f>
        <v>شقة بالدور الاول - شارع الجمهورية أمام مركز أوسيم - الجيزة</v>
      </c>
      <c r="I3123" s="6" t="str">
        <f ca="1">IFERROR(__xludf.DUMMYFUNCTION("""COMPUTED_VALUE"""),"01015002060")</f>
        <v>01015002060</v>
      </c>
      <c r="J3123" s="6"/>
      <c r="K3123" s="6" t="str">
        <f ca="1">IFERROR(__xludf.DUMMYFUNCTION("""COMPUTED_VALUE"""),"خصم 12% علي المحلي و 6 % علي المستورد")</f>
        <v>خصم 12% علي المحلي و 6 % علي المستورد</v>
      </c>
    </row>
    <row r="3124" spans="1:11" x14ac:dyDescent="0.25">
      <c r="A3124" s="4" t="str">
        <f ca="1">IFERROR(__xludf.DUMMYFUNCTION("""COMPUTED_VALUE"""),"107405-B")</f>
        <v>107405-B</v>
      </c>
      <c r="B3124" s="5" t="str">
        <f ca="1">IFERROR(__xludf.DUMMYFUNCTION("""COMPUTED_VALUE"""),"الجيزة")</f>
        <v>الجيزة</v>
      </c>
      <c r="C3124" s="5" t="str">
        <f ca="1">IFERROR(__xludf.DUMMYFUNCTION("""COMPUTED_VALUE"""),"أوسيم")</f>
        <v>أوسيم</v>
      </c>
      <c r="D3124" s="5" t="str">
        <f ca="1">IFERROR(__xludf.DUMMYFUNCTION("""COMPUTED_VALUE"""),"صيدلية")</f>
        <v>صيدلية</v>
      </c>
      <c r="E3124" s="5" t="str">
        <f ca="1">IFERROR(__xludf.DUMMYFUNCTION("""COMPUTED_VALUE"""),"صيدلية")</f>
        <v>صيدلية</v>
      </c>
      <c r="F3124" s="5" t="str">
        <f ca="1">IFERROR(__xludf.DUMMYFUNCTION("""COMPUTED_VALUE"""),"صيدلية (أدوية ومستلزمات طبية)")</f>
        <v>صيدلية (أدوية ومستلزمات طبية)</v>
      </c>
      <c r="G3124" s="5" t="str">
        <f ca="1">IFERROR(__xludf.DUMMYFUNCTION("""COMPUTED_VALUE"""),"مصر فارماسي كير (صيدليات مصر كير)")</f>
        <v>مصر فارماسي كير (صيدليات مصر كير)</v>
      </c>
      <c r="H3124" s="5" t="str">
        <f ca="1">IFERROR(__xludf.DUMMYFUNCTION("""COMPUTED_VALUE"""),"ميدان المطحن امام مطحن اوسيم")</f>
        <v>ميدان المطحن امام مطحن اوسيم</v>
      </c>
      <c r="I3124" s="6" t="str">
        <f ca="1">IFERROR(__xludf.DUMMYFUNCTION("""COMPUTED_VALUE"""),"1015002060")</f>
        <v>1015002060</v>
      </c>
      <c r="J3124" s="6"/>
      <c r="K3124" s="6" t="str">
        <f ca="1">IFERROR(__xludf.DUMMYFUNCTION("""COMPUTED_VALUE"""),"خصم 12% علي المحلي و 6 % علي المستورد")</f>
        <v>خصم 12% علي المحلي و 6 % علي المستورد</v>
      </c>
    </row>
    <row r="3125" spans="1:11" x14ac:dyDescent="0.25">
      <c r="A3125" s="4" t="str">
        <f ca="1">IFERROR(__xludf.DUMMYFUNCTION("""COMPUTED_VALUE"""),"107405-B")</f>
        <v>107405-B</v>
      </c>
      <c r="B3125" s="5" t="str">
        <f ca="1">IFERROR(__xludf.DUMMYFUNCTION("""COMPUTED_VALUE"""),"الجيزة")</f>
        <v>الجيزة</v>
      </c>
      <c r="C3125" s="5" t="str">
        <f ca="1">IFERROR(__xludf.DUMMYFUNCTION("""COMPUTED_VALUE"""),"أوسيم")</f>
        <v>أوسيم</v>
      </c>
      <c r="D3125" s="5" t="str">
        <f ca="1">IFERROR(__xludf.DUMMYFUNCTION("""COMPUTED_VALUE"""),"صيدلية")</f>
        <v>صيدلية</v>
      </c>
      <c r="E3125" s="5" t="str">
        <f ca="1">IFERROR(__xludf.DUMMYFUNCTION("""COMPUTED_VALUE"""),"صيدلية")</f>
        <v>صيدلية</v>
      </c>
      <c r="F3125" s="5" t="str">
        <f ca="1">IFERROR(__xludf.DUMMYFUNCTION("""COMPUTED_VALUE"""),"صيدلية (أدوية ومستلزمات طبية)")</f>
        <v>صيدلية (أدوية ومستلزمات طبية)</v>
      </c>
      <c r="G3125" s="5" t="str">
        <f ca="1">IFERROR(__xludf.DUMMYFUNCTION("""COMPUTED_VALUE"""),"مصر فارماسي كير (صيدليات مصر كير)")</f>
        <v>مصر فارماسي كير (صيدليات مصر كير)</v>
      </c>
      <c r="H3125" s="5" t="str">
        <f ca="1">IFERROR(__xludf.DUMMYFUNCTION("""COMPUTED_VALUE"""),"شارع السوق امام مسجد السيسى")</f>
        <v>شارع السوق امام مسجد السيسى</v>
      </c>
      <c r="I3125" s="6" t="str">
        <f ca="1">IFERROR(__xludf.DUMMYFUNCTION("""COMPUTED_VALUE"""),"1000973515")</f>
        <v>1000973515</v>
      </c>
      <c r="J3125" s="6"/>
      <c r="K3125" s="6" t="str">
        <f ca="1">IFERROR(__xludf.DUMMYFUNCTION("""COMPUTED_VALUE"""),"خصم 12% علي المحلي و 6 % علي المستورد")</f>
        <v>خصم 12% علي المحلي و 6 % علي المستورد</v>
      </c>
    </row>
    <row r="3126" spans="1:11" x14ac:dyDescent="0.25">
      <c r="A3126" s="4" t="str">
        <f ca="1">IFERROR(__xludf.DUMMYFUNCTION("""COMPUTED_VALUE"""),"107405-B")</f>
        <v>107405-B</v>
      </c>
      <c r="B3126" s="5" t="str">
        <f ca="1">IFERROR(__xludf.DUMMYFUNCTION("""COMPUTED_VALUE"""),"الجيزة")</f>
        <v>الجيزة</v>
      </c>
      <c r="C3126" s="5" t="str">
        <f ca="1">IFERROR(__xludf.DUMMYFUNCTION("""COMPUTED_VALUE"""),"أوسيم")</f>
        <v>أوسيم</v>
      </c>
      <c r="D3126" s="5" t="str">
        <f ca="1">IFERROR(__xludf.DUMMYFUNCTION("""COMPUTED_VALUE"""),"صيدلية")</f>
        <v>صيدلية</v>
      </c>
      <c r="E3126" s="5" t="str">
        <f ca="1">IFERROR(__xludf.DUMMYFUNCTION("""COMPUTED_VALUE"""),"صيدلية")</f>
        <v>صيدلية</v>
      </c>
      <c r="F3126" s="5" t="str">
        <f ca="1">IFERROR(__xludf.DUMMYFUNCTION("""COMPUTED_VALUE"""),"صيدلية (أدوية ومستلزمات طبية)")</f>
        <v>صيدلية (أدوية ومستلزمات طبية)</v>
      </c>
      <c r="G3126" s="5" t="str">
        <f ca="1">IFERROR(__xludf.DUMMYFUNCTION("""COMPUTED_VALUE"""),"مصر فارماسي كير (صيدليات مصر كير)")</f>
        <v>مصر فارماسي كير (صيدليات مصر كير)</v>
      </c>
      <c r="H3126" s="5" t="str">
        <f ca="1">IFERROR(__xludf.DUMMYFUNCTION("""COMPUTED_VALUE"""),"امام مسجد سيدى خليل بعد الكنيسة")</f>
        <v>امام مسجد سيدى خليل بعد الكنيسة</v>
      </c>
      <c r="I3126" s="6" t="str">
        <f ca="1">IFERROR(__xludf.DUMMYFUNCTION("""COMPUTED_VALUE"""),"20236765515")</f>
        <v>20236765515</v>
      </c>
      <c r="J3126" s="6"/>
      <c r="K3126" s="6" t="str">
        <f ca="1">IFERROR(__xludf.DUMMYFUNCTION("""COMPUTED_VALUE"""),"خصم 12% علي المحلي و 6 % علي المستورد")</f>
        <v>خصم 12% علي المحلي و 6 % علي المستورد</v>
      </c>
    </row>
    <row r="3127" spans="1:11" x14ac:dyDescent="0.25">
      <c r="A3127" s="4" t="str">
        <f ca="1">IFERROR(__xludf.DUMMYFUNCTION("""COMPUTED_VALUE"""),"107405-B")</f>
        <v>107405-B</v>
      </c>
      <c r="B3127" s="5" t="str">
        <f ca="1">IFERROR(__xludf.DUMMYFUNCTION("""COMPUTED_VALUE"""),"الجيزة")</f>
        <v>الجيزة</v>
      </c>
      <c r="C3127" s="5" t="str">
        <f ca="1">IFERROR(__xludf.DUMMYFUNCTION("""COMPUTED_VALUE"""),"أوسيم")</f>
        <v>أوسيم</v>
      </c>
      <c r="D3127" s="5" t="str">
        <f ca="1">IFERROR(__xludf.DUMMYFUNCTION("""COMPUTED_VALUE"""),"صيدلية")</f>
        <v>صيدلية</v>
      </c>
      <c r="E3127" s="5" t="str">
        <f ca="1">IFERROR(__xludf.DUMMYFUNCTION("""COMPUTED_VALUE"""),"صيدلية")</f>
        <v>صيدلية</v>
      </c>
      <c r="F3127" s="5" t="str">
        <f ca="1">IFERROR(__xludf.DUMMYFUNCTION("""COMPUTED_VALUE"""),"صيدلية (أدوية ومستلزمات طبية)")</f>
        <v>صيدلية (أدوية ومستلزمات طبية)</v>
      </c>
      <c r="G3127" s="5" t="str">
        <f ca="1">IFERROR(__xludf.DUMMYFUNCTION("""COMPUTED_VALUE"""),"مصر فارماسي كير (صيدليات مصر كير)")</f>
        <v>مصر فارماسي كير (صيدليات مصر كير)</v>
      </c>
      <c r="H3127" s="5" t="str">
        <f ca="1">IFERROR(__xludf.DUMMYFUNCTION("""COMPUTED_VALUE"""),"شارع الشون امام مسجد اهل السنة")</f>
        <v>شارع الشون امام مسجد اهل السنة</v>
      </c>
      <c r="I3127" s="6" t="str">
        <f ca="1">IFERROR(__xludf.DUMMYFUNCTION("""COMPUTED_VALUE"""),"1015002060")</f>
        <v>1015002060</v>
      </c>
      <c r="J3127" s="6"/>
      <c r="K3127" s="6" t="str">
        <f ca="1">IFERROR(__xludf.DUMMYFUNCTION("""COMPUTED_VALUE"""),"خصم 12% علي المحلي و 6 % علي المستورد")</f>
        <v>خصم 12% علي المحلي و 6 % علي المستورد</v>
      </c>
    </row>
    <row r="3128" spans="1:11" x14ac:dyDescent="0.25">
      <c r="A3128" s="4" t="str">
        <f ca="1">IFERROR(__xludf.DUMMYFUNCTION("""COMPUTED_VALUE"""),"107405-B")</f>
        <v>107405-B</v>
      </c>
      <c r="B3128" s="5" t="str">
        <f ca="1">IFERROR(__xludf.DUMMYFUNCTION("""COMPUTED_VALUE"""),"الجيزة")</f>
        <v>الجيزة</v>
      </c>
      <c r="C3128" s="5" t="str">
        <f ca="1">IFERROR(__xludf.DUMMYFUNCTION("""COMPUTED_VALUE"""),"أوسيم")</f>
        <v>أوسيم</v>
      </c>
      <c r="D3128" s="5" t="str">
        <f ca="1">IFERROR(__xludf.DUMMYFUNCTION("""COMPUTED_VALUE"""),"صيدلية")</f>
        <v>صيدلية</v>
      </c>
      <c r="E3128" s="5" t="str">
        <f ca="1">IFERROR(__xludf.DUMMYFUNCTION("""COMPUTED_VALUE"""),"صيدلية")</f>
        <v>صيدلية</v>
      </c>
      <c r="F3128" s="5" t="str">
        <f ca="1">IFERROR(__xludf.DUMMYFUNCTION("""COMPUTED_VALUE"""),"صيدلية (أدوية ومستلزمات طبية)")</f>
        <v>صيدلية (أدوية ومستلزمات طبية)</v>
      </c>
      <c r="G3128" s="5" t="str">
        <f ca="1">IFERROR(__xludf.DUMMYFUNCTION("""COMPUTED_VALUE"""),"مصر فارماسي كير (صيدليات مصر كير)")</f>
        <v>مصر فارماسي كير (صيدليات مصر كير)</v>
      </c>
      <c r="H3128" s="5" t="str">
        <f ca="1">IFERROR(__xludf.DUMMYFUNCTION("""COMPUTED_VALUE"""),"ميدان المجلس بجوار مجلس المدينة")</f>
        <v>ميدان المجلس بجوار مجلس المدينة</v>
      </c>
      <c r="I3128" s="6" t="str">
        <f ca="1">IFERROR(__xludf.DUMMYFUNCTION("""COMPUTED_VALUE"""),"20236767144")</f>
        <v>20236767144</v>
      </c>
      <c r="J3128" s="6"/>
      <c r="K3128" s="6" t="str">
        <f ca="1">IFERROR(__xludf.DUMMYFUNCTION("""COMPUTED_VALUE"""),"خصم 12% علي المحلي و 6 % علي المستورد")</f>
        <v>خصم 12% علي المحلي و 6 % علي المستورد</v>
      </c>
    </row>
    <row r="3129" spans="1:11" x14ac:dyDescent="0.25">
      <c r="A3129" s="4" t="str">
        <f ca="1">IFERROR(__xludf.DUMMYFUNCTION("""COMPUTED_VALUE"""),"107405-B")</f>
        <v>107405-B</v>
      </c>
      <c r="B3129" s="5" t="str">
        <f ca="1">IFERROR(__xludf.DUMMYFUNCTION("""COMPUTED_VALUE"""),"الجيزة")</f>
        <v>الجيزة</v>
      </c>
      <c r="C3129" s="5" t="str">
        <f ca="1">IFERROR(__xludf.DUMMYFUNCTION("""COMPUTED_VALUE"""),"أوسيم")</f>
        <v>أوسيم</v>
      </c>
      <c r="D3129" s="5" t="str">
        <f ca="1">IFERROR(__xludf.DUMMYFUNCTION("""COMPUTED_VALUE"""),"صيدلية")</f>
        <v>صيدلية</v>
      </c>
      <c r="E3129" s="5" t="str">
        <f ca="1">IFERROR(__xludf.DUMMYFUNCTION("""COMPUTED_VALUE"""),"صيدلية")</f>
        <v>صيدلية</v>
      </c>
      <c r="F3129" s="5" t="str">
        <f ca="1">IFERROR(__xludf.DUMMYFUNCTION("""COMPUTED_VALUE"""),"صيدلية (أدوية ومستلزمات طبية)")</f>
        <v>صيدلية (أدوية ومستلزمات طبية)</v>
      </c>
      <c r="G3129" s="5" t="str">
        <f ca="1">IFERROR(__xludf.DUMMYFUNCTION("""COMPUTED_VALUE"""),"مصر فارماسي كير (صيدليات مصر كير)")</f>
        <v>مصر فارماسي كير (صيدليات مصر كير)</v>
      </c>
      <c r="H3129" s="5" t="str">
        <f ca="1">IFERROR(__xludf.DUMMYFUNCTION("""COMPUTED_VALUE"""),"اول طريق المركز الجديد")</f>
        <v>اول طريق المركز الجديد</v>
      </c>
      <c r="I3129" s="6" t="str">
        <f ca="1">IFERROR(__xludf.DUMMYFUNCTION("""COMPUTED_VALUE"""),"1009445750")</f>
        <v>1009445750</v>
      </c>
      <c r="J3129" s="6"/>
      <c r="K3129" s="6" t="str">
        <f ca="1">IFERROR(__xludf.DUMMYFUNCTION("""COMPUTED_VALUE"""),"خصم 12% علي المحلي و 6 % علي المستورد")</f>
        <v>خصم 12% علي المحلي و 6 % علي المستورد</v>
      </c>
    </row>
    <row r="3130" spans="1:11" x14ac:dyDescent="0.25">
      <c r="A3130" s="4" t="str">
        <f ca="1">IFERROR(__xludf.DUMMYFUNCTION("""COMPUTED_VALUE"""),"107405-B")</f>
        <v>107405-B</v>
      </c>
      <c r="B3130" s="5" t="str">
        <f ca="1">IFERROR(__xludf.DUMMYFUNCTION("""COMPUTED_VALUE"""),"الجيزة")</f>
        <v>الجيزة</v>
      </c>
      <c r="C3130" s="5" t="str">
        <f ca="1">IFERROR(__xludf.DUMMYFUNCTION("""COMPUTED_VALUE"""),"أوسيم")</f>
        <v>أوسيم</v>
      </c>
      <c r="D3130" s="5" t="str">
        <f ca="1">IFERROR(__xludf.DUMMYFUNCTION("""COMPUTED_VALUE"""),"صيدلية")</f>
        <v>صيدلية</v>
      </c>
      <c r="E3130" s="5" t="str">
        <f ca="1">IFERROR(__xludf.DUMMYFUNCTION("""COMPUTED_VALUE"""),"صيدلية")</f>
        <v>صيدلية</v>
      </c>
      <c r="F3130" s="5" t="str">
        <f ca="1">IFERROR(__xludf.DUMMYFUNCTION("""COMPUTED_VALUE"""),"صيدلية (أدوية ومستلزمات طبية)")</f>
        <v>صيدلية (أدوية ومستلزمات طبية)</v>
      </c>
      <c r="G3130" s="5" t="str">
        <f ca="1">IFERROR(__xludf.DUMMYFUNCTION("""COMPUTED_VALUE"""),"مصر فارماسي كير (صيدليات مصر كير)")</f>
        <v>مصر فارماسي كير (صيدليات مصر كير)</v>
      </c>
      <c r="H3130" s="5" t="str">
        <f ca="1">IFERROR(__xludf.DUMMYFUNCTION("""COMPUTED_VALUE"""),"الشارع الرئيسى امام الوحدة المحلية")</f>
        <v>الشارع الرئيسى امام الوحدة المحلية</v>
      </c>
      <c r="I3130" s="6" t="str">
        <f ca="1">IFERROR(__xludf.DUMMYFUNCTION("""COMPUTED_VALUE"""),"1018861026")</f>
        <v>1018861026</v>
      </c>
      <c r="J3130" s="6"/>
      <c r="K3130" s="6" t="str">
        <f ca="1">IFERROR(__xludf.DUMMYFUNCTION("""COMPUTED_VALUE"""),"خصم 12% علي المحلي و 6 % علي المستورد")</f>
        <v>خصم 12% علي المحلي و 6 % علي المستورد</v>
      </c>
    </row>
    <row r="3131" spans="1:11" x14ac:dyDescent="0.25">
      <c r="A3131" s="4" t="str">
        <f ca="1">IFERROR(__xludf.DUMMYFUNCTION("""COMPUTED_VALUE"""),"107405-B")</f>
        <v>107405-B</v>
      </c>
      <c r="B3131" s="5" t="str">
        <f ca="1">IFERROR(__xludf.DUMMYFUNCTION("""COMPUTED_VALUE"""),"الجيزة")</f>
        <v>الجيزة</v>
      </c>
      <c r="C3131" s="5" t="str">
        <f ca="1">IFERROR(__xludf.DUMMYFUNCTION("""COMPUTED_VALUE"""),"أوسيم")</f>
        <v>أوسيم</v>
      </c>
      <c r="D3131" s="5" t="str">
        <f ca="1">IFERROR(__xludf.DUMMYFUNCTION("""COMPUTED_VALUE"""),"صيدلية")</f>
        <v>صيدلية</v>
      </c>
      <c r="E3131" s="5" t="str">
        <f ca="1">IFERROR(__xludf.DUMMYFUNCTION("""COMPUTED_VALUE"""),"صيدلية")</f>
        <v>صيدلية</v>
      </c>
      <c r="F3131" s="5" t="str">
        <f ca="1">IFERROR(__xludf.DUMMYFUNCTION("""COMPUTED_VALUE"""),"صيدلية (أدوية ومستلزمات طبية)")</f>
        <v>صيدلية (أدوية ومستلزمات طبية)</v>
      </c>
      <c r="G3131" s="5" t="str">
        <f ca="1">IFERROR(__xludf.DUMMYFUNCTION("""COMPUTED_VALUE"""),"مصر فارماسي كير (صيدليات مصر كير)")</f>
        <v>مصر فارماسي كير (صيدليات مصر كير)</v>
      </c>
      <c r="H3131" s="5" t="str">
        <f ca="1">IFERROR(__xludf.DUMMYFUNCTION("""COMPUTED_VALUE"""),"امام مدرسة اوسيم الثانوية العامة")</f>
        <v>امام مدرسة اوسيم الثانوية العامة</v>
      </c>
      <c r="I3131" s="6" t="str">
        <f ca="1">IFERROR(__xludf.DUMMYFUNCTION("""COMPUTED_VALUE"""),"20236762274")</f>
        <v>20236762274</v>
      </c>
      <c r="J3131" s="6"/>
      <c r="K3131" s="6" t="str">
        <f ca="1">IFERROR(__xludf.DUMMYFUNCTION("""COMPUTED_VALUE"""),"خصم 12% علي المحلي و 6 % علي المستورد")</f>
        <v>خصم 12% علي المحلي و 6 % علي المستورد</v>
      </c>
    </row>
    <row r="3132" spans="1:11" x14ac:dyDescent="0.25">
      <c r="A3132" s="4" t="str">
        <f ca="1">IFERROR(__xludf.DUMMYFUNCTION("""COMPUTED_VALUE"""),"107405-B")</f>
        <v>107405-B</v>
      </c>
      <c r="B3132" s="5" t="str">
        <f ca="1">IFERROR(__xludf.DUMMYFUNCTION("""COMPUTED_VALUE"""),"الجيزة")</f>
        <v>الجيزة</v>
      </c>
      <c r="C3132" s="5" t="str">
        <f ca="1">IFERROR(__xludf.DUMMYFUNCTION("""COMPUTED_VALUE"""),"أوسيم")</f>
        <v>أوسيم</v>
      </c>
      <c r="D3132" s="5" t="str">
        <f ca="1">IFERROR(__xludf.DUMMYFUNCTION("""COMPUTED_VALUE"""),"صيدلية")</f>
        <v>صيدلية</v>
      </c>
      <c r="E3132" s="5" t="str">
        <f ca="1">IFERROR(__xludf.DUMMYFUNCTION("""COMPUTED_VALUE"""),"صيدلية")</f>
        <v>صيدلية</v>
      </c>
      <c r="F3132" s="5" t="str">
        <f ca="1">IFERROR(__xludf.DUMMYFUNCTION("""COMPUTED_VALUE"""),"صيدلية (أدوية ومستلزمات طبية)")</f>
        <v>صيدلية (أدوية ومستلزمات طبية)</v>
      </c>
      <c r="G3132" s="5" t="str">
        <f ca="1">IFERROR(__xludf.DUMMYFUNCTION("""COMPUTED_VALUE"""),"مصر فارماسي كير (صيدليات مصر كير)")</f>
        <v>مصر فارماسي كير (صيدليات مصر كير)</v>
      </c>
      <c r="H3132" s="5" t="str">
        <f ca="1">IFERROR(__xludf.DUMMYFUNCTION("""COMPUTED_VALUE"""),"شارع العمدة امام شكمة العمدة")</f>
        <v>شارع العمدة امام شكمة العمدة</v>
      </c>
      <c r="I3132" s="6" t="str">
        <f ca="1">IFERROR(__xludf.DUMMYFUNCTION("""COMPUTED_VALUE"""),"20236758312")</f>
        <v>20236758312</v>
      </c>
      <c r="J3132" s="6"/>
      <c r="K3132" s="6" t="str">
        <f ca="1">IFERROR(__xludf.DUMMYFUNCTION("""COMPUTED_VALUE"""),"خصم 12% علي المحلي و 6 % علي المستورد")</f>
        <v>خصم 12% علي المحلي و 6 % علي المستورد</v>
      </c>
    </row>
    <row r="3133" spans="1:11" x14ac:dyDescent="0.25">
      <c r="A3133" s="4" t="str">
        <f ca="1">IFERROR(__xludf.DUMMYFUNCTION("""COMPUTED_VALUE"""),"107405-B")</f>
        <v>107405-B</v>
      </c>
      <c r="B3133" s="5" t="str">
        <f ca="1">IFERROR(__xludf.DUMMYFUNCTION("""COMPUTED_VALUE"""),"الجيزة")</f>
        <v>الجيزة</v>
      </c>
      <c r="C3133" s="5" t="str">
        <f ca="1">IFERROR(__xludf.DUMMYFUNCTION("""COMPUTED_VALUE"""),"أوسيم")</f>
        <v>أوسيم</v>
      </c>
      <c r="D3133" s="5" t="str">
        <f ca="1">IFERROR(__xludf.DUMMYFUNCTION("""COMPUTED_VALUE"""),"صيدلية")</f>
        <v>صيدلية</v>
      </c>
      <c r="E3133" s="5" t="str">
        <f ca="1">IFERROR(__xludf.DUMMYFUNCTION("""COMPUTED_VALUE"""),"صيدلية")</f>
        <v>صيدلية</v>
      </c>
      <c r="F3133" s="5" t="str">
        <f ca="1">IFERROR(__xludf.DUMMYFUNCTION("""COMPUTED_VALUE"""),"صيدلية (أدوية ومستلزمات طبية)")</f>
        <v>صيدلية (أدوية ومستلزمات طبية)</v>
      </c>
      <c r="G3133" s="5" t="str">
        <f ca="1">IFERROR(__xludf.DUMMYFUNCTION("""COMPUTED_VALUE"""),"مصر فارماسي كير (صيدليات مصر كير)")</f>
        <v>مصر فارماسي كير (صيدليات مصر كير)</v>
      </c>
      <c r="H3133" s="5" t="str">
        <f ca="1">IFERROR(__xludf.DUMMYFUNCTION("""COMPUTED_VALUE"""),"كوبرى شمبارى امام الوحدة الصحية")</f>
        <v>كوبرى شمبارى امام الوحدة الصحية</v>
      </c>
      <c r="I3133" s="6" t="str">
        <f ca="1">IFERROR(__xludf.DUMMYFUNCTION("""COMPUTED_VALUE"""),"1009445750")</f>
        <v>1009445750</v>
      </c>
      <c r="J3133" s="6"/>
      <c r="K3133" s="6" t="str">
        <f ca="1">IFERROR(__xludf.DUMMYFUNCTION("""COMPUTED_VALUE"""),"خصم 12% علي المحلي و 6 % علي المستورد")</f>
        <v>خصم 12% علي المحلي و 6 % علي المستورد</v>
      </c>
    </row>
    <row r="3134" spans="1:11" x14ac:dyDescent="0.25">
      <c r="A3134" s="4" t="str">
        <f ca="1">IFERROR(__xludf.DUMMYFUNCTION("""COMPUTED_VALUE"""),"107406")</f>
        <v>107406</v>
      </c>
      <c r="B3134" s="5" t="str">
        <f ca="1">IFERROR(__xludf.DUMMYFUNCTION("""COMPUTED_VALUE"""),"البحيرة")</f>
        <v>البحيرة</v>
      </c>
      <c r="C3134" s="5" t="str">
        <f ca="1">IFERROR(__xludf.DUMMYFUNCTION("""COMPUTED_VALUE"""),"ابو المطامير")</f>
        <v>ابو المطامير</v>
      </c>
      <c r="D3134" s="5" t="str">
        <f ca="1">IFERROR(__xludf.DUMMYFUNCTION("""COMPUTED_VALUE"""),"صيدلية")</f>
        <v>صيدلية</v>
      </c>
      <c r="E3134" s="5" t="str">
        <f ca="1">IFERROR(__xludf.DUMMYFUNCTION("""COMPUTED_VALUE"""),"صيدلية")</f>
        <v>صيدلية</v>
      </c>
      <c r="F3134" s="5" t="str">
        <f ca="1">IFERROR(__xludf.DUMMYFUNCTION("""COMPUTED_VALUE"""),"صيدلية (أدوية ومستلزمات طبية)")</f>
        <v>صيدلية (أدوية ومستلزمات طبية)</v>
      </c>
      <c r="G3134" s="5" t="str">
        <f ca="1">IFERROR(__xludf.DUMMYFUNCTION("""COMPUTED_VALUE"""),"مينا ميشيل حنا تادروس (صيدلية د/مينا ميشيل)")</f>
        <v>مينا ميشيل حنا تادروس (صيدلية د/مينا ميشيل)</v>
      </c>
      <c r="H3134" s="5" t="str">
        <f ca="1">IFERROR(__xludf.DUMMYFUNCTION("""COMPUTED_VALUE"""),"عمارة 19 خلف المحكمة القديمة - أبو المطامير - البحيرة")</f>
        <v>عمارة 19 خلف المحكمة القديمة - أبو المطامير - البحيرة</v>
      </c>
      <c r="I3134" s="6" t="str">
        <f ca="1">IFERROR(__xludf.DUMMYFUNCTION("""COMPUTED_VALUE"""),"01210154343")</f>
        <v>01210154343</v>
      </c>
      <c r="J3134" s="6"/>
      <c r="K3134" s="6" t="str">
        <f ca="1">IFERROR(__xludf.DUMMYFUNCTION("""COMPUTED_VALUE"""),"خصم 13% علي المحلي و 7 % علي المستورد")</f>
        <v>خصم 13% علي المحلي و 7 % علي المستورد</v>
      </c>
    </row>
    <row r="3135" spans="1:11" x14ac:dyDescent="0.25">
      <c r="A3135" s="4" t="str">
        <f ca="1">IFERROR(__xludf.DUMMYFUNCTION("""COMPUTED_VALUE"""),"107407")</f>
        <v>107407</v>
      </c>
      <c r="B3135" s="5" t="str">
        <f ca="1">IFERROR(__xludf.DUMMYFUNCTION("""COMPUTED_VALUE"""),"شمال سيناء")</f>
        <v>شمال سيناء</v>
      </c>
      <c r="C3135" s="5" t="str">
        <f ca="1">IFERROR(__xludf.DUMMYFUNCTION("""COMPUTED_VALUE"""),"العريش")</f>
        <v>العريش</v>
      </c>
      <c r="D3135" s="5" t="str">
        <f ca="1">IFERROR(__xludf.DUMMYFUNCTION("""COMPUTED_VALUE"""),"صيدلية")</f>
        <v>صيدلية</v>
      </c>
      <c r="E3135" s="5" t="str">
        <f ca="1">IFERROR(__xludf.DUMMYFUNCTION("""COMPUTED_VALUE"""),"صيدلية")</f>
        <v>صيدلية</v>
      </c>
      <c r="F3135" s="5" t="str">
        <f ca="1">IFERROR(__xludf.DUMMYFUNCTION("""COMPUTED_VALUE"""),"صيدلية (أدوية ومستلزمات طبية)")</f>
        <v>صيدلية (أدوية ومستلزمات طبية)</v>
      </c>
      <c r="G3135" s="5" t="str">
        <f ca="1">IFERROR(__xludf.DUMMYFUNCTION("""COMPUTED_VALUE"""),"صيدلية د. محمود عادل سعد")</f>
        <v>صيدلية د. محمود عادل سعد</v>
      </c>
      <c r="H3135" s="5" t="str">
        <f ca="1">IFERROR(__xludf.DUMMYFUNCTION("""COMPUTED_VALUE"""),"755 ش عاصم بن عمرو المساعيد - العريش - شمال سيناء")</f>
        <v>755 ش عاصم بن عمرو المساعيد - العريش - شمال سيناء</v>
      </c>
      <c r="I3135" s="6" t="str">
        <f ca="1">IFERROR(__xludf.DUMMYFUNCTION("""COMPUTED_VALUE"""),"0683346809")</f>
        <v>0683346809</v>
      </c>
      <c r="J3135" s="6"/>
      <c r="K3135" s="6" t="str">
        <f ca="1">IFERROR(__xludf.DUMMYFUNCTION("""COMPUTED_VALUE"""),"خصم 16% علي المحلي و 8 % علي المستورد")</f>
        <v>خصم 16% علي المحلي و 8 % علي المستورد</v>
      </c>
    </row>
    <row r="3136" spans="1:11" x14ac:dyDescent="0.25">
      <c r="A3136" s="4" t="str">
        <f ca="1">IFERROR(__xludf.DUMMYFUNCTION("""COMPUTED_VALUE"""),"107408")</f>
        <v>107408</v>
      </c>
      <c r="B3136" s="5" t="str">
        <f ca="1">IFERROR(__xludf.DUMMYFUNCTION("""COMPUTED_VALUE"""),"الدقهلية")</f>
        <v>الدقهلية</v>
      </c>
      <c r="C3136" s="5" t="str">
        <f ca="1">IFERROR(__xludf.DUMMYFUNCTION("""COMPUTED_VALUE"""),"المنصورة")</f>
        <v>المنصورة</v>
      </c>
      <c r="D3136" s="5" t="str">
        <f ca="1">IFERROR(__xludf.DUMMYFUNCTION("""COMPUTED_VALUE"""),"مستشفى")</f>
        <v>مستشفى</v>
      </c>
      <c r="E3136" s="5" t="str">
        <f ca="1">IFERROR(__xludf.DUMMYFUNCTION("""COMPUTED_VALUE"""),"مستشفي طبي متخصص")</f>
        <v>مستشفي طبي متخصص</v>
      </c>
      <c r="F3136" s="5" t="str">
        <f ca="1">IFERROR(__xludf.DUMMYFUNCTION("""COMPUTED_VALUE"""),"أمراض الكلى و المسالك و الكلى الصناعية")</f>
        <v>أمراض الكلى و المسالك و الكلى الصناعية</v>
      </c>
      <c r="G3136" s="5" t="str">
        <f ca="1">IFERROR(__xludf.DUMMYFUNCTION("""COMPUTED_VALUE"""),"أسامة محمد الشربيني متولي و شركاه (مركز دار الشفاء للغسيل الكلوي و أمراض الكلي)")</f>
        <v>أسامة محمد الشربيني متولي و شركاه (مركز دار الشفاء للغسيل الكلوي و أمراض الكلي)</v>
      </c>
      <c r="H3136" s="5" t="str">
        <f ca="1">IFERROR(__xludf.DUMMYFUNCTION("""COMPUTED_VALUE"""),"برج الاحلام ش قناة السويس - المنصورة - الدقهلية")</f>
        <v>برج الاحلام ش قناة السويس - المنصورة - الدقهلية</v>
      </c>
      <c r="I3136" s="6" t="str">
        <f ca="1">IFERROR(__xludf.DUMMYFUNCTION("""COMPUTED_VALUE"""),"01099920258")</f>
        <v>01099920258</v>
      </c>
      <c r="J3136" s="6"/>
      <c r="K3136" s="6" t="str">
        <f ca="1">IFERROR(__xludf.DUMMYFUNCTION("""COMPUTED_VALUE"""),"30% على جميع الخدمات")</f>
        <v>30% على جميع الخدمات</v>
      </c>
    </row>
    <row r="3137" spans="1:11" x14ac:dyDescent="0.25">
      <c r="A3137" s="4" t="str">
        <f ca="1">IFERROR(__xludf.DUMMYFUNCTION("""COMPUTED_VALUE"""),"104272-B")</f>
        <v>104272-B</v>
      </c>
      <c r="B3137" s="5" t="str">
        <f ca="1">IFERROR(__xludf.DUMMYFUNCTION("""COMPUTED_VALUE"""),"بورسعيد")</f>
        <v>بورسعيد</v>
      </c>
      <c r="C3137" s="5" t="str">
        <f ca="1">IFERROR(__xludf.DUMMYFUNCTION("""COMPUTED_VALUE"""),"بورسعيد")</f>
        <v>بورسعيد</v>
      </c>
      <c r="D3137" s="5" t="str">
        <f ca="1">IFERROR(__xludf.DUMMYFUNCTION("""COMPUTED_VALUE"""),"مستشفى")</f>
        <v>مستشفى</v>
      </c>
      <c r="E3137" s="5" t="str">
        <f ca="1">IFERROR(__xludf.DUMMYFUNCTION("""COMPUTED_VALUE"""),"مستشفي طبي متخصص")</f>
        <v>مستشفي طبي متخصص</v>
      </c>
      <c r="F3137" s="5" t="str">
        <f ca="1">IFERROR(__xludf.DUMMYFUNCTION("""COMPUTED_VALUE"""),"رمد (جراحة عيون)")</f>
        <v>رمد (جراحة عيون)</v>
      </c>
      <c r="G3137" s="5" t="str">
        <f ca="1">IFERROR(__xludf.DUMMYFUNCTION("""COMPUTED_VALUE"""),"شركة مستشفى دار العيون دمياط")</f>
        <v>شركة مستشفى دار العيون دمياط</v>
      </c>
      <c r="H3137" s="5" t="str">
        <f ca="1">IFERROR(__xludf.DUMMYFUNCTION("""COMPUTED_VALUE"""),"تقاطع اوجينا و الجيش - برج الامراء")</f>
        <v>تقاطع اوجينا و الجيش - برج الامراء</v>
      </c>
      <c r="I3137" s="6" t="str">
        <f ca="1">IFERROR(__xludf.DUMMYFUNCTION("""COMPUTED_VALUE"""),"01065118332")</f>
        <v>01065118332</v>
      </c>
      <c r="J3137" s="6"/>
      <c r="K3137" s="6" t="str">
        <f ca="1">IFERROR(__xludf.DUMMYFUNCTION("""COMPUTED_VALUE"""),"40% على الكشف ,15% على الخارجي والداخلى ,10% على باقى الخدمات")</f>
        <v>40% على الكشف ,15% على الخارجي والداخلى ,10% على باقى الخدمات</v>
      </c>
    </row>
    <row r="3138" spans="1:11" x14ac:dyDescent="0.25">
      <c r="A3138" s="4" t="str">
        <f ca="1">IFERROR(__xludf.DUMMYFUNCTION("""COMPUTED_VALUE"""),"107411")</f>
        <v>107411</v>
      </c>
      <c r="B3138" s="5" t="str">
        <f ca="1">IFERROR(__xludf.DUMMYFUNCTION("""COMPUTED_VALUE"""),"الجيزة")</f>
        <v>الجيزة</v>
      </c>
      <c r="C3138" s="5" t="str">
        <f ca="1">IFERROR(__xludf.DUMMYFUNCTION("""COMPUTED_VALUE"""),"حدائق الاهرام")</f>
        <v>حدائق الاهرام</v>
      </c>
      <c r="D3138" s="5" t="str">
        <f ca="1">IFERROR(__xludf.DUMMYFUNCTION("""COMPUTED_VALUE"""),"مركز أشعة")</f>
        <v>مركز أشعة</v>
      </c>
      <c r="E3138" s="5" t="str">
        <f ca="1">IFERROR(__xludf.DUMMYFUNCTION("""COMPUTED_VALUE"""),"مركز أشعة")</f>
        <v>مركز أشعة</v>
      </c>
      <c r="F3138" s="5" t="str">
        <f ca="1">IFERROR(__xludf.DUMMYFUNCTION("""COMPUTED_VALUE"""),"أشعة تشخيصية")</f>
        <v>أشعة تشخيصية</v>
      </c>
      <c r="G3138" s="5" t="str">
        <f ca="1">IFERROR(__xludf.DUMMYFUNCTION("""COMPUTED_VALUE"""),"مركز تسلا سكان للأشعه")</f>
        <v>مركز تسلا سكان للأشعه</v>
      </c>
      <c r="H3138" s="5" t="str">
        <f ca="1">IFERROR(__xludf.DUMMYFUNCTION("""COMPUTED_VALUE"""),"105 ك هضبة الاهرام - الهرم - الجيزة")</f>
        <v>105 ك هضبة الاهرام - الهرم - الجيزة</v>
      </c>
      <c r="I3138" s="6" t="str">
        <f ca="1">IFERROR(__xludf.DUMMYFUNCTION("""COMPUTED_VALUE"""),"01007068885")</f>
        <v>01007068885</v>
      </c>
      <c r="J3138" s="6"/>
      <c r="K3138" s="6" t="str">
        <f ca="1">IFERROR(__xludf.DUMMYFUNCTION("""COMPUTED_VALUE"""),"خصم 25% علي الاسعار النقدي")</f>
        <v>خصم 25% علي الاسعار النقدي</v>
      </c>
    </row>
    <row r="3139" spans="1:11" x14ac:dyDescent="0.25">
      <c r="A3139" s="4" t="str">
        <f ca="1">IFERROR(__xludf.DUMMYFUNCTION("""COMPUTED_VALUE"""),"107412")</f>
        <v>107412</v>
      </c>
      <c r="B3139" s="5" t="str">
        <f ca="1">IFERROR(__xludf.DUMMYFUNCTION("""COMPUTED_VALUE"""),"الاسكندرية")</f>
        <v>الاسكندرية</v>
      </c>
      <c r="C3139" s="5" t="str">
        <f ca="1">IFERROR(__xludf.DUMMYFUNCTION("""COMPUTED_VALUE"""),"البيطاش")</f>
        <v>البيطاش</v>
      </c>
      <c r="D3139" s="5" t="str">
        <f ca="1">IFERROR(__xludf.DUMMYFUNCTION("""COMPUTED_VALUE"""),"هيئة الأطباء")</f>
        <v>هيئة الأطباء</v>
      </c>
      <c r="E3139" s="5" t="str">
        <f ca="1">IFERROR(__xludf.DUMMYFUNCTION("""COMPUTED_VALUE"""),"اسنان")</f>
        <v>اسنان</v>
      </c>
      <c r="F3139" s="5" t="str">
        <f ca="1">IFERROR(__xludf.DUMMYFUNCTION("""COMPUTED_VALUE"""),"جراحة الفم والأسنان")</f>
        <v>جراحة الفم والأسنان</v>
      </c>
      <c r="G3139" s="5" t="str">
        <f ca="1">IFERROR(__xludf.DUMMYFUNCTION("""COMPUTED_VALUE"""),"د/ محمد نبيل بسيوني علي حسن")</f>
        <v>د/ محمد نبيل بسيوني علي حسن</v>
      </c>
      <c r="H3139" s="5" t="str">
        <f ca="1">IFERROR(__xludf.DUMMYFUNCTION("""COMPUTED_VALUE"""),"شارع البيطاش الرئيسي عقار رقم 2 عمارات الدار البيضاء امام بنك القاهرة - الدور الاول - البيطاش - الاسكندرية")</f>
        <v>شارع البيطاش الرئيسي عقار رقم 2 عمارات الدار البيضاء امام بنك القاهرة - الدور الاول - البيطاش - الاسكندرية</v>
      </c>
      <c r="I3139" s="6" t="str">
        <f ca="1">IFERROR(__xludf.DUMMYFUNCTION("""COMPUTED_VALUE"""),"033085424")</f>
        <v>033085424</v>
      </c>
      <c r="J3139" s="6"/>
      <c r="K3139" s="6" t="str">
        <f ca="1">IFERROR(__xludf.DUMMYFUNCTION("""COMPUTED_VALUE"""),"خصم 40% علي الاسعار النقدي")</f>
        <v>خصم 40% علي الاسعار النقدي</v>
      </c>
    </row>
    <row r="3140" spans="1:11" x14ac:dyDescent="0.25">
      <c r="A3140" s="4" t="str">
        <f ca="1">IFERROR(__xludf.DUMMYFUNCTION("""COMPUTED_VALUE"""),"107414")</f>
        <v>107414</v>
      </c>
      <c r="B3140" s="5" t="str">
        <f ca="1">IFERROR(__xludf.DUMMYFUNCTION("""COMPUTED_VALUE"""),"سوهاج")</f>
        <v>سوهاج</v>
      </c>
      <c r="C3140" s="5" t="str">
        <f ca="1">IFERROR(__xludf.DUMMYFUNCTION("""COMPUTED_VALUE"""),"سوهاج")</f>
        <v>سوهاج</v>
      </c>
      <c r="D3140" s="5" t="str">
        <f ca="1">IFERROR(__xludf.DUMMYFUNCTION("""COMPUTED_VALUE"""),"هيئة الأطباء")</f>
        <v>هيئة الأطباء</v>
      </c>
      <c r="E3140" s="5" t="str">
        <f ca="1">IFERROR(__xludf.DUMMYFUNCTION("""COMPUTED_VALUE"""),"اسنان")</f>
        <v>اسنان</v>
      </c>
      <c r="F3140" s="5" t="str">
        <f ca="1">IFERROR(__xludf.DUMMYFUNCTION("""COMPUTED_VALUE"""),"جراحة الفم والأسنان")</f>
        <v>جراحة الفم والأسنان</v>
      </c>
      <c r="G3140" s="5" t="str">
        <f ca="1">IFERROR(__xludf.DUMMYFUNCTION("""COMPUTED_VALUE"""),"محمد حسن يوسف طه (عيادة د. محمد المكاوي)")</f>
        <v>محمد حسن يوسف طه (عيادة د. محمد المكاوي)</v>
      </c>
      <c r="H3140" s="5" t="str">
        <f ca="1">IFERROR(__xludf.DUMMYFUNCTION("""COMPUTED_VALUE"""),"شارع الجرجاوي الشرقي - برج ابو حرام - سوهاج")</f>
        <v>شارع الجرجاوي الشرقي - برج ابو حرام - سوهاج</v>
      </c>
      <c r="I3140" s="6" t="str">
        <f ca="1">IFERROR(__xludf.DUMMYFUNCTION("""COMPUTED_VALUE"""),"01015135959")</f>
        <v>01015135959</v>
      </c>
      <c r="J3140" s="6"/>
      <c r="K3140" s="6" t="str">
        <f ca="1">IFERROR(__xludf.DUMMYFUNCTION("""COMPUTED_VALUE"""),"خصم 40% علي الاسعار النقدي")</f>
        <v>خصم 40% علي الاسعار النقدي</v>
      </c>
    </row>
    <row r="3141" spans="1:11" x14ac:dyDescent="0.25">
      <c r="A3141" s="4" t="str">
        <f ca="1">IFERROR(__xludf.DUMMYFUNCTION("""COMPUTED_VALUE"""),"107415")</f>
        <v>107415</v>
      </c>
      <c r="B3141" s="5" t="str">
        <f ca="1">IFERROR(__xludf.DUMMYFUNCTION("""COMPUTED_VALUE"""),"الاسكندرية")</f>
        <v>الاسكندرية</v>
      </c>
      <c r="C3141" s="5" t="str">
        <f ca="1">IFERROR(__xludf.DUMMYFUNCTION("""COMPUTED_VALUE"""),"سموحة")</f>
        <v>سموحة</v>
      </c>
      <c r="D3141" s="5" t="str">
        <f ca="1">IFERROR(__xludf.DUMMYFUNCTION("""COMPUTED_VALUE"""),"مستشفى")</f>
        <v>مستشفى</v>
      </c>
      <c r="E3141" s="5" t="str">
        <f ca="1">IFERROR(__xludf.DUMMYFUNCTION("""COMPUTED_VALUE"""),"جميع التخصصات")</f>
        <v>جميع التخصصات</v>
      </c>
      <c r="F3141" s="5" t="str">
        <f ca="1">IFERROR(__xludf.DUMMYFUNCTION("""COMPUTED_VALUE"""),"جميع التخصصات الطبية")</f>
        <v>جميع التخصصات الطبية</v>
      </c>
      <c r="G3141" s="5" t="str">
        <f ca="1">IFERROR(__xludf.DUMMYFUNCTION("""COMPUTED_VALUE"""),"شو ميديكال للخدمات الطبية - مستشفي الوكيل - سموحة")</f>
        <v>شو ميديكال للخدمات الطبية - مستشفي الوكيل - سموحة</v>
      </c>
      <c r="H3141" s="5" t="str">
        <f ca="1">IFERROR(__xludf.DUMMYFUNCTION("""COMPUTED_VALUE"""),"برج سموحه بالاس بناحية لصبحية - سموحة - الاسكندرية")</f>
        <v>برج سموحه بالاس بناحية لصبحية - سموحة - الاسكندرية</v>
      </c>
      <c r="I3141" s="6" t="str">
        <f ca="1">IFERROR(__xludf.DUMMYFUNCTION("""COMPUTED_VALUE"""),"01118000823")</f>
        <v>01118000823</v>
      </c>
      <c r="J3141" s="6"/>
      <c r="K3141" s="6" t="str">
        <f ca="1">IFERROR(__xludf.DUMMYFUNCTION("""COMPUTED_VALUE"""),"30% على جميع الخدمات")</f>
        <v>30% على جميع الخدمات</v>
      </c>
    </row>
    <row r="3142" spans="1:11" x14ac:dyDescent="0.25">
      <c r="A3142" s="4" t="str">
        <f ca="1">IFERROR(__xludf.DUMMYFUNCTION("""COMPUTED_VALUE"""),"107410")</f>
        <v>107410</v>
      </c>
      <c r="B3142" s="5" t="str">
        <f ca="1">IFERROR(__xludf.DUMMYFUNCTION("""COMPUTED_VALUE"""),"الاسكندرية")</f>
        <v>الاسكندرية</v>
      </c>
      <c r="C3142" s="5" t="str">
        <f ca="1">IFERROR(__xludf.DUMMYFUNCTION("""COMPUTED_VALUE"""),"سموحة")</f>
        <v>سموحة</v>
      </c>
      <c r="D3142" s="5" t="str">
        <f ca="1">IFERROR(__xludf.DUMMYFUNCTION("""COMPUTED_VALUE"""),"مستشفى")</f>
        <v>مستشفى</v>
      </c>
      <c r="E3142" s="5" t="str">
        <f ca="1">IFERROR(__xludf.DUMMYFUNCTION("""COMPUTED_VALUE"""),"مستشفي طبي متخصص")</f>
        <v>مستشفي طبي متخصص</v>
      </c>
      <c r="F3142" s="5" t="str">
        <f ca="1">IFERROR(__xludf.DUMMYFUNCTION("""COMPUTED_VALUE"""),"قلب واوعية دموية")</f>
        <v>قلب واوعية دموية</v>
      </c>
      <c r="G3142" s="5" t="str">
        <f ca="1">IFERROR(__xludf.DUMMYFUNCTION("""COMPUTED_VALUE"""),"شركة مركز القلب الدولي (مستشفي مركز القلب)")</f>
        <v>شركة مركز القلب الدولي (مستشفي مركز القلب)</v>
      </c>
      <c r="H3142" s="5" t="str">
        <f ca="1">IFERROR(__xludf.DUMMYFUNCTION("""COMPUTED_VALUE"""),"24 شارع بهاء الدين الغتوري - سموحة - الاسكندرية")</f>
        <v>24 شارع بهاء الدين الغتوري - سموحة - الاسكندرية</v>
      </c>
      <c r="I3142" s="6" t="str">
        <f ca="1">IFERROR(__xludf.DUMMYFUNCTION("""COMPUTED_VALUE"""),"2034207320")</f>
        <v>2034207320</v>
      </c>
      <c r="J3142" s="6"/>
      <c r="K3142" s="6" t="str">
        <f ca="1">IFERROR(__xludf.DUMMYFUNCTION("""COMPUTED_VALUE"""),"خصم 20% علي الاسعار النقدي")</f>
        <v>خصم 20% علي الاسعار النقدي</v>
      </c>
    </row>
    <row r="3143" spans="1:11" x14ac:dyDescent="0.25">
      <c r="A3143" s="4" t="str">
        <f ca="1">IFERROR(__xludf.DUMMYFUNCTION("""COMPUTED_VALUE"""),"1969-B")</f>
        <v>1969-B</v>
      </c>
      <c r="B3143" s="5" t="str">
        <f ca="1">IFERROR(__xludf.DUMMYFUNCTION("""COMPUTED_VALUE"""),"القاهرة")</f>
        <v>القاهرة</v>
      </c>
      <c r="C3143" s="5" t="str">
        <f ca="1">IFERROR(__xludf.DUMMYFUNCTION("""COMPUTED_VALUE"""),"القاهرة الجديدة")</f>
        <v>القاهرة الجديدة</v>
      </c>
      <c r="D3143" s="5" t="str">
        <f ca="1">IFERROR(__xludf.DUMMYFUNCTION("""COMPUTED_VALUE"""),"مستشفى")</f>
        <v>مستشفى</v>
      </c>
      <c r="E3143" s="5" t="str">
        <f ca="1">IFERROR(__xludf.DUMMYFUNCTION("""COMPUTED_VALUE"""),"مستشفي طبي متخصص")</f>
        <v>مستشفي طبي متخصص</v>
      </c>
      <c r="F3143" s="5" t="str">
        <f ca="1">IFERROR(__xludf.DUMMYFUNCTION("""COMPUTED_VALUE"""),"رمد (جراحة عيون)")</f>
        <v>رمد (جراحة عيون)</v>
      </c>
      <c r="G3143" s="5" t="str">
        <f ca="1">IFERROR(__xludf.DUMMYFUNCTION("""COMPUTED_VALUE"""),"مستشفي المغربى للعيون - بنك و شركات")</f>
        <v>مستشفي المغربى للعيون - بنك و شركات</v>
      </c>
      <c r="H3143" s="5" t="str">
        <f ca="1">IFERROR(__xludf.DUMMYFUNCTION("""COMPUTED_VALUE"""),"القاهرة الجديدة  -مول بوينت 90 امام بوابة 4 الجامعة الامريكية")</f>
        <v>القاهرة الجديدة  -مول بوينت 90 امام بوابة 4 الجامعة الامريكية</v>
      </c>
      <c r="I3143" s="6"/>
      <c r="J3143" s="6" t="str">
        <f ca="1">IFERROR(__xludf.DUMMYFUNCTION("""COMPUTED_VALUE"""),"19505")</f>
        <v>19505</v>
      </c>
      <c r="K3143" s="6" t="str">
        <f ca="1">IFERROR(__xludf.DUMMYFUNCTION("""COMPUTED_VALUE"""),"30% على الكشوفات ,20% على الفحوصات,10% على العمليات الجراحية")</f>
        <v>30% على الكشوفات ,20% على الفحوصات,10% على العمليات الجراحية</v>
      </c>
    </row>
    <row r="3144" spans="1:11" x14ac:dyDescent="0.25">
      <c r="A3144" s="4" t="str">
        <f ca="1">IFERROR(__xludf.DUMMYFUNCTION("""COMPUTED_VALUE"""),"1969-B")</f>
        <v>1969-B</v>
      </c>
      <c r="B3144" s="5" t="str">
        <f ca="1">IFERROR(__xludf.DUMMYFUNCTION("""COMPUTED_VALUE"""),"القاهرة")</f>
        <v>القاهرة</v>
      </c>
      <c r="C3144" s="5" t="str">
        <f ca="1">IFERROR(__xludf.DUMMYFUNCTION("""COMPUTED_VALUE"""),"المعادى")</f>
        <v>المعادى</v>
      </c>
      <c r="D3144" s="5" t="str">
        <f ca="1">IFERROR(__xludf.DUMMYFUNCTION("""COMPUTED_VALUE"""),"مستشفى")</f>
        <v>مستشفى</v>
      </c>
      <c r="E3144" s="5" t="str">
        <f ca="1">IFERROR(__xludf.DUMMYFUNCTION("""COMPUTED_VALUE"""),"مستشفي طبي متخصص")</f>
        <v>مستشفي طبي متخصص</v>
      </c>
      <c r="F3144" s="5" t="str">
        <f ca="1">IFERROR(__xludf.DUMMYFUNCTION("""COMPUTED_VALUE"""),"رمد (جراحة عيون)")</f>
        <v>رمد (جراحة عيون)</v>
      </c>
      <c r="G3144" s="5" t="str">
        <f ca="1">IFERROR(__xludf.DUMMYFUNCTION("""COMPUTED_VALUE"""),"مستشفي المغربى للعيون - بنك و شركات")</f>
        <v>مستشفي المغربى للعيون - بنك و شركات</v>
      </c>
      <c r="H3144" s="5" t="str">
        <f ca="1">IFERROR(__xludf.DUMMYFUNCTION("""COMPUTED_VALUE"""),"برج المرشدى زهراء المعادى")</f>
        <v>برج المرشدى زهراء المعادى</v>
      </c>
      <c r="I3144" s="6"/>
      <c r="J3144" s="6" t="str">
        <f ca="1">IFERROR(__xludf.DUMMYFUNCTION("""COMPUTED_VALUE"""),"19505")</f>
        <v>19505</v>
      </c>
      <c r="K3144" s="6" t="str">
        <f ca="1">IFERROR(__xludf.DUMMYFUNCTION("""COMPUTED_VALUE"""),"30% على الكشوفات ,20% على الفحوصات,10% على العمليات الجراحية")</f>
        <v>30% على الكشوفات ,20% على الفحوصات,10% على العمليات الجراحية</v>
      </c>
    </row>
    <row r="3145" spans="1:11" x14ac:dyDescent="0.25">
      <c r="A3145" s="4" t="str">
        <f ca="1">IFERROR(__xludf.DUMMYFUNCTION("""COMPUTED_VALUE"""),"105969-B")</f>
        <v>105969-B</v>
      </c>
      <c r="B3145" s="5" t="str">
        <f ca="1">IFERROR(__xludf.DUMMYFUNCTION("""COMPUTED_VALUE"""),"القاهرة")</f>
        <v>القاهرة</v>
      </c>
      <c r="C3145" s="5" t="str">
        <f ca="1">IFERROR(__xludf.DUMMYFUNCTION("""COMPUTED_VALUE"""),"مدينة نصر")</f>
        <v>مدينة نصر</v>
      </c>
      <c r="D3145" s="5" t="str">
        <f ca="1">IFERROR(__xludf.DUMMYFUNCTION("""COMPUTED_VALUE"""),"هيئة الأطباء")</f>
        <v>هيئة الأطباء</v>
      </c>
      <c r="E3145" s="5" t="str">
        <f ca="1">IFERROR(__xludf.DUMMYFUNCTION("""COMPUTED_VALUE"""),"اسنان")</f>
        <v>اسنان</v>
      </c>
      <c r="F3145" s="5" t="str">
        <f ca="1">IFERROR(__xludf.DUMMYFUNCTION("""COMPUTED_VALUE"""),"جراحة الفم والأسنان")</f>
        <v>جراحة الفم والأسنان</v>
      </c>
      <c r="G3145" s="5" t="str">
        <f ca="1">IFERROR(__xludf.DUMMYFUNCTION("""COMPUTED_VALUE"""),"د/ ياسر عرفات حسنين امين ابراهيم ( د/ ياسر عرفات )")</f>
        <v>د/ ياسر عرفات حسنين امين ابراهيم ( د/ ياسر عرفات )</v>
      </c>
      <c r="H3145" s="5" t="str">
        <f ca="1">IFERROR(__xludf.DUMMYFUNCTION("""COMPUTED_VALUE"""),"16 مصطفى النحاس شقه 1 الدو الاول")</f>
        <v>16 مصطفى النحاس شقه 1 الدو الاول</v>
      </c>
      <c r="I3145" s="6" t="str">
        <f ca="1">IFERROR(__xludf.DUMMYFUNCTION("""COMPUTED_VALUE"""),"23907863")</f>
        <v>23907863</v>
      </c>
      <c r="J3145" s="6"/>
      <c r="K3145" s="6" t="str">
        <f ca="1">IFERROR(__xludf.DUMMYFUNCTION("""COMPUTED_VALUE"""),"الكشف: 50 و نقابه 2017")</f>
        <v>الكشف: 50 و نقابه 2017</v>
      </c>
    </row>
    <row r="3146" spans="1:11" x14ac:dyDescent="0.25">
      <c r="A3146" s="4" t="str">
        <f ca="1">IFERROR(__xludf.DUMMYFUNCTION("""COMPUTED_VALUE"""),"103478-B")</f>
        <v>103478-B</v>
      </c>
      <c r="B3146" s="5" t="str">
        <f ca="1">IFERROR(__xludf.DUMMYFUNCTION("""COMPUTED_VALUE"""),"الجيزة")</f>
        <v>الجيزة</v>
      </c>
      <c r="C3146" s="5" t="str">
        <f ca="1">IFERROR(__xludf.DUMMYFUNCTION("""COMPUTED_VALUE"""),"الدقي")</f>
        <v>الدقي</v>
      </c>
      <c r="D3146" s="5" t="str">
        <f ca="1">IFERROR(__xludf.DUMMYFUNCTION("""COMPUTED_VALUE"""),"مجمع عيادات")</f>
        <v>مجمع عيادات</v>
      </c>
      <c r="E3146" s="5" t="str">
        <f ca="1">IFERROR(__xludf.DUMMYFUNCTION("""COMPUTED_VALUE"""),"مستشفي طبي متكامل")</f>
        <v>مستشفي طبي متكامل</v>
      </c>
      <c r="F3146" s="5" t="str">
        <f ca="1">IFERROR(__xludf.DUMMYFUNCTION("""COMPUTED_VALUE"""),"جميع التخصصات الطبية")</f>
        <v>جميع التخصصات الطبية</v>
      </c>
      <c r="G3146" s="5" t="str">
        <f ca="1">IFERROR(__xludf.DUMMYFUNCTION("""COMPUTED_VALUE"""),"مستشفى الصفا")</f>
        <v>مستشفى الصفا</v>
      </c>
      <c r="H3146" s="5" t="str">
        <f ca="1">IFERROR(__xludf.DUMMYFUNCTION("""COMPUTED_VALUE"""),"8ميدان مسجد الصحابه - الدقي - الجيزة")</f>
        <v>8ميدان مسجد الصحابه - الدقي - الجيزة</v>
      </c>
      <c r="I3146" s="6"/>
      <c r="J3146" s="6" t="str">
        <f ca="1">IFERROR(__xludf.DUMMYFUNCTION("""COMPUTED_VALUE"""),"16181")</f>
        <v>16181</v>
      </c>
      <c r="K3146" s="6" t="str">
        <f ca="1">IFERROR(__xludf.DUMMYFUNCTION("""COMPUTED_VALUE"""),"50% الكشف ,20% على خدمات الداخلى والطوارئ,عدا بنك الدم والقسطرة والأدوية واتعاب الأطباء")</f>
        <v>50% الكشف ,20% على خدمات الداخلى والطوارئ,عدا بنك الدم والقسطرة والأدوية واتعاب الأطباء</v>
      </c>
    </row>
    <row r="3147" spans="1:11" x14ac:dyDescent="0.25">
      <c r="A3147" s="4" t="str">
        <f ca="1">IFERROR(__xludf.DUMMYFUNCTION("""COMPUTED_VALUE"""),"103478-B")</f>
        <v>103478-B</v>
      </c>
      <c r="B3147" s="5" t="str">
        <f ca="1">IFERROR(__xludf.DUMMYFUNCTION("""COMPUTED_VALUE"""),"الجيزة")</f>
        <v>الجيزة</v>
      </c>
      <c r="C3147" s="5" t="str">
        <f ca="1">IFERROR(__xludf.DUMMYFUNCTION("""COMPUTED_VALUE"""),"الشيخ زايد")</f>
        <v>الشيخ زايد</v>
      </c>
      <c r="D3147" s="5" t="str">
        <f ca="1">IFERROR(__xludf.DUMMYFUNCTION("""COMPUTED_VALUE"""),"مجمع عيادات")</f>
        <v>مجمع عيادات</v>
      </c>
      <c r="E3147" s="5" t="str">
        <f ca="1">IFERROR(__xludf.DUMMYFUNCTION("""COMPUTED_VALUE"""),"جميع التخصصات")</f>
        <v>جميع التخصصات</v>
      </c>
      <c r="F3147" s="5" t="str">
        <f ca="1">IFERROR(__xludf.DUMMYFUNCTION("""COMPUTED_VALUE"""),"جميع التخصصات الطبية")</f>
        <v>جميع التخصصات الطبية</v>
      </c>
      <c r="G3147" s="5" t="str">
        <f ca="1">IFERROR(__xludf.DUMMYFUNCTION("""COMPUTED_VALUE"""),"مستشفى الصفا")</f>
        <v>مستشفى الصفا</v>
      </c>
      <c r="H3147" s="5" t="str">
        <f ca="1">IFERROR(__xludf.DUMMYFUNCTION("""COMPUTED_VALUE"""),"امريكانا بلازا الشيخ زايد")</f>
        <v>امريكانا بلازا الشيخ زايد</v>
      </c>
      <c r="I3147" s="6"/>
      <c r="J3147" s="6" t="str">
        <f ca="1">IFERROR(__xludf.DUMMYFUNCTION("""COMPUTED_VALUE"""),"16181")</f>
        <v>16181</v>
      </c>
      <c r="K3147" s="6" t="str">
        <f ca="1">IFERROR(__xludf.DUMMYFUNCTION("""COMPUTED_VALUE"""),"50% الكشف ,20% على خدمات الداخلى والطوارئ,عدا بنك الدم والقسطرة والأدوية واتعاب الأطباء")</f>
        <v>50% الكشف ,20% على خدمات الداخلى والطوارئ,عدا بنك الدم والقسطرة والأدوية واتعاب الأطباء</v>
      </c>
    </row>
    <row r="3148" spans="1:11" x14ac:dyDescent="0.25">
      <c r="A3148" s="4" t="str">
        <f ca="1">IFERROR(__xludf.DUMMYFUNCTION("""COMPUTED_VALUE"""),"107431")</f>
        <v>107431</v>
      </c>
      <c r="B3148" s="5" t="str">
        <f ca="1">IFERROR(__xludf.DUMMYFUNCTION("""COMPUTED_VALUE"""),"كفر الشيخ")</f>
        <v>كفر الشيخ</v>
      </c>
      <c r="C3148" s="5" t="str">
        <f ca="1">IFERROR(__xludf.DUMMYFUNCTION("""COMPUTED_VALUE"""),"دسوق")</f>
        <v>دسوق</v>
      </c>
      <c r="D3148" s="5" t="str">
        <f ca="1">IFERROR(__xludf.DUMMYFUNCTION("""COMPUTED_VALUE"""),"صيدلية")</f>
        <v>صيدلية</v>
      </c>
      <c r="E3148" s="5" t="str">
        <f ca="1">IFERROR(__xludf.DUMMYFUNCTION("""COMPUTED_VALUE"""),"صيدلية")</f>
        <v>صيدلية</v>
      </c>
      <c r="F3148" s="5" t="str">
        <f ca="1">IFERROR(__xludf.DUMMYFUNCTION("""COMPUTED_VALUE"""),"صيدلية (أدوية ومستلزمات طبية)")</f>
        <v>صيدلية (أدوية ومستلزمات طبية)</v>
      </c>
      <c r="G3148" s="5" t="str">
        <f ca="1">IFERROR(__xludf.DUMMYFUNCTION("""COMPUTED_VALUE"""),"صيدلية د. محمود محمد احمد محمد")</f>
        <v>صيدلية د. محمود محمد احمد محمد</v>
      </c>
      <c r="H3148" s="5" t="str">
        <f ca="1">IFERROR(__xludf.DUMMYFUNCTION("""COMPUTED_VALUE"""),"شارع أبو حسين الحدادين سابقا بجوار جمال مكي دسوق - كفرالشيخ")</f>
        <v>شارع أبو حسين الحدادين سابقا بجوار جمال مكي دسوق - كفرالشيخ</v>
      </c>
      <c r="I3148" s="6" t="str">
        <f ca="1">IFERROR(__xludf.DUMMYFUNCTION("""COMPUTED_VALUE"""),"0472643999")</f>
        <v>0472643999</v>
      </c>
      <c r="J3148" s="6"/>
      <c r="K3148" s="6" t="str">
        <f ca="1">IFERROR(__xludf.DUMMYFUNCTION("""COMPUTED_VALUE"""),"خصم 14% علي المحلي و 7 % علي المستورد")</f>
        <v>خصم 14% علي المحلي و 7 % علي المستورد</v>
      </c>
    </row>
    <row r="3149" spans="1:11" x14ac:dyDescent="0.25">
      <c r="A3149" s="4" t="str">
        <f ca="1">IFERROR(__xludf.DUMMYFUNCTION("""COMPUTED_VALUE"""),"107432")</f>
        <v>107432</v>
      </c>
      <c r="B3149" s="5" t="str">
        <f ca="1">IFERROR(__xludf.DUMMYFUNCTION("""COMPUTED_VALUE"""),"القاهرة")</f>
        <v>القاهرة</v>
      </c>
      <c r="C3149" s="5" t="str">
        <f ca="1">IFERROR(__xludf.DUMMYFUNCTION("""COMPUTED_VALUE"""),"مصر الجديدة")</f>
        <v>مصر الجديدة</v>
      </c>
      <c r="D3149" s="5" t="str">
        <f ca="1">IFERROR(__xludf.DUMMYFUNCTION("""COMPUTED_VALUE"""),"مركز أشعة")</f>
        <v>مركز أشعة</v>
      </c>
      <c r="E3149" s="5" t="str">
        <f ca="1">IFERROR(__xludf.DUMMYFUNCTION("""COMPUTED_VALUE"""),"مركز أشعة")</f>
        <v>مركز أشعة</v>
      </c>
      <c r="F3149" s="5" t="str">
        <f ca="1">IFERROR(__xludf.DUMMYFUNCTION("""COMPUTED_VALUE"""),"أشعة تشخيصية")</f>
        <v>أشعة تشخيصية</v>
      </c>
      <c r="G3149" s="5" t="str">
        <f ca="1">IFERROR(__xludf.DUMMYFUNCTION("""COMPUTED_VALUE"""),"مركز عزازي للأشعه")</f>
        <v>مركز عزازي للأشعه</v>
      </c>
      <c r="H3149" s="5" t="str">
        <f ca="1">IFERROR(__xludf.DUMMYFUNCTION("""COMPUTED_VALUE"""),"وحدة الرنين المغناطيسي في مستشفي النزهه لتخصصي")</f>
        <v>وحدة الرنين المغناطيسي في مستشفي النزهه لتخصصي</v>
      </c>
      <c r="I3149" s="6" t="str">
        <f ca="1">IFERROR(__xludf.DUMMYFUNCTION("""COMPUTED_VALUE"""),"0222676878")</f>
        <v>0222676878</v>
      </c>
      <c r="J3149" s="6"/>
      <c r="K3149" s="6" t="str">
        <f ca="1">IFERROR(__xludf.DUMMYFUNCTION("""COMPUTED_VALUE"""),"خصم 25% علي الاسعار النقدي")</f>
        <v>خصم 25% علي الاسعار النقدي</v>
      </c>
    </row>
    <row r="3150" spans="1:11" x14ac:dyDescent="0.25">
      <c r="A3150" s="4" t="str">
        <f ca="1">IFERROR(__xludf.DUMMYFUNCTION("""COMPUTED_VALUE"""),"107433")</f>
        <v>107433</v>
      </c>
      <c r="B3150" s="5" t="str">
        <f ca="1">IFERROR(__xludf.DUMMYFUNCTION("""COMPUTED_VALUE"""),"البحيرة")</f>
        <v>البحيرة</v>
      </c>
      <c r="C3150" s="5" t="str">
        <f ca="1">IFERROR(__xludf.DUMMYFUNCTION("""COMPUTED_VALUE"""),"ابو المطامير")</f>
        <v>ابو المطامير</v>
      </c>
      <c r="D3150" s="5" t="str">
        <f ca="1">IFERROR(__xludf.DUMMYFUNCTION("""COMPUTED_VALUE"""),"هيئة الأطباء")</f>
        <v>هيئة الأطباء</v>
      </c>
      <c r="E3150" s="5" t="str">
        <f ca="1">IFERROR(__xludf.DUMMYFUNCTION("""COMPUTED_VALUE"""),"باطنة")</f>
        <v>باطنة</v>
      </c>
      <c r="F3150" s="5" t="str">
        <f ca="1">IFERROR(__xludf.DUMMYFUNCTION("""COMPUTED_VALUE"""),"باطنة عامة")</f>
        <v>باطنة عامة</v>
      </c>
      <c r="G3150" s="5" t="str">
        <f ca="1">IFERROR(__xludf.DUMMYFUNCTION("""COMPUTED_VALUE"""),"د/ محمد خميس عبدالمولي محمد")</f>
        <v>د/ محمد خميس عبدالمولي محمد</v>
      </c>
      <c r="H3150" s="5" t="str">
        <f ca="1">IFERROR(__xludf.DUMMYFUNCTION("""COMPUTED_VALUE"""),"ش مصطفي كامل أمام قسم الشرطة - أبو المطامير - البحيرة")</f>
        <v>ش مصطفي كامل أمام قسم الشرطة - أبو المطامير - البحيرة</v>
      </c>
      <c r="I3150" s="6" t="str">
        <f ca="1">IFERROR(__xludf.DUMMYFUNCTION("""COMPUTED_VALUE"""),"01002572611")</f>
        <v>01002572611</v>
      </c>
      <c r="J3150" s="6"/>
      <c r="K3150" s="6" t="str">
        <f ca="1">IFERROR(__xludf.DUMMYFUNCTION("""COMPUTED_VALUE"""),"خصم 30% علي الاسعار النقدي")</f>
        <v>خصم 30% علي الاسعار النقدي</v>
      </c>
    </row>
    <row r="3151" spans="1:11" x14ac:dyDescent="0.25">
      <c r="A3151" s="4" t="str">
        <f ca="1">IFERROR(__xludf.DUMMYFUNCTION("""COMPUTED_VALUE"""),"105136-B")</f>
        <v>105136-B</v>
      </c>
      <c r="B3151" s="5" t="str">
        <f ca="1">IFERROR(__xludf.DUMMYFUNCTION("""COMPUTED_VALUE"""),"القاهرة")</f>
        <v>القاهرة</v>
      </c>
      <c r="C3151" s="5" t="str">
        <f ca="1">IFERROR(__xludf.DUMMYFUNCTION("""COMPUTED_VALUE"""),"القاهرة الجديدة")</f>
        <v>القاهرة الجديدة</v>
      </c>
      <c r="D3151" s="5" t="str">
        <f ca="1">IFERROR(__xludf.DUMMYFUNCTION("""COMPUTED_VALUE"""),"مجمع عيادات")</f>
        <v>مجمع عيادات</v>
      </c>
      <c r="E3151" s="5" t="str">
        <f ca="1">IFERROR(__xludf.DUMMYFUNCTION("""COMPUTED_VALUE"""),"جميع التخصصات")</f>
        <v>جميع التخصصات</v>
      </c>
      <c r="F3151" s="5" t="str">
        <f ca="1">IFERROR(__xludf.DUMMYFUNCTION("""COMPUTED_VALUE"""),"جميع التخصصات الطبية")</f>
        <v>جميع التخصصات الطبية</v>
      </c>
      <c r="G3151" s="5" t="str">
        <f ca="1">IFERROR(__xludf.DUMMYFUNCTION("""COMPUTED_VALUE"""),"سيتي كلينك للخدمات الطبية")</f>
        <v>سيتي كلينك للخدمات الطبية</v>
      </c>
      <c r="H3151" s="5" t="str">
        <f ca="1">IFERROR(__xludf.DUMMYFUNCTION("""COMPUTED_VALUE"""),"مول كايرو بيزنس بلازا الدور الثالث ٣٠١، فوق البنك الأهلي امام كمبوند water we مبني water way North")</f>
        <v>مول كايرو بيزنس بلازا الدور الثالث ٣٠١، فوق البنك الأهلي امام كمبوند water we مبني water way North</v>
      </c>
      <c r="I3151" s="6" t="str">
        <f ca="1">IFERROR(__xludf.DUMMYFUNCTION("""COMPUTED_VALUE"""),"201002833332")</f>
        <v>201002833332</v>
      </c>
      <c r="J3151" s="6"/>
      <c r="K3151" s="6" t="str">
        <f ca="1">IFERROR(__xludf.DUMMYFUNCTION("""COMPUTED_VALUE"""),"20% نسبة خصم")</f>
        <v>20% نسبة خصم</v>
      </c>
    </row>
    <row r="3152" spans="1:11" x14ac:dyDescent="0.25">
      <c r="A3152" s="4" t="str">
        <f ca="1">IFERROR(__xludf.DUMMYFUNCTION("""COMPUTED_VALUE"""),"107434")</f>
        <v>107434</v>
      </c>
      <c r="B3152" s="5" t="str">
        <f ca="1">IFERROR(__xludf.DUMMYFUNCTION("""COMPUTED_VALUE"""),"جنوب سيناء")</f>
        <v>جنوب سيناء</v>
      </c>
      <c r="C3152" s="5" t="str">
        <f ca="1">IFERROR(__xludf.DUMMYFUNCTION("""COMPUTED_VALUE"""),"دهب")</f>
        <v>دهب</v>
      </c>
      <c r="D3152" s="5" t="str">
        <f ca="1">IFERROR(__xludf.DUMMYFUNCTION("""COMPUTED_VALUE"""),"مستشفى")</f>
        <v>مستشفى</v>
      </c>
      <c r="E3152" s="5" t="str">
        <f ca="1">IFERROR(__xludf.DUMMYFUNCTION("""COMPUTED_VALUE"""),"جميع التخصصات")</f>
        <v>جميع التخصصات</v>
      </c>
      <c r="F3152" s="5" t="str">
        <f ca="1">IFERROR(__xludf.DUMMYFUNCTION("""COMPUTED_VALUE"""),"جميع التخصصات الطبية")</f>
        <v>جميع التخصصات الطبية</v>
      </c>
      <c r="G3152" s="5" t="str">
        <f ca="1">IFERROR(__xludf.DUMMYFUNCTION("""COMPUTED_VALUE"""),"مستشفي دهب للرعايه الطبية العاجلة DHUMC")</f>
        <v>مستشفي دهب للرعايه الطبية العاجلة DHUMC</v>
      </c>
      <c r="H3152" s="5" t="str">
        <f ca="1">IFERROR(__xludf.DUMMYFUNCTION("""COMPUTED_VALUE"""),"قطعه رقم 1 شارع المشرية - دهب - جنوب سيناء")</f>
        <v>قطعه رقم 1 شارع المشرية - دهب - جنوب سيناء</v>
      </c>
      <c r="I3152" s="6" t="str">
        <f ca="1">IFERROR(__xludf.DUMMYFUNCTION("""COMPUTED_VALUE"""),"01223486209")</f>
        <v>01223486209</v>
      </c>
      <c r="J3152" s="6"/>
      <c r="K3152" s="6" t="str">
        <f ca="1">IFERROR(__xludf.DUMMYFUNCTION("""COMPUTED_VALUE"""),"خصم 30% علي الاسعار النقدي")</f>
        <v>خصم 30% علي الاسعار النقدي</v>
      </c>
    </row>
    <row r="3153" spans="1:11" x14ac:dyDescent="0.25">
      <c r="A3153" s="4" t="str">
        <f ca="1">IFERROR(__xludf.DUMMYFUNCTION("""COMPUTED_VALUE"""),"107435")</f>
        <v>107435</v>
      </c>
      <c r="B3153" s="5" t="str">
        <f ca="1">IFERROR(__xludf.DUMMYFUNCTION("""COMPUTED_VALUE"""),"البحيرة")</f>
        <v>البحيرة</v>
      </c>
      <c r="C3153" s="5" t="str">
        <f ca="1">IFERROR(__xludf.DUMMYFUNCTION("""COMPUTED_VALUE"""),"ابو المطامير")</f>
        <v>ابو المطامير</v>
      </c>
      <c r="D3153" s="5" t="str">
        <f ca="1">IFERROR(__xludf.DUMMYFUNCTION("""COMPUTED_VALUE"""),"معمل")</f>
        <v>معمل</v>
      </c>
      <c r="E3153" s="5" t="str">
        <f ca="1">IFERROR(__xludf.DUMMYFUNCTION("""COMPUTED_VALUE"""),"معمل")</f>
        <v>معمل</v>
      </c>
      <c r="F3153" s="5" t="str">
        <f ca="1">IFERROR(__xludf.DUMMYFUNCTION("""COMPUTED_VALUE"""),"معمل التحاليل الطبية")</f>
        <v>معمل التحاليل الطبية</v>
      </c>
      <c r="G3153" s="5" t="str">
        <f ca="1">IFERROR(__xludf.DUMMYFUNCTION("""COMPUTED_VALUE"""),"هاني حسن عبدالله السواحلي (معمل أجيال)")</f>
        <v>هاني حسن عبدالله السواحلي (معمل أجيال)</v>
      </c>
      <c r="H3153" s="5" t="str">
        <f ca="1">IFERROR(__xludf.DUMMYFUNCTION("""COMPUTED_VALUE"""),"الدور الاول علوي ش المدرسة الثانوية - أبو المطامير - البحيرة")</f>
        <v>الدور الاول علوي ش المدرسة الثانوية - أبو المطامير - البحيرة</v>
      </c>
      <c r="I3153" s="6" t="str">
        <f ca="1">IFERROR(__xludf.DUMMYFUNCTION("""COMPUTED_VALUE"""),"01024107171")</f>
        <v>01024107171</v>
      </c>
      <c r="J3153" s="6"/>
      <c r="K3153" s="6" t="str">
        <f ca="1">IFERROR(__xludf.DUMMYFUNCTION("""COMPUTED_VALUE"""),"خصم 30% علي الاسعار النقدي")</f>
        <v>خصم 30% علي الاسعار النقدي</v>
      </c>
    </row>
    <row r="3154" spans="1:11" x14ac:dyDescent="0.25">
      <c r="A3154" s="4" t="str">
        <f ca="1">IFERROR(__xludf.DUMMYFUNCTION("""COMPUTED_VALUE"""),"105696-B")</f>
        <v>105696-B</v>
      </c>
      <c r="B3154" s="5" t="str">
        <f ca="1">IFERROR(__xludf.DUMMYFUNCTION("""COMPUTED_VALUE"""),"البحيرة")</f>
        <v>البحيرة</v>
      </c>
      <c r="C3154" s="5" t="str">
        <f ca="1">IFERROR(__xludf.DUMMYFUNCTION("""COMPUTED_VALUE"""),"كوم حمادة")</f>
        <v>كوم حمادة</v>
      </c>
      <c r="D3154" s="5" t="str">
        <f ca="1">IFERROR(__xludf.DUMMYFUNCTION("""COMPUTED_VALUE"""),"صيدلية")</f>
        <v>صيدلية</v>
      </c>
      <c r="E3154" s="5" t="str">
        <f ca="1">IFERROR(__xludf.DUMMYFUNCTION("""COMPUTED_VALUE"""),"صيدلية")</f>
        <v>صيدلية</v>
      </c>
      <c r="F3154" s="5" t="str">
        <f ca="1">IFERROR(__xludf.DUMMYFUNCTION("""COMPUTED_VALUE"""),"صيدلية (أدوية ومستلزمات طبية)")</f>
        <v>صيدلية (أدوية ومستلزمات طبية)</v>
      </c>
      <c r="G3154" s="5" t="str">
        <f ca="1">IFERROR(__xludf.DUMMYFUNCTION("""COMPUTED_VALUE"""),"د/ احمد صبحى بسيونى كموش(صيدلية د/ احمد كموش)")</f>
        <v>د/ احمد صبحى بسيونى كموش(صيدلية د/ احمد كموش)</v>
      </c>
      <c r="H3154" s="5" t="str">
        <f ca="1">IFERROR(__xludf.DUMMYFUNCTION("""COMPUTED_VALUE"""),"ش عشرين من ارض الجمعية - مركز بدر - البحيرة ")</f>
        <v xml:space="preserve">ش عشرين من ارض الجمعية - مركز بدر - البحيرة </v>
      </c>
      <c r="I3154" s="6" t="str">
        <f ca="1">IFERROR(__xludf.DUMMYFUNCTION("""COMPUTED_VALUE"""),"01031805807")</f>
        <v>01031805807</v>
      </c>
      <c r="J3154" s="6"/>
      <c r="K3154" s="6" t="str">
        <f ca="1">IFERROR(__xludf.DUMMYFUNCTION("""COMPUTED_VALUE"""),"خصم 14% علي المحلي,7% علي المستورد")</f>
        <v>خصم 14% علي المحلي,7% علي المستورد</v>
      </c>
    </row>
    <row r="3155" spans="1:11" x14ac:dyDescent="0.25">
      <c r="A3155" s="4" t="str">
        <f ca="1">IFERROR(__xludf.DUMMYFUNCTION("""COMPUTED_VALUE"""),"103356-B")</f>
        <v>103356-B</v>
      </c>
      <c r="B3155" s="5" t="str">
        <f ca="1">IFERROR(__xludf.DUMMYFUNCTION("""COMPUTED_VALUE"""),"المنوفية")</f>
        <v>المنوفية</v>
      </c>
      <c r="C3155" s="5" t="str">
        <f ca="1">IFERROR(__xludf.DUMMYFUNCTION("""COMPUTED_VALUE"""),"الباجور")</f>
        <v>الباجور</v>
      </c>
      <c r="D3155" s="5" t="str">
        <f ca="1">IFERROR(__xludf.DUMMYFUNCTION("""COMPUTED_VALUE"""),"مركز أشعة")</f>
        <v>مركز أشعة</v>
      </c>
      <c r="E3155" s="5" t="str">
        <f ca="1">IFERROR(__xludf.DUMMYFUNCTION("""COMPUTED_VALUE"""),"مركز أشعة")</f>
        <v>مركز أشعة</v>
      </c>
      <c r="F3155" s="5" t="str">
        <f ca="1">IFERROR(__xludf.DUMMYFUNCTION("""COMPUTED_VALUE"""),"مركز الأشعة التشخيصية")</f>
        <v>مركز الأشعة التشخيصية</v>
      </c>
      <c r="G3155" s="5" t="str">
        <f ca="1">IFERROR(__xludf.DUMMYFUNCTION("""COMPUTED_VALUE"""),"مركز دار الأشعة - المنوفية")</f>
        <v>مركز دار الأشعة - المنوفية</v>
      </c>
      <c r="H3155" s="5" t="str">
        <f ca="1">IFERROR(__xludf.DUMMYFUNCTION("""COMPUTED_VALUE"""),"شارع الجيش الباجور")</f>
        <v>شارع الجيش الباجور</v>
      </c>
      <c r="I3155" s="6" t="str">
        <f ca="1">IFERROR(__xludf.DUMMYFUNCTION("""COMPUTED_VALUE"""),"20483430990")</f>
        <v>20483430990</v>
      </c>
      <c r="J3155" s="6"/>
      <c r="K3155" s="6" t="str">
        <f ca="1">IFERROR(__xludf.DUMMYFUNCTION("""COMPUTED_VALUE"""),"نقابه 2013")</f>
        <v>نقابه 2013</v>
      </c>
    </row>
    <row r="3156" spans="1:11" x14ac:dyDescent="0.25">
      <c r="A3156" s="4" t="str">
        <f ca="1">IFERROR(__xludf.DUMMYFUNCTION("""COMPUTED_VALUE"""),"107436")</f>
        <v>107436</v>
      </c>
      <c r="B3156" s="5" t="str">
        <f ca="1">IFERROR(__xludf.DUMMYFUNCTION("""COMPUTED_VALUE"""),"الغربية")</f>
        <v>الغربية</v>
      </c>
      <c r="C3156" s="5" t="str">
        <f ca="1">IFERROR(__xludf.DUMMYFUNCTION("""COMPUTED_VALUE"""),"المحلة الكبرى")</f>
        <v>المحلة الكبرى</v>
      </c>
      <c r="D3156" s="5" t="str">
        <f ca="1">IFERROR(__xludf.DUMMYFUNCTION("""COMPUTED_VALUE"""),"مستشفى")</f>
        <v>مستشفى</v>
      </c>
      <c r="E3156" s="5" t="str">
        <f ca="1">IFERROR(__xludf.DUMMYFUNCTION("""COMPUTED_VALUE"""),"مستشفي طبي متخصص")</f>
        <v>مستشفي طبي متخصص</v>
      </c>
      <c r="F3156" s="5" t="str">
        <f ca="1">IFERROR(__xludf.DUMMYFUNCTION("""COMPUTED_VALUE"""),"نساء وتوليد")</f>
        <v>نساء وتوليد</v>
      </c>
      <c r="G3156" s="5" t="str">
        <f ca="1">IFERROR(__xludf.DUMMYFUNCTION("""COMPUTED_VALUE"""),"د. احمد محمد السيد حامد ماضي (مركز نورالحياة للنساء و التوليد)")</f>
        <v>د. احمد محمد السيد حامد ماضي (مركز نورالحياة للنساء و التوليد)</v>
      </c>
      <c r="H3156" s="5" t="str">
        <f ca="1">IFERROR(__xludf.DUMMYFUNCTION("""COMPUTED_VALUE"""),"42 ش سكة طنطا - المحلة الكبري - الغربية")</f>
        <v>42 ش سكة طنطا - المحلة الكبري - الغربية</v>
      </c>
      <c r="I3156" s="6" t="str">
        <f ca="1">IFERROR(__xludf.DUMMYFUNCTION("""COMPUTED_VALUE"""),"01144803336")</f>
        <v>01144803336</v>
      </c>
      <c r="J3156" s="6"/>
      <c r="K3156" s="6" t="str">
        <f ca="1">IFERROR(__xludf.DUMMYFUNCTION("""COMPUTED_VALUE"""),"خصم 30% علي الاسعار النقدي")</f>
        <v>خصم 30% علي الاسعار النقدي</v>
      </c>
    </row>
    <row r="3157" spans="1:11" x14ac:dyDescent="0.25">
      <c r="A3157" s="4" t="str">
        <f ca="1">IFERROR(__xludf.DUMMYFUNCTION("""COMPUTED_VALUE"""),"107437")</f>
        <v>107437</v>
      </c>
      <c r="B3157" s="5" t="str">
        <f ca="1">IFERROR(__xludf.DUMMYFUNCTION("""COMPUTED_VALUE"""),"بني سويف")</f>
        <v>بني سويف</v>
      </c>
      <c r="C3157" s="5" t="str">
        <f ca="1">IFERROR(__xludf.DUMMYFUNCTION("""COMPUTED_VALUE"""),"بني سويف")</f>
        <v>بني سويف</v>
      </c>
      <c r="D3157" s="5" t="str">
        <f ca="1">IFERROR(__xludf.DUMMYFUNCTION("""COMPUTED_VALUE"""),"مستشفى")</f>
        <v>مستشفى</v>
      </c>
      <c r="E3157" s="5" t="str">
        <f ca="1">IFERROR(__xludf.DUMMYFUNCTION("""COMPUTED_VALUE"""),"مستشفي طبي متخصص")</f>
        <v>مستشفي طبي متخصص</v>
      </c>
      <c r="F3157" s="5" t="str">
        <f ca="1">IFERROR(__xludf.DUMMYFUNCTION("""COMPUTED_VALUE"""),"رمد (جراحة عيون)")</f>
        <v>رمد (جراحة عيون)</v>
      </c>
      <c r="G3157" s="5" t="str">
        <f ca="1">IFERROR(__xludf.DUMMYFUNCTION("""COMPUTED_VALUE"""),"الكرنك للخدمات الطبية (المركز التخصصي لرواد الليزك و العيون)")</f>
        <v>الكرنك للخدمات الطبية (المركز التخصصي لرواد الليزك و العيون)</v>
      </c>
      <c r="H3157" s="5" t="str">
        <f ca="1">IFERROR(__xludf.DUMMYFUNCTION("""COMPUTED_VALUE"""),"طريق بني سويف الفيوم الجديد بجوار مدرسة الصفوة - بني سويف")</f>
        <v>طريق بني سويف الفيوم الجديد بجوار مدرسة الصفوة - بني سويف</v>
      </c>
      <c r="I3157" s="6" t="str">
        <f ca="1">IFERROR(__xludf.DUMMYFUNCTION("""COMPUTED_VALUE"""),"01061570030")</f>
        <v>01061570030</v>
      </c>
      <c r="J3157" s="6"/>
      <c r="K3157" s="6" t="str">
        <f ca="1">IFERROR(__xludf.DUMMYFUNCTION("""COMPUTED_VALUE"""),"خصم 30% علي الاسعار النقدي")</f>
        <v>خصم 30% علي الاسعار النقدي</v>
      </c>
    </row>
    <row r="3158" spans="1:11" x14ac:dyDescent="0.25">
      <c r="A3158" s="4" t="str">
        <f ca="1">IFERROR(__xludf.DUMMYFUNCTION("""COMPUTED_VALUE"""),"107439")</f>
        <v>107439</v>
      </c>
      <c r="B3158" s="5" t="str">
        <f ca="1">IFERROR(__xludf.DUMMYFUNCTION("""COMPUTED_VALUE"""),"المنيا")</f>
        <v>المنيا</v>
      </c>
      <c r="C3158" s="5" t="str">
        <f ca="1">IFERROR(__xludf.DUMMYFUNCTION("""COMPUTED_VALUE"""),"المنيا")</f>
        <v>المنيا</v>
      </c>
      <c r="D3158" s="5" t="str">
        <f ca="1">IFERROR(__xludf.DUMMYFUNCTION("""COMPUTED_VALUE"""),"مستشفى")</f>
        <v>مستشفى</v>
      </c>
      <c r="E3158" s="5" t="str">
        <f ca="1">IFERROR(__xludf.DUMMYFUNCTION("""COMPUTED_VALUE"""),"مستشفي طبي متخصص")</f>
        <v>مستشفي طبي متخصص</v>
      </c>
      <c r="F3158" s="5" t="str">
        <f ca="1">IFERROR(__xludf.DUMMYFUNCTION("""COMPUTED_VALUE"""),"كبد وجهاز هضمي")</f>
        <v>كبد وجهاز هضمي</v>
      </c>
      <c r="G3158" s="5" t="str">
        <f ca="1">IFERROR(__xludf.DUMMYFUNCTION("""COMPUTED_VALUE"""),"فام وهبه ميلاد بشاره (مركز دار الشفا للرعاية الطبية)")</f>
        <v>فام وهبه ميلاد بشاره (مركز دار الشفا للرعاية الطبية)</v>
      </c>
      <c r="H3158" s="5" t="str">
        <f ca="1">IFERROR(__xludf.DUMMYFUNCTION("""COMPUTED_VALUE"""),"85 ش بن خصيب - المنيا")</f>
        <v>85 ش بن خصيب - المنيا</v>
      </c>
      <c r="I3158" s="6" t="str">
        <f ca="1">IFERROR(__xludf.DUMMYFUNCTION("""COMPUTED_VALUE"""),"01501051175")</f>
        <v>01501051175</v>
      </c>
      <c r="J3158" s="6"/>
      <c r="K3158" s="6" t="str">
        <f ca="1">IFERROR(__xludf.DUMMYFUNCTION("""COMPUTED_VALUE"""),"خصم 40% علي الاسعار النقدي")</f>
        <v>خصم 40% علي الاسعار النقدي</v>
      </c>
    </row>
    <row r="3159" spans="1:11" x14ac:dyDescent="0.25">
      <c r="A3159" s="4" t="str">
        <f ca="1">IFERROR(__xludf.DUMMYFUNCTION("""COMPUTED_VALUE"""),"107446")</f>
        <v>107446</v>
      </c>
      <c r="B3159" s="5" t="str">
        <f ca="1">IFERROR(__xludf.DUMMYFUNCTION("""COMPUTED_VALUE"""),"مرسى مطروح")</f>
        <v>مرسى مطروح</v>
      </c>
      <c r="C3159" s="5" t="str">
        <f ca="1">IFERROR(__xludf.DUMMYFUNCTION("""COMPUTED_VALUE"""),"مرسى مطروح")</f>
        <v>مرسى مطروح</v>
      </c>
      <c r="D3159" s="5" t="str">
        <f ca="1">IFERROR(__xludf.DUMMYFUNCTION("""COMPUTED_VALUE"""),"صيدلية")</f>
        <v>صيدلية</v>
      </c>
      <c r="E3159" s="5" t="str">
        <f ca="1">IFERROR(__xludf.DUMMYFUNCTION("""COMPUTED_VALUE"""),"صيدلية")</f>
        <v>صيدلية</v>
      </c>
      <c r="F3159" s="5" t="str">
        <f ca="1">IFERROR(__xludf.DUMMYFUNCTION("""COMPUTED_VALUE"""),"صيدلية (أدوية ومستلزمات طبية)")</f>
        <v>صيدلية (أدوية ومستلزمات طبية)</v>
      </c>
      <c r="G3159" s="5" t="str">
        <f ca="1">IFERROR(__xludf.DUMMYFUNCTION("""COMPUTED_VALUE"""),"فضل مطيرحميدة جويدة (صيدلية فضل مطير)")</f>
        <v>فضل مطيرحميدة جويدة (صيدلية فضل مطير)</v>
      </c>
      <c r="H3159" s="5" t="str">
        <f ca="1">IFERROR(__xludf.DUMMYFUNCTION("""COMPUTED_VALUE"""),"1 مطروح شارع القاضي")</f>
        <v>1 مطروح شارع القاضي</v>
      </c>
      <c r="I3159" s="6" t="str">
        <f ca="1">IFERROR(__xludf.DUMMYFUNCTION("""COMPUTED_VALUE"""),"01015010082")</f>
        <v>01015010082</v>
      </c>
      <c r="J3159" s="6"/>
      <c r="K3159" s="6" t="str">
        <f ca="1">IFERROR(__xludf.DUMMYFUNCTION("""COMPUTED_VALUE"""),"خصم 14% علي المحلي,7% علي المستورد")</f>
        <v>خصم 14% علي المحلي,7% علي المستورد</v>
      </c>
    </row>
    <row r="3160" spans="1:11" x14ac:dyDescent="0.25">
      <c r="A3160" s="4" t="str">
        <f ca="1">IFERROR(__xludf.DUMMYFUNCTION("""COMPUTED_VALUE"""),"107446-B")</f>
        <v>107446-B</v>
      </c>
      <c r="B3160" s="5" t="str">
        <f ca="1">IFERROR(__xludf.DUMMYFUNCTION("""COMPUTED_VALUE"""),"مرسى مطروح")</f>
        <v>مرسى مطروح</v>
      </c>
      <c r="C3160" s="5" t="str">
        <f ca="1">IFERROR(__xludf.DUMMYFUNCTION("""COMPUTED_VALUE"""),"مرسى مطروح")</f>
        <v>مرسى مطروح</v>
      </c>
      <c r="D3160" s="5" t="str">
        <f ca="1">IFERROR(__xludf.DUMMYFUNCTION("""COMPUTED_VALUE"""),"صيدلية")</f>
        <v>صيدلية</v>
      </c>
      <c r="E3160" s="5" t="str">
        <f ca="1">IFERROR(__xludf.DUMMYFUNCTION("""COMPUTED_VALUE"""),"صيدلية")</f>
        <v>صيدلية</v>
      </c>
      <c r="F3160" s="5" t="str">
        <f ca="1">IFERROR(__xludf.DUMMYFUNCTION("""COMPUTED_VALUE"""),"صيدلية (أدوية ومستلزمات طبية)")</f>
        <v>صيدلية (أدوية ومستلزمات طبية)</v>
      </c>
      <c r="G3160" s="5" t="str">
        <f ca="1">IFERROR(__xludf.DUMMYFUNCTION("""COMPUTED_VALUE"""),"فضل مطيرحميدة جويدة (صيدلية فضل مطير)")</f>
        <v>فضل مطيرحميدة جويدة (صيدلية فضل مطير)</v>
      </c>
      <c r="H3160" s="5" t="str">
        <f ca="1">IFERROR(__xludf.DUMMYFUNCTION("""COMPUTED_VALUE"""),"ام الرخم - شارع الابيض - عجيبة - مرسي مطروح")</f>
        <v>ام الرخم - شارع الابيض - عجيبة - مرسي مطروح</v>
      </c>
      <c r="I3160" s="6" t="str">
        <f ca="1">IFERROR(__xludf.DUMMYFUNCTION("""COMPUTED_VALUE"""),"01015010082")</f>
        <v>01015010082</v>
      </c>
      <c r="J3160" s="6"/>
      <c r="K3160" s="6" t="str">
        <f ca="1">IFERROR(__xludf.DUMMYFUNCTION("""COMPUTED_VALUE"""),"خصم 14% علي المحلي,7% علي المستورد")</f>
        <v>خصم 14% علي المحلي,7% علي المستورد</v>
      </c>
    </row>
    <row r="3161" spans="1:11" x14ac:dyDescent="0.25">
      <c r="A3161" s="4" t="str">
        <f ca="1">IFERROR(__xludf.DUMMYFUNCTION("""COMPUTED_VALUE"""),"107447")</f>
        <v>107447</v>
      </c>
      <c r="B3161" s="5" t="str">
        <f ca="1">IFERROR(__xludf.DUMMYFUNCTION("""COMPUTED_VALUE"""),"القليوبية")</f>
        <v>القليوبية</v>
      </c>
      <c r="C3161" s="5" t="str">
        <f ca="1">IFERROR(__xludf.DUMMYFUNCTION("""COMPUTED_VALUE"""),"بنها")</f>
        <v>بنها</v>
      </c>
      <c r="D3161" s="5" t="str">
        <f ca="1">IFERROR(__xludf.DUMMYFUNCTION("""COMPUTED_VALUE"""),"هيئة الأطباء")</f>
        <v>هيئة الأطباء</v>
      </c>
      <c r="E3161" s="5" t="str">
        <f ca="1">IFERROR(__xludf.DUMMYFUNCTION("""COMPUTED_VALUE"""),"جراحة")</f>
        <v>جراحة</v>
      </c>
      <c r="F3161" s="5" t="str">
        <f ca="1">IFERROR(__xludf.DUMMYFUNCTION("""COMPUTED_VALUE"""),"جراحة عامة")</f>
        <v>جراحة عامة</v>
      </c>
      <c r="G3161" s="5" t="str">
        <f ca="1">IFERROR(__xludf.DUMMYFUNCTION("""COMPUTED_VALUE"""),"د/ محمد احمد شوقي عبدالعزيز بيومي دياب")</f>
        <v>د/ محمد احمد شوقي عبدالعزيز بيومي دياب</v>
      </c>
      <c r="H3161" s="5" t="str">
        <f ca="1">IFERROR(__xludf.DUMMYFUNCTION("""COMPUTED_VALUE"""),"برج طيبة في ش فريد ندا - الدور الثالث - بنها الجديدة - قليوبية")</f>
        <v>برج طيبة في ش فريد ندا - الدور الثالث - بنها الجديدة - قليوبية</v>
      </c>
      <c r="I3161" s="6" t="str">
        <f ca="1">IFERROR(__xludf.DUMMYFUNCTION("""COMPUTED_VALUE"""),"01028720209")</f>
        <v>01028720209</v>
      </c>
      <c r="J3161" s="6"/>
      <c r="K3161" s="6" t="str">
        <f ca="1">IFERROR(__xludf.DUMMYFUNCTION("""COMPUTED_VALUE"""),"خصم 30% علي الاسعار النقدي")</f>
        <v>خصم 30% علي الاسعار النقدي</v>
      </c>
    </row>
    <row r="3162" spans="1:11" x14ac:dyDescent="0.25">
      <c r="A3162" s="4" t="str">
        <f ca="1">IFERROR(__xludf.DUMMYFUNCTION("""COMPUTED_VALUE"""),"107448")</f>
        <v>107448</v>
      </c>
      <c r="B3162" s="5" t="str">
        <f ca="1">IFERROR(__xludf.DUMMYFUNCTION("""COMPUTED_VALUE"""),"المنوفية")</f>
        <v>المنوفية</v>
      </c>
      <c r="C3162" s="5" t="str">
        <f ca="1">IFERROR(__xludf.DUMMYFUNCTION("""COMPUTED_VALUE"""),"اشمون")</f>
        <v>اشمون</v>
      </c>
      <c r="D3162" s="5" t="str">
        <f ca="1">IFERROR(__xludf.DUMMYFUNCTION("""COMPUTED_VALUE"""),"مركز علاج طبيعي")</f>
        <v>مركز علاج طبيعي</v>
      </c>
      <c r="E3162" s="5" t="str">
        <f ca="1">IFERROR(__xludf.DUMMYFUNCTION("""COMPUTED_VALUE"""),"علاج طبيعي")</f>
        <v>علاج طبيعي</v>
      </c>
      <c r="F3162" s="5" t="str">
        <f ca="1">IFERROR(__xludf.DUMMYFUNCTION("""COMPUTED_VALUE"""),"جلسات العلاج الطبيعي")</f>
        <v>جلسات العلاج الطبيعي</v>
      </c>
      <c r="G3162" s="5" t="str">
        <f ca="1">IFERROR(__xludf.DUMMYFUNCTION("""COMPUTED_VALUE"""),"د. محمد عبدالعزيز ابراهيم عثمان")</f>
        <v>د. محمد عبدالعزيز ابراهيم عثمان</v>
      </c>
      <c r="H3162" s="5" t="str">
        <f ca="1">IFERROR(__xludf.DUMMYFUNCTION("""COMPUTED_VALUE"""),"صراوه - مركز أشمون - المنوفية")</f>
        <v>صراوه - مركز أشمون - المنوفية</v>
      </c>
      <c r="I3162" s="6" t="str">
        <f ca="1">IFERROR(__xludf.DUMMYFUNCTION("""COMPUTED_VALUE"""),"01001163720")</f>
        <v>01001163720</v>
      </c>
      <c r="J3162" s="6"/>
      <c r="K3162" s="6" t="str">
        <f ca="1">IFERROR(__xludf.DUMMYFUNCTION("""COMPUTED_VALUE"""),"خصم 30% علي الاسعار النقدي")</f>
        <v>خصم 30% علي الاسعار النقدي</v>
      </c>
    </row>
    <row r="3163" spans="1:11" x14ac:dyDescent="0.25">
      <c r="A3163" s="4" t="str">
        <f ca="1">IFERROR(__xludf.DUMMYFUNCTION("""COMPUTED_VALUE"""),"107147-B")</f>
        <v>107147-B</v>
      </c>
      <c r="B3163" s="5" t="str">
        <f ca="1">IFERROR(__xludf.DUMMYFUNCTION("""COMPUTED_VALUE"""),"القاهرة")</f>
        <v>القاهرة</v>
      </c>
      <c r="C3163" s="5" t="str">
        <f ca="1">IFERROR(__xludf.DUMMYFUNCTION("""COMPUTED_VALUE"""),"حلوان")</f>
        <v>حلوان</v>
      </c>
      <c r="D3163" s="5" t="str">
        <f ca="1">IFERROR(__xludf.DUMMYFUNCTION("""COMPUTED_VALUE"""),"هيئة الأطباء")</f>
        <v>هيئة الأطباء</v>
      </c>
      <c r="E3163" s="5" t="str">
        <f ca="1">IFERROR(__xludf.DUMMYFUNCTION("""COMPUTED_VALUE"""),"اسنان")</f>
        <v>اسنان</v>
      </c>
      <c r="F3163" s="5" t="str">
        <f ca="1">IFERROR(__xludf.DUMMYFUNCTION("""COMPUTED_VALUE"""),"جميع التخصصات الطبية")</f>
        <v>جميع التخصصات الطبية</v>
      </c>
      <c r="G3163" s="5" t="str">
        <f ca="1">IFERROR(__xludf.DUMMYFUNCTION("""COMPUTED_VALUE"""),"شركة مجموعة زهور الطب الطبية (عيادات الزهور الحديثة التخصصية)")</f>
        <v>شركة مجموعة زهور الطب الطبية (عيادات الزهور الحديثة التخصصية)</v>
      </c>
      <c r="H3163" s="5" t="str">
        <f ca="1">IFERROR(__xludf.DUMMYFUNCTION("""COMPUTED_VALUE"""),"42 ش المحطه تقاطع ش عبدالرحمن - حلوان")</f>
        <v>42 ش المحطه تقاطع ش عبدالرحمن - حلوان</v>
      </c>
      <c r="I3163" s="6" t="str">
        <f ca="1">IFERROR(__xludf.DUMMYFUNCTION("""COMPUTED_VALUE"""),"01143903493")</f>
        <v>01143903493</v>
      </c>
      <c r="J3163" s="6"/>
      <c r="K3163" s="6" t="str">
        <f ca="1">IFERROR(__xludf.DUMMYFUNCTION("""COMPUTED_VALUE"""),"خصم 25%علي الأسعار النقدي المعلنة")</f>
        <v>خصم 25%علي الأسعار النقدي المعلنة</v>
      </c>
    </row>
    <row r="3164" spans="1:11" x14ac:dyDescent="0.25">
      <c r="A3164" s="4" t="str">
        <f ca="1">IFERROR(__xludf.DUMMYFUNCTION("""COMPUTED_VALUE"""),"107458")</f>
        <v>107458</v>
      </c>
      <c r="B3164" s="5" t="str">
        <f ca="1">IFERROR(__xludf.DUMMYFUNCTION("""COMPUTED_VALUE"""),"الغربية")</f>
        <v>الغربية</v>
      </c>
      <c r="C3164" s="5" t="str">
        <f ca="1">IFERROR(__xludf.DUMMYFUNCTION("""COMPUTED_VALUE"""),"المحلة الكبرى")</f>
        <v>المحلة الكبرى</v>
      </c>
      <c r="D3164" s="5" t="str">
        <f ca="1">IFERROR(__xludf.DUMMYFUNCTION("""COMPUTED_VALUE"""),"مستشفى")</f>
        <v>مستشفى</v>
      </c>
      <c r="E3164" s="5" t="str">
        <f ca="1">IFERROR(__xludf.DUMMYFUNCTION("""COMPUTED_VALUE"""),"مستشفي طبي متخصص")</f>
        <v>مستشفي طبي متخصص</v>
      </c>
      <c r="F3164" s="5" t="str">
        <f ca="1">IFERROR(__xludf.DUMMYFUNCTION("""COMPUTED_VALUE"""),"أمراض الكلى و المسالك و الكلى الصناعية")</f>
        <v>أمراض الكلى و المسالك و الكلى الصناعية</v>
      </c>
      <c r="G3164" s="5" t="str">
        <f ca="1">IFERROR(__xludf.DUMMYFUNCTION("""COMPUTED_VALUE"""),"مستشفي دار الكلي")</f>
        <v>مستشفي دار الكلي</v>
      </c>
      <c r="H3164" s="5" t="str">
        <f ca="1">IFERROR(__xludf.DUMMYFUNCTION("""COMPUTED_VALUE"""),"31 ش عطفه بجوار مسجد الحنفي -المحله الكبري-الغربية")</f>
        <v>31 ش عطفه بجوار مسجد الحنفي -المحله الكبري-الغربية</v>
      </c>
      <c r="I3164" s="6" t="str">
        <f ca="1">IFERROR(__xludf.DUMMYFUNCTION("""COMPUTED_VALUE"""),"01016829592")</f>
        <v>01016829592</v>
      </c>
      <c r="J3164" s="6"/>
      <c r="K3164" s="6" t="str">
        <f ca="1">IFERROR(__xludf.DUMMYFUNCTION("""COMPUTED_VALUE"""),"خصم 30% علي الاسعار النقدي")</f>
        <v>خصم 30% علي الاسعار النقدي</v>
      </c>
    </row>
    <row r="3165" spans="1:11" x14ac:dyDescent="0.25">
      <c r="A3165" s="4" t="str">
        <f ca="1">IFERROR(__xludf.DUMMYFUNCTION("""COMPUTED_VALUE"""),"106615-B")</f>
        <v>106615-B</v>
      </c>
      <c r="B3165" s="5" t="str">
        <f ca="1">IFERROR(__xludf.DUMMYFUNCTION("""COMPUTED_VALUE"""),"القليوبية")</f>
        <v>القليوبية</v>
      </c>
      <c r="C3165" s="5" t="str">
        <f ca="1">IFERROR(__xludf.DUMMYFUNCTION("""COMPUTED_VALUE"""),"شبرا الخيمة")</f>
        <v>شبرا الخيمة</v>
      </c>
      <c r="D3165" s="5" t="str">
        <f ca="1">IFERROR(__xludf.DUMMYFUNCTION("""COMPUTED_VALUE"""),"هيئة الأطباء")</f>
        <v>هيئة الأطباء</v>
      </c>
      <c r="E3165" s="5" t="str">
        <f ca="1">IFERROR(__xludf.DUMMYFUNCTION("""COMPUTED_VALUE"""),"اسنان")</f>
        <v>اسنان</v>
      </c>
      <c r="F3165" s="5" t="str">
        <f ca="1">IFERROR(__xludf.DUMMYFUNCTION("""COMPUTED_VALUE"""),"جراحة الفم والأسنان")</f>
        <v>جراحة الفم والأسنان</v>
      </c>
      <c r="G3165" s="5" t="str">
        <f ca="1">IFERROR(__xludf.DUMMYFUNCTION("""COMPUTED_VALUE"""),"داك لزراعة و تجميل الاسنان Dental ART Clinics")</f>
        <v>داك لزراعة و تجميل الاسنان Dental ART Clinics</v>
      </c>
      <c r="H3165" s="5" t="str">
        <f ca="1">IFERROR(__xludf.DUMMYFUNCTION("""COMPUTED_VALUE"""),"82 ش ترعه الشابورى بجوار مسجد الحرمين امام بيم ماركت - شبرا الخيمه")</f>
        <v>82 ش ترعه الشابورى بجوار مسجد الحرمين امام بيم ماركت - شبرا الخيمه</v>
      </c>
      <c r="I3165" s="6" t="str">
        <f ca="1">IFERROR(__xludf.DUMMYFUNCTION("""COMPUTED_VALUE"""),"01553006735")</f>
        <v>01553006735</v>
      </c>
      <c r="J3165" s="6"/>
      <c r="K3165" s="6" t="str">
        <f ca="1">IFERROR(__xludf.DUMMYFUNCTION("""COMPUTED_VALUE"""),"خصم 30% علي الاسعار النقدي")</f>
        <v>خصم 30% علي الاسعار النقدي</v>
      </c>
    </row>
    <row r="3166" spans="1:11" x14ac:dyDescent="0.25">
      <c r="A3166" s="4" t="str">
        <f ca="1">IFERROR(__xludf.DUMMYFUNCTION("""COMPUTED_VALUE"""),"107463")</f>
        <v>107463</v>
      </c>
      <c r="B3166" s="5" t="str">
        <f ca="1">IFERROR(__xludf.DUMMYFUNCTION("""COMPUTED_VALUE"""),"القليوبية")</f>
        <v>القليوبية</v>
      </c>
      <c r="C3166" s="5" t="str">
        <f ca="1">IFERROR(__xludf.DUMMYFUNCTION("""COMPUTED_VALUE"""),"قليوب")</f>
        <v>قليوب</v>
      </c>
      <c r="D3166" s="5" t="str">
        <f ca="1">IFERROR(__xludf.DUMMYFUNCTION("""COMPUTED_VALUE"""),"معمل")</f>
        <v>معمل</v>
      </c>
      <c r="E3166" s="5" t="str">
        <f ca="1">IFERROR(__xludf.DUMMYFUNCTION("""COMPUTED_VALUE"""),"معمل")</f>
        <v>معمل</v>
      </c>
      <c r="F3166" s="5" t="str">
        <f ca="1">IFERROR(__xludf.DUMMYFUNCTION("""COMPUTED_VALUE"""),"معمل التحاليل الطبية")</f>
        <v>معمل التحاليل الطبية</v>
      </c>
      <c r="G3166" s="5" t="str">
        <f ca="1">IFERROR(__xludf.DUMMYFUNCTION("""COMPUTED_VALUE"""),"ايات محمد عبدالسلام توفيق حسن و شريكها (معمل الحكمة كلينك)")</f>
        <v>ايات محمد عبدالسلام توفيق حسن و شريكها (معمل الحكمة كلينك)</v>
      </c>
      <c r="H3166" s="5" t="str">
        <f ca="1">IFERROR(__xludf.DUMMYFUNCTION("""COMPUTED_VALUE"""),"الدورالاول علوي - شارع العاشر من رمضان امام بنزينة طاقة اعلي العزبي - قليوب - القليوبية")</f>
        <v>الدورالاول علوي - شارع العاشر من رمضان امام بنزينة طاقة اعلي العزبي - قليوب - القليوبية</v>
      </c>
      <c r="I3166" s="6" t="str">
        <f ca="1">IFERROR(__xludf.DUMMYFUNCTION("""COMPUTED_VALUE"""),"01013295087")</f>
        <v>01013295087</v>
      </c>
      <c r="J3166" s="6"/>
      <c r="K3166" s="6" t="str">
        <f ca="1">IFERROR(__xludf.DUMMYFUNCTION("""COMPUTED_VALUE"""),"خصم 30% علي الاسعار النقدي")</f>
        <v>خصم 30% علي الاسعار النقدي</v>
      </c>
    </row>
    <row r="3167" spans="1:11" x14ac:dyDescent="0.25">
      <c r="A3167" s="4" t="str">
        <f ca="1">IFERROR(__xludf.DUMMYFUNCTION("""COMPUTED_VALUE"""),"107464")</f>
        <v>107464</v>
      </c>
      <c r="B3167" s="5" t="str">
        <f ca="1">IFERROR(__xludf.DUMMYFUNCTION("""COMPUTED_VALUE"""),"المنيا")</f>
        <v>المنيا</v>
      </c>
      <c r="C3167" s="5" t="str">
        <f ca="1">IFERROR(__xludf.DUMMYFUNCTION("""COMPUTED_VALUE"""),"المنيا")</f>
        <v>المنيا</v>
      </c>
      <c r="D3167" s="5" t="str">
        <f ca="1">IFERROR(__xludf.DUMMYFUNCTION("""COMPUTED_VALUE"""),"هيئة الأطباء")</f>
        <v>هيئة الأطباء</v>
      </c>
      <c r="E3167" s="5" t="str">
        <f ca="1">IFERROR(__xludf.DUMMYFUNCTION("""COMPUTED_VALUE"""),"جراحة")</f>
        <v>جراحة</v>
      </c>
      <c r="F3167" s="5" t="str">
        <f ca="1">IFERROR(__xludf.DUMMYFUNCTION("""COMPUTED_VALUE"""),"جراحة عظام")</f>
        <v>جراحة عظام</v>
      </c>
      <c r="G3167" s="5" t="str">
        <f ca="1">IFERROR(__xludf.DUMMYFUNCTION("""COMPUTED_VALUE"""),"د. وليد محمد عيد عبدالكافي شحاته")</f>
        <v>د. وليد محمد عيد عبدالكافي شحاته</v>
      </c>
      <c r="H3167" s="5" t="str">
        <f ca="1">IFERROR(__xludf.DUMMYFUNCTION("""COMPUTED_VALUE"""),"3 تنظيم 77 عوائد حديثة ميدان سعد زغلول (ميدان المحطة) - المنيا")</f>
        <v>3 تنظيم 77 عوائد حديثة ميدان سعد زغلول (ميدان المحطة) - المنيا</v>
      </c>
      <c r="I3167" s="6" t="str">
        <f ca="1">IFERROR(__xludf.DUMMYFUNCTION("""COMPUTED_VALUE"""),"01000342140")</f>
        <v>01000342140</v>
      </c>
      <c r="J3167" s="6"/>
      <c r="K3167" s="6" t="str">
        <f ca="1">IFERROR(__xludf.DUMMYFUNCTION("""COMPUTED_VALUE"""),"خصم 30% علي الاسعار النقدي")</f>
        <v>خصم 30% علي الاسعار النقدي</v>
      </c>
    </row>
    <row r="3168" spans="1:11" x14ac:dyDescent="0.25">
      <c r="A3168" s="4" t="str">
        <f ca="1">IFERROR(__xludf.DUMMYFUNCTION("""COMPUTED_VALUE"""),"107465")</f>
        <v>107465</v>
      </c>
      <c r="B3168" s="5" t="str">
        <f ca="1">IFERROR(__xludf.DUMMYFUNCTION("""COMPUTED_VALUE"""),"الأقصر")</f>
        <v>الأقصر</v>
      </c>
      <c r="C3168" s="5" t="str">
        <f ca="1">IFERROR(__xludf.DUMMYFUNCTION("""COMPUTED_VALUE"""),"الأقصر")</f>
        <v>الأقصر</v>
      </c>
      <c r="D3168" s="5" t="str">
        <f ca="1">IFERROR(__xludf.DUMMYFUNCTION("""COMPUTED_VALUE"""),"هيئة الأطباء")</f>
        <v>هيئة الأطباء</v>
      </c>
      <c r="E3168" s="5" t="str">
        <f ca="1">IFERROR(__xludf.DUMMYFUNCTION("""COMPUTED_VALUE"""),"باطنة")</f>
        <v>باطنة</v>
      </c>
      <c r="F3168" s="5" t="str">
        <f ca="1">IFERROR(__xludf.DUMMYFUNCTION("""COMPUTED_VALUE"""),"باطنة عامة")</f>
        <v>باطنة عامة</v>
      </c>
      <c r="G3168" s="5" t="str">
        <f ca="1">IFERROR(__xludf.DUMMYFUNCTION("""COMPUTED_VALUE"""),"د/ شحات حسب الله الطيب عيسي")</f>
        <v>د/ شحات حسب الله الطيب عيسي</v>
      </c>
      <c r="H3168" s="5" t="str">
        <f ca="1">IFERROR(__xludf.DUMMYFUNCTION("""COMPUTED_VALUE"""),"العوامية بجوار مسجد النصر - الاقصر")</f>
        <v>العوامية بجوار مسجد النصر - الاقصر</v>
      </c>
      <c r="I3168" s="6" t="str">
        <f ca="1">IFERROR(__xludf.DUMMYFUNCTION("""COMPUTED_VALUE"""),"01148583113")</f>
        <v>01148583113</v>
      </c>
      <c r="J3168" s="6"/>
      <c r="K3168" s="6" t="str">
        <f ca="1">IFERROR(__xludf.DUMMYFUNCTION("""COMPUTED_VALUE"""),"خصم 30% علي الاسعار النقدي")</f>
        <v>خصم 30% علي الاسعار النقدي</v>
      </c>
    </row>
    <row r="3169" spans="1:11" x14ac:dyDescent="0.25">
      <c r="A3169" s="4" t="str">
        <f ca="1">IFERROR(__xludf.DUMMYFUNCTION("""COMPUTED_VALUE"""),"107466")</f>
        <v>107466</v>
      </c>
      <c r="B3169" s="5" t="str">
        <f ca="1">IFERROR(__xludf.DUMMYFUNCTION("""COMPUTED_VALUE"""),"القاهرة")</f>
        <v>القاهرة</v>
      </c>
      <c r="C3169" s="5" t="str">
        <f ca="1">IFERROR(__xludf.DUMMYFUNCTION("""COMPUTED_VALUE"""),"المنيل")</f>
        <v>المنيل</v>
      </c>
      <c r="D3169" s="5" t="str">
        <f ca="1">IFERROR(__xludf.DUMMYFUNCTION("""COMPUTED_VALUE"""),"شركة")</f>
        <v>شركة</v>
      </c>
      <c r="E3169" s="5" t="str">
        <f ca="1">IFERROR(__xludf.DUMMYFUNCTION("""COMPUTED_VALUE"""),"شركة اجهزة طبية")</f>
        <v>شركة اجهزة طبية</v>
      </c>
      <c r="F3169" s="5" t="str">
        <f ca="1">IFERROR(__xludf.DUMMYFUNCTION("""COMPUTED_VALUE"""),"مستلزمات واجهزة طبية")</f>
        <v>مستلزمات واجهزة طبية</v>
      </c>
      <c r="G3169" s="5" t="str">
        <f ca="1">IFERROR(__xludf.DUMMYFUNCTION("""COMPUTED_VALUE"""),"هيريكس  مركز سماعات طبية")</f>
        <v>هيريكس  مركز سماعات طبية</v>
      </c>
      <c r="H3169" s="5" t="str">
        <f ca="1">IFERROR(__xludf.DUMMYFUNCTION("""COMPUTED_VALUE"""),"43 ش المنيل امام اسماك عروس النيل - المنيل - القاهرة")</f>
        <v>43 ش المنيل امام اسماك عروس النيل - المنيل - القاهرة</v>
      </c>
      <c r="I3169" s="6" t="str">
        <f ca="1">IFERROR(__xludf.DUMMYFUNCTION("""COMPUTED_VALUE"""),"01010091891")</f>
        <v>01010091891</v>
      </c>
      <c r="J3169" s="6"/>
      <c r="K3169" s="6" t="str">
        <f ca="1">IFERROR(__xludf.DUMMYFUNCTION("""COMPUTED_VALUE"""),"خصم 40% علي الاسعار النقدي")</f>
        <v>خصم 40% علي الاسعار النقدي</v>
      </c>
    </row>
    <row r="3170" spans="1:11" x14ac:dyDescent="0.25">
      <c r="A3170" s="4" t="str">
        <f ca="1">IFERROR(__xludf.DUMMYFUNCTION("""COMPUTED_VALUE"""),"107466-B")</f>
        <v>107466-B</v>
      </c>
      <c r="B3170" s="5" t="str">
        <f ca="1">IFERROR(__xludf.DUMMYFUNCTION("""COMPUTED_VALUE"""),"القاهرة")</f>
        <v>القاهرة</v>
      </c>
      <c r="C3170" s="5" t="str">
        <f ca="1">IFERROR(__xludf.DUMMYFUNCTION("""COMPUTED_VALUE"""),"مصر الجديدة")</f>
        <v>مصر الجديدة</v>
      </c>
      <c r="D3170" s="5" t="str">
        <f ca="1">IFERROR(__xludf.DUMMYFUNCTION("""COMPUTED_VALUE"""),"شركة")</f>
        <v>شركة</v>
      </c>
      <c r="E3170" s="5" t="str">
        <f ca="1">IFERROR(__xludf.DUMMYFUNCTION("""COMPUTED_VALUE"""),"شركة اجهزة طبية")</f>
        <v>شركة اجهزة طبية</v>
      </c>
      <c r="F3170" s="5" t="str">
        <f ca="1">IFERROR(__xludf.DUMMYFUNCTION("""COMPUTED_VALUE"""),"مستلزمات واجهزة طبية")</f>
        <v>مستلزمات واجهزة طبية</v>
      </c>
      <c r="G3170" s="5" t="str">
        <f ca="1">IFERROR(__xludf.DUMMYFUNCTION("""COMPUTED_VALUE"""),"هيريكس  مركز سماعات طبية")</f>
        <v>هيريكس  مركز سماعات طبية</v>
      </c>
      <c r="H3170" s="5" t="str">
        <f ca="1">IFERROR(__xludf.DUMMYFUNCTION("""COMPUTED_VALUE"""),"87 ش الحجاز- النزهة - القاهرة")</f>
        <v>87 ش الحجاز- النزهة - القاهرة</v>
      </c>
      <c r="I3170" s="6" t="str">
        <f ca="1">IFERROR(__xludf.DUMMYFUNCTION("""COMPUTED_VALUE"""),"01010091891")</f>
        <v>01010091891</v>
      </c>
      <c r="J3170" s="6"/>
      <c r="K3170" s="6" t="str">
        <f ca="1">IFERROR(__xludf.DUMMYFUNCTION("""COMPUTED_VALUE"""),"خصم 40% علي الاسعار النقدي")</f>
        <v>خصم 40% علي الاسعار النقدي</v>
      </c>
    </row>
    <row r="3171" spans="1:11" x14ac:dyDescent="0.25">
      <c r="A3171" s="4" t="str">
        <f ca="1">IFERROR(__xludf.DUMMYFUNCTION("""COMPUTED_VALUE"""),"107466-B")</f>
        <v>107466-B</v>
      </c>
      <c r="B3171" s="5" t="str">
        <f ca="1">IFERROR(__xludf.DUMMYFUNCTION("""COMPUTED_VALUE"""),"الجيزة")</f>
        <v>الجيزة</v>
      </c>
      <c r="C3171" s="5" t="str">
        <f ca="1">IFERROR(__xludf.DUMMYFUNCTION("""COMPUTED_VALUE"""),"امبابة")</f>
        <v>امبابة</v>
      </c>
      <c r="D3171" s="5" t="str">
        <f ca="1">IFERROR(__xludf.DUMMYFUNCTION("""COMPUTED_VALUE"""),"شركة")</f>
        <v>شركة</v>
      </c>
      <c r="E3171" s="5" t="str">
        <f ca="1">IFERROR(__xludf.DUMMYFUNCTION("""COMPUTED_VALUE"""),"شركة اجهزة طبية")</f>
        <v>شركة اجهزة طبية</v>
      </c>
      <c r="F3171" s="5" t="str">
        <f ca="1">IFERROR(__xludf.DUMMYFUNCTION("""COMPUTED_VALUE"""),"مستلزمات واجهزة طبية")</f>
        <v>مستلزمات واجهزة طبية</v>
      </c>
      <c r="G3171" s="5" t="str">
        <f ca="1">IFERROR(__xludf.DUMMYFUNCTION("""COMPUTED_VALUE"""),"هيريكس  مركز سماعات طبية")</f>
        <v>هيريكس  مركز سماعات طبية</v>
      </c>
      <c r="H3171" s="5" t="str">
        <f ca="1">IFERROR(__xludf.DUMMYFUNCTION("""COMPUTED_VALUE"""),"38 ش النصر(نصوح باشا سابقا) خلف معهد السمع - امبابة - الجيزة")</f>
        <v>38 ش النصر(نصوح باشا سابقا) خلف معهد السمع - امبابة - الجيزة</v>
      </c>
      <c r="I3171" s="6" t="str">
        <f ca="1">IFERROR(__xludf.DUMMYFUNCTION("""COMPUTED_VALUE"""),"01010091891")</f>
        <v>01010091891</v>
      </c>
      <c r="J3171" s="6"/>
      <c r="K3171" s="6" t="str">
        <f ca="1">IFERROR(__xludf.DUMMYFUNCTION("""COMPUTED_VALUE"""),"خصم 40% علي الاسعار النقدي")</f>
        <v>خصم 40% علي الاسعار النقدي</v>
      </c>
    </row>
    <row r="3172" spans="1:11" x14ac:dyDescent="0.25">
      <c r="A3172" s="4" t="str">
        <f ca="1">IFERROR(__xludf.DUMMYFUNCTION("""COMPUTED_VALUE"""),"107467")</f>
        <v>107467</v>
      </c>
      <c r="B3172" s="5" t="str">
        <f ca="1">IFERROR(__xludf.DUMMYFUNCTION("""COMPUTED_VALUE"""),"البحيرة")</f>
        <v>البحيرة</v>
      </c>
      <c r="C3172" s="5" t="str">
        <f ca="1">IFERROR(__xludf.DUMMYFUNCTION("""COMPUTED_VALUE"""),"أبو حمص")</f>
        <v>أبو حمص</v>
      </c>
      <c r="D3172" s="5" t="str">
        <f ca="1">IFERROR(__xludf.DUMMYFUNCTION("""COMPUTED_VALUE"""),"صيدلية")</f>
        <v>صيدلية</v>
      </c>
      <c r="E3172" s="5" t="str">
        <f ca="1">IFERROR(__xludf.DUMMYFUNCTION("""COMPUTED_VALUE"""),"صيدلية")</f>
        <v>صيدلية</v>
      </c>
      <c r="F3172" s="5" t="str">
        <f ca="1">IFERROR(__xludf.DUMMYFUNCTION("""COMPUTED_VALUE"""),"صيدلية (أدوية ومستلزمات طبية)")</f>
        <v>صيدلية (أدوية ومستلزمات طبية)</v>
      </c>
      <c r="G3172" s="5" t="str">
        <f ca="1">IFERROR(__xludf.DUMMYFUNCTION("""COMPUTED_VALUE"""),"صيدلية احمد عبدالحليم مبروك عطية دعبس")</f>
        <v>صيدلية احمد عبدالحليم مبروك عطية دعبس</v>
      </c>
      <c r="H3172" s="5" t="str">
        <f ca="1">IFERROR(__xludf.DUMMYFUNCTION("""COMPUTED_VALUE"""),"ش المدارس امام الادارة التعليمية - ابو حمص - البحيرة")</f>
        <v>ش المدارس امام الادارة التعليمية - ابو حمص - البحيرة</v>
      </c>
      <c r="I3172" s="6" t="str">
        <f ca="1">IFERROR(__xludf.DUMMYFUNCTION("""COMPUTED_VALUE"""),"045256071")</f>
        <v>045256071</v>
      </c>
      <c r="J3172" s="6"/>
      <c r="K3172" s="6" t="str">
        <f ca="1">IFERROR(__xludf.DUMMYFUNCTION("""COMPUTED_VALUE"""),"خصم 14% علي الادوية المحلية و 7% علي المستورد")</f>
        <v>خصم 14% علي الادوية المحلية و 7% علي المستورد</v>
      </c>
    </row>
    <row r="3173" spans="1:11" x14ac:dyDescent="0.25">
      <c r="A3173" s="4" t="str">
        <f ca="1">IFERROR(__xludf.DUMMYFUNCTION("""COMPUTED_VALUE"""),"107468")</f>
        <v>107468</v>
      </c>
      <c r="B3173" s="5" t="str">
        <f ca="1">IFERROR(__xludf.DUMMYFUNCTION("""COMPUTED_VALUE"""),"القليوبية")</f>
        <v>القليوبية</v>
      </c>
      <c r="C3173" s="5" t="str">
        <f ca="1">IFERROR(__xludf.DUMMYFUNCTION("""COMPUTED_VALUE"""),"مدينة العبور")</f>
        <v>مدينة العبور</v>
      </c>
      <c r="D3173" s="5" t="str">
        <f ca="1">IFERROR(__xludf.DUMMYFUNCTION("""COMPUTED_VALUE"""),"شركة")</f>
        <v>شركة</v>
      </c>
      <c r="E3173" s="5" t="str">
        <f ca="1">IFERROR(__xludf.DUMMYFUNCTION("""COMPUTED_VALUE"""),"شركة اجهزة طبية")</f>
        <v>شركة اجهزة طبية</v>
      </c>
      <c r="F3173" s="5" t="str">
        <f ca="1">IFERROR(__xludf.DUMMYFUNCTION("""COMPUTED_VALUE"""),"مركز بصريات")</f>
        <v>مركز بصريات</v>
      </c>
      <c r="G3173" s="5" t="str">
        <f ca="1">IFERROR(__xludf.DUMMYFUNCTION("""COMPUTED_VALUE"""),"مركز ياسمين ورد للبصريات")</f>
        <v>مركز ياسمين ورد للبصريات</v>
      </c>
      <c r="H3173" s="5" t="str">
        <f ca="1">IFERROR(__xludf.DUMMYFUNCTION("""COMPUTED_VALUE"""),"محل 1 مول ابو الدهب - محليه 5 - الحي الاول - العبور - القليوبية")</f>
        <v>محل 1 مول ابو الدهب - محليه 5 - الحي الاول - العبور - القليوبية</v>
      </c>
      <c r="I3173" s="6" t="str">
        <f ca="1">IFERROR(__xludf.DUMMYFUNCTION("""COMPUTED_VALUE"""),"01020226819")</f>
        <v>01020226819</v>
      </c>
      <c r="J3173" s="6"/>
      <c r="K3173" s="6" t="str">
        <f ca="1">IFERROR(__xludf.DUMMYFUNCTION("""COMPUTED_VALUE"""),"خصم 35% علي الاسعار النقدي")</f>
        <v>خصم 35% علي الاسعار النقدي</v>
      </c>
    </row>
    <row r="3174" spans="1:11" x14ac:dyDescent="0.25">
      <c r="A3174" s="4" t="str">
        <f ca="1">IFERROR(__xludf.DUMMYFUNCTION("""COMPUTED_VALUE"""),"1753-B")</f>
        <v>1753-B</v>
      </c>
      <c r="B3174" s="5" t="str">
        <f ca="1">IFERROR(__xludf.DUMMYFUNCTION("""COMPUTED_VALUE"""),"القاهرة")</f>
        <v>القاهرة</v>
      </c>
      <c r="C3174" s="5" t="str">
        <f ca="1">IFERROR(__xludf.DUMMYFUNCTION("""COMPUTED_VALUE"""),"القاهرة الجديدة")</f>
        <v>القاهرة الجديدة</v>
      </c>
      <c r="D3174" s="5" t="str">
        <f ca="1">IFERROR(__xludf.DUMMYFUNCTION("""COMPUTED_VALUE"""),"مركز أشعة")</f>
        <v>مركز أشعة</v>
      </c>
      <c r="E3174" s="5" t="str">
        <f ca="1">IFERROR(__xludf.DUMMYFUNCTION("""COMPUTED_VALUE"""),"مركز أشعة")</f>
        <v>مركز أشعة</v>
      </c>
      <c r="F3174" s="5" t="str">
        <f ca="1">IFERROR(__xludf.DUMMYFUNCTION("""COMPUTED_VALUE"""),"مركز الأشعة التشخيصية")</f>
        <v>مركز الأشعة التشخيصية</v>
      </c>
      <c r="G3174" s="5" t="str">
        <f ca="1">IFERROR(__xludf.DUMMYFUNCTION("""COMPUTED_VALUE"""),"ألفا سكان")</f>
        <v>ألفا سكان</v>
      </c>
      <c r="H3174" s="5" t="str">
        <f ca="1">IFERROR(__xludf.DUMMYFUNCTION("""COMPUTED_VALUE"""),"التجمع الثالث مول أربيلا بلازا مبنى إداري ٢ الدور ٢")</f>
        <v>التجمع الثالث مول أربيلا بلازا مبنى إداري ٢ الدور ٢</v>
      </c>
      <c r="I3174" s="6" t="str">
        <f ca="1">IFERROR(__xludf.DUMMYFUNCTION("""COMPUTED_VALUE"""),"01101201328
")</f>
        <v xml:space="preserve">01101201328
</v>
      </c>
      <c r="J3174" s="6" t="str">
        <f ca="1">IFERROR(__xludf.DUMMYFUNCTION("""COMPUTED_VALUE"""),"16171")</f>
        <v>16171</v>
      </c>
      <c r="K3174" s="6" t="str">
        <f ca="1">IFERROR(__xludf.DUMMYFUNCTION("""COMPUTED_VALUE"""),"10% على جميع الخدمات المقدمة")</f>
        <v>10% على جميع الخدمات المقدمة</v>
      </c>
    </row>
    <row r="3175" spans="1:11" x14ac:dyDescent="0.25">
      <c r="A3175" s="4" t="str">
        <f ca="1">IFERROR(__xludf.DUMMYFUNCTION("""COMPUTED_VALUE"""),"107469")</f>
        <v>107469</v>
      </c>
      <c r="B3175" s="5" t="str">
        <f ca="1">IFERROR(__xludf.DUMMYFUNCTION("""COMPUTED_VALUE"""),"الجيزة")</f>
        <v>الجيزة</v>
      </c>
      <c r="C3175" s="5" t="str">
        <f ca="1">IFERROR(__xludf.DUMMYFUNCTION("""COMPUTED_VALUE"""),"السادس من اكتوبر")</f>
        <v>السادس من اكتوبر</v>
      </c>
      <c r="D3175" s="5" t="str">
        <f ca="1">IFERROR(__xludf.DUMMYFUNCTION("""COMPUTED_VALUE"""),"مستشفى")</f>
        <v>مستشفى</v>
      </c>
      <c r="E3175" s="5" t="str">
        <f ca="1">IFERROR(__xludf.DUMMYFUNCTION("""COMPUTED_VALUE"""),"جميع التخصصات")</f>
        <v>جميع التخصصات</v>
      </c>
      <c r="F3175" s="5" t="str">
        <f ca="1">IFERROR(__xludf.DUMMYFUNCTION("""COMPUTED_VALUE"""),"جميع التخصصات الطبية")</f>
        <v>جميع التخصصات الطبية</v>
      </c>
      <c r="G3175" s="5" t="str">
        <f ca="1">IFERROR(__xludf.DUMMYFUNCTION("""COMPUTED_VALUE"""),"مستشفي نيو جيزة (اي جروب لادارة المستشفيات)")</f>
        <v>مستشفي نيو جيزة (اي جروب لادارة المستشفيات)</v>
      </c>
      <c r="H3175" s="5" t="str">
        <f ca="1">IFERROR(__xludf.DUMMYFUNCTION("""COMPUTED_VALUE"""),"الكيلو 22 طريق الاسكندرية الصحراوي - الجيزة")</f>
        <v>الكيلو 22 طريق الاسكندرية الصحراوي - الجيزة</v>
      </c>
      <c r="I3175" s="6"/>
      <c r="J3175" s="6" t="str">
        <f ca="1">IFERROR(__xludf.DUMMYFUNCTION("""COMPUTED_VALUE"""),"17272")</f>
        <v>17272</v>
      </c>
      <c r="K3175" s="6" t="str">
        <f ca="1">IFERROR(__xludf.DUMMYFUNCTION("""COMPUTED_VALUE""")," الخدمات وفقاً لقائمة الأسعار المستشفى لعام 2025 مع تطبيق نسب الخصم التالية: خدمات الكشف و الاشعة والتحاليل بالقسم الخارجي : 50%، خدمات العيادات الخارجية وخدمات القسم الداخلي والاشراف الطبي : 40%، اتعاب الأطباء : 35%، خدمات المناظير : 30%، الاتفاقيات الشا"&amp;"ملة : 15% على اتعاب الأطباء، 25% على اجر المستشفى، خدمات القسطرة : 25%،خدمات الاشعة التداخلية : 15%، خدمات علاج الالام : 15%.")</f>
        <v xml:space="preserve"> الخدمات وفقاً لقائمة الأسعار المستشفى لعام 2025 مع تطبيق نسب الخصم التالية: خدمات الكشف و الاشعة والتحاليل بالقسم الخارجي : 50%، خدمات العيادات الخارجية وخدمات القسم الداخلي والاشراف الطبي : 40%، اتعاب الأطباء : 35%، خدمات المناظير : 30%، الاتفاقيات الشاملة : 15% على اتعاب الأطباء، 25% على اجر المستشفى، خدمات القسطرة : 25%،خدمات الاشعة التداخلية : 15%، خدمات علاج الالام : 15%.</v>
      </c>
    </row>
    <row r="3176" spans="1:11" x14ac:dyDescent="0.25">
      <c r="A3176" s="4" t="str">
        <f ca="1">IFERROR(__xludf.DUMMYFUNCTION("""COMPUTED_VALUE"""),"107470")</f>
        <v>107470</v>
      </c>
      <c r="B3176" s="5" t="str">
        <f ca="1">IFERROR(__xludf.DUMMYFUNCTION("""COMPUTED_VALUE"""),"المنوفية")</f>
        <v>المنوفية</v>
      </c>
      <c r="C3176" s="5" t="str">
        <f ca="1">IFERROR(__xludf.DUMMYFUNCTION("""COMPUTED_VALUE"""),"الباجور")</f>
        <v>الباجور</v>
      </c>
      <c r="D3176" s="5" t="str">
        <f ca="1">IFERROR(__xludf.DUMMYFUNCTION("""COMPUTED_VALUE"""),"مركز علاج طبيعي")</f>
        <v>مركز علاج طبيعي</v>
      </c>
      <c r="E3176" s="5" t="str">
        <f ca="1">IFERROR(__xludf.DUMMYFUNCTION("""COMPUTED_VALUE"""),"علاج طبيعي")</f>
        <v>علاج طبيعي</v>
      </c>
      <c r="F3176" s="5" t="str">
        <f ca="1">IFERROR(__xludf.DUMMYFUNCTION("""COMPUTED_VALUE"""),"جلسات العلاج الطبيعي")</f>
        <v>جلسات العلاج الطبيعي</v>
      </c>
      <c r="G3176" s="5" t="str">
        <f ca="1">IFERROR(__xludf.DUMMYFUNCTION("""COMPUTED_VALUE"""),"تسنيم محمد يسري عبدالغفار احمد (مركز الشفاء للعلاج الطبيعي)")</f>
        <v>تسنيم محمد يسري عبدالغفار احمد (مركز الشفاء للعلاج الطبيعي)</v>
      </c>
      <c r="H3176" s="5" t="str">
        <f ca="1">IFERROR(__xludf.DUMMYFUNCTION("""COMPUTED_VALUE"""),"ش عجمي مطر - الباجور - المنوفية")</f>
        <v>ش عجمي مطر - الباجور - المنوفية</v>
      </c>
      <c r="I3176" s="6" t="str">
        <f ca="1">IFERROR(__xludf.DUMMYFUNCTION("""COMPUTED_VALUE"""),"01554731001")</f>
        <v>01554731001</v>
      </c>
      <c r="J3176" s="6"/>
      <c r="K3176" s="6" t="str">
        <f ca="1">IFERROR(__xludf.DUMMYFUNCTION("""COMPUTED_VALUE"""),"خصم 30% علي الاسعار النقدي")</f>
        <v>خصم 30% علي الاسعار النقدي</v>
      </c>
    </row>
    <row r="3177" spans="1:11" x14ac:dyDescent="0.25">
      <c r="A3177" s="4" t="str">
        <f ca="1">IFERROR(__xludf.DUMMYFUNCTION("""COMPUTED_VALUE"""),"107471")</f>
        <v>107471</v>
      </c>
      <c r="B3177" s="5" t="str">
        <f ca="1">IFERROR(__xludf.DUMMYFUNCTION("""COMPUTED_VALUE"""),"الدقهلية")</f>
        <v>الدقهلية</v>
      </c>
      <c r="C3177" s="5" t="str">
        <f ca="1">IFERROR(__xludf.DUMMYFUNCTION("""COMPUTED_VALUE"""),"بلقاس")</f>
        <v>بلقاس</v>
      </c>
      <c r="D3177" s="5" t="str">
        <f ca="1">IFERROR(__xludf.DUMMYFUNCTION("""COMPUTED_VALUE"""),"مركز علاج طبيعي")</f>
        <v>مركز علاج طبيعي</v>
      </c>
      <c r="E3177" s="5" t="str">
        <f ca="1">IFERROR(__xludf.DUMMYFUNCTION("""COMPUTED_VALUE"""),"علاج طبيعي")</f>
        <v>علاج طبيعي</v>
      </c>
      <c r="F3177" s="5" t="str">
        <f ca="1">IFERROR(__xludf.DUMMYFUNCTION("""COMPUTED_VALUE"""),"جلسات العلاج الطبيعي")</f>
        <v>جلسات العلاج الطبيعي</v>
      </c>
      <c r="G3177" s="5" t="str">
        <f ca="1">IFERROR(__xludf.DUMMYFUNCTION("""COMPUTED_VALUE"""),"جمال نبيل الحماقي زكي الحماقي (مركز هنا للعلاج الطبيعي)")</f>
        <v>جمال نبيل الحماقي زكي الحماقي (مركز هنا للعلاج الطبيعي)</v>
      </c>
      <c r="H3177" s="5" t="str">
        <f ca="1">IFERROR(__xludf.DUMMYFUNCTION("""COMPUTED_VALUE"""),"ش مركز الشباب شركة بسندليه - بلقاس - الدقهلية")</f>
        <v>ش مركز الشباب شركة بسندليه - بلقاس - الدقهلية</v>
      </c>
      <c r="I3177" s="6" t="str">
        <f ca="1">IFERROR(__xludf.DUMMYFUNCTION("""COMPUTED_VALUE"""),"01029924042")</f>
        <v>01029924042</v>
      </c>
      <c r="J3177" s="6"/>
      <c r="K3177" s="6" t="str">
        <f ca="1">IFERROR(__xludf.DUMMYFUNCTION("""COMPUTED_VALUE"""),"خصم 40% علي الاسعار النقدي")</f>
        <v>خصم 40% علي الاسعار النقدي</v>
      </c>
    </row>
    <row r="3178" spans="1:11" x14ac:dyDescent="0.25">
      <c r="A3178" s="4" t="str">
        <f ca="1">IFERROR(__xludf.DUMMYFUNCTION("""COMPUTED_VALUE"""),"107471-B")</f>
        <v>107471-B</v>
      </c>
      <c r="B3178" s="5" t="str">
        <f ca="1">IFERROR(__xludf.DUMMYFUNCTION("""COMPUTED_VALUE"""),"الدقهلية")</f>
        <v>الدقهلية</v>
      </c>
      <c r="C3178" s="5" t="str">
        <f ca="1">IFERROR(__xludf.DUMMYFUNCTION("""COMPUTED_VALUE"""),"شربين")</f>
        <v>شربين</v>
      </c>
      <c r="D3178" s="5" t="str">
        <f ca="1">IFERROR(__xludf.DUMMYFUNCTION("""COMPUTED_VALUE"""),"مركز علاج طبيعي")</f>
        <v>مركز علاج طبيعي</v>
      </c>
      <c r="E3178" s="5" t="str">
        <f ca="1">IFERROR(__xludf.DUMMYFUNCTION("""COMPUTED_VALUE"""),"علاج طبيعي")</f>
        <v>علاج طبيعي</v>
      </c>
      <c r="F3178" s="5" t="str">
        <f ca="1">IFERROR(__xludf.DUMMYFUNCTION("""COMPUTED_VALUE"""),"جلسات العلاج الطبيعي")</f>
        <v>جلسات العلاج الطبيعي</v>
      </c>
      <c r="G3178" s="5" t="str">
        <f ca="1">IFERROR(__xludf.DUMMYFUNCTION("""COMPUTED_VALUE"""),"جمال نبيل الحماقي زكي الحماقي (مركز هنا للعلاج الطبيعي)")</f>
        <v>جمال نبيل الحماقي زكي الحماقي (مركز هنا للعلاج الطبيعي)</v>
      </c>
      <c r="H3178" s="5" t="str">
        <f ca="1">IFERROR(__xludf.DUMMYFUNCTION("""COMPUTED_VALUE"""),"الدور الخامس -برج الندي ش الجيش - شربين - الدقهلية")</f>
        <v>الدور الخامس -برج الندي ش الجيش - شربين - الدقهلية</v>
      </c>
      <c r="I3178" s="6" t="str">
        <f ca="1">IFERROR(__xludf.DUMMYFUNCTION("""COMPUTED_VALUE"""),"01029924042")</f>
        <v>01029924042</v>
      </c>
      <c r="J3178" s="6"/>
      <c r="K3178" s="6" t="str">
        <f ca="1">IFERROR(__xludf.DUMMYFUNCTION("""COMPUTED_VALUE"""),"خصم 40% علي الاسعار النقدي")</f>
        <v>خصم 40% علي الاسعار النقدي</v>
      </c>
    </row>
    <row r="3179" spans="1:11" x14ac:dyDescent="0.25">
      <c r="A3179" s="4" t="str">
        <f ca="1">IFERROR(__xludf.DUMMYFUNCTION("""COMPUTED_VALUE"""),"107472")</f>
        <v>107472</v>
      </c>
      <c r="B3179" s="5" t="str">
        <f ca="1">IFERROR(__xludf.DUMMYFUNCTION("""COMPUTED_VALUE"""),"البحيرة")</f>
        <v>البحيرة</v>
      </c>
      <c r="C3179" s="5" t="str">
        <f ca="1">IFERROR(__xludf.DUMMYFUNCTION("""COMPUTED_VALUE"""),"ابو المطامير")</f>
        <v>ابو المطامير</v>
      </c>
      <c r="D3179" s="5" t="str">
        <f ca="1">IFERROR(__xludf.DUMMYFUNCTION("""COMPUTED_VALUE"""),"معمل")</f>
        <v>معمل</v>
      </c>
      <c r="E3179" s="5" t="str">
        <f ca="1">IFERROR(__xludf.DUMMYFUNCTION("""COMPUTED_VALUE"""),"معمل")</f>
        <v>معمل</v>
      </c>
      <c r="F3179" s="5" t="str">
        <f ca="1">IFERROR(__xludf.DUMMYFUNCTION("""COMPUTED_VALUE"""),"معمل التحاليل الطبية")</f>
        <v>معمل التحاليل الطبية</v>
      </c>
      <c r="G3179" s="5" t="str">
        <f ca="1">IFERROR(__xludf.DUMMYFUNCTION("""COMPUTED_VALUE"""),"امل جمال ابوالوفا محمد (معمل برج الثورة للتحاليل الطبية)")</f>
        <v>امل جمال ابوالوفا محمد (معمل برج الثورة للتحاليل الطبية)</v>
      </c>
      <c r="H3179" s="5" t="str">
        <f ca="1">IFERROR(__xludf.DUMMYFUNCTION("""COMPUTED_VALUE"""),"برج الثورة الطريق الدائري - أبو المطامير - البحيرة")</f>
        <v>برج الثورة الطريق الدائري - أبو المطامير - البحيرة</v>
      </c>
      <c r="I3179" s="6" t="str">
        <f ca="1">IFERROR(__xludf.DUMMYFUNCTION("""COMPUTED_VALUE"""),"01025241825")</f>
        <v>01025241825</v>
      </c>
      <c r="J3179" s="6"/>
      <c r="K3179" s="6" t="str">
        <f ca="1">IFERROR(__xludf.DUMMYFUNCTION("""COMPUTED_VALUE"""),"خصم 30% علي الاسعار النقدي")</f>
        <v>خصم 30% علي الاسعار النقدي</v>
      </c>
    </row>
    <row r="3180" spans="1:11" x14ac:dyDescent="0.25">
      <c r="A3180" s="4" t="str">
        <f ca="1">IFERROR(__xludf.DUMMYFUNCTION("""COMPUTED_VALUE"""),"107473")</f>
        <v>107473</v>
      </c>
      <c r="B3180" s="5" t="str">
        <f ca="1">IFERROR(__xludf.DUMMYFUNCTION("""COMPUTED_VALUE"""),"الجيزة")</f>
        <v>الجيزة</v>
      </c>
      <c r="C3180" s="5" t="str">
        <f ca="1">IFERROR(__xludf.DUMMYFUNCTION("""COMPUTED_VALUE"""),"البدرشين")</f>
        <v>البدرشين</v>
      </c>
      <c r="D3180" s="5" t="str">
        <f ca="1">IFERROR(__xludf.DUMMYFUNCTION("""COMPUTED_VALUE"""),"شركة")</f>
        <v>شركة</v>
      </c>
      <c r="E3180" s="5" t="str">
        <f ca="1">IFERROR(__xludf.DUMMYFUNCTION("""COMPUTED_VALUE"""),"شركة اجهزة طبية")</f>
        <v>شركة اجهزة طبية</v>
      </c>
      <c r="F3180" s="5" t="str">
        <f ca="1">IFERROR(__xludf.DUMMYFUNCTION("""COMPUTED_VALUE"""),"مركز بصريات")</f>
        <v>مركز بصريات</v>
      </c>
      <c r="G3180" s="5" t="str">
        <f ca="1">IFERROR(__xludf.DUMMYFUNCTION("""COMPUTED_VALUE"""),"رمضان ابوبكر ابراهيم ابراهيم (شهاب للنظارات)")</f>
        <v>رمضان ابوبكر ابراهيم ابراهيم (شهاب للنظارات)</v>
      </c>
      <c r="H3180" s="5" t="str">
        <f ca="1">IFERROR(__xludf.DUMMYFUNCTION("""COMPUTED_VALUE"""),"شارع الخواجة مصر اسيوط البطئ - البدرشين - الجيزة")</f>
        <v>شارع الخواجة مصر اسيوط البطئ - البدرشين - الجيزة</v>
      </c>
      <c r="I3180" s="6" t="str">
        <f ca="1">IFERROR(__xludf.DUMMYFUNCTION("""COMPUTED_VALUE"""),"01126835208")</f>
        <v>01126835208</v>
      </c>
      <c r="J3180" s="6"/>
      <c r="K3180" s="6" t="str">
        <f ca="1">IFERROR(__xludf.DUMMYFUNCTION("""COMPUTED_VALUE"""),"خصم 35% علي الاسعار النقدي")</f>
        <v>خصم 35% علي الاسعار النقدي</v>
      </c>
    </row>
    <row r="3181" spans="1:11" x14ac:dyDescent="0.25">
      <c r="A3181" s="4" t="str">
        <f ca="1">IFERROR(__xludf.DUMMYFUNCTION("""COMPUTED_VALUE"""),"107474")</f>
        <v>107474</v>
      </c>
      <c r="B3181" s="5" t="str">
        <f ca="1">IFERROR(__xludf.DUMMYFUNCTION("""COMPUTED_VALUE"""),"البحيرة")</f>
        <v>البحيرة</v>
      </c>
      <c r="C3181" s="5" t="str">
        <f ca="1">IFERROR(__xludf.DUMMYFUNCTION("""COMPUTED_VALUE"""),"ابو المطامير")</f>
        <v>ابو المطامير</v>
      </c>
      <c r="D3181" s="5" t="str">
        <f ca="1">IFERROR(__xludf.DUMMYFUNCTION("""COMPUTED_VALUE"""),"مستشفى")</f>
        <v>مستشفى</v>
      </c>
      <c r="E3181" s="5" t="str">
        <f ca="1">IFERROR(__xludf.DUMMYFUNCTION("""COMPUTED_VALUE"""),"جميع التخصصات")</f>
        <v>جميع التخصصات</v>
      </c>
      <c r="F3181" s="5" t="str">
        <f ca="1">IFERROR(__xludf.DUMMYFUNCTION("""COMPUTED_VALUE"""),"جميع التخصصات الطبية")</f>
        <v>جميع التخصصات الطبية</v>
      </c>
      <c r="G3181" s="5" t="str">
        <f ca="1">IFERROR(__xludf.DUMMYFUNCTION("""COMPUTED_VALUE"""),"مستشفي المدينة الطبية")</f>
        <v>مستشفي المدينة الطبية</v>
      </c>
      <c r="H3181" s="5" t="str">
        <f ca="1">IFERROR(__xludf.DUMMYFUNCTION("""COMPUTED_VALUE"""),"ش الاستراتيجي - عزبة عنبر خلف معهد الفتيات الازهري - حوش عيسي - البحيرة")</f>
        <v>ش الاستراتيجي - عزبة عنبر خلف معهد الفتيات الازهري - حوش عيسي - البحيرة</v>
      </c>
      <c r="I3181" s="6" t="str">
        <f ca="1">IFERROR(__xludf.DUMMYFUNCTION("""COMPUTED_VALUE"""),"01008630473")</f>
        <v>01008630473</v>
      </c>
      <c r="J3181" s="6"/>
      <c r="K3181" s="6" t="str">
        <f ca="1">IFERROR(__xludf.DUMMYFUNCTION("""COMPUTED_VALUE"""),"خصم 30% علي الاسعار النقدي")</f>
        <v>خصم 30% علي الاسعار النقدي</v>
      </c>
    </row>
    <row r="3182" spans="1:11" x14ac:dyDescent="0.25">
      <c r="A3182" s="4" t="str">
        <f ca="1">IFERROR(__xludf.DUMMYFUNCTION("""COMPUTED_VALUE"""),"107475")</f>
        <v>107475</v>
      </c>
      <c r="B3182" s="5" t="str">
        <f ca="1">IFERROR(__xludf.DUMMYFUNCTION("""COMPUTED_VALUE"""),"بورسعيد")</f>
        <v>بورسعيد</v>
      </c>
      <c r="C3182" s="5" t="str">
        <f ca="1">IFERROR(__xludf.DUMMYFUNCTION("""COMPUTED_VALUE"""),"بورسعيد")</f>
        <v>بورسعيد</v>
      </c>
      <c r="D3182" s="5" t="str">
        <f ca="1">IFERROR(__xludf.DUMMYFUNCTION("""COMPUTED_VALUE"""),"شركة")</f>
        <v>شركة</v>
      </c>
      <c r="E3182" s="5" t="str">
        <f ca="1">IFERROR(__xludf.DUMMYFUNCTION("""COMPUTED_VALUE"""),"شركة اجهزة طبية")</f>
        <v>شركة اجهزة طبية</v>
      </c>
      <c r="F3182" s="5" t="str">
        <f ca="1">IFERROR(__xludf.DUMMYFUNCTION("""COMPUTED_VALUE"""),"مركز بصريات")</f>
        <v>مركز بصريات</v>
      </c>
      <c r="G3182" s="5" t="str">
        <f ca="1">IFERROR(__xludf.DUMMYFUNCTION("""COMPUTED_VALUE"""),"شركة مستشفي دار العيون دمياط (بصريات دار العيون)")</f>
        <v>شركة مستشفي دار العيون دمياط (بصريات دار العيون)</v>
      </c>
      <c r="H3182" s="5" t="str">
        <f ca="1">IFERROR(__xludf.DUMMYFUNCTION("""COMPUTED_VALUE"""),"عقار رقم 2212عوايد ش دمياط و الجيش - الشرق بورسعيد - بورسعيد")</f>
        <v>عقار رقم 2212عوايد ش دمياط و الجيش - الشرق بورسعيد - بورسعيد</v>
      </c>
      <c r="I3182" s="6" t="str">
        <f ca="1">IFERROR(__xludf.DUMMYFUNCTION("""COMPUTED_VALUE"""),"0663231919")</f>
        <v>0663231919</v>
      </c>
      <c r="J3182" s="6"/>
      <c r="K3182" s="6" t="str">
        <f ca="1">IFERROR(__xludf.DUMMYFUNCTION("""COMPUTED_VALUE"""),"خصم 30% علي الاسعار النقدي")</f>
        <v>خصم 30% علي الاسعار النقدي</v>
      </c>
    </row>
    <row r="3183" spans="1:11" x14ac:dyDescent="0.25">
      <c r="A3183" s="4" t="str">
        <f ca="1">IFERROR(__xludf.DUMMYFUNCTION("""COMPUTED_VALUE"""),"107481")</f>
        <v>107481</v>
      </c>
      <c r="B3183" s="5" t="str">
        <f ca="1">IFERROR(__xludf.DUMMYFUNCTION("""COMPUTED_VALUE"""),"الوادى الجديد")</f>
        <v>الوادى الجديد</v>
      </c>
      <c r="C3183" s="5" t="str">
        <f ca="1">IFERROR(__xludf.DUMMYFUNCTION("""COMPUTED_VALUE"""),"الخارجة")</f>
        <v>الخارجة</v>
      </c>
      <c r="D3183" s="5" t="str">
        <f ca="1">IFERROR(__xludf.DUMMYFUNCTION("""COMPUTED_VALUE"""),"مجمع عيادات")</f>
        <v>مجمع عيادات</v>
      </c>
      <c r="E3183" s="5" t="str">
        <f ca="1">IFERROR(__xludf.DUMMYFUNCTION("""COMPUTED_VALUE"""),"جميع التخصصات")</f>
        <v>جميع التخصصات</v>
      </c>
      <c r="F3183" s="5" t="str">
        <f ca="1">IFERROR(__xludf.DUMMYFUNCTION("""COMPUTED_VALUE"""),"جميع التخصصات الطبية")</f>
        <v>جميع التخصصات الطبية</v>
      </c>
      <c r="G3183" s="5" t="str">
        <f ca="1">IFERROR(__xludf.DUMMYFUNCTION("""COMPUTED_VALUE"""),"جمعية التأهيل الاجتماعي بالوادي الجديد (مركز د/ حسن حلمي)")</f>
        <v>جمعية التأهيل الاجتماعي بالوادي الجديد (مركز د/ حسن حلمي)</v>
      </c>
      <c r="H3183" s="5" t="str">
        <f ca="1">IFERROR(__xludf.DUMMYFUNCTION("""COMPUTED_VALUE"""),"ش انور البارودي الخارجة - الوادي الجديد")</f>
        <v>ش انور البارودي الخارجة - الوادي الجديد</v>
      </c>
      <c r="I3183" s="6" t="str">
        <f ca="1">IFERROR(__xludf.DUMMYFUNCTION("""COMPUTED_VALUE"""),"01014015454")</f>
        <v>01014015454</v>
      </c>
      <c r="J3183" s="6"/>
      <c r="K3183" s="6" t="str">
        <f ca="1">IFERROR(__xludf.DUMMYFUNCTION("""COMPUTED_VALUE"""),"خصم 30% علي الاسعار النقدي")</f>
        <v>خصم 30% علي الاسعار النقدي</v>
      </c>
    </row>
    <row r="3184" spans="1:11" x14ac:dyDescent="0.25">
      <c r="A3184" s="4" t="str">
        <f ca="1">IFERROR(__xludf.DUMMYFUNCTION("""COMPUTED_VALUE"""),"107482")</f>
        <v>107482</v>
      </c>
      <c r="B3184" s="5" t="str">
        <f ca="1">IFERROR(__xludf.DUMMYFUNCTION("""COMPUTED_VALUE"""),"المنيا")</f>
        <v>المنيا</v>
      </c>
      <c r="C3184" s="5" t="str">
        <f ca="1">IFERROR(__xludf.DUMMYFUNCTION("""COMPUTED_VALUE"""),"ملوي")</f>
        <v>ملوي</v>
      </c>
      <c r="D3184" s="5" t="str">
        <f ca="1">IFERROR(__xludf.DUMMYFUNCTION("""COMPUTED_VALUE"""),"صيدلية")</f>
        <v>صيدلية</v>
      </c>
      <c r="E3184" s="5" t="str">
        <f ca="1">IFERROR(__xludf.DUMMYFUNCTION("""COMPUTED_VALUE"""),"صيدلية")</f>
        <v>صيدلية</v>
      </c>
      <c r="F3184" s="5" t="str">
        <f ca="1">IFERROR(__xludf.DUMMYFUNCTION("""COMPUTED_VALUE"""),"صيدلية (أدوية ومستلزمات طبية)")</f>
        <v>صيدلية (أدوية ومستلزمات طبية)</v>
      </c>
      <c r="G3184" s="5" t="str">
        <f ca="1">IFERROR(__xludf.DUMMYFUNCTION("""COMPUTED_VALUE"""),"صيدلية د. دينا عبدالله علي عبدالعزيز")</f>
        <v>صيدلية د. دينا عبدالله علي عبدالعزيز</v>
      </c>
      <c r="H3184" s="5" t="str">
        <f ca="1">IFERROR(__xludf.DUMMYFUNCTION("""COMPUTED_VALUE"""),"شارع مستجد من تقسيم محمود خليفة ملوي - المنيا")</f>
        <v>شارع مستجد من تقسيم محمود خليفة ملوي - المنيا</v>
      </c>
      <c r="I3184" s="6" t="str">
        <f ca="1">IFERROR(__xludf.DUMMYFUNCTION("""COMPUTED_VALUE"""),"01010400375")</f>
        <v>01010400375</v>
      </c>
      <c r="J3184" s="6"/>
      <c r="K3184" s="6" t="str">
        <f ca="1">IFERROR(__xludf.DUMMYFUNCTION("""COMPUTED_VALUE"""),"خصم 14% علي المستورد و 7% علي المحلي")</f>
        <v>خصم 14% علي المستورد و 7% علي المحلي</v>
      </c>
    </row>
    <row r="3185" spans="1:11" x14ac:dyDescent="0.25">
      <c r="A3185" s="4" t="str">
        <f ca="1">IFERROR(__xludf.DUMMYFUNCTION("""COMPUTED_VALUE"""),"107483")</f>
        <v>107483</v>
      </c>
      <c r="B3185" s="5" t="str">
        <f ca="1">IFERROR(__xludf.DUMMYFUNCTION("""COMPUTED_VALUE"""),"دمياط")</f>
        <v>دمياط</v>
      </c>
      <c r="C3185" s="5" t="str">
        <f ca="1">IFERROR(__xludf.DUMMYFUNCTION("""COMPUTED_VALUE"""),"دمياط الجديدة")</f>
        <v>دمياط الجديدة</v>
      </c>
      <c r="D3185" s="5" t="str">
        <f ca="1">IFERROR(__xludf.DUMMYFUNCTION("""COMPUTED_VALUE"""),"هيئة الأطباء")</f>
        <v>هيئة الأطباء</v>
      </c>
      <c r="E3185" s="5" t="str">
        <f ca="1">IFERROR(__xludf.DUMMYFUNCTION("""COMPUTED_VALUE"""),"اسنان")</f>
        <v>اسنان</v>
      </c>
      <c r="F3185" s="5" t="str">
        <f ca="1">IFERROR(__xludf.DUMMYFUNCTION("""COMPUTED_VALUE"""),"جراحة الفم والأسنان")</f>
        <v>جراحة الفم والأسنان</v>
      </c>
      <c r="G3185" s="5" t="str">
        <f ca="1">IFERROR(__xludf.DUMMYFUNCTION("""COMPUTED_VALUE"""),"د. محمود محمد المرسي عبدالحميد ابوالنور بدران")</f>
        <v>د. محمود محمد المرسي عبدالحميد ابوالنور بدران</v>
      </c>
      <c r="H3185" s="5" t="str">
        <f ca="1">IFERROR(__xludf.DUMMYFUNCTION("""COMPUTED_VALUE"""),"المنطقه المركزيه أمام بن لاكازا بجوار حلواني المساوي")</f>
        <v>المنطقه المركزيه أمام بن لاكازا بجوار حلواني المساوي</v>
      </c>
      <c r="I3185" s="6" t="str">
        <f ca="1">IFERROR(__xludf.DUMMYFUNCTION("""COMPUTED_VALUE"""),"1016945600")</f>
        <v>1016945600</v>
      </c>
      <c r="J3185" s="6"/>
      <c r="K3185" s="6" t="str">
        <f ca="1">IFERROR(__xludf.DUMMYFUNCTION("""COMPUTED_VALUE"""),"خصم 40% علي الاسعار النقدي")</f>
        <v>خصم 40% علي الاسعار النقدي</v>
      </c>
    </row>
    <row r="3186" spans="1:11" x14ac:dyDescent="0.25">
      <c r="A3186" s="4" t="str">
        <f ca="1">IFERROR(__xludf.DUMMYFUNCTION("""COMPUTED_VALUE"""),"107483-B")</f>
        <v>107483-B</v>
      </c>
      <c r="B3186" s="5" t="str">
        <f ca="1">IFERROR(__xludf.DUMMYFUNCTION("""COMPUTED_VALUE"""),"دمياط")</f>
        <v>دمياط</v>
      </c>
      <c r="C3186" s="5" t="str">
        <f ca="1">IFERROR(__xludf.DUMMYFUNCTION("""COMPUTED_VALUE"""),"دمياط")</f>
        <v>دمياط</v>
      </c>
      <c r="D3186" s="5" t="str">
        <f ca="1">IFERROR(__xludf.DUMMYFUNCTION("""COMPUTED_VALUE"""),"هيئة الأطباء")</f>
        <v>هيئة الأطباء</v>
      </c>
      <c r="E3186" s="5" t="str">
        <f ca="1">IFERROR(__xludf.DUMMYFUNCTION("""COMPUTED_VALUE"""),"اسنان")</f>
        <v>اسنان</v>
      </c>
      <c r="F3186" s="5" t="str">
        <f ca="1">IFERROR(__xludf.DUMMYFUNCTION("""COMPUTED_VALUE"""),"جراحة الفم والأسنان")</f>
        <v>جراحة الفم والأسنان</v>
      </c>
      <c r="G3186" s="5" t="str">
        <f ca="1">IFERROR(__xludf.DUMMYFUNCTION("""COMPUTED_VALUE"""),"د. محمود محمد المرسي عبدالحميد ابوالنور بدران")</f>
        <v>د. محمود محمد المرسي عبدالحميد ابوالنور بدران</v>
      </c>
      <c r="H3186" s="5" t="str">
        <f ca="1">IFERROR(__xludf.DUMMYFUNCTION("""COMPUTED_VALUE"""),"برج الصعيدى متفرع من ش5 حديث شقة 202 الدور الثانى فارسكور دمياط")</f>
        <v>برج الصعيدى متفرع من ش5 حديث شقة 202 الدور الثانى فارسكور دمياط</v>
      </c>
      <c r="I3186" s="6" t="str">
        <f ca="1">IFERROR(__xludf.DUMMYFUNCTION("""COMPUTED_VALUE"""),"1003722432")</f>
        <v>1003722432</v>
      </c>
      <c r="J3186" s="6"/>
      <c r="K3186" s="6" t="str">
        <f ca="1">IFERROR(__xludf.DUMMYFUNCTION("""COMPUTED_VALUE"""),"خصم 40% علي الاسعار النقدي")</f>
        <v>خصم 40% علي الاسعار النقدي</v>
      </c>
    </row>
    <row r="3187" spans="1:11" x14ac:dyDescent="0.25">
      <c r="A3187" s="4" t="str">
        <f ca="1">IFERROR(__xludf.DUMMYFUNCTION("""COMPUTED_VALUE"""),"107484")</f>
        <v>107484</v>
      </c>
      <c r="B3187" s="5" t="str">
        <f ca="1">IFERROR(__xludf.DUMMYFUNCTION("""COMPUTED_VALUE"""),"كفر الشيخ")</f>
        <v>كفر الشيخ</v>
      </c>
      <c r="C3187" s="5" t="str">
        <f ca="1">IFERROR(__xludf.DUMMYFUNCTION("""COMPUTED_VALUE"""),"سيدي سالم")</f>
        <v>سيدي سالم</v>
      </c>
      <c r="D3187" s="5" t="str">
        <f ca="1">IFERROR(__xludf.DUMMYFUNCTION("""COMPUTED_VALUE"""),"هيئة الأطباء")</f>
        <v>هيئة الأطباء</v>
      </c>
      <c r="E3187" s="5" t="str">
        <f ca="1">IFERROR(__xludf.DUMMYFUNCTION("""COMPUTED_VALUE"""),"اسنان")</f>
        <v>اسنان</v>
      </c>
      <c r="F3187" s="5" t="str">
        <f ca="1">IFERROR(__xludf.DUMMYFUNCTION("""COMPUTED_VALUE"""),"جراحة الفم والأسنان")</f>
        <v>جراحة الفم والأسنان</v>
      </c>
      <c r="G3187" s="5" t="str">
        <f ca="1">IFERROR(__xludf.DUMMYFUNCTION("""COMPUTED_VALUE"""),"د. احمد عوض علي اسماعيل ابو عيشة")</f>
        <v>د. احمد عوض علي اسماعيل ابو عيشة</v>
      </c>
      <c r="H3187" s="5" t="str">
        <f ca="1">IFERROR(__xludf.DUMMYFUNCTION("""COMPUTED_VALUE"""),"شارع 23 يوليو سيدي سالم - كفرالشيخ")</f>
        <v>شارع 23 يوليو سيدي سالم - كفرالشيخ</v>
      </c>
      <c r="I3187" s="6" t="str">
        <f ca="1">IFERROR(__xludf.DUMMYFUNCTION("""COMPUTED_VALUE"""),"01069898814")</f>
        <v>01069898814</v>
      </c>
      <c r="J3187" s="6"/>
      <c r="K3187" s="6" t="str">
        <f ca="1">IFERROR(__xludf.DUMMYFUNCTION("""COMPUTED_VALUE"""),"خصم 30% علي الاسعار النقدي")</f>
        <v>خصم 30% علي الاسعار النقدي</v>
      </c>
    </row>
    <row r="3188" spans="1:11" x14ac:dyDescent="0.25">
      <c r="A3188" s="4" t="str">
        <f ca="1">IFERROR(__xludf.DUMMYFUNCTION("""COMPUTED_VALUE"""),"107485")</f>
        <v>107485</v>
      </c>
      <c r="B3188" s="5" t="str">
        <f ca="1">IFERROR(__xludf.DUMMYFUNCTION("""COMPUTED_VALUE"""),"الجيزة")</f>
        <v>الجيزة</v>
      </c>
      <c r="C3188" s="5" t="str">
        <f ca="1">IFERROR(__xludf.DUMMYFUNCTION("""COMPUTED_VALUE"""),"الحوامدية")</f>
        <v>الحوامدية</v>
      </c>
      <c r="D3188" s="5" t="str">
        <f ca="1">IFERROR(__xludf.DUMMYFUNCTION("""COMPUTED_VALUE"""),"مستشفى")</f>
        <v>مستشفى</v>
      </c>
      <c r="E3188" s="5" t="str">
        <f ca="1">IFERROR(__xludf.DUMMYFUNCTION("""COMPUTED_VALUE"""),"مستشفي طبي متخصص")</f>
        <v>مستشفي طبي متخصص</v>
      </c>
      <c r="F3188" s="5" t="str">
        <f ca="1">IFERROR(__xludf.DUMMYFUNCTION("""COMPUTED_VALUE"""),"طب أطفال")</f>
        <v>طب أطفال</v>
      </c>
      <c r="G3188" s="5" t="str">
        <f ca="1">IFERROR(__xludf.DUMMYFUNCTION("""COMPUTED_VALUE"""),"مركز البراعم للحضانات و الاطفال المبتسرين")</f>
        <v>مركز البراعم للحضانات و الاطفال المبتسرين</v>
      </c>
      <c r="H3188" s="5" t="str">
        <f ca="1">IFERROR(__xludf.DUMMYFUNCTION("""COMPUTED_VALUE"""),"شارع النزهه الحوامدية - الجيزة")</f>
        <v>شارع النزهه الحوامدية - الجيزة</v>
      </c>
      <c r="I3188" s="6" t="str">
        <f ca="1">IFERROR(__xludf.DUMMYFUNCTION("""COMPUTED_VALUE"""),"01146236821")</f>
        <v>01146236821</v>
      </c>
      <c r="J3188" s="6"/>
      <c r="K3188" s="6" t="str">
        <f ca="1">IFERROR(__xludf.DUMMYFUNCTION("""COMPUTED_VALUE"""),"خصم 30% علي الاسعار النقدي")</f>
        <v>خصم 30% علي الاسعار النقدي</v>
      </c>
    </row>
    <row r="3189" spans="1:11" x14ac:dyDescent="0.25">
      <c r="A3189" s="4" t="str">
        <f ca="1">IFERROR(__xludf.DUMMYFUNCTION("""COMPUTED_VALUE"""),"107486")</f>
        <v>107486</v>
      </c>
      <c r="B3189" s="5" t="str">
        <f ca="1">IFERROR(__xludf.DUMMYFUNCTION("""COMPUTED_VALUE"""),"الجيزة")</f>
        <v>الجيزة</v>
      </c>
      <c r="C3189" s="5" t="str">
        <f ca="1">IFERROR(__xludf.DUMMYFUNCTION("""COMPUTED_VALUE"""),"المهندسين")</f>
        <v>المهندسين</v>
      </c>
      <c r="D3189" s="5" t="str">
        <f ca="1">IFERROR(__xludf.DUMMYFUNCTION("""COMPUTED_VALUE"""),"صيدلية")</f>
        <v>صيدلية</v>
      </c>
      <c r="E3189" s="5" t="str">
        <f ca="1">IFERROR(__xludf.DUMMYFUNCTION("""COMPUTED_VALUE"""),"صيدلية")</f>
        <v>صيدلية</v>
      </c>
      <c r="F3189" s="5" t="str">
        <f ca="1">IFERROR(__xludf.DUMMYFUNCTION("""COMPUTED_VALUE"""),"صيدلية (أدوية ومستلزمات طبية)")</f>
        <v>صيدلية (أدوية ومستلزمات طبية)</v>
      </c>
      <c r="G3189" s="5" t="str">
        <f ca="1">IFERROR(__xludf.DUMMYFUNCTION("""COMPUTED_VALUE"""),"شركة وودز فارما")</f>
        <v>شركة وودز فارما</v>
      </c>
      <c r="H3189" s="5" t="str">
        <f ca="1">IFERROR(__xludf.DUMMYFUNCTION("""COMPUTED_VALUE"""),"40 ش لبنان - المهندسين - الجيزة")</f>
        <v>40 ش لبنان - المهندسين - الجيزة</v>
      </c>
      <c r="I3189" s="6" t="str">
        <f ca="1">IFERROR(__xludf.DUMMYFUNCTION("""COMPUTED_VALUE"""),"01281101792")</f>
        <v>01281101792</v>
      </c>
      <c r="J3189" s="6"/>
      <c r="K3189" s="6" t="str">
        <f ca="1">IFERROR(__xludf.DUMMYFUNCTION("""COMPUTED_VALUE"""),"خصم 14% علي المستورد و 6% علي المحلي")</f>
        <v>خصم 14% علي المستورد و 6% علي المحلي</v>
      </c>
    </row>
    <row r="3190" spans="1:11" x14ac:dyDescent="0.25">
      <c r="A3190" s="4" t="str">
        <f ca="1">IFERROR(__xludf.DUMMYFUNCTION("""COMPUTED_VALUE"""),"107487")</f>
        <v>107487</v>
      </c>
      <c r="B3190" s="5" t="str">
        <f ca="1">IFERROR(__xludf.DUMMYFUNCTION("""COMPUTED_VALUE"""),"القاهرة")</f>
        <v>القاهرة</v>
      </c>
      <c r="C3190" s="5" t="str">
        <f ca="1">IFERROR(__xludf.DUMMYFUNCTION("""COMPUTED_VALUE"""),"مصر الجديدة")</f>
        <v>مصر الجديدة</v>
      </c>
      <c r="D3190" s="5" t="str">
        <f ca="1">IFERROR(__xludf.DUMMYFUNCTION("""COMPUTED_VALUE"""),"هيئة الأطباء")</f>
        <v>هيئة الأطباء</v>
      </c>
      <c r="E3190" s="5" t="str">
        <f ca="1">IFERROR(__xludf.DUMMYFUNCTION("""COMPUTED_VALUE"""),"اسنان")</f>
        <v>اسنان</v>
      </c>
      <c r="F3190" s="5" t="str">
        <f ca="1">IFERROR(__xludf.DUMMYFUNCTION("""COMPUTED_VALUE"""),"جراحة الفم والأسنان")</f>
        <v>جراحة الفم والأسنان</v>
      </c>
      <c r="G3190" s="5" t="str">
        <f ca="1">IFERROR(__xludf.DUMMYFUNCTION("""COMPUTED_VALUE"""),"كريم مصطفي كمال محمد لطفي (عيادة اورا للاسنان)")</f>
        <v>كريم مصطفي كمال محمد لطفي (عيادة اورا للاسنان)</v>
      </c>
      <c r="H3190" s="5" t="str">
        <f ca="1">IFERROR(__xludf.DUMMYFUNCTION("""COMPUTED_VALUE"""),"12 شارع ابن ياسر - مصر الجديدة - القاهرة")</f>
        <v>12 شارع ابن ياسر - مصر الجديدة - القاهرة</v>
      </c>
      <c r="I3190" s="6" t="str">
        <f ca="1">IFERROR(__xludf.DUMMYFUNCTION("""COMPUTED_VALUE"""),"01009124447")</f>
        <v>01009124447</v>
      </c>
      <c r="J3190" s="6"/>
      <c r="K3190" s="6" t="str">
        <f ca="1">IFERROR(__xludf.DUMMYFUNCTION("""COMPUTED_VALUE"""),"خصم 30% علي الاسعار النقدي")</f>
        <v>خصم 30% علي الاسعار النقدي</v>
      </c>
    </row>
    <row r="3191" spans="1:11" x14ac:dyDescent="0.25">
      <c r="A3191" s="4" t="str">
        <f ca="1">IFERROR(__xludf.DUMMYFUNCTION("""COMPUTED_VALUE"""),"107489")</f>
        <v>107489</v>
      </c>
      <c r="B3191" s="5" t="str">
        <f ca="1">IFERROR(__xludf.DUMMYFUNCTION("""COMPUTED_VALUE"""),"البحيرة")</f>
        <v>البحيرة</v>
      </c>
      <c r="C3191" s="5" t="str">
        <f ca="1">IFERROR(__xludf.DUMMYFUNCTION("""COMPUTED_VALUE"""),"ابو المطامير")</f>
        <v>ابو المطامير</v>
      </c>
      <c r="D3191" s="5" t="str">
        <f ca="1">IFERROR(__xludf.DUMMYFUNCTION("""COMPUTED_VALUE"""),"مستشفى")</f>
        <v>مستشفى</v>
      </c>
      <c r="E3191" s="5" t="str">
        <f ca="1">IFERROR(__xludf.DUMMYFUNCTION("""COMPUTED_VALUE"""),"مستشفي طبي متخصص")</f>
        <v>مستشفي طبي متخصص</v>
      </c>
      <c r="F3191" s="5" t="str">
        <f ca="1">IFERROR(__xludf.DUMMYFUNCTION("""COMPUTED_VALUE"""),"أمراض الكلى و المسالك و الكلى الصناعية")</f>
        <v>أمراض الكلى و المسالك و الكلى الصناعية</v>
      </c>
      <c r="G3191" s="5" t="str">
        <f ca="1">IFERROR(__xludf.DUMMYFUNCTION("""COMPUTED_VALUE"""),"مركز رؤيا لامراض الكلي و الغسيل الكلوي")</f>
        <v>مركز رؤيا لامراض الكلي و الغسيل الكلوي</v>
      </c>
      <c r="H3191" s="5" t="str">
        <f ca="1">IFERROR(__xludf.DUMMYFUNCTION("""COMPUTED_VALUE"""),"ش الجمهورية - حوش عيسي - البحيرة")</f>
        <v>ش الجمهورية - حوش عيسي - البحيرة</v>
      </c>
      <c r="I3191" s="6" t="str">
        <f ca="1">IFERROR(__xludf.DUMMYFUNCTION("""COMPUTED_VALUE"""),"01012042844")</f>
        <v>01012042844</v>
      </c>
      <c r="J3191" s="6"/>
      <c r="K3191" s="6" t="str">
        <f ca="1">IFERROR(__xludf.DUMMYFUNCTION("""COMPUTED_VALUE"""),"خصم 30% علي الاسعار النقدي")</f>
        <v>خصم 30% علي الاسعار النقدي</v>
      </c>
    </row>
    <row r="3192" spans="1:11" x14ac:dyDescent="0.25">
      <c r="A3192" s="4" t="str">
        <f ca="1">IFERROR(__xludf.DUMMYFUNCTION("""COMPUTED_VALUE"""),"107490")</f>
        <v>107490</v>
      </c>
      <c r="B3192" s="5" t="str">
        <f ca="1">IFERROR(__xludf.DUMMYFUNCTION("""COMPUTED_VALUE"""),"الشرقية")</f>
        <v>الشرقية</v>
      </c>
      <c r="C3192" s="5" t="str">
        <f ca="1">IFERROR(__xludf.DUMMYFUNCTION("""COMPUTED_VALUE"""),"كفر صقر")</f>
        <v>كفر صقر</v>
      </c>
      <c r="D3192" s="5" t="str">
        <f ca="1">IFERROR(__xludf.DUMMYFUNCTION("""COMPUTED_VALUE"""),"صيدلية")</f>
        <v>صيدلية</v>
      </c>
      <c r="E3192" s="5" t="str">
        <f ca="1">IFERROR(__xludf.DUMMYFUNCTION("""COMPUTED_VALUE"""),"صيدلية")</f>
        <v>صيدلية</v>
      </c>
      <c r="F3192" s="5" t="str">
        <f ca="1">IFERROR(__xludf.DUMMYFUNCTION("""COMPUTED_VALUE"""),"صيدلية (أدوية ومستلزمات طبية)")</f>
        <v>صيدلية (أدوية ومستلزمات طبية)</v>
      </c>
      <c r="G3192" s="5" t="str">
        <f ca="1">IFERROR(__xludf.DUMMYFUNCTION("""COMPUTED_VALUE"""),"صيدلية عبدالمنعم السيد عبد الجليل (صيدلية ايمان عبدالمنعم)")</f>
        <v>صيدلية عبدالمنعم السيد عبد الجليل (صيدلية ايمان عبدالمنعم)</v>
      </c>
      <c r="H3192" s="5" t="str">
        <f ca="1">IFERROR(__xludf.DUMMYFUNCTION("""COMPUTED_VALUE"""),"حي النصر ش التحرير - كفر صقر - الشرقية")</f>
        <v>حي النصر ش التحرير - كفر صقر - الشرقية</v>
      </c>
      <c r="I3192" s="6" t="str">
        <f ca="1">IFERROR(__xludf.DUMMYFUNCTION("""COMPUTED_VALUE"""),"01555234840")</f>
        <v>01555234840</v>
      </c>
      <c r="J3192" s="6"/>
      <c r="K3192" s="6" t="str">
        <f ca="1">IFERROR(__xludf.DUMMYFUNCTION("""COMPUTED_VALUE"""),"خصم 13% علي المستورد و 7% علي المحلي")</f>
        <v>خصم 13% علي المستورد و 7% علي المحلي</v>
      </c>
    </row>
    <row r="3193" spans="1:11" x14ac:dyDescent="0.25">
      <c r="A3193" s="4" t="str">
        <f ca="1">IFERROR(__xludf.DUMMYFUNCTION("""COMPUTED_VALUE"""),"107486-B")</f>
        <v>107486-B</v>
      </c>
      <c r="B3193" s="5" t="str">
        <f ca="1">IFERROR(__xludf.DUMMYFUNCTION("""COMPUTED_VALUE"""),"القاهرة")</f>
        <v>القاهرة</v>
      </c>
      <c r="C3193" s="5" t="str">
        <f ca="1">IFERROR(__xludf.DUMMYFUNCTION("""COMPUTED_VALUE"""),"المقطم")</f>
        <v>المقطم</v>
      </c>
      <c r="D3193" s="5" t="str">
        <f ca="1">IFERROR(__xludf.DUMMYFUNCTION("""COMPUTED_VALUE"""),"صيدلية")</f>
        <v>صيدلية</v>
      </c>
      <c r="E3193" s="5" t="str">
        <f ca="1">IFERROR(__xludf.DUMMYFUNCTION("""COMPUTED_VALUE"""),"صيدلية")</f>
        <v>صيدلية</v>
      </c>
      <c r="F3193" s="5" t="str">
        <f ca="1">IFERROR(__xludf.DUMMYFUNCTION("""COMPUTED_VALUE"""),"صيدلية (أدوية ومستلزمات طبية)")</f>
        <v>صيدلية (أدوية ومستلزمات طبية)</v>
      </c>
      <c r="G3193" s="5" t="str">
        <f ca="1">IFERROR(__xludf.DUMMYFUNCTION("""COMPUTED_VALUE"""),"شركة وودز فارما - صيدلية د ابتسام لطفى (الهضبة الوسطى)")</f>
        <v>شركة وودز فارما - صيدلية د ابتسام لطفى (الهضبة الوسطى)</v>
      </c>
      <c r="H3193" s="5" t="str">
        <f ca="1">IFERROR(__xludf.DUMMYFUNCTION("""COMPUTED_VALUE"""),"قطعه1118- الحي الاول - امام مونت بلازا - الهضبه الوسطي - المقطم")</f>
        <v>قطعه1118- الحي الاول - امام مونت بلازا - الهضبه الوسطي - المقطم</v>
      </c>
      <c r="I3193" s="6" t="str">
        <f ca="1">IFERROR(__xludf.DUMMYFUNCTION("""COMPUTED_VALUE"""),"010500202201")</f>
        <v>010500202201</v>
      </c>
      <c r="J3193" s="6"/>
      <c r="K3193" s="6" t="str">
        <f ca="1">IFERROR(__xludf.DUMMYFUNCTION("""COMPUTED_VALUE"""),"خصم 14% علي المستورد و 6% علي المحلي")</f>
        <v>خصم 14% علي المستورد و 6% علي المحلي</v>
      </c>
    </row>
    <row r="3194" spans="1:11" x14ac:dyDescent="0.25">
      <c r="A3194" s="4" t="str">
        <f ca="1">IFERROR(__xludf.DUMMYFUNCTION("""COMPUTED_VALUE"""),"107486-B")</f>
        <v>107486-B</v>
      </c>
      <c r="B3194" s="5" t="str">
        <f ca="1">IFERROR(__xludf.DUMMYFUNCTION("""COMPUTED_VALUE"""),"القاهرة")</f>
        <v>القاهرة</v>
      </c>
      <c r="C3194" s="5" t="str">
        <f ca="1">IFERROR(__xludf.DUMMYFUNCTION("""COMPUTED_VALUE"""),"مدينة نصر")</f>
        <v>مدينة نصر</v>
      </c>
      <c r="D3194" s="5" t="str">
        <f ca="1">IFERROR(__xludf.DUMMYFUNCTION("""COMPUTED_VALUE"""),"صيدلية")</f>
        <v>صيدلية</v>
      </c>
      <c r="E3194" s="5" t="str">
        <f ca="1">IFERROR(__xludf.DUMMYFUNCTION("""COMPUTED_VALUE"""),"صيدلية")</f>
        <v>صيدلية</v>
      </c>
      <c r="F3194" s="5" t="str">
        <f ca="1">IFERROR(__xludf.DUMMYFUNCTION("""COMPUTED_VALUE"""),"صيدلية (أدوية ومستلزمات طبية)")</f>
        <v>صيدلية (أدوية ومستلزمات طبية)</v>
      </c>
      <c r="G3194" s="5" t="str">
        <f ca="1">IFERROR(__xludf.DUMMYFUNCTION("""COMPUTED_VALUE"""),"شركة وودز فارما - صيدلية د مروة علاء ( مدينة نصر )")</f>
        <v>شركة وودز فارما - صيدلية د مروة علاء ( مدينة نصر )</v>
      </c>
      <c r="H3194" s="5" t="str">
        <f ca="1">IFERROR(__xludf.DUMMYFUNCTION("""COMPUTED_VALUE"""),"18 شارع عبد الحفيظ بجوار فندق سونستا")</f>
        <v>18 شارع عبد الحفيظ بجوار فندق سونستا</v>
      </c>
      <c r="I3194" s="6" t="str">
        <f ca="1">IFERROR(__xludf.DUMMYFUNCTION("""COMPUTED_VALUE"""),"01212594555")</f>
        <v>01212594555</v>
      </c>
      <c r="J3194" s="6"/>
      <c r="K3194" s="6" t="str">
        <f ca="1">IFERROR(__xludf.DUMMYFUNCTION("""COMPUTED_VALUE"""),"خصم 14% علي المستورد و 6% علي المحلي")</f>
        <v>خصم 14% علي المستورد و 6% علي المحلي</v>
      </c>
    </row>
    <row r="3195" spans="1:11" x14ac:dyDescent="0.25">
      <c r="A3195" s="4" t="str">
        <f ca="1">IFERROR(__xludf.DUMMYFUNCTION("""COMPUTED_VALUE"""),"107486-B")</f>
        <v>107486-B</v>
      </c>
      <c r="B3195" s="5" t="str">
        <f ca="1">IFERROR(__xludf.DUMMYFUNCTION("""COMPUTED_VALUE"""),"الجيزة")</f>
        <v>الجيزة</v>
      </c>
      <c r="C3195" s="5" t="str">
        <f ca="1">IFERROR(__xludf.DUMMYFUNCTION("""COMPUTED_VALUE"""),"السادس من اكتوبر")</f>
        <v>السادس من اكتوبر</v>
      </c>
      <c r="D3195" s="5" t="str">
        <f ca="1">IFERROR(__xludf.DUMMYFUNCTION("""COMPUTED_VALUE"""),"صيدلية")</f>
        <v>صيدلية</v>
      </c>
      <c r="E3195" s="5" t="str">
        <f ca="1">IFERROR(__xludf.DUMMYFUNCTION("""COMPUTED_VALUE"""),"صيدلية")</f>
        <v>صيدلية</v>
      </c>
      <c r="F3195" s="5" t="str">
        <f ca="1">IFERROR(__xludf.DUMMYFUNCTION("""COMPUTED_VALUE"""),"صيدلية (أدوية ومستلزمات طبية)")</f>
        <v>صيدلية (أدوية ومستلزمات طبية)</v>
      </c>
      <c r="G3195" s="5" t="str">
        <f ca="1">IFERROR(__xludf.DUMMYFUNCTION("""COMPUTED_VALUE"""),"شركة وودز فارما - د. آية عنتر (أكتوبر)")</f>
        <v>شركة وودز فارما - د. آية عنتر (أكتوبر)</v>
      </c>
      <c r="H3195" s="5" t="str">
        <f ca="1">IFERROR(__xludf.DUMMYFUNCTION("""COMPUTED_VALUE"""),"عماره ١٣ العمرانية الثانيه الحي ١١ اكتوبر -بجوار سنتر الوجيه")</f>
        <v>عماره ١٣ العمرانية الثانيه الحي ١١ اكتوبر -بجوار سنتر الوجيه</v>
      </c>
      <c r="I3195" s="6" t="str">
        <f ca="1">IFERROR(__xludf.DUMMYFUNCTION("""COMPUTED_VALUE"""),"01050983933")</f>
        <v>01050983933</v>
      </c>
      <c r="J3195" s="6"/>
      <c r="K3195" s="6" t="str">
        <f ca="1">IFERROR(__xludf.DUMMYFUNCTION("""COMPUTED_VALUE"""),"خصم 14% علي المستورد و 6% علي المحلي")</f>
        <v>خصم 14% علي المستورد و 6% علي المحلي</v>
      </c>
    </row>
    <row r="3196" spans="1:11" x14ac:dyDescent="0.25">
      <c r="A3196" s="4" t="str">
        <f ca="1">IFERROR(__xludf.DUMMYFUNCTION("""COMPUTED_VALUE"""),"107486-B")</f>
        <v>107486-B</v>
      </c>
      <c r="B3196" s="5" t="str">
        <f ca="1">IFERROR(__xludf.DUMMYFUNCTION("""COMPUTED_VALUE"""),"الجيزة")</f>
        <v>الجيزة</v>
      </c>
      <c r="C3196" s="5" t="str">
        <f ca="1">IFERROR(__xludf.DUMMYFUNCTION("""COMPUTED_VALUE"""),"الهرم")</f>
        <v>الهرم</v>
      </c>
      <c r="D3196" s="5" t="str">
        <f ca="1">IFERROR(__xludf.DUMMYFUNCTION("""COMPUTED_VALUE"""),"صيدلية")</f>
        <v>صيدلية</v>
      </c>
      <c r="E3196" s="5" t="str">
        <f ca="1">IFERROR(__xludf.DUMMYFUNCTION("""COMPUTED_VALUE"""),"صيدلية")</f>
        <v>صيدلية</v>
      </c>
      <c r="F3196" s="5" t="str">
        <f ca="1">IFERROR(__xludf.DUMMYFUNCTION("""COMPUTED_VALUE"""),"صيدلية (أدوية ومستلزمات طبية)")</f>
        <v>صيدلية (أدوية ومستلزمات طبية)</v>
      </c>
      <c r="G3196" s="5" t="str">
        <f ca="1">IFERROR(__xludf.DUMMYFUNCTION("""COMPUTED_VALUE"""),"شركة وودز فارما - صيدلية د محمد مسلمانى (الهرم)")</f>
        <v>شركة وودز فارما - صيدلية د محمد مسلمانى (الهرم)</v>
      </c>
      <c r="H3196" s="5" t="str">
        <f ca="1">IFERROR(__xludf.DUMMYFUNCTION("""COMPUTED_VALUE"""),"١ ش انور شحاته متفرع من خالد امين بين التعاون فيصل و هرم")</f>
        <v>١ ش انور شحاته متفرع من خالد امين بين التعاون فيصل و هرم</v>
      </c>
      <c r="I3196" s="6" t="str">
        <f ca="1">IFERROR(__xludf.DUMMYFUNCTION("""COMPUTED_VALUE"""),"0128 495 8484")</f>
        <v>0128 495 8484</v>
      </c>
      <c r="J3196" s="6"/>
      <c r="K3196" s="6" t="str">
        <f ca="1">IFERROR(__xludf.DUMMYFUNCTION("""COMPUTED_VALUE"""),"خصم 14% علي المستورد و 6% علي المحلي")</f>
        <v>خصم 14% علي المستورد و 6% علي المحلي</v>
      </c>
    </row>
    <row r="3197" spans="1:11" x14ac:dyDescent="0.25">
      <c r="A3197" s="4" t="str">
        <f ca="1">IFERROR(__xludf.DUMMYFUNCTION("""COMPUTED_VALUE"""),"107486-B")</f>
        <v>107486-B</v>
      </c>
      <c r="B3197" s="5" t="str">
        <f ca="1">IFERROR(__xludf.DUMMYFUNCTION("""COMPUTED_VALUE"""),"القاهرة")</f>
        <v>القاهرة</v>
      </c>
      <c r="C3197" s="5" t="str">
        <f ca="1">IFERROR(__xludf.DUMMYFUNCTION("""COMPUTED_VALUE"""),"جسر السويس")</f>
        <v>جسر السويس</v>
      </c>
      <c r="D3197" s="5" t="str">
        <f ca="1">IFERROR(__xludf.DUMMYFUNCTION("""COMPUTED_VALUE"""),"صيدلية")</f>
        <v>صيدلية</v>
      </c>
      <c r="E3197" s="5" t="str">
        <f ca="1">IFERROR(__xludf.DUMMYFUNCTION("""COMPUTED_VALUE"""),"صيدلية")</f>
        <v>صيدلية</v>
      </c>
      <c r="F3197" s="5" t="str">
        <f ca="1">IFERROR(__xludf.DUMMYFUNCTION("""COMPUTED_VALUE"""),"صيدلية (أدوية ومستلزمات طبية)")</f>
        <v>صيدلية (أدوية ومستلزمات طبية)</v>
      </c>
      <c r="G3197" s="5" t="str">
        <f ca="1">IFERROR(__xludf.DUMMYFUNCTION("""COMPUTED_VALUE"""),"شركة وودز فارما - دكتورة إنجي مجدي")</f>
        <v>شركة وودز فارما - دكتورة إنجي مجدي</v>
      </c>
      <c r="H3197" s="5" t="str">
        <f ca="1">IFERROR(__xludf.DUMMYFUNCTION("""COMPUTED_VALUE"""),"62أ شارع جسر السويس")</f>
        <v>62أ شارع جسر السويس</v>
      </c>
      <c r="I3197" s="6" t="str">
        <f ca="1">IFERROR(__xludf.DUMMYFUNCTION("""COMPUTED_VALUE"""),"1271289444 ")</f>
        <v xml:space="preserve">1271289444 </v>
      </c>
      <c r="J3197" s="6"/>
      <c r="K3197" s="6" t="str">
        <f ca="1">IFERROR(__xludf.DUMMYFUNCTION("""COMPUTED_VALUE"""),"خصم 14% علي المستورد و 6% علي المحلي")</f>
        <v>خصم 14% علي المستورد و 6% علي المحلي</v>
      </c>
    </row>
    <row r="3198" spans="1:11" x14ac:dyDescent="0.25">
      <c r="A3198" s="4" t="str">
        <f ca="1">IFERROR(__xludf.DUMMYFUNCTION("""COMPUTED_VALUE"""),"107491")</f>
        <v>107491</v>
      </c>
      <c r="B3198" s="5" t="str">
        <f ca="1">IFERROR(__xludf.DUMMYFUNCTION("""COMPUTED_VALUE"""),"المنوفية")</f>
        <v>المنوفية</v>
      </c>
      <c r="C3198" s="5" t="str">
        <f ca="1">IFERROR(__xludf.DUMMYFUNCTION("""COMPUTED_VALUE"""),"مدينه السادات")</f>
        <v>مدينه السادات</v>
      </c>
      <c r="D3198" s="5" t="str">
        <f ca="1">IFERROR(__xludf.DUMMYFUNCTION("""COMPUTED_VALUE"""),"صيدلية")</f>
        <v>صيدلية</v>
      </c>
      <c r="E3198" s="5" t="str">
        <f ca="1">IFERROR(__xludf.DUMMYFUNCTION("""COMPUTED_VALUE"""),"صيدلية")</f>
        <v>صيدلية</v>
      </c>
      <c r="F3198" s="5" t="str">
        <f ca="1">IFERROR(__xludf.DUMMYFUNCTION("""COMPUTED_VALUE"""),"صيدلية (أدوية ومستلزمات طبية)")</f>
        <v>صيدلية (أدوية ومستلزمات طبية)</v>
      </c>
      <c r="G3198" s="5" t="str">
        <f ca="1">IFERROR(__xludf.DUMMYFUNCTION("""COMPUTED_VALUE"""),"غدير احمد محمد ابراهيم و شركائها (الدكتور لادارة الصيدليات)")</f>
        <v>غدير احمد محمد ابراهيم و شركائها (الدكتور لادارة الصيدليات)</v>
      </c>
      <c r="H3198" s="5" t="str">
        <f ca="1">IFERROR(__xludf.DUMMYFUNCTION("""COMPUTED_VALUE"""),"21 مكتب 8 ق 21 محور خ الحي 2 م - السادات - المنوفية")</f>
        <v>21 مكتب 8 ق 21 محور خ الحي 2 م - السادات - المنوفية</v>
      </c>
      <c r="I3198" s="6" t="str">
        <f ca="1">IFERROR(__xludf.DUMMYFUNCTION("""COMPUTED_VALUE"""),"01007195450")</f>
        <v>01007195450</v>
      </c>
      <c r="J3198" s="6"/>
      <c r="K3198" s="6" t="str">
        <f ca="1">IFERROR(__xludf.DUMMYFUNCTION("""COMPUTED_VALUE"""),"خصم 13% علي المستورد و6% علي المحلي")</f>
        <v>خصم 13% علي المستورد و6% علي المحلي</v>
      </c>
    </row>
    <row r="3199" spans="1:11" x14ac:dyDescent="0.25">
      <c r="A3199" s="4" t="str">
        <f ca="1">IFERROR(__xludf.DUMMYFUNCTION("""COMPUTED_VALUE"""),"107491-B")</f>
        <v>107491-B</v>
      </c>
      <c r="B3199" s="5" t="str">
        <f ca="1">IFERROR(__xludf.DUMMYFUNCTION("""COMPUTED_VALUE"""),"المنوفية")</f>
        <v>المنوفية</v>
      </c>
      <c r="C3199" s="5" t="str">
        <f ca="1">IFERROR(__xludf.DUMMYFUNCTION("""COMPUTED_VALUE"""),"مدينه السادات")</f>
        <v>مدينه السادات</v>
      </c>
      <c r="D3199" s="5" t="str">
        <f ca="1">IFERROR(__xludf.DUMMYFUNCTION("""COMPUTED_VALUE"""),"صيدلية")</f>
        <v>صيدلية</v>
      </c>
      <c r="E3199" s="5" t="str">
        <f ca="1">IFERROR(__xludf.DUMMYFUNCTION("""COMPUTED_VALUE"""),"صيدلية")</f>
        <v>صيدلية</v>
      </c>
      <c r="F3199" s="5" t="str">
        <f ca="1">IFERROR(__xludf.DUMMYFUNCTION("""COMPUTED_VALUE"""),"صيدلية (أدوية ومستلزمات طبية)")</f>
        <v>صيدلية (أدوية ومستلزمات طبية)</v>
      </c>
      <c r="G3199" s="5" t="str">
        <f ca="1">IFERROR(__xludf.DUMMYFUNCTION("""COMPUTED_VALUE"""),"غدير احمد محمد ابراهيم و شركائها (الدكتور لادارة الصيدليات)")</f>
        <v>غدير احمد محمد ابراهيم و شركائها (الدكتور لادارة الصيدليات)</v>
      </c>
      <c r="H3199" s="5" t="str">
        <f ca="1">IFERROR(__xludf.DUMMYFUNCTION("""COMPUTED_VALUE"""),"صيدليه عمرو محمد ثابت صالح مول الزهور بجوار مستشفي هارمل")</f>
        <v>صيدليه عمرو محمد ثابت صالح مول الزهور بجوار مستشفي هارمل</v>
      </c>
      <c r="I3199" s="6" t="str">
        <f ca="1">IFERROR(__xludf.DUMMYFUNCTION("""COMPUTED_VALUE"""),"01007195450")</f>
        <v>01007195450</v>
      </c>
      <c r="J3199" s="6"/>
      <c r="K3199" s="6" t="str">
        <f ca="1">IFERROR(__xludf.DUMMYFUNCTION("""COMPUTED_VALUE"""),"خصم 13% علي المستورد و6% علي المحلي")</f>
        <v>خصم 13% علي المستورد و6% علي المحلي</v>
      </c>
    </row>
    <row r="3200" spans="1:11" x14ac:dyDescent="0.25">
      <c r="A3200" s="4" t="str">
        <f ca="1">IFERROR(__xludf.DUMMYFUNCTION("""COMPUTED_VALUE"""),"107491-B")</f>
        <v>107491-B</v>
      </c>
      <c r="B3200" s="5" t="str">
        <f ca="1">IFERROR(__xludf.DUMMYFUNCTION("""COMPUTED_VALUE"""),"المنوفية")</f>
        <v>المنوفية</v>
      </c>
      <c r="C3200" s="5" t="str">
        <f ca="1">IFERROR(__xludf.DUMMYFUNCTION("""COMPUTED_VALUE"""),"مدينه السادات")</f>
        <v>مدينه السادات</v>
      </c>
      <c r="D3200" s="5" t="str">
        <f ca="1">IFERROR(__xludf.DUMMYFUNCTION("""COMPUTED_VALUE"""),"صيدلية")</f>
        <v>صيدلية</v>
      </c>
      <c r="E3200" s="5" t="str">
        <f ca="1">IFERROR(__xludf.DUMMYFUNCTION("""COMPUTED_VALUE"""),"صيدلية")</f>
        <v>صيدلية</v>
      </c>
      <c r="F3200" s="5" t="str">
        <f ca="1">IFERROR(__xludf.DUMMYFUNCTION("""COMPUTED_VALUE"""),"صيدلية (أدوية ومستلزمات طبية)")</f>
        <v>صيدلية (أدوية ومستلزمات طبية)</v>
      </c>
      <c r="G3200" s="5" t="str">
        <f ca="1">IFERROR(__xludf.DUMMYFUNCTION("""COMPUTED_VALUE"""),"غدير احمد محمد ابراهيم و شركائها (الدكتور لادارة الصيدليات)")</f>
        <v>غدير احمد محمد ابراهيم و شركائها (الدكتور لادارة الصيدليات)</v>
      </c>
      <c r="H3200" s="5" t="str">
        <f ca="1">IFERROR(__xludf.DUMMYFUNCTION("""COMPUTED_VALUE"""),"صيدليه عمرو محمد صالح محور خدمات الحي الثاني بجوار كليه تربيه رياضيه")</f>
        <v>صيدليه عمرو محمد صالح محور خدمات الحي الثاني بجوار كليه تربيه رياضيه</v>
      </c>
      <c r="I3200" s="6" t="str">
        <f ca="1">IFERROR(__xludf.DUMMYFUNCTION("""COMPUTED_VALUE"""),"01007195450")</f>
        <v>01007195450</v>
      </c>
      <c r="J3200" s="6"/>
      <c r="K3200" s="6" t="str">
        <f ca="1">IFERROR(__xludf.DUMMYFUNCTION("""COMPUTED_VALUE"""),"خصم 13% علي المستورد و6% علي المحلي")</f>
        <v>خصم 13% علي المستورد و6% علي المحلي</v>
      </c>
    </row>
    <row r="3201" spans="1:11" x14ac:dyDescent="0.25">
      <c r="A3201" s="4" t="str">
        <f ca="1">IFERROR(__xludf.DUMMYFUNCTION("""COMPUTED_VALUE"""),"107491-B")</f>
        <v>107491-B</v>
      </c>
      <c r="B3201" s="5" t="str">
        <f ca="1">IFERROR(__xludf.DUMMYFUNCTION("""COMPUTED_VALUE"""),"المنوفية")</f>
        <v>المنوفية</v>
      </c>
      <c r="C3201" s="5" t="str">
        <f ca="1">IFERROR(__xludf.DUMMYFUNCTION("""COMPUTED_VALUE"""),"مدينه السادات")</f>
        <v>مدينه السادات</v>
      </c>
      <c r="D3201" s="5" t="str">
        <f ca="1">IFERROR(__xludf.DUMMYFUNCTION("""COMPUTED_VALUE"""),"صيدلية")</f>
        <v>صيدلية</v>
      </c>
      <c r="E3201" s="5" t="str">
        <f ca="1">IFERROR(__xludf.DUMMYFUNCTION("""COMPUTED_VALUE"""),"صيدلية")</f>
        <v>صيدلية</v>
      </c>
      <c r="F3201" s="5" t="str">
        <f ca="1">IFERROR(__xludf.DUMMYFUNCTION("""COMPUTED_VALUE"""),"صيدلية (أدوية ومستلزمات طبية)")</f>
        <v>صيدلية (أدوية ومستلزمات طبية)</v>
      </c>
      <c r="G3201" s="5" t="str">
        <f ca="1">IFERROR(__xludf.DUMMYFUNCTION("""COMPUTED_VALUE"""),"غدير احمد محمد ابراهيم و شركائها (الدكتور لادارة الصيدليات)")</f>
        <v>غدير احمد محمد ابراهيم و شركائها (الدكتور لادارة الصيدليات)</v>
      </c>
      <c r="H3201" s="5" t="str">
        <f ca="1">IFERROR(__xludf.DUMMYFUNCTION("""COMPUTED_VALUE"""),"فرع احمد جمال عبدالله محور الحي السادس بجوار مول طيبه امام حديقه الثامنه")</f>
        <v>فرع احمد جمال عبدالله محور الحي السادس بجوار مول طيبه امام حديقه الثامنه</v>
      </c>
      <c r="I3201" s="6" t="str">
        <f ca="1">IFERROR(__xludf.DUMMYFUNCTION("""COMPUTED_VALUE"""),"01007195450")</f>
        <v>01007195450</v>
      </c>
      <c r="J3201" s="6"/>
      <c r="K3201" s="6" t="str">
        <f ca="1">IFERROR(__xludf.DUMMYFUNCTION("""COMPUTED_VALUE"""),"خصم 13% علي المستورد و6% علي المحلي")</f>
        <v>خصم 13% علي المستورد و6% علي المحلي</v>
      </c>
    </row>
    <row r="3202" spans="1:11" x14ac:dyDescent="0.25">
      <c r="A3202" s="4" t="str">
        <f ca="1">IFERROR(__xludf.DUMMYFUNCTION("""COMPUTED_VALUE"""),"105372-B")</f>
        <v>105372-B</v>
      </c>
      <c r="B3202" s="5" t="str">
        <f ca="1">IFERROR(__xludf.DUMMYFUNCTION("""COMPUTED_VALUE"""),"الجيزة")</f>
        <v>الجيزة</v>
      </c>
      <c r="C3202" s="5" t="str">
        <f ca="1">IFERROR(__xludf.DUMMYFUNCTION("""COMPUTED_VALUE"""),"السادس من اكتوبر")</f>
        <v>السادس من اكتوبر</v>
      </c>
      <c r="D3202" s="5" t="str">
        <f ca="1">IFERROR(__xludf.DUMMYFUNCTION("""COMPUTED_VALUE"""),"مجمع عيادات")</f>
        <v>مجمع عيادات</v>
      </c>
      <c r="E3202" s="5" t="str">
        <f ca="1">IFERROR(__xludf.DUMMYFUNCTION("""COMPUTED_VALUE"""),"جميع التخصصات")</f>
        <v>جميع التخصصات</v>
      </c>
      <c r="F3202" s="5" t="str">
        <f ca="1">IFERROR(__xludf.DUMMYFUNCTION("""COMPUTED_VALUE"""),"جميع التخصصات الطبية")</f>
        <v>جميع التخصصات الطبية</v>
      </c>
      <c r="G3202" s="5" t="str">
        <f ca="1">IFERROR(__xludf.DUMMYFUNCTION("""COMPUTED_VALUE"""),"شركة كير كلينيك للخدمات الطبية (عيادات كير كلينك التخصصية)")</f>
        <v>شركة كير كلينيك للخدمات الطبية (عيادات كير كلينك التخصصية)</v>
      </c>
      <c r="H3202" s="5" t="str">
        <f ca="1">IFERROR(__xludf.DUMMYFUNCTION("""COMPUTED_VALUE"""),"برج الأمريكية ٣ - المحور المركزي -اعلي مطعم جاد و بجوار جامعه ٦ أكتوبر و مسجد الحصرى - الدور الثالث")</f>
        <v>برج الأمريكية ٣ - المحور المركزي -اعلي مطعم جاد و بجوار جامعه ٦ أكتوبر و مسجد الحصرى - الدور الثالث</v>
      </c>
      <c r="I3202" s="6" t="str">
        <f ca="1">IFERROR(__xludf.DUMMYFUNCTION("""COMPUTED_VALUE"""),"01002221767")</f>
        <v>01002221767</v>
      </c>
      <c r="J3202" s="6"/>
      <c r="K3202" s="6" t="str">
        <f ca="1">IFERROR(__xludf.DUMMYFUNCTION("""COMPUTED_VALUE"""),"30%على الكشف ,40% على باقى الخدمات")</f>
        <v>30%على الكشف ,40% على باقى الخدمات</v>
      </c>
    </row>
    <row r="3203" spans="1:11" x14ac:dyDescent="0.25">
      <c r="A3203" s="4" t="str">
        <f ca="1">IFERROR(__xludf.DUMMYFUNCTION("""COMPUTED_VALUE"""),"107492")</f>
        <v>107492</v>
      </c>
      <c r="B3203" s="5" t="str">
        <f ca="1">IFERROR(__xludf.DUMMYFUNCTION("""COMPUTED_VALUE"""),"القاهرة")</f>
        <v>القاهرة</v>
      </c>
      <c r="C3203" s="5" t="str">
        <f ca="1">IFERROR(__xludf.DUMMYFUNCTION("""COMPUTED_VALUE"""),"عابدين")</f>
        <v>عابدين</v>
      </c>
      <c r="D3203" s="5" t="str">
        <f ca="1">IFERROR(__xludf.DUMMYFUNCTION("""COMPUTED_VALUE"""),"مستشفى")</f>
        <v>مستشفى</v>
      </c>
      <c r="E3203" s="5" t="str">
        <f ca="1">IFERROR(__xludf.DUMMYFUNCTION("""COMPUTED_VALUE"""),"مستشفي طبي متخصص")</f>
        <v>مستشفي طبي متخصص</v>
      </c>
      <c r="F3203" s="5" t="str">
        <f ca="1">IFERROR(__xludf.DUMMYFUNCTION("""COMPUTED_VALUE"""),"رمد (جراحة عيون)")</f>
        <v>رمد (جراحة عيون)</v>
      </c>
      <c r="G3203" s="5" t="str">
        <f ca="1">IFERROR(__xludf.DUMMYFUNCTION("""COMPUTED_VALUE"""),"جلوبال لطب و جراحة العيون")</f>
        <v>جلوبال لطب و جراحة العيون</v>
      </c>
      <c r="H3203" s="5" t="str">
        <f ca="1">IFERROR(__xludf.DUMMYFUNCTION("""COMPUTED_VALUE"""),"6 ميدان الفلكي الدور 6 باب اللوق - عابدين - القاهرة")</f>
        <v>6 ميدان الفلكي الدور 6 باب اللوق - عابدين - القاهرة</v>
      </c>
      <c r="I3203" s="6" t="str">
        <f ca="1">IFERROR(__xludf.DUMMYFUNCTION("""COMPUTED_VALUE"""),"01100605031")</f>
        <v>01100605031</v>
      </c>
      <c r="J3203" s="6"/>
      <c r="K3203" s="6" t="str">
        <f ca="1">IFERROR(__xludf.DUMMYFUNCTION("""COMPUTED_VALUE"""),"خصم 30% علي الاسعار النقدي")</f>
        <v>خصم 30% علي الاسعار النقدي</v>
      </c>
    </row>
    <row r="3204" spans="1:11" x14ac:dyDescent="0.25">
      <c r="A3204" s="4" t="str">
        <f ca="1">IFERROR(__xludf.DUMMYFUNCTION("""COMPUTED_VALUE"""),"107493")</f>
        <v>107493</v>
      </c>
      <c r="B3204" s="5" t="str">
        <f ca="1">IFERROR(__xludf.DUMMYFUNCTION("""COMPUTED_VALUE"""),"البحر الاحمر")</f>
        <v>البحر الاحمر</v>
      </c>
      <c r="C3204" s="5" t="str">
        <f ca="1">IFERROR(__xludf.DUMMYFUNCTION("""COMPUTED_VALUE"""),"مرسى علم")</f>
        <v>مرسى علم</v>
      </c>
      <c r="D3204" s="5" t="str">
        <f ca="1">IFERROR(__xludf.DUMMYFUNCTION("""COMPUTED_VALUE"""),"مستشفى")</f>
        <v>مستشفى</v>
      </c>
      <c r="E3204" s="5" t="str">
        <f ca="1">IFERROR(__xludf.DUMMYFUNCTION("""COMPUTED_VALUE"""),"جميع التخصصات")</f>
        <v>جميع التخصصات</v>
      </c>
      <c r="F3204" s="5" t="str">
        <f ca="1">IFERROR(__xludf.DUMMYFUNCTION("""COMPUTED_VALUE"""),"جميع التخصصات الطبية")</f>
        <v>جميع التخصصات الطبية</v>
      </c>
      <c r="G3204" s="5" t="str">
        <f ca="1">IFERROR(__xludf.DUMMYFUNCTION("""COMPUTED_VALUE"""),"مركز مرسي علم ميديكال")</f>
        <v>مركز مرسي علم ميديكال</v>
      </c>
      <c r="H3204" s="5" t="str">
        <f ca="1">IFERROR(__xludf.DUMMYFUNCTION("""COMPUTED_VALUE"""),"شارع 19 عقار 72 الدور الارضي - مرسي علم - البحر الاحمر")</f>
        <v>شارع 19 عقار 72 الدور الارضي - مرسي علم - البحر الاحمر</v>
      </c>
      <c r="I3204" s="6" t="str">
        <f ca="1">IFERROR(__xludf.DUMMYFUNCTION("""COMPUTED_VALUE"""),"01092044999")</f>
        <v>01092044999</v>
      </c>
      <c r="J3204" s="6"/>
      <c r="K3204" s="6" t="str">
        <f ca="1">IFERROR(__xludf.DUMMYFUNCTION("""COMPUTED_VALUE"""),"خصم 25% علي الاسعار النقدي")</f>
        <v>خصم 25% علي الاسعار النقدي</v>
      </c>
    </row>
    <row r="3205" spans="1:11" x14ac:dyDescent="0.25">
      <c r="A3205" s="4" t="str">
        <f ca="1">IFERROR(__xludf.DUMMYFUNCTION("""COMPUTED_VALUE"""),"107494")</f>
        <v>107494</v>
      </c>
      <c r="B3205" s="5" t="str">
        <f ca="1">IFERROR(__xludf.DUMMYFUNCTION("""COMPUTED_VALUE"""),"الاسكندرية")</f>
        <v>الاسكندرية</v>
      </c>
      <c r="C3205" s="5" t="str">
        <f ca="1">IFERROR(__xludf.DUMMYFUNCTION("""COMPUTED_VALUE"""),"فيكتوريا")</f>
        <v>فيكتوريا</v>
      </c>
      <c r="D3205" s="5" t="str">
        <f ca="1">IFERROR(__xludf.DUMMYFUNCTION("""COMPUTED_VALUE"""),"شركة")</f>
        <v>شركة</v>
      </c>
      <c r="E3205" s="5" t="str">
        <f ca="1">IFERROR(__xludf.DUMMYFUNCTION("""COMPUTED_VALUE"""),"شركة اجهزة طبية")</f>
        <v>شركة اجهزة طبية</v>
      </c>
      <c r="F3205" s="5" t="str">
        <f ca="1">IFERROR(__xludf.DUMMYFUNCTION("""COMPUTED_VALUE"""),"مركز بصريات")</f>
        <v>مركز بصريات</v>
      </c>
      <c r="G3205" s="5" t="str">
        <f ca="1">IFERROR(__xludf.DUMMYFUNCTION("""COMPUTED_VALUE"""),"الشركة المصرية للبصريات")</f>
        <v>الشركة المصرية للبصريات</v>
      </c>
      <c r="H3205" s="5" t="str">
        <f ca="1">IFERROR(__xludf.DUMMYFUNCTION("""COMPUTED_VALUE"""),"11 شارع ممتاز باشا متفرع من شارع الجلاء - فيكتوريا - الاسكندرية")</f>
        <v>11 شارع ممتاز باشا متفرع من شارع الجلاء - فيكتوريا - الاسكندرية</v>
      </c>
      <c r="I3205" s="6" t="str">
        <f ca="1">IFERROR(__xludf.DUMMYFUNCTION("""COMPUTED_VALUE"""),"01022206689")</f>
        <v>01022206689</v>
      </c>
      <c r="J3205" s="6"/>
      <c r="K3205" s="6" t="str">
        <f ca="1">IFERROR(__xludf.DUMMYFUNCTION("""COMPUTED_VALUE"""),"خصم 35% علي الاسعار النقدي")</f>
        <v>خصم 35% علي الاسعار النقدي</v>
      </c>
    </row>
    <row r="3206" spans="1:11" x14ac:dyDescent="0.25">
      <c r="A3206" s="4" t="str">
        <f ca="1">IFERROR(__xludf.DUMMYFUNCTION("""COMPUTED_VALUE"""),"107494-B")</f>
        <v>107494-B</v>
      </c>
      <c r="B3206" s="5" t="str">
        <f ca="1">IFERROR(__xludf.DUMMYFUNCTION("""COMPUTED_VALUE"""),"الاسكندرية")</f>
        <v>الاسكندرية</v>
      </c>
      <c r="C3206" s="5" t="str">
        <f ca="1">IFERROR(__xludf.DUMMYFUNCTION("""COMPUTED_VALUE"""),"سموحة")</f>
        <v>سموحة</v>
      </c>
      <c r="D3206" s="5" t="str">
        <f ca="1">IFERROR(__xludf.DUMMYFUNCTION("""COMPUTED_VALUE"""),"شركة")</f>
        <v>شركة</v>
      </c>
      <c r="E3206" s="5" t="str">
        <f ca="1">IFERROR(__xludf.DUMMYFUNCTION("""COMPUTED_VALUE"""),"شركة اجهزة طبية")</f>
        <v>شركة اجهزة طبية</v>
      </c>
      <c r="F3206" s="5" t="str">
        <f ca="1">IFERROR(__xludf.DUMMYFUNCTION("""COMPUTED_VALUE"""),"مركز بصريات")</f>
        <v>مركز بصريات</v>
      </c>
      <c r="G3206" s="5" t="str">
        <f ca="1">IFERROR(__xludf.DUMMYFUNCTION("""COMPUTED_VALUE"""),"الشركة المصرية للبصريات")</f>
        <v>الشركة المصرية للبصريات</v>
      </c>
      <c r="H3206" s="5" t="str">
        <f ca="1">IFERROR(__xludf.DUMMYFUNCTION("""COMPUTED_VALUE"""),"17 تعاونيات سموحه أمام مطعم جاد بجوار زهران مول")</f>
        <v>17 تعاونيات سموحه أمام مطعم جاد بجوار زهران مول</v>
      </c>
      <c r="I3206" s="6" t="str">
        <f ca="1">IFERROR(__xludf.DUMMYFUNCTION("""COMPUTED_VALUE"""),"34252192")</f>
        <v>34252192</v>
      </c>
      <c r="J3206" s="6"/>
      <c r="K3206" s="6" t="str">
        <f ca="1">IFERROR(__xludf.DUMMYFUNCTION("""COMPUTED_VALUE"""),"خصم 35% علي الاسعار النقدي")</f>
        <v>خصم 35% علي الاسعار النقدي</v>
      </c>
    </row>
    <row r="3207" spans="1:11" x14ac:dyDescent="0.25">
      <c r="A3207" s="4" t="str">
        <f ca="1">IFERROR(__xludf.DUMMYFUNCTION("""COMPUTED_VALUE"""),"107494-B")</f>
        <v>107494-B</v>
      </c>
      <c r="B3207" s="5" t="str">
        <f ca="1">IFERROR(__xludf.DUMMYFUNCTION("""COMPUTED_VALUE"""),"الاسكندرية")</f>
        <v>الاسكندرية</v>
      </c>
      <c r="C3207" s="5" t="str">
        <f ca="1">IFERROR(__xludf.DUMMYFUNCTION("""COMPUTED_VALUE"""),"الابراهيمية")</f>
        <v>الابراهيمية</v>
      </c>
      <c r="D3207" s="5" t="str">
        <f ca="1">IFERROR(__xludf.DUMMYFUNCTION("""COMPUTED_VALUE"""),"شركة")</f>
        <v>شركة</v>
      </c>
      <c r="E3207" s="5" t="str">
        <f ca="1">IFERROR(__xludf.DUMMYFUNCTION("""COMPUTED_VALUE"""),"شركة اجهزة طبية")</f>
        <v>شركة اجهزة طبية</v>
      </c>
      <c r="F3207" s="5" t="str">
        <f ca="1">IFERROR(__xludf.DUMMYFUNCTION("""COMPUTED_VALUE"""),"مركز بصريات")</f>
        <v>مركز بصريات</v>
      </c>
      <c r="G3207" s="5" t="str">
        <f ca="1">IFERROR(__xludf.DUMMYFUNCTION("""COMPUTED_VALUE"""),"الشركة المصرية للبصريات")</f>
        <v>الشركة المصرية للبصريات</v>
      </c>
      <c r="H3207" s="5" t="str">
        <f ca="1">IFERROR(__xludf.DUMMYFUNCTION("""COMPUTED_VALUE"""),"84 ش عمر لطفي – محطة ترام الإبراهيمية بجوار أكتيف")</f>
        <v>84 ش عمر لطفي – محطة ترام الإبراهيمية بجوار أكتيف</v>
      </c>
      <c r="I3207" s="6" t="str">
        <f ca="1">IFERROR(__xludf.DUMMYFUNCTION("""COMPUTED_VALUE"""),"35905948")</f>
        <v>35905948</v>
      </c>
      <c r="J3207" s="6"/>
      <c r="K3207" s="6" t="str">
        <f ca="1">IFERROR(__xludf.DUMMYFUNCTION("""COMPUTED_VALUE"""),"خصم 35% علي الاسعار النقدي")</f>
        <v>خصم 35% علي الاسعار النقدي</v>
      </c>
    </row>
    <row r="3208" spans="1:11" x14ac:dyDescent="0.25">
      <c r="A3208" s="4" t="str">
        <f ca="1">IFERROR(__xludf.DUMMYFUNCTION("""COMPUTED_VALUE"""),"107494-B")</f>
        <v>107494-B</v>
      </c>
      <c r="B3208" s="5" t="str">
        <f ca="1">IFERROR(__xludf.DUMMYFUNCTION("""COMPUTED_VALUE"""),"الاسكندرية")</f>
        <v>الاسكندرية</v>
      </c>
      <c r="C3208" s="5" t="str">
        <f ca="1">IFERROR(__xludf.DUMMYFUNCTION("""COMPUTED_VALUE"""),"ميامي")</f>
        <v>ميامي</v>
      </c>
      <c r="D3208" s="5" t="str">
        <f ca="1">IFERROR(__xludf.DUMMYFUNCTION("""COMPUTED_VALUE"""),"شركة")</f>
        <v>شركة</v>
      </c>
      <c r="E3208" s="5" t="str">
        <f ca="1">IFERROR(__xludf.DUMMYFUNCTION("""COMPUTED_VALUE"""),"شركة اجهزة طبية")</f>
        <v>شركة اجهزة طبية</v>
      </c>
      <c r="F3208" s="5" t="str">
        <f ca="1">IFERROR(__xludf.DUMMYFUNCTION("""COMPUTED_VALUE"""),"مركز بصريات")</f>
        <v>مركز بصريات</v>
      </c>
      <c r="G3208" s="5" t="str">
        <f ca="1">IFERROR(__xludf.DUMMYFUNCTION("""COMPUTED_VALUE"""),"الشركة المصرية للبصريات")</f>
        <v>الشركة المصرية للبصريات</v>
      </c>
      <c r="H3208" s="5" t="str">
        <f ca="1">IFERROR(__xludf.DUMMYFUNCTION("""COMPUTED_VALUE"""),"272 ش جمال عبد الناصر –أمام حلواني شهد الملكة ميامي")</f>
        <v>272 ش جمال عبد الناصر –أمام حلواني شهد الملكة ميامي</v>
      </c>
      <c r="I3208" s="6" t="str">
        <f ca="1">IFERROR(__xludf.DUMMYFUNCTION("""COMPUTED_VALUE"""),"35487399")</f>
        <v>35487399</v>
      </c>
      <c r="J3208" s="6"/>
      <c r="K3208" s="6" t="str">
        <f ca="1">IFERROR(__xludf.DUMMYFUNCTION("""COMPUTED_VALUE"""),"خصم 35% علي الاسعار النقدي")</f>
        <v>خصم 35% علي الاسعار النقدي</v>
      </c>
    </row>
    <row r="3209" spans="1:11" x14ac:dyDescent="0.25">
      <c r="A3209" s="4" t="str">
        <f ca="1">IFERROR(__xludf.DUMMYFUNCTION("""COMPUTED_VALUE"""),"107494-B")</f>
        <v>107494-B</v>
      </c>
      <c r="B3209" s="5" t="str">
        <f ca="1">IFERROR(__xludf.DUMMYFUNCTION("""COMPUTED_VALUE"""),"الاسكندرية")</f>
        <v>الاسكندرية</v>
      </c>
      <c r="C3209" s="5" t="str">
        <f ca="1">IFERROR(__xludf.DUMMYFUNCTION("""COMPUTED_VALUE"""),"محطة الرمل")</f>
        <v>محطة الرمل</v>
      </c>
      <c r="D3209" s="5" t="str">
        <f ca="1">IFERROR(__xludf.DUMMYFUNCTION("""COMPUTED_VALUE"""),"شركة")</f>
        <v>شركة</v>
      </c>
      <c r="E3209" s="5" t="str">
        <f ca="1">IFERROR(__xludf.DUMMYFUNCTION("""COMPUTED_VALUE"""),"شركة اجهزة طبية")</f>
        <v>شركة اجهزة طبية</v>
      </c>
      <c r="F3209" s="5" t="str">
        <f ca="1">IFERROR(__xludf.DUMMYFUNCTION("""COMPUTED_VALUE"""),"مركز بصريات")</f>
        <v>مركز بصريات</v>
      </c>
      <c r="G3209" s="5" t="str">
        <f ca="1">IFERROR(__xludf.DUMMYFUNCTION("""COMPUTED_VALUE"""),"الشركة المصرية للبصريات")</f>
        <v>الشركة المصرية للبصريات</v>
      </c>
      <c r="H3209" s="5" t="str">
        <f ca="1">IFERROR(__xludf.DUMMYFUNCTION("""COMPUTED_VALUE"""),"4 ش السلطان حسين – الدور الاول فوق عصير مكة – امام كشري عالسخن")</f>
        <v>4 ش السلطان حسين – الدور الاول فوق عصير مكة – امام كشري عالسخن</v>
      </c>
      <c r="I3209" s="6" t="str">
        <f ca="1">IFERROR(__xludf.DUMMYFUNCTION("""COMPUTED_VALUE"""),"34858382")</f>
        <v>34858382</v>
      </c>
      <c r="J3209" s="6"/>
      <c r="K3209" s="6" t="str">
        <f ca="1">IFERROR(__xludf.DUMMYFUNCTION("""COMPUTED_VALUE"""),"خصم 35% علي الاسعار النقدي")</f>
        <v>خصم 35% علي الاسعار النقدي</v>
      </c>
    </row>
    <row r="3210" spans="1:11" x14ac:dyDescent="0.25">
      <c r="A3210" s="4" t="str">
        <f ca="1">IFERROR(__xludf.DUMMYFUNCTION("""COMPUTED_VALUE"""),"107494-B")</f>
        <v>107494-B</v>
      </c>
      <c r="B3210" s="5" t="str">
        <f ca="1">IFERROR(__xludf.DUMMYFUNCTION("""COMPUTED_VALUE"""),"الاسكندرية")</f>
        <v>الاسكندرية</v>
      </c>
      <c r="C3210" s="5" t="str">
        <f ca="1">IFERROR(__xludf.DUMMYFUNCTION("""COMPUTED_VALUE"""),"العجمي")</f>
        <v>العجمي</v>
      </c>
      <c r="D3210" s="5" t="str">
        <f ca="1">IFERROR(__xludf.DUMMYFUNCTION("""COMPUTED_VALUE"""),"شركة")</f>
        <v>شركة</v>
      </c>
      <c r="E3210" s="5" t="str">
        <f ca="1">IFERROR(__xludf.DUMMYFUNCTION("""COMPUTED_VALUE"""),"شركة اجهزة طبية")</f>
        <v>شركة اجهزة طبية</v>
      </c>
      <c r="F3210" s="5" t="str">
        <f ca="1">IFERROR(__xludf.DUMMYFUNCTION("""COMPUTED_VALUE"""),"مركز بصريات")</f>
        <v>مركز بصريات</v>
      </c>
      <c r="G3210" s="5" t="str">
        <f ca="1">IFERROR(__xludf.DUMMYFUNCTION("""COMPUTED_VALUE"""),"الشركة المصرية للبصريات")</f>
        <v>الشركة المصرية للبصريات</v>
      </c>
      <c r="H3210" s="5" t="str">
        <f ca="1">IFERROR(__xludf.DUMMYFUNCTION("""COMPUTED_VALUE"""),"أليكس سيتي مول ( كارفور ) الدور الثاني أمام أكتيف أبو علاء")</f>
        <v>أليكس سيتي مول ( كارفور ) الدور الثاني أمام أكتيف أبو علاء</v>
      </c>
      <c r="I3210" s="6" t="str">
        <f ca="1">IFERROR(__xludf.DUMMYFUNCTION("""COMPUTED_VALUE"""),"34149282")</f>
        <v>34149282</v>
      </c>
      <c r="J3210" s="6"/>
      <c r="K3210" s="6" t="str">
        <f ca="1">IFERROR(__xludf.DUMMYFUNCTION("""COMPUTED_VALUE"""),"خصم 35% علي الاسعار النقدي")</f>
        <v>خصم 35% علي الاسعار النقدي</v>
      </c>
    </row>
    <row r="3211" spans="1:11" x14ac:dyDescent="0.25">
      <c r="A3211" s="4" t="str">
        <f ca="1">IFERROR(__xludf.DUMMYFUNCTION("""COMPUTED_VALUE"""),"107494-B")</f>
        <v>107494-B</v>
      </c>
      <c r="B3211" s="5" t="str">
        <f ca="1">IFERROR(__xludf.DUMMYFUNCTION("""COMPUTED_VALUE"""),"الاسكندرية")</f>
        <v>الاسكندرية</v>
      </c>
      <c r="C3211" s="5" t="str">
        <f ca="1">IFERROR(__xludf.DUMMYFUNCTION("""COMPUTED_VALUE"""),"الابراهيمية")</f>
        <v>الابراهيمية</v>
      </c>
      <c r="D3211" s="5" t="str">
        <f ca="1">IFERROR(__xludf.DUMMYFUNCTION("""COMPUTED_VALUE"""),"شركة")</f>
        <v>شركة</v>
      </c>
      <c r="E3211" s="5" t="str">
        <f ca="1">IFERROR(__xludf.DUMMYFUNCTION("""COMPUTED_VALUE"""),"شركة اجهزة طبية")</f>
        <v>شركة اجهزة طبية</v>
      </c>
      <c r="F3211" s="5" t="str">
        <f ca="1">IFERROR(__xludf.DUMMYFUNCTION("""COMPUTED_VALUE"""),"مركز بصريات")</f>
        <v>مركز بصريات</v>
      </c>
      <c r="G3211" s="5" t="str">
        <f ca="1">IFERROR(__xludf.DUMMYFUNCTION("""COMPUTED_VALUE"""),"الشركة المصرية للبصريات")</f>
        <v>الشركة المصرية للبصريات</v>
      </c>
      <c r="H3211" s="5" t="str">
        <f ca="1">IFERROR(__xludf.DUMMYFUNCTION("""COMPUTED_VALUE"""),"11 ش محمود حسن فهمي الإبراهيمية بجوار فتح الله الريفيرا")</f>
        <v>11 ش محمود حسن فهمي الإبراهيمية بجوار فتح الله الريفيرا</v>
      </c>
      <c r="I3211" s="6" t="str">
        <f ca="1">IFERROR(__xludf.DUMMYFUNCTION("""COMPUTED_VALUE"""),"34203266")</f>
        <v>34203266</v>
      </c>
      <c r="J3211" s="6"/>
      <c r="K3211" s="6" t="str">
        <f ca="1">IFERROR(__xludf.DUMMYFUNCTION("""COMPUTED_VALUE"""),"خصم 35% علي الاسعار النقدي")</f>
        <v>خصم 35% علي الاسعار النقدي</v>
      </c>
    </row>
    <row r="3212" spans="1:11" x14ac:dyDescent="0.25">
      <c r="A3212" s="4" t="str">
        <f ca="1">IFERROR(__xludf.DUMMYFUNCTION("""COMPUTED_VALUE"""),"107494-B")</f>
        <v>107494-B</v>
      </c>
      <c r="B3212" s="5" t="str">
        <f ca="1">IFERROR(__xludf.DUMMYFUNCTION("""COMPUTED_VALUE"""),"الاسكندرية")</f>
        <v>الاسكندرية</v>
      </c>
      <c r="C3212" s="5" t="str">
        <f ca="1">IFERROR(__xludf.DUMMYFUNCTION("""COMPUTED_VALUE"""),"البيطاش")</f>
        <v>البيطاش</v>
      </c>
      <c r="D3212" s="5" t="str">
        <f ca="1">IFERROR(__xludf.DUMMYFUNCTION("""COMPUTED_VALUE"""),"شركة")</f>
        <v>شركة</v>
      </c>
      <c r="E3212" s="5" t="str">
        <f ca="1">IFERROR(__xludf.DUMMYFUNCTION("""COMPUTED_VALUE"""),"شركة اجهزة طبية")</f>
        <v>شركة اجهزة طبية</v>
      </c>
      <c r="F3212" s="5" t="str">
        <f ca="1">IFERROR(__xludf.DUMMYFUNCTION("""COMPUTED_VALUE"""),"مركز بصريات")</f>
        <v>مركز بصريات</v>
      </c>
      <c r="G3212" s="5" t="str">
        <f ca="1">IFERROR(__xludf.DUMMYFUNCTION("""COMPUTED_VALUE"""),"الشركة المصرية للبصريات")</f>
        <v>الشركة المصرية للبصريات</v>
      </c>
      <c r="H3212" s="5" t="str">
        <f ca="1">IFERROR(__xludf.DUMMYFUNCTION("""COMPUTED_VALUE"""),"55 ش البيطاش الرئيسي بجوار البنك الأهلي")</f>
        <v>55 ش البيطاش الرئيسي بجوار البنك الأهلي</v>
      </c>
      <c r="I3212" s="6" t="str">
        <f ca="1">IFERROR(__xludf.DUMMYFUNCTION("""COMPUTED_VALUE"""),"33092219")</f>
        <v>33092219</v>
      </c>
      <c r="J3212" s="6"/>
      <c r="K3212" s="6" t="str">
        <f ca="1">IFERROR(__xludf.DUMMYFUNCTION("""COMPUTED_VALUE"""),"خصم 35% علي الاسعار النقدي")</f>
        <v>خصم 35% علي الاسعار النقدي</v>
      </c>
    </row>
    <row r="3213" spans="1:11" x14ac:dyDescent="0.25">
      <c r="A3213" s="4" t="str">
        <f ca="1">IFERROR(__xludf.DUMMYFUNCTION("""COMPUTED_VALUE"""),"107494-B")</f>
        <v>107494-B</v>
      </c>
      <c r="B3213" s="5" t="str">
        <f ca="1">IFERROR(__xludf.DUMMYFUNCTION("""COMPUTED_VALUE"""),"الاسكندرية")</f>
        <v>الاسكندرية</v>
      </c>
      <c r="C3213" s="5" t="str">
        <f ca="1">IFERROR(__xludf.DUMMYFUNCTION("""COMPUTED_VALUE"""),"العصافرة")</f>
        <v>العصافرة</v>
      </c>
      <c r="D3213" s="5" t="str">
        <f ca="1">IFERROR(__xludf.DUMMYFUNCTION("""COMPUTED_VALUE"""),"شركة")</f>
        <v>شركة</v>
      </c>
      <c r="E3213" s="5" t="str">
        <f ca="1">IFERROR(__xludf.DUMMYFUNCTION("""COMPUTED_VALUE"""),"شركة اجهزة طبية")</f>
        <v>شركة اجهزة طبية</v>
      </c>
      <c r="F3213" s="5" t="str">
        <f ca="1">IFERROR(__xludf.DUMMYFUNCTION("""COMPUTED_VALUE"""),"مركز بصريات")</f>
        <v>مركز بصريات</v>
      </c>
      <c r="G3213" s="5" t="str">
        <f ca="1">IFERROR(__xludf.DUMMYFUNCTION("""COMPUTED_VALUE"""),"الشركة المصرية للبصريات")</f>
        <v>الشركة المصرية للبصريات</v>
      </c>
      <c r="H3213" s="5" t="str">
        <f ca="1">IFERROR(__xludf.DUMMYFUNCTION("""COMPUTED_VALUE"""),"داخل مستشفي مبره العصافره شرق - الدور التاسع قسم الرمد و جراحة العيون")</f>
        <v>داخل مستشفي مبره العصافره شرق - الدور التاسع قسم الرمد و جراحة العيون</v>
      </c>
      <c r="I3213" s="6"/>
      <c r="J3213" s="6"/>
      <c r="K3213" s="6" t="str">
        <f ca="1">IFERROR(__xludf.DUMMYFUNCTION("""COMPUTED_VALUE"""),"خصم 35% علي الاسعار النقدي")</f>
        <v>خصم 35% علي الاسعار النقدي</v>
      </c>
    </row>
    <row r="3214" spans="1:11" x14ac:dyDescent="0.25">
      <c r="A3214" s="4" t="str">
        <f ca="1">IFERROR(__xludf.DUMMYFUNCTION("""COMPUTED_VALUE"""),"107494-B")</f>
        <v>107494-B</v>
      </c>
      <c r="B3214" s="5" t="str">
        <f ca="1">IFERROR(__xludf.DUMMYFUNCTION("""COMPUTED_VALUE"""),"الاسكندرية")</f>
        <v>الاسكندرية</v>
      </c>
      <c r="C3214" s="5" t="str">
        <f ca="1">IFERROR(__xludf.DUMMYFUNCTION("""COMPUTED_VALUE"""),"المنتزة")</f>
        <v>المنتزة</v>
      </c>
      <c r="D3214" s="5" t="str">
        <f ca="1">IFERROR(__xludf.DUMMYFUNCTION("""COMPUTED_VALUE"""),"شركة")</f>
        <v>شركة</v>
      </c>
      <c r="E3214" s="5" t="str">
        <f ca="1">IFERROR(__xludf.DUMMYFUNCTION("""COMPUTED_VALUE"""),"شركة اجهزة طبية")</f>
        <v>شركة اجهزة طبية</v>
      </c>
      <c r="F3214" s="5" t="str">
        <f ca="1">IFERROR(__xludf.DUMMYFUNCTION("""COMPUTED_VALUE"""),"مركز بصريات")</f>
        <v>مركز بصريات</v>
      </c>
      <c r="G3214" s="5" t="str">
        <f ca="1">IFERROR(__xludf.DUMMYFUNCTION("""COMPUTED_VALUE"""),"الشركة المصرية للبصريات")</f>
        <v>الشركة المصرية للبصريات</v>
      </c>
      <c r="H3214" s="5" t="str">
        <f ca="1">IFERROR(__xludf.DUMMYFUNCTION("""COMPUTED_VALUE"""),"ش جلال حماد متفرع من خليل حمادة أمام مسجد شرق المدينة خلف كنيسة القديسين")</f>
        <v>ش جلال حماد متفرع من خليل حمادة أمام مسجد شرق المدينة خلف كنيسة القديسين</v>
      </c>
      <c r="I3214" s="6" t="str">
        <f ca="1">IFERROR(__xludf.DUMMYFUNCTION("""COMPUTED_VALUE"""),"35523728")</f>
        <v>35523728</v>
      </c>
      <c r="J3214" s="6"/>
      <c r="K3214" s="6" t="str">
        <f ca="1">IFERROR(__xludf.DUMMYFUNCTION("""COMPUTED_VALUE"""),"خصم 35% علي الاسعار النقدي")</f>
        <v>خصم 35% علي الاسعار النقدي</v>
      </c>
    </row>
    <row r="3215" spans="1:11" x14ac:dyDescent="0.25">
      <c r="A3215" s="4" t="str">
        <f ca="1">IFERROR(__xludf.DUMMYFUNCTION("""COMPUTED_VALUE"""),"107494-B")</f>
        <v>107494-B</v>
      </c>
      <c r="B3215" s="5" t="str">
        <f ca="1">IFERROR(__xludf.DUMMYFUNCTION("""COMPUTED_VALUE"""),"الاسكندرية")</f>
        <v>الاسكندرية</v>
      </c>
      <c r="C3215" s="5" t="str">
        <f ca="1">IFERROR(__xludf.DUMMYFUNCTION("""COMPUTED_VALUE"""),"المنتزة")</f>
        <v>المنتزة</v>
      </c>
      <c r="D3215" s="5" t="str">
        <f ca="1">IFERROR(__xludf.DUMMYFUNCTION("""COMPUTED_VALUE"""),"شركة")</f>
        <v>شركة</v>
      </c>
      <c r="E3215" s="5" t="str">
        <f ca="1">IFERROR(__xludf.DUMMYFUNCTION("""COMPUTED_VALUE"""),"شركة اجهزة طبية")</f>
        <v>شركة اجهزة طبية</v>
      </c>
      <c r="F3215" s="5" t="str">
        <f ca="1">IFERROR(__xludf.DUMMYFUNCTION("""COMPUTED_VALUE"""),"مركز بصريات")</f>
        <v>مركز بصريات</v>
      </c>
      <c r="G3215" s="5" t="str">
        <f ca="1">IFERROR(__xludf.DUMMYFUNCTION("""COMPUTED_VALUE"""),"الشركة المصرية للبصريات")</f>
        <v>الشركة المصرية للبصريات</v>
      </c>
      <c r="H3215" s="5" t="str">
        <f ca="1">IFERROR(__xludf.DUMMYFUNCTION("""COMPUTED_VALUE"""),"أول شارع الزوايده أمام محطة البنزين")</f>
        <v>أول شارع الزوايده أمام محطة البنزين</v>
      </c>
      <c r="I3215" s="6"/>
      <c r="J3215" s="6"/>
      <c r="K3215" s="6" t="str">
        <f ca="1">IFERROR(__xludf.DUMMYFUNCTION("""COMPUTED_VALUE"""),"خصم 35% علي الاسعار النقدي")</f>
        <v>خصم 35% علي الاسعار النقدي</v>
      </c>
    </row>
    <row r="3216" spans="1:11" x14ac:dyDescent="0.25">
      <c r="A3216" s="4" t="str">
        <f ca="1">IFERROR(__xludf.DUMMYFUNCTION("""COMPUTED_VALUE"""),"107494-B")</f>
        <v>107494-B</v>
      </c>
      <c r="B3216" s="5" t="str">
        <f ca="1">IFERROR(__xludf.DUMMYFUNCTION("""COMPUTED_VALUE"""),"الاسكندرية")</f>
        <v>الاسكندرية</v>
      </c>
      <c r="C3216" s="5" t="str">
        <f ca="1">IFERROR(__xludf.DUMMYFUNCTION("""COMPUTED_VALUE"""),"بولكي")</f>
        <v>بولكي</v>
      </c>
      <c r="D3216" s="5" t="str">
        <f ca="1">IFERROR(__xludf.DUMMYFUNCTION("""COMPUTED_VALUE"""),"شركة")</f>
        <v>شركة</v>
      </c>
      <c r="E3216" s="5" t="str">
        <f ca="1">IFERROR(__xludf.DUMMYFUNCTION("""COMPUTED_VALUE"""),"شركة اجهزة طبية")</f>
        <v>شركة اجهزة طبية</v>
      </c>
      <c r="F3216" s="5" t="str">
        <f ca="1">IFERROR(__xludf.DUMMYFUNCTION("""COMPUTED_VALUE"""),"مركز بصريات")</f>
        <v>مركز بصريات</v>
      </c>
      <c r="G3216" s="5" t="str">
        <f ca="1">IFERROR(__xludf.DUMMYFUNCTION("""COMPUTED_VALUE"""),"الشركة المصرية للبصريات")</f>
        <v>الشركة المصرية للبصريات</v>
      </c>
      <c r="H3216" s="5" t="str">
        <f ca="1">IFERROR(__xludf.DUMMYFUNCTION("""COMPUTED_VALUE"""),"75 ش الطيار أحمد سعود بوكلي بجوار مستشفي إبراهيم ندا")</f>
        <v>75 ش الطيار أحمد سعود بوكلي بجوار مستشفي إبراهيم ندا</v>
      </c>
      <c r="I3216" s="6" t="str">
        <f ca="1">IFERROR(__xludf.DUMMYFUNCTION("""COMPUTED_VALUE"""),"5444143")</f>
        <v>5444143</v>
      </c>
      <c r="J3216" s="6"/>
      <c r="K3216" s="6" t="str">
        <f ca="1">IFERROR(__xludf.DUMMYFUNCTION("""COMPUTED_VALUE"""),"خصم 35% علي الاسعار النقدي")</f>
        <v>خصم 35% علي الاسعار النقدي</v>
      </c>
    </row>
    <row r="3217" spans="1:11" x14ac:dyDescent="0.25">
      <c r="A3217" s="4" t="str">
        <f ca="1">IFERROR(__xludf.DUMMYFUNCTION("""COMPUTED_VALUE"""),"107494-B")</f>
        <v>107494-B</v>
      </c>
      <c r="B3217" s="5" t="str">
        <f ca="1">IFERROR(__xludf.DUMMYFUNCTION("""COMPUTED_VALUE"""),"الاسكندرية")</f>
        <v>الاسكندرية</v>
      </c>
      <c r="C3217" s="5" t="str">
        <f ca="1">IFERROR(__xludf.DUMMYFUNCTION("""COMPUTED_VALUE"""),"سيدي جابر")</f>
        <v>سيدي جابر</v>
      </c>
      <c r="D3217" s="5" t="str">
        <f ca="1">IFERROR(__xludf.DUMMYFUNCTION("""COMPUTED_VALUE"""),"شركة")</f>
        <v>شركة</v>
      </c>
      <c r="E3217" s="5" t="str">
        <f ca="1">IFERROR(__xludf.DUMMYFUNCTION("""COMPUTED_VALUE"""),"شركة اجهزة طبية")</f>
        <v>شركة اجهزة طبية</v>
      </c>
      <c r="F3217" s="5" t="str">
        <f ca="1">IFERROR(__xludf.DUMMYFUNCTION("""COMPUTED_VALUE"""),"مركز بصريات")</f>
        <v>مركز بصريات</v>
      </c>
      <c r="G3217" s="5" t="str">
        <f ca="1">IFERROR(__xludf.DUMMYFUNCTION("""COMPUTED_VALUE"""),"الشركة المصرية للبصريات")</f>
        <v>الشركة المصرية للبصريات</v>
      </c>
      <c r="H3217" s="5" t="str">
        <f ca="1">IFERROR(__xludf.DUMMYFUNCTION("""COMPUTED_VALUE"""),"ش المشير سيدي جابر")</f>
        <v>ش المشير سيدي جابر</v>
      </c>
      <c r="I3217" s="6" t="str">
        <f ca="1">IFERROR(__xludf.DUMMYFUNCTION("""COMPUTED_VALUE"""),"35240020")</f>
        <v>35240020</v>
      </c>
      <c r="J3217" s="6"/>
      <c r="K3217" s="6" t="str">
        <f ca="1">IFERROR(__xludf.DUMMYFUNCTION("""COMPUTED_VALUE"""),"خصم 35% علي الاسعار النقدي")</f>
        <v>خصم 35% علي الاسعار النقدي</v>
      </c>
    </row>
    <row r="3218" spans="1:11" x14ac:dyDescent="0.25">
      <c r="A3218" s="4" t="str">
        <f ca="1">IFERROR(__xludf.DUMMYFUNCTION("""COMPUTED_VALUE"""),"107494-B")</f>
        <v>107494-B</v>
      </c>
      <c r="B3218" s="5" t="str">
        <f ca="1">IFERROR(__xludf.DUMMYFUNCTION("""COMPUTED_VALUE"""),"الاسكندرية")</f>
        <v>الاسكندرية</v>
      </c>
      <c r="C3218" s="5" t="str">
        <f ca="1">IFERROR(__xludf.DUMMYFUNCTION("""COMPUTED_VALUE"""),"الدخيلة")</f>
        <v>الدخيلة</v>
      </c>
      <c r="D3218" s="5" t="str">
        <f ca="1">IFERROR(__xludf.DUMMYFUNCTION("""COMPUTED_VALUE"""),"شركة")</f>
        <v>شركة</v>
      </c>
      <c r="E3218" s="5" t="str">
        <f ca="1">IFERROR(__xludf.DUMMYFUNCTION("""COMPUTED_VALUE"""),"شركة اجهزة طبية")</f>
        <v>شركة اجهزة طبية</v>
      </c>
      <c r="F3218" s="5" t="str">
        <f ca="1">IFERROR(__xludf.DUMMYFUNCTION("""COMPUTED_VALUE"""),"مركز بصريات")</f>
        <v>مركز بصريات</v>
      </c>
      <c r="G3218" s="5" t="str">
        <f ca="1">IFERROR(__xludf.DUMMYFUNCTION("""COMPUTED_VALUE"""),"الشركة المصرية للبصريات")</f>
        <v>الشركة المصرية للبصريات</v>
      </c>
      <c r="H3218" s="5" t="str">
        <f ca="1">IFERROR(__xludf.DUMMYFUNCTION("""COMPUTED_VALUE"""),"العجمي: اول شارع الحديد و الصلب أسفل معمل الشرق الأوسط")</f>
        <v>العجمي: اول شارع الحديد و الصلب أسفل معمل الشرق الأوسط</v>
      </c>
      <c r="I3218" s="6" t="str">
        <f ca="1">IFERROR(__xludf.DUMMYFUNCTION("""COMPUTED_VALUE"""),"34315858")</f>
        <v>34315858</v>
      </c>
      <c r="J3218" s="6"/>
      <c r="K3218" s="6" t="str">
        <f ca="1">IFERROR(__xludf.DUMMYFUNCTION("""COMPUTED_VALUE"""),"خصم 35% علي الاسعار النقدي")</f>
        <v>خصم 35% علي الاسعار النقدي</v>
      </c>
    </row>
    <row r="3219" spans="1:11" x14ac:dyDescent="0.25">
      <c r="A3219" s="4" t="str">
        <f ca="1">IFERROR(__xludf.DUMMYFUNCTION("""COMPUTED_VALUE"""),"107494-B")</f>
        <v>107494-B</v>
      </c>
      <c r="B3219" s="5" t="str">
        <f ca="1">IFERROR(__xludf.DUMMYFUNCTION("""COMPUTED_VALUE"""),"الاسكندرية")</f>
        <v>الاسكندرية</v>
      </c>
      <c r="C3219" s="5" t="str">
        <f ca="1">IFERROR(__xludf.DUMMYFUNCTION("""COMPUTED_VALUE"""),"برج العرب")</f>
        <v>برج العرب</v>
      </c>
      <c r="D3219" s="5" t="str">
        <f ca="1">IFERROR(__xludf.DUMMYFUNCTION("""COMPUTED_VALUE"""),"شركة")</f>
        <v>شركة</v>
      </c>
      <c r="E3219" s="5" t="str">
        <f ca="1">IFERROR(__xludf.DUMMYFUNCTION("""COMPUTED_VALUE"""),"شركة اجهزة طبية")</f>
        <v>شركة اجهزة طبية</v>
      </c>
      <c r="F3219" s="5" t="str">
        <f ca="1">IFERROR(__xludf.DUMMYFUNCTION("""COMPUTED_VALUE"""),"مركز بصريات")</f>
        <v>مركز بصريات</v>
      </c>
      <c r="G3219" s="5" t="str">
        <f ca="1">IFERROR(__xludf.DUMMYFUNCTION("""COMPUTED_VALUE"""),"الشركة المصرية للبصريات")</f>
        <v>الشركة المصرية للبصريات</v>
      </c>
      <c r="H3219" s="5" t="str">
        <f ca="1">IFERROR(__xludf.DUMMYFUNCTION("""COMPUTED_VALUE"""),"محل رقم 10 الدور الأرضي - مول برج العرب - المركز التجاري الرئيسي - المجاورة الثالثة - الحي السكني الأول - مدينة برج العرب الجديدة")</f>
        <v>محل رقم 10 الدور الأرضي - مول برج العرب - المركز التجاري الرئيسي - المجاورة الثالثة - الحي السكني الأول - مدينة برج العرب الجديدة</v>
      </c>
      <c r="I3219" s="6"/>
      <c r="J3219" s="6"/>
      <c r="K3219" s="6" t="str">
        <f ca="1">IFERROR(__xludf.DUMMYFUNCTION("""COMPUTED_VALUE"""),"خصم 35% علي الاسعار النقدي")</f>
        <v>خصم 35% علي الاسعار النقدي</v>
      </c>
    </row>
    <row r="3220" spans="1:11" x14ac:dyDescent="0.25">
      <c r="A3220" s="4" t="str">
        <f ca="1">IFERROR(__xludf.DUMMYFUNCTION("""COMPUTED_VALUE"""),"107494-B")</f>
        <v>107494-B</v>
      </c>
      <c r="B3220" s="5" t="str">
        <f ca="1">IFERROR(__xludf.DUMMYFUNCTION("""COMPUTED_VALUE"""),"الاسكندرية")</f>
        <v>الاسكندرية</v>
      </c>
      <c r="C3220" s="5" t="str">
        <f ca="1">IFERROR(__xludf.DUMMYFUNCTION("""COMPUTED_VALUE"""),"محرم بيك")</f>
        <v>محرم بيك</v>
      </c>
      <c r="D3220" s="5" t="str">
        <f ca="1">IFERROR(__xludf.DUMMYFUNCTION("""COMPUTED_VALUE"""),"شركة")</f>
        <v>شركة</v>
      </c>
      <c r="E3220" s="5" t="str">
        <f ca="1">IFERROR(__xludf.DUMMYFUNCTION("""COMPUTED_VALUE"""),"شركة اجهزة طبية")</f>
        <v>شركة اجهزة طبية</v>
      </c>
      <c r="F3220" s="5" t="str">
        <f ca="1">IFERROR(__xludf.DUMMYFUNCTION("""COMPUTED_VALUE"""),"مركز بصريات")</f>
        <v>مركز بصريات</v>
      </c>
      <c r="G3220" s="5" t="str">
        <f ca="1">IFERROR(__xludf.DUMMYFUNCTION("""COMPUTED_VALUE"""),"الشركة المصرية للبصريات")</f>
        <v>الشركة المصرية للبصريات</v>
      </c>
      <c r="H3220" s="5" t="str">
        <f ca="1">IFERROR(__xludf.DUMMYFUNCTION("""COMPUTED_VALUE"""),"28 شارع محرم بك - بجوار بي تك")</f>
        <v>28 شارع محرم بك - بجوار بي تك</v>
      </c>
      <c r="I3220" s="6" t="str">
        <f ca="1">IFERROR(__xludf.DUMMYFUNCTION("""COMPUTED_VALUE"""),"3914047")</f>
        <v>3914047</v>
      </c>
      <c r="J3220" s="6"/>
      <c r="K3220" s="6" t="str">
        <f ca="1">IFERROR(__xludf.DUMMYFUNCTION("""COMPUTED_VALUE"""),"خصم 35% علي الاسعار النقدي")</f>
        <v>خصم 35% علي الاسعار النقدي</v>
      </c>
    </row>
    <row r="3221" spans="1:11" x14ac:dyDescent="0.25">
      <c r="A3221" s="4" t="str">
        <f ca="1">IFERROR(__xludf.DUMMYFUNCTION("""COMPUTED_VALUE"""),"107494-B")</f>
        <v>107494-B</v>
      </c>
      <c r="B3221" s="5" t="str">
        <f ca="1">IFERROR(__xludf.DUMMYFUNCTION("""COMPUTED_VALUE"""),"الاسكندرية")</f>
        <v>الاسكندرية</v>
      </c>
      <c r="C3221" s="5" t="str">
        <f ca="1">IFERROR(__xludf.DUMMYFUNCTION("""COMPUTED_VALUE"""),"ميامي")</f>
        <v>ميامي</v>
      </c>
      <c r="D3221" s="5" t="str">
        <f ca="1">IFERROR(__xludf.DUMMYFUNCTION("""COMPUTED_VALUE"""),"شركة")</f>
        <v>شركة</v>
      </c>
      <c r="E3221" s="5" t="str">
        <f ca="1">IFERROR(__xludf.DUMMYFUNCTION("""COMPUTED_VALUE"""),"شركة اجهزة طبية")</f>
        <v>شركة اجهزة طبية</v>
      </c>
      <c r="F3221" s="5" t="str">
        <f ca="1">IFERROR(__xludf.DUMMYFUNCTION("""COMPUTED_VALUE"""),"مركز بصريات")</f>
        <v>مركز بصريات</v>
      </c>
      <c r="G3221" s="5" t="str">
        <f ca="1">IFERROR(__xludf.DUMMYFUNCTION("""COMPUTED_VALUE"""),"الشركة المصرية للبصريات")</f>
        <v>الشركة المصرية للبصريات</v>
      </c>
      <c r="H3221" s="5" t="str">
        <f ca="1">IFERROR(__xludf.DUMMYFUNCTION("""COMPUTED_VALUE"""),"59 ش اسكندر ابراهيم – امام كنتاكى")</f>
        <v>59 ش اسكندر ابراهيم – امام كنتاكى</v>
      </c>
      <c r="I3221" s="6" t="str">
        <f ca="1">IFERROR(__xludf.DUMMYFUNCTION("""COMPUTED_VALUE"""),"35522633")</f>
        <v>35522633</v>
      </c>
      <c r="J3221" s="6"/>
      <c r="K3221" s="6" t="str">
        <f ca="1">IFERROR(__xludf.DUMMYFUNCTION("""COMPUTED_VALUE"""),"خصم 35% علي الاسعار النقدي")</f>
        <v>خصم 35% علي الاسعار النقدي</v>
      </c>
    </row>
    <row r="3222" spans="1:11" x14ac:dyDescent="0.25">
      <c r="A3222" s="4" t="str">
        <f ca="1">IFERROR(__xludf.DUMMYFUNCTION("""COMPUTED_VALUE"""),"107494-B")</f>
        <v>107494-B</v>
      </c>
      <c r="B3222" s="5" t="str">
        <f ca="1">IFERROR(__xludf.DUMMYFUNCTION("""COMPUTED_VALUE"""),"الاسكندرية")</f>
        <v>الاسكندرية</v>
      </c>
      <c r="C3222" s="5" t="str">
        <f ca="1">IFERROR(__xludf.DUMMYFUNCTION("""COMPUTED_VALUE"""),"سموحة")</f>
        <v>سموحة</v>
      </c>
      <c r="D3222" s="5" t="str">
        <f ca="1">IFERROR(__xludf.DUMMYFUNCTION("""COMPUTED_VALUE"""),"شركة")</f>
        <v>شركة</v>
      </c>
      <c r="E3222" s="5" t="str">
        <f ca="1">IFERROR(__xludf.DUMMYFUNCTION("""COMPUTED_VALUE"""),"شركة اجهزة طبية")</f>
        <v>شركة اجهزة طبية</v>
      </c>
      <c r="F3222" s="5" t="str">
        <f ca="1">IFERROR(__xludf.DUMMYFUNCTION("""COMPUTED_VALUE"""),"مركز بصريات")</f>
        <v>مركز بصريات</v>
      </c>
      <c r="G3222" s="5" t="str">
        <f ca="1">IFERROR(__xludf.DUMMYFUNCTION("""COMPUTED_VALUE"""),"الشركة المصرية للبصريات")</f>
        <v>الشركة المصرية للبصريات</v>
      </c>
      <c r="H3222" s="5" t="str">
        <f ca="1">IFERROR(__xludf.DUMMYFUNCTION("""COMPUTED_VALUE"""),"19 ش فيكتور عمانويل – ابراج القضاه ميدان فيكتور عمانويل بجوار المصرية للاتصالات - امام بوابة نادى سموحه")</f>
        <v>19 ش فيكتور عمانويل – ابراج القضاه ميدان فيكتور عمانويل بجوار المصرية للاتصالات - امام بوابة نادى سموحه</v>
      </c>
      <c r="I3222" s="6" t="str">
        <f ca="1">IFERROR(__xludf.DUMMYFUNCTION("""COMPUTED_VALUE"""),"34276611")</f>
        <v>34276611</v>
      </c>
      <c r="J3222" s="6"/>
      <c r="K3222" s="6" t="str">
        <f ca="1">IFERROR(__xludf.DUMMYFUNCTION("""COMPUTED_VALUE"""),"خصم 35% علي الاسعار النقدي")</f>
        <v>خصم 35% علي الاسعار النقدي</v>
      </c>
    </row>
    <row r="3223" spans="1:11" x14ac:dyDescent="0.25">
      <c r="A3223" s="4" t="str">
        <f ca="1">IFERROR(__xludf.DUMMYFUNCTION("""COMPUTED_VALUE"""),"107494-B")</f>
        <v>107494-B</v>
      </c>
      <c r="B3223" s="5" t="str">
        <f ca="1">IFERROR(__xludf.DUMMYFUNCTION("""COMPUTED_VALUE"""),"الاسكندرية")</f>
        <v>الاسكندرية</v>
      </c>
      <c r="C3223" s="5" t="str">
        <f ca="1">IFERROR(__xludf.DUMMYFUNCTION("""COMPUTED_VALUE"""),"جناكليس")</f>
        <v>جناكليس</v>
      </c>
      <c r="D3223" s="5" t="str">
        <f ca="1">IFERROR(__xludf.DUMMYFUNCTION("""COMPUTED_VALUE"""),"شركة")</f>
        <v>شركة</v>
      </c>
      <c r="E3223" s="5" t="str">
        <f ca="1">IFERROR(__xludf.DUMMYFUNCTION("""COMPUTED_VALUE"""),"شركة اجهزة طبية")</f>
        <v>شركة اجهزة طبية</v>
      </c>
      <c r="F3223" s="5" t="str">
        <f ca="1">IFERROR(__xludf.DUMMYFUNCTION("""COMPUTED_VALUE"""),"مركز بصريات")</f>
        <v>مركز بصريات</v>
      </c>
      <c r="G3223" s="5" t="str">
        <f ca="1">IFERROR(__xludf.DUMMYFUNCTION("""COMPUTED_VALUE"""),"الشركة المصرية للبصريات")</f>
        <v>الشركة المصرية للبصريات</v>
      </c>
      <c r="H3223" s="5" t="str">
        <f ca="1">IFERROR(__xludf.DUMMYFUNCTION("""COMPUTED_VALUE"""),"ش مرتضى – برج الخليج – بجوار صيدلية الطيبي")</f>
        <v>ش مرتضى – برج الخليج – بجوار صيدلية الطيبي</v>
      </c>
      <c r="I3223" s="6" t="str">
        <f ca="1">IFERROR(__xludf.DUMMYFUNCTION("""COMPUTED_VALUE"""),"35778696")</f>
        <v>35778696</v>
      </c>
      <c r="J3223" s="6"/>
      <c r="K3223" s="6" t="str">
        <f ca="1">IFERROR(__xludf.DUMMYFUNCTION("""COMPUTED_VALUE"""),"خصم 35% علي الاسعار النقدي")</f>
        <v>خصم 35% علي الاسعار النقدي</v>
      </c>
    </row>
    <row r="3224" spans="1:11" x14ac:dyDescent="0.25">
      <c r="A3224" s="4" t="str">
        <f ca="1">IFERROR(__xludf.DUMMYFUNCTION("""COMPUTED_VALUE"""),"107494-B")</f>
        <v>107494-B</v>
      </c>
      <c r="B3224" s="5" t="str">
        <f ca="1">IFERROR(__xludf.DUMMYFUNCTION("""COMPUTED_VALUE"""),"الاسكندرية")</f>
        <v>الاسكندرية</v>
      </c>
      <c r="C3224" s="5" t="str">
        <f ca="1">IFERROR(__xludf.DUMMYFUNCTION("""COMPUTED_VALUE"""),"مصطفى كامل")</f>
        <v>مصطفى كامل</v>
      </c>
      <c r="D3224" s="5" t="str">
        <f ca="1">IFERROR(__xludf.DUMMYFUNCTION("""COMPUTED_VALUE"""),"شركة")</f>
        <v>شركة</v>
      </c>
      <c r="E3224" s="5" t="str">
        <f ca="1">IFERROR(__xludf.DUMMYFUNCTION("""COMPUTED_VALUE"""),"شركة اجهزة طبية")</f>
        <v>شركة اجهزة طبية</v>
      </c>
      <c r="F3224" s="5" t="str">
        <f ca="1">IFERROR(__xludf.DUMMYFUNCTION("""COMPUTED_VALUE"""),"مركز بصريات")</f>
        <v>مركز بصريات</v>
      </c>
      <c r="G3224" s="5" t="str">
        <f ca="1">IFERROR(__xludf.DUMMYFUNCTION("""COMPUTED_VALUE"""),"الشركة المصرية للبصريات")</f>
        <v>الشركة المصرية للبصريات</v>
      </c>
      <c r="H3224" s="5" t="str">
        <f ca="1">IFERROR(__xludf.DUMMYFUNCTION("""COMPUTED_VALUE"""),"امام مستشفي المدينة الطبية اسفل مركز د/ حسام ندا للعيون")</f>
        <v>امام مستشفي المدينة الطبية اسفل مركز د/ حسام ندا للعيون</v>
      </c>
      <c r="I3224" s="6" t="str">
        <f ca="1">IFERROR(__xludf.DUMMYFUNCTION("""COMPUTED_VALUE"""),"35224044")</f>
        <v>35224044</v>
      </c>
      <c r="J3224" s="6"/>
      <c r="K3224" s="6" t="str">
        <f ca="1">IFERROR(__xludf.DUMMYFUNCTION("""COMPUTED_VALUE"""),"خصم 35% علي الاسعار النقدي")</f>
        <v>خصم 35% علي الاسعار النقدي</v>
      </c>
    </row>
    <row r="3225" spans="1:11" x14ac:dyDescent="0.25">
      <c r="A3225" s="4" t="str">
        <f ca="1">IFERROR(__xludf.DUMMYFUNCTION("""COMPUTED_VALUE"""),"107494-B")</f>
        <v>107494-B</v>
      </c>
      <c r="B3225" s="5" t="str">
        <f ca="1">IFERROR(__xludf.DUMMYFUNCTION("""COMPUTED_VALUE"""),"الاسكندرية")</f>
        <v>الاسكندرية</v>
      </c>
      <c r="C3225" s="5" t="str">
        <f ca="1">IFERROR(__xludf.DUMMYFUNCTION("""COMPUTED_VALUE"""),"رشدي")</f>
        <v>رشدي</v>
      </c>
      <c r="D3225" s="5" t="str">
        <f ca="1">IFERROR(__xludf.DUMMYFUNCTION("""COMPUTED_VALUE"""),"شركة")</f>
        <v>شركة</v>
      </c>
      <c r="E3225" s="5" t="str">
        <f ca="1">IFERROR(__xludf.DUMMYFUNCTION("""COMPUTED_VALUE"""),"شركة اجهزة طبية")</f>
        <v>شركة اجهزة طبية</v>
      </c>
      <c r="F3225" s="5" t="str">
        <f ca="1">IFERROR(__xludf.DUMMYFUNCTION("""COMPUTED_VALUE"""),"مركز بصريات")</f>
        <v>مركز بصريات</v>
      </c>
      <c r="G3225" s="5" t="str">
        <f ca="1">IFERROR(__xludf.DUMMYFUNCTION("""COMPUTED_VALUE"""),"الشركة المصرية للبصريات")</f>
        <v>الشركة المصرية للبصريات</v>
      </c>
      <c r="H3225" s="5" t="str">
        <f ca="1">IFERROR(__xludf.DUMMYFUNCTION("""COMPUTED_VALUE"""),"ش احمد شوقى – برج المعماري بجوار داماس للمجوهرات خلف محطة ترام رشدي")</f>
        <v>ش احمد شوقى – برج المعماري بجوار داماس للمجوهرات خلف محطة ترام رشدي</v>
      </c>
      <c r="I3225" s="6" t="str">
        <f ca="1">IFERROR(__xludf.DUMMYFUNCTION("""COMPUTED_VALUE"""),"35463441")</f>
        <v>35463441</v>
      </c>
      <c r="J3225" s="6"/>
      <c r="K3225" s="6" t="str">
        <f ca="1">IFERROR(__xludf.DUMMYFUNCTION("""COMPUTED_VALUE"""),"خصم 35% علي الاسعار النقدي")</f>
        <v>خصم 35% علي الاسعار النقدي</v>
      </c>
    </row>
    <row r="3226" spans="1:11" x14ac:dyDescent="0.25">
      <c r="A3226" s="4" t="str">
        <f ca="1">IFERROR(__xludf.DUMMYFUNCTION("""COMPUTED_VALUE"""),"107494-B")</f>
        <v>107494-B</v>
      </c>
      <c r="B3226" s="5" t="str">
        <f ca="1">IFERROR(__xludf.DUMMYFUNCTION("""COMPUTED_VALUE"""),"الاسكندرية")</f>
        <v>الاسكندرية</v>
      </c>
      <c r="C3226" s="5" t="str">
        <f ca="1">IFERROR(__xludf.DUMMYFUNCTION("""COMPUTED_VALUE"""),"سيدي جابر")</f>
        <v>سيدي جابر</v>
      </c>
      <c r="D3226" s="5" t="str">
        <f ca="1">IFERROR(__xludf.DUMMYFUNCTION("""COMPUTED_VALUE"""),"شركة")</f>
        <v>شركة</v>
      </c>
      <c r="E3226" s="5" t="str">
        <f ca="1">IFERROR(__xludf.DUMMYFUNCTION("""COMPUTED_VALUE"""),"شركة اجهزة طبية")</f>
        <v>شركة اجهزة طبية</v>
      </c>
      <c r="F3226" s="5" t="str">
        <f ca="1">IFERROR(__xludf.DUMMYFUNCTION("""COMPUTED_VALUE"""),"مركز بصريات")</f>
        <v>مركز بصريات</v>
      </c>
      <c r="G3226" s="5" t="str">
        <f ca="1">IFERROR(__xludf.DUMMYFUNCTION("""COMPUTED_VALUE"""),"الشركة المصرية للبصريات")</f>
        <v>الشركة المصرية للبصريات</v>
      </c>
      <c r="H3226" s="5" t="str">
        <f ca="1">IFERROR(__xludf.DUMMYFUNCTION("""COMPUTED_VALUE"""),"ش د /برجى من ش وينجت امام مستشفي الاهلي التخصصي")</f>
        <v>ش د /برجى من ش وينجت امام مستشفي الاهلي التخصصي</v>
      </c>
      <c r="I3226" s="6" t="str">
        <f ca="1">IFERROR(__xludf.DUMMYFUNCTION("""COMPUTED_VALUE"""),"35463442")</f>
        <v>35463442</v>
      </c>
      <c r="J3226" s="6"/>
      <c r="K3226" s="6" t="str">
        <f ca="1">IFERROR(__xludf.DUMMYFUNCTION("""COMPUTED_VALUE"""),"خصم 35% علي الاسعار النقدي")</f>
        <v>خصم 35% علي الاسعار النقدي</v>
      </c>
    </row>
    <row r="3227" spans="1:11" x14ac:dyDescent="0.25">
      <c r="A3227" s="4" t="str">
        <f ca="1">IFERROR(__xludf.DUMMYFUNCTION("""COMPUTED_VALUE"""),"107494-B")</f>
        <v>107494-B</v>
      </c>
      <c r="B3227" s="5" t="str">
        <f ca="1">IFERROR(__xludf.DUMMYFUNCTION("""COMPUTED_VALUE"""),"الاسكندرية")</f>
        <v>الاسكندرية</v>
      </c>
      <c r="C3227" s="5" t="str">
        <f ca="1">IFERROR(__xludf.DUMMYFUNCTION("""COMPUTED_VALUE"""),"سابا باشا")</f>
        <v>سابا باشا</v>
      </c>
      <c r="D3227" s="5" t="str">
        <f ca="1">IFERROR(__xludf.DUMMYFUNCTION("""COMPUTED_VALUE"""),"شركة")</f>
        <v>شركة</v>
      </c>
      <c r="E3227" s="5" t="str">
        <f ca="1">IFERROR(__xludf.DUMMYFUNCTION("""COMPUTED_VALUE"""),"شركة اجهزة طبية")</f>
        <v>شركة اجهزة طبية</v>
      </c>
      <c r="F3227" s="5" t="str">
        <f ca="1">IFERROR(__xludf.DUMMYFUNCTION("""COMPUTED_VALUE"""),"مركز بصريات")</f>
        <v>مركز بصريات</v>
      </c>
      <c r="G3227" s="5" t="str">
        <f ca="1">IFERROR(__xludf.DUMMYFUNCTION("""COMPUTED_VALUE"""),"الشركة المصرية للبصريات")</f>
        <v>الشركة المصرية للبصريات</v>
      </c>
      <c r="H3227" s="5" t="str">
        <f ca="1">IFERROR(__xludf.DUMMYFUNCTION("""COMPUTED_VALUE"""),"ش ابراهيم الحلبي من ش عبد السلام عارف امام مستشفى ابراهيم عبيد")</f>
        <v>ش ابراهيم الحلبي من ش عبد السلام عارف امام مستشفى ابراهيم عبيد</v>
      </c>
      <c r="I3227" s="6" t="str">
        <f ca="1">IFERROR(__xludf.DUMMYFUNCTION("""COMPUTED_VALUE"""),"35820099")</f>
        <v>35820099</v>
      </c>
      <c r="J3227" s="6"/>
      <c r="K3227" s="6" t="str">
        <f ca="1">IFERROR(__xludf.DUMMYFUNCTION("""COMPUTED_VALUE"""),"خصم 35% علي الاسعار النقدي")</f>
        <v>خصم 35% علي الاسعار النقدي</v>
      </c>
    </row>
    <row r="3228" spans="1:11" x14ac:dyDescent="0.25">
      <c r="A3228" s="4" t="str">
        <f ca="1">IFERROR(__xludf.DUMMYFUNCTION("""COMPUTED_VALUE"""),"107494-B")</f>
        <v>107494-B</v>
      </c>
      <c r="B3228" s="5" t="str">
        <f ca="1">IFERROR(__xludf.DUMMYFUNCTION("""COMPUTED_VALUE"""),"الاسكندرية")</f>
        <v>الاسكندرية</v>
      </c>
      <c r="C3228" s="5" t="str">
        <f ca="1">IFERROR(__xludf.DUMMYFUNCTION("""COMPUTED_VALUE"""),"سموحة")</f>
        <v>سموحة</v>
      </c>
      <c r="D3228" s="5" t="str">
        <f ca="1">IFERROR(__xludf.DUMMYFUNCTION("""COMPUTED_VALUE"""),"شركة")</f>
        <v>شركة</v>
      </c>
      <c r="E3228" s="5" t="str">
        <f ca="1">IFERROR(__xludf.DUMMYFUNCTION("""COMPUTED_VALUE"""),"شركة اجهزة طبية")</f>
        <v>شركة اجهزة طبية</v>
      </c>
      <c r="F3228" s="5" t="str">
        <f ca="1">IFERROR(__xludf.DUMMYFUNCTION("""COMPUTED_VALUE"""),"مركز بصريات")</f>
        <v>مركز بصريات</v>
      </c>
      <c r="G3228" s="5" t="str">
        <f ca="1">IFERROR(__xludf.DUMMYFUNCTION("""COMPUTED_VALUE"""),"الشركة المصرية للبصريات")</f>
        <v>الشركة المصرية للبصريات</v>
      </c>
      <c r="H3228" s="5" t="str">
        <f ca="1">IFERROR(__xludf.DUMMYFUNCTION("""COMPUTED_VALUE"""),"ابراج الشرطة كورنيش المحمودية بجوار جامعة فاروس واسفل مركز اى كير للعيون والليزر")</f>
        <v>ابراج الشرطة كورنيش المحمودية بجوار جامعة فاروس واسفل مركز اى كير للعيون والليزر</v>
      </c>
      <c r="I3228" s="6" t="str">
        <f ca="1">IFERROR(__xludf.DUMMYFUNCTION("""COMPUTED_VALUE"""),"33855666")</f>
        <v>33855666</v>
      </c>
      <c r="J3228" s="6"/>
      <c r="K3228" s="6" t="str">
        <f ca="1">IFERROR(__xludf.DUMMYFUNCTION("""COMPUTED_VALUE"""),"خصم 35% علي الاسعار النقدي")</f>
        <v>خصم 35% علي الاسعار النقدي</v>
      </c>
    </row>
    <row r="3229" spans="1:11" x14ac:dyDescent="0.25">
      <c r="A3229" s="4" t="str">
        <f ca="1">IFERROR(__xludf.DUMMYFUNCTION("""COMPUTED_VALUE"""),"107494-B")</f>
        <v>107494-B</v>
      </c>
      <c r="B3229" s="5" t="str">
        <f ca="1">IFERROR(__xludf.DUMMYFUNCTION("""COMPUTED_VALUE"""),"الاسكندرية")</f>
        <v>الاسكندرية</v>
      </c>
      <c r="C3229" s="5" t="str">
        <f ca="1">IFERROR(__xludf.DUMMYFUNCTION("""COMPUTED_VALUE"""),"السيوف")</f>
        <v>السيوف</v>
      </c>
      <c r="D3229" s="5" t="str">
        <f ca="1">IFERROR(__xludf.DUMMYFUNCTION("""COMPUTED_VALUE"""),"شركة")</f>
        <v>شركة</v>
      </c>
      <c r="E3229" s="5" t="str">
        <f ca="1">IFERROR(__xludf.DUMMYFUNCTION("""COMPUTED_VALUE"""),"شركة اجهزة طبية")</f>
        <v>شركة اجهزة طبية</v>
      </c>
      <c r="F3229" s="5" t="str">
        <f ca="1">IFERROR(__xludf.DUMMYFUNCTION("""COMPUTED_VALUE"""),"مركز بصريات")</f>
        <v>مركز بصريات</v>
      </c>
      <c r="G3229" s="5" t="str">
        <f ca="1">IFERROR(__xludf.DUMMYFUNCTION("""COMPUTED_VALUE"""),"الشركة المصرية للبصريات")</f>
        <v>الشركة المصرية للبصريات</v>
      </c>
      <c r="H3229" s="5" t="str">
        <f ca="1">IFERROR(__xludf.DUMMYFUNCTION("""COMPUTED_VALUE"""),"ش جميلة بوحريد برج العمار بجوار كازيون ماركت دوران السيوف")</f>
        <v>ش جميلة بوحريد برج العمار بجوار كازيون ماركت دوران السيوف</v>
      </c>
      <c r="I3229" s="6" t="str">
        <f ca="1">IFERROR(__xludf.DUMMYFUNCTION("""COMPUTED_VALUE"""),"35072220")</f>
        <v>35072220</v>
      </c>
      <c r="J3229" s="6"/>
      <c r="K3229" s="6" t="str">
        <f ca="1">IFERROR(__xludf.DUMMYFUNCTION("""COMPUTED_VALUE"""),"خصم 35% علي الاسعار النقدي")</f>
        <v>خصم 35% علي الاسعار النقدي</v>
      </c>
    </row>
    <row r="3230" spans="1:11" x14ac:dyDescent="0.25">
      <c r="A3230" s="4" t="str">
        <f ca="1">IFERROR(__xludf.DUMMYFUNCTION("""COMPUTED_VALUE"""),"107494-B")</f>
        <v>107494-B</v>
      </c>
      <c r="B3230" s="5" t="str">
        <f ca="1">IFERROR(__xludf.DUMMYFUNCTION("""COMPUTED_VALUE"""),"الاسكندرية")</f>
        <v>الاسكندرية</v>
      </c>
      <c r="C3230" s="5" t="str">
        <f ca="1">IFERROR(__xludf.DUMMYFUNCTION("""COMPUTED_VALUE"""),"العصافرة")</f>
        <v>العصافرة</v>
      </c>
      <c r="D3230" s="5" t="str">
        <f ca="1">IFERROR(__xludf.DUMMYFUNCTION("""COMPUTED_VALUE"""),"شركة")</f>
        <v>شركة</v>
      </c>
      <c r="E3230" s="5" t="str">
        <f ca="1">IFERROR(__xludf.DUMMYFUNCTION("""COMPUTED_VALUE"""),"شركة اجهزة طبية")</f>
        <v>شركة اجهزة طبية</v>
      </c>
      <c r="F3230" s="5" t="str">
        <f ca="1">IFERROR(__xludf.DUMMYFUNCTION("""COMPUTED_VALUE"""),"مركز بصريات")</f>
        <v>مركز بصريات</v>
      </c>
      <c r="G3230" s="5" t="str">
        <f ca="1">IFERROR(__xludf.DUMMYFUNCTION("""COMPUTED_VALUE"""),"الشركة المصرية للبصريات")</f>
        <v>الشركة المصرية للبصريات</v>
      </c>
      <c r="H3230" s="5" t="str">
        <f ca="1">IFERROR(__xludf.DUMMYFUNCTION("""COMPUTED_VALUE"""),"276 ش جمال عبد الناصر - امام عروس دمشق")</f>
        <v>276 ش جمال عبد الناصر - امام عروس دمشق</v>
      </c>
      <c r="I3230" s="6" t="str">
        <f ca="1">IFERROR(__xludf.DUMMYFUNCTION("""COMPUTED_VALUE"""),"35551550")</f>
        <v>35551550</v>
      </c>
      <c r="J3230" s="6"/>
      <c r="K3230" s="6" t="str">
        <f ca="1">IFERROR(__xludf.DUMMYFUNCTION("""COMPUTED_VALUE"""),"خصم 35% علي الاسعار النقدي")</f>
        <v>خصم 35% علي الاسعار النقدي</v>
      </c>
    </row>
    <row r="3231" spans="1:11" x14ac:dyDescent="0.25">
      <c r="A3231" s="4" t="str">
        <f ca="1">IFERROR(__xludf.DUMMYFUNCTION("""COMPUTED_VALUE"""),"107494-B")</f>
        <v>107494-B</v>
      </c>
      <c r="B3231" s="5" t="str">
        <f ca="1">IFERROR(__xludf.DUMMYFUNCTION("""COMPUTED_VALUE"""),"الاسكندرية")</f>
        <v>الاسكندرية</v>
      </c>
      <c r="C3231" s="5" t="str">
        <f ca="1">IFERROR(__xludf.DUMMYFUNCTION("""COMPUTED_VALUE"""),"سان ستيفانو")</f>
        <v>سان ستيفانو</v>
      </c>
      <c r="D3231" s="5" t="str">
        <f ca="1">IFERROR(__xludf.DUMMYFUNCTION("""COMPUTED_VALUE"""),"شركة")</f>
        <v>شركة</v>
      </c>
      <c r="E3231" s="5" t="str">
        <f ca="1">IFERROR(__xludf.DUMMYFUNCTION("""COMPUTED_VALUE"""),"شركة اجهزة طبية")</f>
        <v>شركة اجهزة طبية</v>
      </c>
      <c r="F3231" s="5" t="str">
        <f ca="1">IFERROR(__xludf.DUMMYFUNCTION("""COMPUTED_VALUE"""),"مركز بصريات")</f>
        <v>مركز بصريات</v>
      </c>
      <c r="G3231" s="5" t="str">
        <f ca="1">IFERROR(__xludf.DUMMYFUNCTION("""COMPUTED_VALUE"""),"الشركة المصرية للبصريات")</f>
        <v>الشركة المصرية للبصريات</v>
      </c>
      <c r="H3231" s="5" t="str">
        <f ca="1">IFERROR(__xludf.DUMMYFUNCTION("""COMPUTED_VALUE"""),"مول سان إستيفانو الدور الأول – سي سايد بجوار البنك الأهلي وامام كافيه سان فيو")</f>
        <v>مول سان إستيفانو الدور الأول – سي سايد بجوار البنك الأهلي وامام كافيه سان فيو</v>
      </c>
      <c r="I3231" s="6" t="str">
        <f ca="1">IFERROR(__xludf.DUMMYFUNCTION("""COMPUTED_VALUE"""),"34691238")</f>
        <v>34691238</v>
      </c>
      <c r="J3231" s="6"/>
      <c r="K3231" s="6" t="str">
        <f ca="1">IFERROR(__xludf.DUMMYFUNCTION("""COMPUTED_VALUE"""),"خصم 35% علي الاسعار النقدي")</f>
        <v>خصم 35% علي الاسعار النقدي</v>
      </c>
    </row>
    <row r="3232" spans="1:11" x14ac:dyDescent="0.25">
      <c r="A3232" s="4" t="str">
        <f ca="1">IFERROR(__xludf.DUMMYFUNCTION("""COMPUTED_VALUE"""),"106144-B")</f>
        <v>106144-B</v>
      </c>
      <c r="B3232" s="5" t="str">
        <f ca="1">IFERROR(__xludf.DUMMYFUNCTION("""COMPUTED_VALUE"""),"بورسعيد")</f>
        <v>بورسعيد</v>
      </c>
      <c r="C3232" s="5" t="str">
        <f ca="1">IFERROR(__xludf.DUMMYFUNCTION("""COMPUTED_VALUE"""),"بورسعيد")</f>
        <v>بورسعيد</v>
      </c>
      <c r="D3232" s="5" t="str">
        <f ca="1">IFERROR(__xludf.DUMMYFUNCTION("""COMPUTED_VALUE"""),"معمل")</f>
        <v>معمل</v>
      </c>
      <c r="E3232" s="5" t="str">
        <f ca="1">IFERROR(__xludf.DUMMYFUNCTION("""COMPUTED_VALUE"""),"معمل")</f>
        <v>معمل</v>
      </c>
      <c r="F3232" s="5" t="str">
        <f ca="1">IFERROR(__xludf.DUMMYFUNCTION("""COMPUTED_VALUE"""),"معمل التحاليل الطبية")</f>
        <v>معمل التحاليل الطبية</v>
      </c>
      <c r="G3232" s="5" t="str">
        <f ca="1">IFERROR(__xludf.DUMMYFUNCTION("""COMPUTED_VALUE"""),"بريميم هيلثكير جروب (معامل سيتي لاب)")</f>
        <v>بريميم هيلثكير جروب (معامل سيتي لاب)</v>
      </c>
      <c r="H3232" s="5" t="str">
        <f ca="1">IFERROR(__xludf.DUMMYFUNCTION("""COMPUTED_VALUE"""),"الزهور - أمام مستشفى النصر - برج الرحاب")</f>
        <v>الزهور - أمام مستشفى النصر - برج الرحاب</v>
      </c>
      <c r="I3232" s="6" t="str">
        <f ca="1">IFERROR(__xludf.DUMMYFUNCTION("""COMPUTED_VALUE"""),"1222347554")</f>
        <v>1222347554</v>
      </c>
      <c r="J3232" s="6"/>
      <c r="K3232" s="6" t="str">
        <f ca="1">IFERROR(__xludf.DUMMYFUNCTION("""COMPUTED_VALUE"""),"خصم 30% علي الاسعار النقدي ")</f>
        <v xml:space="preserve">خصم 30% علي الاسعار النقدي </v>
      </c>
    </row>
    <row r="3233" spans="1:11" x14ac:dyDescent="0.25">
      <c r="A3233" s="4" t="str">
        <f ca="1">IFERROR(__xludf.DUMMYFUNCTION("""COMPUTED_VALUE"""),"106144-B")</f>
        <v>106144-B</v>
      </c>
      <c r="B3233" s="5" t="str">
        <f ca="1">IFERROR(__xludf.DUMMYFUNCTION("""COMPUTED_VALUE"""),"بورسعيد")</f>
        <v>بورسعيد</v>
      </c>
      <c r="C3233" s="5" t="str">
        <f ca="1">IFERROR(__xludf.DUMMYFUNCTION("""COMPUTED_VALUE"""),"بورسعيد")</f>
        <v>بورسعيد</v>
      </c>
      <c r="D3233" s="5" t="str">
        <f ca="1">IFERROR(__xludf.DUMMYFUNCTION("""COMPUTED_VALUE"""),"معمل")</f>
        <v>معمل</v>
      </c>
      <c r="E3233" s="5" t="str">
        <f ca="1">IFERROR(__xludf.DUMMYFUNCTION("""COMPUTED_VALUE"""),"معمل")</f>
        <v>معمل</v>
      </c>
      <c r="F3233" s="5" t="str">
        <f ca="1">IFERROR(__xludf.DUMMYFUNCTION("""COMPUTED_VALUE"""),"معمل التحاليل الطبية")</f>
        <v>معمل التحاليل الطبية</v>
      </c>
      <c r="G3233" s="5" t="str">
        <f ca="1">IFERROR(__xludf.DUMMYFUNCTION("""COMPUTED_VALUE"""),"بريميم هيلثكير جروب (معامل سيتي لاب)")</f>
        <v>بريميم هيلثكير جروب (معامل سيتي لاب)</v>
      </c>
      <c r="H3233" s="5" t="str">
        <f ca="1">IFERROR(__xludf.DUMMYFUNCTION("""COMPUTED_VALUE"""),"برج سلمى - شارع اوجينا")</f>
        <v>برج سلمى - شارع اوجينا</v>
      </c>
      <c r="I3233" s="6" t="str">
        <f ca="1">IFERROR(__xludf.DUMMYFUNCTION("""COMPUTED_VALUE"""),"1282940631")</f>
        <v>1282940631</v>
      </c>
      <c r="J3233" s="6"/>
      <c r="K3233" s="6" t="str">
        <f ca="1">IFERROR(__xludf.DUMMYFUNCTION("""COMPUTED_VALUE"""),"خصم 30% علي الاسعار النقدي ")</f>
        <v xml:space="preserve">خصم 30% علي الاسعار النقدي </v>
      </c>
    </row>
    <row r="3234" spans="1:11" x14ac:dyDescent="0.25">
      <c r="A3234" s="4" t="str">
        <f ca="1">IFERROR(__xludf.DUMMYFUNCTION("""COMPUTED_VALUE"""),"106144-B")</f>
        <v>106144-B</v>
      </c>
      <c r="B3234" s="5" t="str">
        <f ca="1">IFERROR(__xludf.DUMMYFUNCTION("""COMPUTED_VALUE"""),"بورسعيد")</f>
        <v>بورسعيد</v>
      </c>
      <c r="C3234" s="5" t="str">
        <f ca="1">IFERROR(__xludf.DUMMYFUNCTION("""COMPUTED_VALUE"""),"بورسعيد")</f>
        <v>بورسعيد</v>
      </c>
      <c r="D3234" s="5" t="str">
        <f ca="1">IFERROR(__xludf.DUMMYFUNCTION("""COMPUTED_VALUE"""),"معمل")</f>
        <v>معمل</v>
      </c>
      <c r="E3234" s="5" t="str">
        <f ca="1">IFERROR(__xludf.DUMMYFUNCTION("""COMPUTED_VALUE"""),"معمل")</f>
        <v>معمل</v>
      </c>
      <c r="F3234" s="5" t="str">
        <f ca="1">IFERROR(__xludf.DUMMYFUNCTION("""COMPUTED_VALUE"""),"معمل التحاليل الطبية")</f>
        <v>معمل التحاليل الطبية</v>
      </c>
      <c r="G3234" s="5" t="str">
        <f ca="1">IFERROR(__xludf.DUMMYFUNCTION("""COMPUTED_VALUE"""),"بريميم هيلثكير جروب (معامل سيتي لاب)")</f>
        <v>بريميم هيلثكير جروب (معامل سيتي لاب)</v>
      </c>
      <c r="H3234" s="5" t="str">
        <f ca="1">IFERROR(__xludf.DUMMYFUNCTION("""COMPUTED_VALUE"""),"بعد قسم جنوب ثاني على كوبري شادر عزام فوق كشري شوقي")</f>
        <v>بعد قسم جنوب ثاني على كوبري شادر عزام فوق كشري شوقي</v>
      </c>
      <c r="I3234" s="6" t="str">
        <f ca="1">IFERROR(__xludf.DUMMYFUNCTION("""COMPUTED_VALUE"""),"1286485233")</f>
        <v>1286485233</v>
      </c>
      <c r="J3234" s="6"/>
      <c r="K3234" s="6" t="str">
        <f ca="1">IFERROR(__xludf.DUMMYFUNCTION("""COMPUTED_VALUE"""),"خصم 30% علي الاسعار النقدي ")</f>
        <v xml:space="preserve">خصم 30% علي الاسعار النقدي </v>
      </c>
    </row>
    <row r="3235" spans="1:11" x14ac:dyDescent="0.25">
      <c r="A3235" s="4" t="str">
        <f ca="1">IFERROR(__xludf.DUMMYFUNCTION("""COMPUTED_VALUE"""),"106144-B")</f>
        <v>106144-B</v>
      </c>
      <c r="B3235" s="5" t="str">
        <f ca="1">IFERROR(__xludf.DUMMYFUNCTION("""COMPUTED_VALUE"""),"القاهرة")</f>
        <v>القاهرة</v>
      </c>
      <c r="C3235" s="5" t="str">
        <f ca="1">IFERROR(__xludf.DUMMYFUNCTION("""COMPUTED_VALUE"""),"مصر الجديدة")</f>
        <v>مصر الجديدة</v>
      </c>
      <c r="D3235" s="5" t="str">
        <f ca="1">IFERROR(__xludf.DUMMYFUNCTION("""COMPUTED_VALUE"""),"معمل")</f>
        <v>معمل</v>
      </c>
      <c r="E3235" s="5" t="str">
        <f ca="1">IFERROR(__xludf.DUMMYFUNCTION("""COMPUTED_VALUE"""),"معمل")</f>
        <v>معمل</v>
      </c>
      <c r="F3235" s="5" t="str">
        <f ca="1">IFERROR(__xludf.DUMMYFUNCTION("""COMPUTED_VALUE"""),"معمل التحاليل الطبية")</f>
        <v>معمل التحاليل الطبية</v>
      </c>
      <c r="G3235" s="5" t="str">
        <f ca="1">IFERROR(__xludf.DUMMYFUNCTION("""COMPUTED_VALUE"""),"بريميم هيلثكير جروب (معامل سيتي لاب)")</f>
        <v>بريميم هيلثكير جروب (معامل سيتي لاب)</v>
      </c>
      <c r="H3235" s="5" t="str">
        <f ca="1">IFERROR(__xludf.DUMMYFUNCTION("""COMPUTED_VALUE"""),"مصر الجديدة  -48 شارع عثمان بن عفان-ميدان اسماعلية")</f>
        <v>مصر الجديدة  -48 شارع عثمان بن عفان-ميدان اسماعلية</v>
      </c>
      <c r="I3235" s="6" t="str">
        <f ca="1">IFERROR(__xludf.DUMMYFUNCTION("""COMPUTED_VALUE"""),"1288654190")</f>
        <v>1288654190</v>
      </c>
      <c r="J3235" s="6"/>
      <c r="K3235" s="6" t="str">
        <f ca="1">IFERROR(__xludf.DUMMYFUNCTION("""COMPUTED_VALUE"""),"خصم 30% علي الاسعار النقدي ")</f>
        <v xml:space="preserve">خصم 30% علي الاسعار النقدي </v>
      </c>
    </row>
    <row r="3236" spans="1:11" x14ac:dyDescent="0.25">
      <c r="A3236" s="4" t="str">
        <f ca="1">IFERROR(__xludf.DUMMYFUNCTION("""COMPUTED_VALUE"""),"106144-B")</f>
        <v>106144-B</v>
      </c>
      <c r="B3236" s="5" t="str">
        <f ca="1">IFERROR(__xludf.DUMMYFUNCTION("""COMPUTED_VALUE"""),"دمياط")</f>
        <v>دمياط</v>
      </c>
      <c r="C3236" s="5" t="str">
        <f ca="1">IFERROR(__xludf.DUMMYFUNCTION("""COMPUTED_VALUE"""),"دمياط")</f>
        <v>دمياط</v>
      </c>
      <c r="D3236" s="5" t="str">
        <f ca="1">IFERROR(__xludf.DUMMYFUNCTION("""COMPUTED_VALUE"""),"معمل")</f>
        <v>معمل</v>
      </c>
      <c r="E3236" s="5" t="str">
        <f ca="1">IFERROR(__xludf.DUMMYFUNCTION("""COMPUTED_VALUE"""),"معمل")</f>
        <v>معمل</v>
      </c>
      <c r="F3236" s="5" t="str">
        <f ca="1">IFERROR(__xludf.DUMMYFUNCTION("""COMPUTED_VALUE"""),"معمل التحاليل الطبية")</f>
        <v>معمل التحاليل الطبية</v>
      </c>
      <c r="G3236" s="5" t="str">
        <f ca="1">IFERROR(__xludf.DUMMYFUNCTION("""COMPUTED_VALUE"""),"بريميم هيلثكير جروب (معامل سيتي لاب)")</f>
        <v>بريميم هيلثكير جروب (معامل سيتي لاب)</v>
      </c>
      <c r="H3236" s="5" t="str">
        <f ca="1">IFERROR(__xludf.DUMMYFUNCTION("""COMPUTED_VALUE"""),"شارع الجلاء برج بنك التعمير والاسكان - الدور الثاني علوي")</f>
        <v>شارع الجلاء برج بنك التعمير والاسكان - الدور الثاني علوي</v>
      </c>
      <c r="I3236" s="6" t="str">
        <f ca="1">IFERROR(__xludf.DUMMYFUNCTION("""COMPUTED_VALUE"""),"1282940641")</f>
        <v>1282940641</v>
      </c>
      <c r="J3236" s="6"/>
      <c r="K3236" s="6" t="str">
        <f ca="1">IFERROR(__xludf.DUMMYFUNCTION("""COMPUTED_VALUE"""),"خصم 30% علي الاسعار النقدي ")</f>
        <v xml:space="preserve">خصم 30% علي الاسعار النقدي </v>
      </c>
    </row>
    <row r="3237" spans="1:11" x14ac:dyDescent="0.25">
      <c r="A3237" s="4" t="str">
        <f ca="1">IFERROR(__xludf.DUMMYFUNCTION("""COMPUTED_VALUE"""),"106144-B")</f>
        <v>106144-B</v>
      </c>
      <c r="B3237" s="5" t="str">
        <f ca="1">IFERROR(__xludf.DUMMYFUNCTION("""COMPUTED_VALUE"""),"دمياط")</f>
        <v>دمياط</v>
      </c>
      <c r="C3237" s="5" t="str">
        <f ca="1">IFERROR(__xludf.DUMMYFUNCTION("""COMPUTED_VALUE"""),"دمياط الجديدة")</f>
        <v>دمياط الجديدة</v>
      </c>
      <c r="D3237" s="5" t="str">
        <f ca="1">IFERROR(__xludf.DUMMYFUNCTION("""COMPUTED_VALUE"""),"معمل")</f>
        <v>معمل</v>
      </c>
      <c r="E3237" s="5" t="str">
        <f ca="1">IFERROR(__xludf.DUMMYFUNCTION("""COMPUTED_VALUE"""),"معمل")</f>
        <v>معمل</v>
      </c>
      <c r="F3237" s="5" t="str">
        <f ca="1">IFERROR(__xludf.DUMMYFUNCTION("""COMPUTED_VALUE"""),"معمل التحاليل الطبية")</f>
        <v>معمل التحاليل الطبية</v>
      </c>
      <c r="G3237" s="5" t="str">
        <f ca="1">IFERROR(__xludf.DUMMYFUNCTION("""COMPUTED_VALUE"""),"بريميم هيلثكير جروب (معامل سيتي لاب)")</f>
        <v>بريميم هيلثكير جروب (معامل سيتي لاب)</v>
      </c>
      <c r="H3237" s="5" t="str">
        <f ca="1">IFERROR(__xludf.DUMMYFUNCTION("""COMPUTED_VALUE"""),"دمياط الجديدة - المنطقة المركزية - خلف قطونيل")</f>
        <v>دمياط الجديدة - المنطقة المركزية - خلف قطونيل</v>
      </c>
      <c r="I3237" s="6" t="str">
        <f ca="1">IFERROR(__xludf.DUMMYFUNCTION("""COMPUTED_VALUE"""),"1205892926")</f>
        <v>1205892926</v>
      </c>
      <c r="J3237" s="6"/>
      <c r="K3237" s="6" t="str">
        <f ca="1">IFERROR(__xludf.DUMMYFUNCTION("""COMPUTED_VALUE"""),"خصم 30% علي الاسعار النقدي ")</f>
        <v xml:space="preserve">خصم 30% علي الاسعار النقدي </v>
      </c>
    </row>
    <row r="3238" spans="1:11" x14ac:dyDescent="0.25">
      <c r="A3238" s="4" t="str">
        <f ca="1">IFERROR(__xludf.DUMMYFUNCTION("""COMPUTED_VALUE"""),"106144-B")</f>
        <v>106144-B</v>
      </c>
      <c r="B3238" s="5" t="str">
        <f ca="1">IFERROR(__xludf.DUMMYFUNCTION("""COMPUTED_VALUE"""),"دمياط")</f>
        <v>دمياط</v>
      </c>
      <c r="C3238" s="5" t="str">
        <f ca="1">IFERROR(__xludf.DUMMYFUNCTION("""COMPUTED_VALUE"""),"دمياط")</f>
        <v>دمياط</v>
      </c>
      <c r="D3238" s="5" t="str">
        <f ca="1">IFERROR(__xludf.DUMMYFUNCTION("""COMPUTED_VALUE"""),"معمل")</f>
        <v>معمل</v>
      </c>
      <c r="E3238" s="5" t="str">
        <f ca="1">IFERROR(__xludf.DUMMYFUNCTION("""COMPUTED_VALUE"""),"معمل")</f>
        <v>معمل</v>
      </c>
      <c r="F3238" s="5" t="str">
        <f ca="1">IFERROR(__xludf.DUMMYFUNCTION("""COMPUTED_VALUE"""),"معمل التحاليل الطبية")</f>
        <v>معمل التحاليل الطبية</v>
      </c>
      <c r="G3238" s="5" t="str">
        <f ca="1">IFERROR(__xludf.DUMMYFUNCTION("""COMPUTED_VALUE"""),"بريميم هيلثكير جروب (معامل سيتي لاب)")</f>
        <v>بريميم هيلثكير جروب (معامل سيتي لاب)</v>
      </c>
      <c r="H3238" s="5" t="str">
        <f ca="1">IFERROR(__xludf.DUMMYFUNCTION("""COMPUTED_VALUE"""),"شارع المطري -برج مشرقه - أعلى محل LC WAIKIKI")</f>
        <v>شارع المطري -برج مشرقه - أعلى محل LC WAIKIKI</v>
      </c>
      <c r="I3238" s="6" t="str">
        <f ca="1">IFERROR(__xludf.DUMMYFUNCTION("""COMPUTED_VALUE"""),"1110678502")</f>
        <v>1110678502</v>
      </c>
      <c r="J3238" s="6"/>
      <c r="K3238" s="6" t="str">
        <f ca="1">IFERROR(__xludf.DUMMYFUNCTION("""COMPUTED_VALUE"""),"خصم 30% علي الاسعار النقدي ")</f>
        <v xml:space="preserve">خصم 30% علي الاسعار النقدي </v>
      </c>
    </row>
    <row r="3239" spans="1:11" x14ac:dyDescent="0.25">
      <c r="A3239" s="4" t="str">
        <f ca="1">IFERROR(__xludf.DUMMYFUNCTION("""COMPUTED_VALUE"""),"106144-B")</f>
        <v>106144-B</v>
      </c>
      <c r="B3239" s="5" t="str">
        <f ca="1">IFERROR(__xludf.DUMMYFUNCTION("""COMPUTED_VALUE"""),"السويس")</f>
        <v>السويس</v>
      </c>
      <c r="C3239" s="5" t="str">
        <f ca="1">IFERROR(__xludf.DUMMYFUNCTION("""COMPUTED_VALUE"""),"السويس")</f>
        <v>السويس</v>
      </c>
      <c r="D3239" s="5" t="str">
        <f ca="1">IFERROR(__xludf.DUMMYFUNCTION("""COMPUTED_VALUE"""),"معمل")</f>
        <v>معمل</v>
      </c>
      <c r="E3239" s="5" t="str">
        <f ca="1">IFERROR(__xludf.DUMMYFUNCTION("""COMPUTED_VALUE"""),"معمل")</f>
        <v>معمل</v>
      </c>
      <c r="F3239" s="5" t="str">
        <f ca="1">IFERROR(__xludf.DUMMYFUNCTION("""COMPUTED_VALUE"""),"معمل التحاليل الطبية")</f>
        <v>معمل التحاليل الطبية</v>
      </c>
      <c r="G3239" s="5" t="str">
        <f ca="1">IFERROR(__xludf.DUMMYFUNCTION("""COMPUTED_VALUE"""),"بريميم هيلثكير جروب (معامل سيتي لاب)")</f>
        <v>بريميم هيلثكير جروب (معامل سيتي لاب)</v>
      </c>
      <c r="H3239" s="5" t="str">
        <f ca="1">IFERROR(__xludf.DUMMYFUNCTION("""COMPUTED_VALUE"""),"السويس شارع 23 يوليو أمام بنك cib")</f>
        <v>السويس شارع 23 يوليو أمام بنك cib</v>
      </c>
      <c r="I3239" s="6" t="str">
        <f ca="1">IFERROR(__xludf.DUMMYFUNCTION("""COMPUTED_VALUE"""),"1202338839")</f>
        <v>1202338839</v>
      </c>
      <c r="J3239" s="6"/>
      <c r="K3239" s="6" t="str">
        <f ca="1">IFERROR(__xludf.DUMMYFUNCTION("""COMPUTED_VALUE"""),"خصم 30% علي الاسعار النقدي ")</f>
        <v xml:space="preserve">خصم 30% علي الاسعار النقدي </v>
      </c>
    </row>
    <row r="3240" spans="1:11" x14ac:dyDescent="0.25">
      <c r="A3240" s="4" t="str">
        <f ca="1">IFERROR(__xludf.DUMMYFUNCTION("""COMPUTED_VALUE"""),"107495")</f>
        <v>107495</v>
      </c>
      <c r="B3240" s="5" t="str">
        <f ca="1">IFERROR(__xludf.DUMMYFUNCTION("""COMPUTED_VALUE"""),"الاسكندرية")</f>
        <v>الاسكندرية</v>
      </c>
      <c r="C3240" s="5" t="str">
        <f ca="1">IFERROR(__xludf.DUMMYFUNCTION("""COMPUTED_VALUE"""),"ميامي")</f>
        <v>ميامي</v>
      </c>
      <c r="D3240" s="5" t="str">
        <f ca="1">IFERROR(__xludf.DUMMYFUNCTION("""COMPUTED_VALUE"""),"هيئة الأطباء")</f>
        <v>هيئة الأطباء</v>
      </c>
      <c r="E3240" s="5" t="str">
        <f ca="1">IFERROR(__xludf.DUMMYFUNCTION("""COMPUTED_VALUE"""),"اسنان")</f>
        <v>اسنان</v>
      </c>
      <c r="F3240" s="5" t="str">
        <f ca="1">IFERROR(__xludf.DUMMYFUNCTION("""COMPUTED_VALUE"""),"جراحة الفم والأسنان")</f>
        <v>جراحة الفم والأسنان</v>
      </c>
      <c r="G3240" s="5" t="str">
        <f ca="1">IFERROR(__xludf.DUMMYFUNCTION("""COMPUTED_VALUE"""),"د. احمد مدحت مصطفي بدوي مصطفي (عيادات فاميلي دنتال)")</f>
        <v>د. احمد مدحت مصطفي بدوي مصطفي (عيادات فاميلي دنتال)</v>
      </c>
      <c r="H3240" s="5" t="str">
        <f ca="1">IFERROR(__xludf.DUMMYFUNCTION("""COMPUTED_VALUE"""),"17 شارع 45 بحري ميامي - الاسكندرية")</f>
        <v>17 شارع 45 بحري ميامي - الاسكندرية</v>
      </c>
      <c r="I3240" s="6" t="str">
        <f ca="1">IFERROR(__xludf.DUMMYFUNCTION("""COMPUTED_VALUE"""),"01100062750")</f>
        <v>01100062750</v>
      </c>
      <c r="J3240" s="6"/>
      <c r="K3240" s="6" t="str">
        <f ca="1">IFERROR(__xludf.DUMMYFUNCTION("""COMPUTED_VALUE"""),"خصم 30% علي الاسعار النقدي ")</f>
        <v xml:space="preserve">خصم 30% علي الاسعار النقدي </v>
      </c>
    </row>
    <row r="3241" spans="1:11" x14ac:dyDescent="0.25">
      <c r="A3241" s="4" t="str">
        <f ca="1">IFERROR(__xludf.DUMMYFUNCTION("""COMPUTED_VALUE"""),"107496")</f>
        <v>107496</v>
      </c>
      <c r="B3241" s="5" t="str">
        <f ca="1">IFERROR(__xludf.DUMMYFUNCTION("""COMPUTED_VALUE"""),"الغربية")</f>
        <v>الغربية</v>
      </c>
      <c r="C3241" s="5" t="str">
        <f ca="1">IFERROR(__xludf.DUMMYFUNCTION("""COMPUTED_VALUE"""),"زفتى")</f>
        <v>زفتى</v>
      </c>
      <c r="D3241" s="5" t="str">
        <f ca="1">IFERROR(__xludf.DUMMYFUNCTION("""COMPUTED_VALUE"""),"هيئة الأطباء")</f>
        <v>هيئة الأطباء</v>
      </c>
      <c r="E3241" s="5" t="str">
        <f ca="1">IFERROR(__xludf.DUMMYFUNCTION("""COMPUTED_VALUE"""),"اسنان")</f>
        <v>اسنان</v>
      </c>
      <c r="F3241" s="5" t="str">
        <f ca="1">IFERROR(__xludf.DUMMYFUNCTION("""COMPUTED_VALUE"""),"جراحة الفم والأسنان")</f>
        <v>جراحة الفم والأسنان</v>
      </c>
      <c r="G3241" s="5" t="str">
        <f ca="1">IFERROR(__xludf.DUMMYFUNCTION("""COMPUTED_VALUE"""),"د. محمود عبدالله عبدالعزيز عبدالله بدوي")</f>
        <v>د. محمود عبدالله عبدالعزيز عبدالله بدوي</v>
      </c>
      <c r="H3241" s="5" t="str">
        <f ca="1">IFERROR(__xludf.DUMMYFUNCTION("""COMPUTED_VALUE"""),"شارع العباسية زفتي - الغربية")</f>
        <v>شارع العباسية زفتي - الغربية</v>
      </c>
      <c r="I3241" s="6" t="str">
        <f ca="1">IFERROR(__xludf.DUMMYFUNCTION("""COMPUTED_VALUE"""),"01119431992")</f>
        <v>01119431992</v>
      </c>
      <c r="J3241" s="6"/>
      <c r="K3241" s="6" t="str">
        <f ca="1">IFERROR(__xludf.DUMMYFUNCTION("""COMPUTED_VALUE"""),"خصم 30% علي الاسعار النقدي ")</f>
        <v xml:space="preserve">خصم 30% علي الاسعار النقدي </v>
      </c>
    </row>
    <row r="3242" spans="1:11" x14ac:dyDescent="0.25">
      <c r="A3242" s="4" t="str">
        <f ca="1">IFERROR(__xludf.DUMMYFUNCTION("""COMPUTED_VALUE"""),"107496-B")</f>
        <v>107496-B</v>
      </c>
      <c r="B3242" s="5" t="str">
        <f ca="1">IFERROR(__xludf.DUMMYFUNCTION("""COMPUTED_VALUE"""),"الغربية")</f>
        <v>الغربية</v>
      </c>
      <c r="C3242" s="5" t="str">
        <f ca="1">IFERROR(__xludf.DUMMYFUNCTION("""COMPUTED_VALUE"""),"السنطة")</f>
        <v>السنطة</v>
      </c>
      <c r="D3242" s="5" t="str">
        <f ca="1">IFERROR(__xludf.DUMMYFUNCTION("""COMPUTED_VALUE"""),"هيئة الأطباء")</f>
        <v>هيئة الأطباء</v>
      </c>
      <c r="E3242" s="5" t="str">
        <f ca="1">IFERROR(__xludf.DUMMYFUNCTION("""COMPUTED_VALUE"""),"اسنان")</f>
        <v>اسنان</v>
      </c>
      <c r="F3242" s="5" t="str">
        <f ca="1">IFERROR(__xludf.DUMMYFUNCTION("""COMPUTED_VALUE"""),"جراحة الفم والأسنان")</f>
        <v>جراحة الفم والأسنان</v>
      </c>
      <c r="G3242" s="5" t="str">
        <f ca="1">IFERROR(__xludf.DUMMYFUNCTION("""COMPUTED_VALUE"""),"د. محمود عبدالله عبدالعزيز عبدالله بدوي")</f>
        <v>د. محمود عبدالله عبدالعزيز عبدالله بدوي</v>
      </c>
      <c r="H3242" s="5" t="str">
        <f ca="1">IFERROR(__xludf.DUMMYFUNCTION("""COMPUTED_VALUE"""),"عمارة الضرايب القديمة على الطريق السريع السنطة - الغربية")</f>
        <v>عمارة الضرايب القديمة على الطريق السريع السنطة - الغربية</v>
      </c>
      <c r="I3242" s="6" t="str">
        <f ca="1">IFERROR(__xludf.DUMMYFUNCTION("""COMPUTED_VALUE"""),"01119431992")</f>
        <v>01119431992</v>
      </c>
      <c r="J3242" s="6"/>
      <c r="K3242" s="6" t="str">
        <f ca="1">IFERROR(__xludf.DUMMYFUNCTION("""COMPUTED_VALUE"""),"خصم 30% علي الاسعار النقدي ")</f>
        <v xml:space="preserve">خصم 30% علي الاسعار النقدي </v>
      </c>
    </row>
    <row r="3243" spans="1:11" x14ac:dyDescent="0.25">
      <c r="A3243" s="4" t="str">
        <f ca="1">IFERROR(__xludf.DUMMYFUNCTION("""COMPUTED_VALUE"""),"107497")</f>
        <v>107497</v>
      </c>
      <c r="B3243" s="5" t="str">
        <f ca="1">IFERROR(__xludf.DUMMYFUNCTION("""COMPUTED_VALUE"""),"القليوبية")</f>
        <v>القليوبية</v>
      </c>
      <c r="C3243" s="5" t="str">
        <f ca="1">IFERROR(__xludf.DUMMYFUNCTION("""COMPUTED_VALUE"""),"كفر شكر")</f>
        <v>كفر شكر</v>
      </c>
      <c r="D3243" s="5" t="str">
        <f ca="1">IFERROR(__xludf.DUMMYFUNCTION("""COMPUTED_VALUE"""),"هيئة الأطباء")</f>
        <v>هيئة الأطباء</v>
      </c>
      <c r="E3243" s="5" t="str">
        <f ca="1">IFERROR(__xludf.DUMMYFUNCTION("""COMPUTED_VALUE"""),"اسنان")</f>
        <v>اسنان</v>
      </c>
      <c r="F3243" s="5" t="str">
        <f ca="1">IFERROR(__xludf.DUMMYFUNCTION("""COMPUTED_VALUE"""),"جراحة الفم والأسنان")</f>
        <v>جراحة الفم والأسنان</v>
      </c>
      <c r="G3243" s="5" t="str">
        <f ca="1">IFERROR(__xludf.DUMMYFUNCTION("""COMPUTED_VALUE"""),"د. علي فتحي محمد سرور السعدني (الفيلا للاسنان)")</f>
        <v>د. علي فتحي محمد سرور السعدني (الفيلا للاسنان)</v>
      </c>
      <c r="H3243" s="5" t="str">
        <f ca="1">IFERROR(__xludf.DUMMYFUNCTION("""COMPUTED_VALUE"""),"40  ش النصر منطقة اولي - مركز كفر شكر - القليوبية")</f>
        <v>40  ش النصر منطقة اولي - مركز كفر شكر - القليوبية</v>
      </c>
      <c r="I3243" s="6" t="str">
        <f ca="1">IFERROR(__xludf.DUMMYFUNCTION("""COMPUTED_VALUE"""),"01090797851")</f>
        <v>01090797851</v>
      </c>
      <c r="J3243" s="6"/>
      <c r="K3243" s="6" t="str">
        <f ca="1">IFERROR(__xludf.DUMMYFUNCTION("""COMPUTED_VALUE"""),"خصم 30% علي الاسعار النقدي ")</f>
        <v xml:space="preserve">خصم 30% علي الاسعار النقدي </v>
      </c>
    </row>
    <row r="3244" spans="1:11" x14ac:dyDescent="0.25">
      <c r="A3244" s="4" t="str">
        <f ca="1">IFERROR(__xludf.DUMMYFUNCTION("""COMPUTED_VALUE"""),"107498")</f>
        <v>107498</v>
      </c>
      <c r="B3244" s="5" t="str">
        <f ca="1">IFERROR(__xludf.DUMMYFUNCTION("""COMPUTED_VALUE"""),"بني سويف")</f>
        <v>بني سويف</v>
      </c>
      <c r="C3244" s="5" t="str">
        <f ca="1">IFERROR(__xludf.DUMMYFUNCTION("""COMPUTED_VALUE"""),"بني سويف")</f>
        <v>بني سويف</v>
      </c>
      <c r="D3244" s="5" t="str">
        <f ca="1">IFERROR(__xludf.DUMMYFUNCTION("""COMPUTED_VALUE"""),"صيدلية")</f>
        <v>صيدلية</v>
      </c>
      <c r="E3244" s="5" t="str">
        <f ca="1">IFERROR(__xludf.DUMMYFUNCTION("""COMPUTED_VALUE"""),"صيدلية")</f>
        <v>صيدلية</v>
      </c>
      <c r="F3244" s="5" t="str">
        <f ca="1">IFERROR(__xludf.DUMMYFUNCTION("""COMPUTED_VALUE"""),"صيدلية (أدوية ومستلزمات طبية)")</f>
        <v>صيدلية (أدوية ومستلزمات طبية)</v>
      </c>
      <c r="G3244" s="5" t="str">
        <f ca="1">IFERROR(__xludf.DUMMYFUNCTION("""COMPUTED_VALUE"""),"صيدلية د. اسراء عبدالغني محمد محمود")</f>
        <v>صيدلية د. اسراء عبدالغني محمد محمود</v>
      </c>
      <c r="H3244" s="5" t="str">
        <f ca="1">IFERROR(__xludf.DUMMYFUNCTION("""COMPUTED_VALUE"""),"ش عبداللطيف قاسم - مركز اهناسيا - بني سويف")</f>
        <v>ش عبداللطيف قاسم - مركز اهناسيا - بني سويف</v>
      </c>
      <c r="I3244" s="6" t="str">
        <f ca="1">IFERROR(__xludf.DUMMYFUNCTION("""COMPUTED_VALUE"""),"0823739336")</f>
        <v>0823739336</v>
      </c>
      <c r="J3244" s="6"/>
      <c r="K3244" s="6" t="str">
        <f ca="1">IFERROR(__xludf.DUMMYFUNCTION("""COMPUTED_VALUE"""),"خصم 16% علي المستورد و 8% علي المحلي")</f>
        <v>خصم 16% علي المستورد و 8% علي المحلي</v>
      </c>
    </row>
    <row r="3245" spans="1:11" x14ac:dyDescent="0.25">
      <c r="A3245" s="4" t="str">
        <f ca="1">IFERROR(__xludf.DUMMYFUNCTION("""COMPUTED_VALUE"""),"107499")</f>
        <v>107499</v>
      </c>
      <c r="B3245" s="5" t="str">
        <f ca="1">IFERROR(__xludf.DUMMYFUNCTION("""COMPUTED_VALUE"""),"سوهاج")</f>
        <v>سوهاج</v>
      </c>
      <c r="C3245" s="5" t="str">
        <f ca="1">IFERROR(__xludf.DUMMYFUNCTION("""COMPUTED_VALUE"""),"طما")</f>
        <v>طما</v>
      </c>
      <c r="D3245" s="5" t="str">
        <f ca="1">IFERROR(__xludf.DUMMYFUNCTION("""COMPUTED_VALUE"""),"هيئة الأطباء")</f>
        <v>هيئة الأطباء</v>
      </c>
      <c r="E3245" s="5" t="str">
        <f ca="1">IFERROR(__xludf.DUMMYFUNCTION("""COMPUTED_VALUE"""),"اسنان")</f>
        <v>اسنان</v>
      </c>
      <c r="F3245" s="5" t="str">
        <f ca="1">IFERROR(__xludf.DUMMYFUNCTION("""COMPUTED_VALUE"""),"جراحة الفم والأسنان")</f>
        <v>جراحة الفم والأسنان</v>
      </c>
      <c r="G3245" s="5" t="str">
        <f ca="1">IFERROR(__xludf.DUMMYFUNCTION("""COMPUTED_VALUE"""),"د. اسراء بخيت بكر متولي")</f>
        <v>د. اسراء بخيت بكر متولي</v>
      </c>
      <c r="H3245" s="5" t="str">
        <f ca="1">IFERROR(__xludf.DUMMYFUNCTION("""COMPUTED_VALUE"""),"شارع الجمهورية برج اللواء - مركز طما - سوهاج")</f>
        <v>شارع الجمهورية برج اللواء - مركز طما - سوهاج</v>
      </c>
      <c r="I3245" s="6" t="str">
        <f ca="1">IFERROR(__xludf.DUMMYFUNCTION("""COMPUTED_VALUE"""),"01018915713")</f>
        <v>01018915713</v>
      </c>
      <c r="J3245" s="6"/>
      <c r="K3245" s="6" t="str">
        <f ca="1">IFERROR(__xludf.DUMMYFUNCTION("""COMPUTED_VALUE"""),"خصم 30% علي الاسعار النقدي ")</f>
        <v xml:space="preserve">خصم 30% علي الاسعار النقدي </v>
      </c>
    </row>
    <row r="3246" spans="1:11" x14ac:dyDescent="0.25">
      <c r="A3246" s="4" t="str">
        <f ca="1">IFERROR(__xludf.DUMMYFUNCTION("""COMPUTED_VALUE"""),"106985-B")</f>
        <v>106985-B</v>
      </c>
      <c r="B3246" s="5" t="str">
        <f ca="1">IFERROR(__xludf.DUMMYFUNCTION("""COMPUTED_VALUE"""),"القاهرة")</f>
        <v>القاهرة</v>
      </c>
      <c r="C3246" s="5" t="str">
        <f ca="1">IFERROR(__xludf.DUMMYFUNCTION("""COMPUTED_VALUE"""),"القاهرة الجديدة")</f>
        <v>القاهرة الجديدة</v>
      </c>
      <c r="D3246" s="5" t="str">
        <f ca="1">IFERROR(__xludf.DUMMYFUNCTION("""COMPUTED_VALUE"""),"مجمع عيادات")</f>
        <v>مجمع عيادات</v>
      </c>
      <c r="E3246" s="5" t="str">
        <f ca="1">IFERROR(__xludf.DUMMYFUNCTION("""COMPUTED_VALUE"""),"جميع التخصصات")</f>
        <v>جميع التخصصات</v>
      </c>
      <c r="F3246" s="5" t="str">
        <f ca="1">IFERROR(__xludf.DUMMYFUNCTION("""COMPUTED_VALUE"""),"جميع التخصصات الطبية")</f>
        <v>جميع التخصصات الطبية</v>
      </c>
      <c r="G3246" s="5" t="str">
        <f ca="1">IFERROR(__xludf.DUMMYFUNCTION("""COMPUTED_VALUE"""),"جمعيه زهره الفؤاد الخيريه (عيادات زهره الفؤاد التخصصيه)")</f>
        <v>جمعيه زهره الفؤاد الخيريه (عيادات زهره الفؤاد التخصصيه)</v>
      </c>
      <c r="H3246" s="5" t="str">
        <f ca="1">IFERROR(__xludf.DUMMYFUNCTION("""COMPUTED_VALUE"""),"زهره العاصمه الاداريه اعلى هايبر ماركت زاد الدور الاول")</f>
        <v>زهره العاصمه الاداريه اعلى هايبر ماركت زاد الدور الاول</v>
      </c>
      <c r="I3246" s="6" t="str">
        <f ca="1">IFERROR(__xludf.DUMMYFUNCTION("""COMPUTED_VALUE"""),"01032827666")</f>
        <v>01032827666</v>
      </c>
      <c r="J3246" s="6"/>
      <c r="K3246" s="6" t="str">
        <f ca="1">IFERROR(__xludf.DUMMYFUNCTION("""COMPUTED_VALUE"""),"خصم 20% علي الاسعار النقدي")</f>
        <v>خصم 20% علي الاسعار النقدي</v>
      </c>
    </row>
    <row r="3247" spans="1:11" x14ac:dyDescent="0.25">
      <c r="A3247" s="4" t="str">
        <f ca="1">IFERROR(__xludf.DUMMYFUNCTION("""COMPUTED_VALUE"""),"107507")</f>
        <v>107507</v>
      </c>
      <c r="B3247" s="5" t="str">
        <f ca="1">IFERROR(__xludf.DUMMYFUNCTION("""COMPUTED_VALUE"""),"المنوفية")</f>
        <v>المنوفية</v>
      </c>
      <c r="C3247" s="5" t="str">
        <f ca="1">IFERROR(__xludf.DUMMYFUNCTION("""COMPUTED_VALUE"""),"الشهداء")</f>
        <v>الشهداء</v>
      </c>
      <c r="D3247" s="5" t="str">
        <f ca="1">IFERROR(__xludf.DUMMYFUNCTION("""COMPUTED_VALUE"""),"صيدلية")</f>
        <v>صيدلية</v>
      </c>
      <c r="E3247" s="5" t="str">
        <f ca="1">IFERROR(__xludf.DUMMYFUNCTION("""COMPUTED_VALUE"""),"صيدلية")</f>
        <v>صيدلية</v>
      </c>
      <c r="F3247" s="5" t="str">
        <f ca="1">IFERROR(__xludf.DUMMYFUNCTION("""COMPUTED_VALUE"""),"صيدلية (أدوية ومستلزمات طبية)")</f>
        <v>صيدلية (أدوية ومستلزمات طبية)</v>
      </c>
      <c r="G3247" s="5" t="str">
        <f ca="1">IFERROR(__xludf.DUMMYFUNCTION("""COMPUTED_VALUE"""),"صيدلية د. نهي احمد سليمان يوسف")</f>
        <v>صيدلية د. نهي احمد سليمان يوسف</v>
      </c>
      <c r="H3247" s="5" t="str">
        <f ca="1">IFERROR(__xludf.DUMMYFUNCTION("""COMPUTED_VALUE"""),"شارع بورسعيد - الشهداء - المنوفية")</f>
        <v>شارع بورسعيد - الشهداء - المنوفية</v>
      </c>
      <c r="I3247" s="6" t="str">
        <f ca="1">IFERROR(__xludf.DUMMYFUNCTION("""COMPUTED_VALUE"""),"01097159444")</f>
        <v>01097159444</v>
      </c>
      <c r="J3247" s="6"/>
      <c r="K3247" s="6" t="str">
        <f ca="1">IFERROR(__xludf.DUMMYFUNCTION("""COMPUTED_VALUE"""),"خصم 14% علي المستورد و 7% علي المحلي")</f>
        <v>خصم 14% علي المستورد و 7% علي المحلي</v>
      </c>
    </row>
    <row r="3248" spans="1:11" x14ac:dyDescent="0.25">
      <c r="A3248" s="4" t="str">
        <f ca="1">IFERROR(__xludf.DUMMYFUNCTION("""COMPUTED_VALUE"""),"107508")</f>
        <v>107508</v>
      </c>
      <c r="B3248" s="5" t="str">
        <f ca="1">IFERROR(__xludf.DUMMYFUNCTION("""COMPUTED_VALUE"""),"الشرقية")</f>
        <v>الشرقية</v>
      </c>
      <c r="C3248" s="5" t="str">
        <f ca="1">IFERROR(__xludf.DUMMYFUNCTION("""COMPUTED_VALUE"""),"أبو حماد")</f>
        <v>أبو حماد</v>
      </c>
      <c r="D3248" s="5" t="str">
        <f ca="1">IFERROR(__xludf.DUMMYFUNCTION("""COMPUTED_VALUE"""),"صيدلية")</f>
        <v>صيدلية</v>
      </c>
      <c r="E3248" s="5" t="str">
        <f ca="1">IFERROR(__xludf.DUMMYFUNCTION("""COMPUTED_VALUE"""),"صيدلية")</f>
        <v>صيدلية</v>
      </c>
      <c r="F3248" s="5" t="str">
        <f ca="1">IFERROR(__xludf.DUMMYFUNCTION("""COMPUTED_VALUE"""),"صيدلية (أدوية ومستلزمات طبية)")</f>
        <v>صيدلية (أدوية ومستلزمات طبية)</v>
      </c>
      <c r="G3248" s="5" t="str">
        <f ca="1">IFERROR(__xludf.DUMMYFUNCTION("""COMPUTED_VALUE"""),"محمود حسانين خليل عبدالرحمن (صيدلية محمود حسانين)")</f>
        <v>محمود حسانين خليل عبدالرحمن (صيدلية محمود حسانين)</v>
      </c>
      <c r="H3248" s="5" t="str">
        <f ca="1">IFERROR(__xludf.DUMMYFUNCTION("""COMPUTED_VALUE"""),"كفرالعزازي- أبو حماد - الشرقية")</f>
        <v>كفرالعزازي- أبو حماد - الشرقية</v>
      </c>
      <c r="I3248" s="6" t="str">
        <f ca="1">IFERROR(__xludf.DUMMYFUNCTION("""COMPUTED_VALUE"""),"01070843817")</f>
        <v>01070843817</v>
      </c>
      <c r="J3248" s="6"/>
      <c r="K3248" s="6" t="str">
        <f ca="1">IFERROR(__xludf.DUMMYFUNCTION("""COMPUTED_VALUE"""),"خصم 14% علي المستورد و 7% علي المحلي")</f>
        <v>خصم 14% علي المستورد و 7% علي المحلي</v>
      </c>
    </row>
    <row r="3249" spans="1:11" x14ac:dyDescent="0.25">
      <c r="A3249" s="4" t="str">
        <f ca="1">IFERROR(__xludf.DUMMYFUNCTION("""COMPUTED_VALUE"""),"107509")</f>
        <v>107509</v>
      </c>
      <c r="B3249" s="5" t="str">
        <f ca="1">IFERROR(__xludf.DUMMYFUNCTION("""COMPUTED_VALUE"""),"الاسكندرية")</f>
        <v>الاسكندرية</v>
      </c>
      <c r="C3249" s="5" t="str">
        <f ca="1">IFERROR(__xludf.DUMMYFUNCTION("""COMPUTED_VALUE"""),"برج العرب")</f>
        <v>برج العرب</v>
      </c>
      <c r="D3249" s="5" t="str">
        <f ca="1">IFERROR(__xludf.DUMMYFUNCTION("""COMPUTED_VALUE"""),"صيدلية")</f>
        <v>صيدلية</v>
      </c>
      <c r="E3249" s="5" t="str">
        <f ca="1">IFERROR(__xludf.DUMMYFUNCTION("""COMPUTED_VALUE"""),"صيدلية")</f>
        <v>صيدلية</v>
      </c>
      <c r="F3249" s="5" t="str">
        <f ca="1">IFERROR(__xludf.DUMMYFUNCTION("""COMPUTED_VALUE"""),"صيدلية (أدوية ومستلزمات طبية)")</f>
        <v>صيدلية (أدوية ومستلزمات طبية)</v>
      </c>
      <c r="G3249" s="5" t="str">
        <f ca="1">IFERROR(__xludf.DUMMYFUNCTION("""COMPUTED_VALUE"""),"شريف احمدعبدالهادي السيد (صيدليات شريف)")</f>
        <v>شريف احمدعبدالهادي السيد (صيدليات شريف)</v>
      </c>
      <c r="H3249" s="5" t="str">
        <f ca="1">IFERROR(__xludf.DUMMYFUNCTION("""COMPUTED_VALUE"""),"بهيج - الشارع الرئيسي امام الوحدة الصحية - ملك فرحات حامد - برج العرب - الاسكندرية")</f>
        <v>بهيج - الشارع الرئيسي امام الوحدة الصحية - ملك فرحات حامد - برج العرب - الاسكندرية</v>
      </c>
      <c r="I3249" s="6" t="str">
        <f ca="1">IFERROR(__xludf.DUMMYFUNCTION("""COMPUTED_VALUE"""),"1099339934")</f>
        <v>1099339934</v>
      </c>
      <c r="J3249" s="6"/>
      <c r="K3249" s="6" t="str">
        <f ca="1">IFERROR(__xludf.DUMMYFUNCTION("""COMPUTED_VALUE"""),"خصم 14% علي المستورد و 7% علي المحلي")</f>
        <v>خصم 14% علي المستورد و 7% علي المحلي</v>
      </c>
    </row>
    <row r="3250" spans="1:11" x14ac:dyDescent="0.25">
      <c r="A3250" s="4" t="str">
        <f ca="1">IFERROR(__xludf.DUMMYFUNCTION("""COMPUTED_VALUE"""),"107509-B")</f>
        <v>107509-B</v>
      </c>
      <c r="B3250" s="5" t="str">
        <f ca="1">IFERROR(__xludf.DUMMYFUNCTION("""COMPUTED_VALUE"""),"الاسكندرية")</f>
        <v>الاسكندرية</v>
      </c>
      <c r="C3250" s="5" t="str">
        <f ca="1">IFERROR(__xludf.DUMMYFUNCTION("""COMPUTED_VALUE"""),"برج العرب")</f>
        <v>برج العرب</v>
      </c>
      <c r="D3250" s="5" t="str">
        <f ca="1">IFERROR(__xludf.DUMMYFUNCTION("""COMPUTED_VALUE"""),"صيدلية")</f>
        <v>صيدلية</v>
      </c>
      <c r="E3250" s="5" t="str">
        <f ca="1">IFERROR(__xludf.DUMMYFUNCTION("""COMPUTED_VALUE"""),"صيدلية")</f>
        <v>صيدلية</v>
      </c>
      <c r="F3250" s="5" t="str">
        <f ca="1">IFERROR(__xludf.DUMMYFUNCTION("""COMPUTED_VALUE"""),"صيدلية (أدوية ومستلزمات طبية)")</f>
        <v>صيدلية (أدوية ومستلزمات طبية)</v>
      </c>
      <c r="G3250" s="5" t="str">
        <f ca="1">IFERROR(__xludf.DUMMYFUNCTION("""COMPUTED_VALUE"""),"شريف احمدعبدالهادي السيد (صيدليات شريف)")</f>
        <v>شريف احمدعبدالهادي السيد (صيدليات شريف)</v>
      </c>
      <c r="H3250" s="5" t="str">
        <f ca="1">IFERROR(__xludf.DUMMYFUNCTION("""COMPUTED_VALUE"""),"مجمع البنوك الحي السكنى الأول - برج العرب الجديدة - الإسكندرية")</f>
        <v>مجمع البنوك الحي السكنى الأول - برج العرب الجديدة - الإسكندرية</v>
      </c>
      <c r="I3250" s="6" t="str">
        <f ca="1">IFERROR(__xludf.DUMMYFUNCTION("""COMPUTED_VALUE"""),"1099339934")</f>
        <v>1099339934</v>
      </c>
      <c r="J3250" s="6"/>
      <c r="K3250" s="6" t="str">
        <f ca="1">IFERROR(__xludf.DUMMYFUNCTION("""COMPUTED_VALUE"""),"خصم 14% علي المستورد و 7% علي المحلي")</f>
        <v>خصم 14% علي المستورد و 7% علي المحلي</v>
      </c>
    </row>
    <row r="3251" spans="1:11" x14ac:dyDescent="0.25">
      <c r="A3251" s="4" t="str">
        <f ca="1">IFERROR(__xludf.DUMMYFUNCTION("""COMPUTED_VALUE"""),"107509-B")</f>
        <v>107509-B</v>
      </c>
      <c r="B3251" s="5" t="str">
        <f ca="1">IFERROR(__xludf.DUMMYFUNCTION("""COMPUTED_VALUE"""),"الاسكندرية")</f>
        <v>الاسكندرية</v>
      </c>
      <c r="C3251" s="5" t="str">
        <f ca="1">IFERROR(__xludf.DUMMYFUNCTION("""COMPUTED_VALUE"""),"برج العرب")</f>
        <v>برج العرب</v>
      </c>
      <c r="D3251" s="5" t="str">
        <f ca="1">IFERROR(__xludf.DUMMYFUNCTION("""COMPUTED_VALUE"""),"صيدلية")</f>
        <v>صيدلية</v>
      </c>
      <c r="E3251" s="5" t="str">
        <f ca="1">IFERROR(__xludf.DUMMYFUNCTION("""COMPUTED_VALUE"""),"صيدلية")</f>
        <v>صيدلية</v>
      </c>
      <c r="F3251" s="5" t="str">
        <f ca="1">IFERROR(__xludf.DUMMYFUNCTION("""COMPUTED_VALUE"""),"صيدلية (أدوية ومستلزمات طبية)")</f>
        <v>صيدلية (أدوية ومستلزمات طبية)</v>
      </c>
      <c r="G3251" s="5" t="str">
        <f ca="1">IFERROR(__xludf.DUMMYFUNCTION("""COMPUTED_VALUE"""),"شريف احمدعبدالهادي السيد (صيدليات شريف)")</f>
        <v>شريف احمدعبدالهادي السيد (صيدليات شريف)</v>
      </c>
      <c r="H3251" s="5" t="str">
        <f ca="1">IFERROR(__xludf.DUMMYFUNCTION("""COMPUTED_VALUE"""),"كينج مريوط طريق كارفور - برج العرب الجديد - الإسكندرية")</f>
        <v>كينج مريوط طريق كارفور - برج العرب الجديد - الإسكندرية</v>
      </c>
      <c r="I3251" s="6" t="str">
        <f ca="1">IFERROR(__xludf.DUMMYFUNCTION("""COMPUTED_VALUE"""),"1099339934")</f>
        <v>1099339934</v>
      </c>
      <c r="J3251" s="6"/>
      <c r="K3251" s="6" t="str">
        <f ca="1">IFERROR(__xludf.DUMMYFUNCTION("""COMPUTED_VALUE"""),"خصم 14% علي المستورد و 7% علي المحلي")</f>
        <v>خصم 14% علي المستورد و 7% علي المحلي</v>
      </c>
    </row>
    <row r="3252" spans="1:11" x14ac:dyDescent="0.25">
      <c r="A3252" s="4" t="str">
        <f ca="1">IFERROR(__xludf.DUMMYFUNCTION("""COMPUTED_VALUE"""),"107509-B")</f>
        <v>107509-B</v>
      </c>
      <c r="B3252" s="5" t="str">
        <f ca="1">IFERROR(__xludf.DUMMYFUNCTION("""COMPUTED_VALUE"""),"الاسكندرية")</f>
        <v>الاسكندرية</v>
      </c>
      <c r="C3252" s="5" t="str">
        <f ca="1">IFERROR(__xludf.DUMMYFUNCTION("""COMPUTED_VALUE"""),"برج العرب")</f>
        <v>برج العرب</v>
      </c>
      <c r="D3252" s="5" t="str">
        <f ca="1">IFERROR(__xludf.DUMMYFUNCTION("""COMPUTED_VALUE"""),"صيدلية")</f>
        <v>صيدلية</v>
      </c>
      <c r="E3252" s="5" t="str">
        <f ca="1">IFERROR(__xludf.DUMMYFUNCTION("""COMPUTED_VALUE"""),"صيدلية")</f>
        <v>صيدلية</v>
      </c>
      <c r="F3252" s="5" t="str">
        <f ca="1">IFERROR(__xludf.DUMMYFUNCTION("""COMPUTED_VALUE"""),"صيدلية (أدوية ومستلزمات طبية)")</f>
        <v>صيدلية (أدوية ومستلزمات طبية)</v>
      </c>
      <c r="G3252" s="5" t="str">
        <f ca="1">IFERROR(__xludf.DUMMYFUNCTION("""COMPUTED_VALUE"""),"شريف احمدعبدالهادي السيد (صيدليات شريف)")</f>
        <v>شريف احمدعبدالهادي السيد (صيدليات شريف)</v>
      </c>
      <c r="H3252" s="5" t="str">
        <f ca="1">IFERROR(__xludf.DUMMYFUNCTION("""COMPUTED_VALUE"""),"بلازا مول المحور المركزي - برج العرب الجديدة - الإسكندرية")</f>
        <v>بلازا مول المحور المركزي - برج العرب الجديدة - الإسكندرية</v>
      </c>
      <c r="I3252" s="6" t="str">
        <f ca="1">IFERROR(__xludf.DUMMYFUNCTION("""COMPUTED_VALUE"""),"1099339934")</f>
        <v>1099339934</v>
      </c>
      <c r="J3252" s="6"/>
      <c r="K3252" s="6" t="str">
        <f ca="1">IFERROR(__xludf.DUMMYFUNCTION("""COMPUTED_VALUE"""),"خصم 14% علي المستورد و 7% علي المحلي")</f>
        <v>خصم 14% علي المستورد و 7% علي المحلي</v>
      </c>
    </row>
    <row r="3253" spans="1:11" x14ac:dyDescent="0.25">
      <c r="A3253" s="4" t="str">
        <f ca="1">IFERROR(__xludf.DUMMYFUNCTION("""COMPUTED_VALUE"""),"107510")</f>
        <v>107510</v>
      </c>
      <c r="B3253" s="5" t="str">
        <f ca="1">IFERROR(__xludf.DUMMYFUNCTION("""COMPUTED_VALUE"""),"البحر الاحمر")</f>
        <v>البحر الاحمر</v>
      </c>
      <c r="C3253" s="5" t="str">
        <f ca="1">IFERROR(__xludf.DUMMYFUNCTION("""COMPUTED_VALUE"""),"القصير")</f>
        <v>القصير</v>
      </c>
      <c r="D3253" s="5" t="str">
        <f ca="1">IFERROR(__xludf.DUMMYFUNCTION("""COMPUTED_VALUE"""),"صيدلية")</f>
        <v>صيدلية</v>
      </c>
      <c r="E3253" s="5" t="str">
        <f ca="1">IFERROR(__xludf.DUMMYFUNCTION("""COMPUTED_VALUE"""),"صيدلية")</f>
        <v>صيدلية</v>
      </c>
      <c r="F3253" s="5" t="str">
        <f ca="1">IFERROR(__xludf.DUMMYFUNCTION("""COMPUTED_VALUE"""),"صيدلية (أدوية ومستلزمات طبية)")</f>
        <v>صيدلية (أدوية ومستلزمات طبية)</v>
      </c>
      <c r="G3253" s="5" t="str">
        <f ca="1">IFERROR(__xludf.DUMMYFUNCTION("""COMPUTED_VALUE"""),"صيدلية د. سعيد حسين محمد اسماعيل")</f>
        <v>صيدلية د. سعيد حسين محمد اسماعيل</v>
      </c>
      <c r="H3253" s="5" t="str">
        <f ca="1">IFERROR(__xludf.DUMMYFUNCTION("""COMPUTED_VALUE"""),"امام مدرسة العوينة الجديدة الابتدائية القصير - البحر الاحمر")</f>
        <v>امام مدرسة العوينة الجديدة الابتدائية القصير - البحر الاحمر</v>
      </c>
      <c r="I3253" s="6" t="str">
        <f ca="1">IFERROR(__xludf.DUMMYFUNCTION("""COMPUTED_VALUE"""),"1030385496")</f>
        <v>1030385496</v>
      </c>
      <c r="J3253" s="6"/>
      <c r="K3253" s="6" t="str">
        <f ca="1">IFERROR(__xludf.DUMMYFUNCTION("""COMPUTED_VALUE"""),"خصم 14% علي المستورد و 7% علي المحلي")</f>
        <v>خصم 14% علي المستورد و 7% علي المحلي</v>
      </c>
    </row>
    <row r="3254" spans="1:11" x14ac:dyDescent="0.25">
      <c r="A3254" s="4" t="str">
        <f ca="1">IFERROR(__xludf.DUMMYFUNCTION("""COMPUTED_VALUE"""),"107510-B")</f>
        <v>107510-B</v>
      </c>
      <c r="B3254" s="5" t="str">
        <f ca="1">IFERROR(__xludf.DUMMYFUNCTION("""COMPUTED_VALUE"""),"البحر الاحمر")</f>
        <v>البحر الاحمر</v>
      </c>
      <c r="C3254" s="5" t="str">
        <f ca="1">IFERROR(__xludf.DUMMYFUNCTION("""COMPUTED_VALUE"""),"القصير")</f>
        <v>القصير</v>
      </c>
      <c r="D3254" s="5" t="str">
        <f ca="1">IFERROR(__xludf.DUMMYFUNCTION("""COMPUTED_VALUE"""),"صيدلية")</f>
        <v>صيدلية</v>
      </c>
      <c r="E3254" s="5" t="str">
        <f ca="1">IFERROR(__xludf.DUMMYFUNCTION("""COMPUTED_VALUE"""),"صيدلية")</f>
        <v>صيدلية</v>
      </c>
      <c r="F3254" s="5" t="str">
        <f ca="1">IFERROR(__xludf.DUMMYFUNCTION("""COMPUTED_VALUE"""),"صيدلية (أدوية ومستلزمات طبية)")</f>
        <v>صيدلية (أدوية ومستلزمات طبية)</v>
      </c>
      <c r="G3254" s="5" t="str">
        <f ca="1">IFERROR(__xludf.DUMMYFUNCTION("""COMPUTED_VALUE"""),"صيدلية د. سعيد حسين محمد اسماعيل")</f>
        <v>صيدلية د. سعيد حسين محمد اسماعيل</v>
      </c>
      <c r="H3254" s="5" t="str">
        <f ca="1">IFERROR(__xludf.DUMMYFUNCTION("""COMPUTED_VALUE"""),"45مرافق الامل شارع مسجد عشكان القصير - البحر الاحمر")</f>
        <v>45مرافق الامل شارع مسجد عشكان القصير - البحر الاحمر</v>
      </c>
      <c r="I3254" s="6" t="str">
        <f ca="1">IFERROR(__xludf.DUMMYFUNCTION("""COMPUTED_VALUE"""),"1030385496")</f>
        <v>1030385496</v>
      </c>
      <c r="J3254" s="6"/>
      <c r="K3254" s="6" t="str">
        <f ca="1">IFERROR(__xludf.DUMMYFUNCTION("""COMPUTED_VALUE"""),"خصم 14% علي المستورد و 7% علي المحلي")</f>
        <v>خصم 14% علي المستورد و 7% علي المحلي</v>
      </c>
    </row>
    <row r="3255" spans="1:11" x14ac:dyDescent="0.25">
      <c r="A3255" s="4" t="str">
        <f ca="1">IFERROR(__xludf.DUMMYFUNCTION("""COMPUTED_VALUE"""),"107511")</f>
        <v>107511</v>
      </c>
      <c r="B3255" s="5" t="str">
        <f ca="1">IFERROR(__xludf.DUMMYFUNCTION("""COMPUTED_VALUE"""),"الشرقية")</f>
        <v>الشرقية</v>
      </c>
      <c r="C3255" s="5" t="str">
        <f ca="1">IFERROR(__xludf.DUMMYFUNCTION("""COMPUTED_VALUE"""),"فاقوس")</f>
        <v>فاقوس</v>
      </c>
      <c r="D3255" s="5" t="str">
        <f ca="1">IFERROR(__xludf.DUMMYFUNCTION("""COMPUTED_VALUE"""),"صيدلية")</f>
        <v>صيدلية</v>
      </c>
      <c r="E3255" s="5" t="str">
        <f ca="1">IFERROR(__xludf.DUMMYFUNCTION("""COMPUTED_VALUE"""),"صيدلية")</f>
        <v>صيدلية</v>
      </c>
      <c r="F3255" s="5" t="str">
        <f ca="1">IFERROR(__xludf.DUMMYFUNCTION("""COMPUTED_VALUE"""),"صيدلية (أدوية ومستلزمات طبية)")</f>
        <v>صيدلية (أدوية ومستلزمات طبية)</v>
      </c>
      <c r="G3255" s="5" t="str">
        <f ca="1">IFERROR(__xludf.DUMMYFUNCTION("""COMPUTED_VALUE"""),"صيدلية د. ايمان حسن السيد خضر(صيدلية ايمان خضر)")</f>
        <v>صيدلية د. ايمان حسن السيد خضر(صيدلية ايمان خضر)</v>
      </c>
      <c r="H3255" s="5" t="str">
        <f ca="1">IFERROR(__xludf.DUMMYFUNCTION("""COMPUTED_VALUE"""),"شارع الانتاج فاقوس - الشرقية")</f>
        <v>شارع الانتاج فاقوس - الشرقية</v>
      </c>
      <c r="I3255" s="6" t="str">
        <f ca="1">IFERROR(__xludf.DUMMYFUNCTION("""COMPUTED_VALUE"""),"01008589981")</f>
        <v>01008589981</v>
      </c>
      <c r="J3255" s="6"/>
      <c r="K3255" s="6" t="str">
        <f ca="1">IFERROR(__xludf.DUMMYFUNCTION("""COMPUTED_VALUE"""),"خصم 12% علي المستورد و 6% علي المحلي")</f>
        <v>خصم 12% علي المستورد و 6% علي المحلي</v>
      </c>
    </row>
    <row r="3256" spans="1:11" x14ac:dyDescent="0.25">
      <c r="A3256" s="4" t="str">
        <f ca="1">IFERROR(__xludf.DUMMYFUNCTION("""COMPUTED_VALUE"""),"107512")</f>
        <v>107512</v>
      </c>
      <c r="B3256" s="5" t="str">
        <f ca="1">IFERROR(__xludf.DUMMYFUNCTION("""COMPUTED_VALUE"""),"القليوبية")</f>
        <v>القليوبية</v>
      </c>
      <c r="C3256" s="5" t="str">
        <f ca="1">IFERROR(__xludf.DUMMYFUNCTION("""COMPUTED_VALUE"""),"مدينة العبور")</f>
        <v>مدينة العبور</v>
      </c>
      <c r="D3256" s="5" t="str">
        <f ca="1">IFERROR(__xludf.DUMMYFUNCTION("""COMPUTED_VALUE"""),"صيدلية")</f>
        <v>صيدلية</v>
      </c>
      <c r="E3256" s="5" t="str">
        <f ca="1">IFERROR(__xludf.DUMMYFUNCTION("""COMPUTED_VALUE"""),"صيدلية")</f>
        <v>صيدلية</v>
      </c>
      <c r="F3256" s="5" t="str">
        <f ca="1">IFERROR(__xludf.DUMMYFUNCTION("""COMPUTED_VALUE"""),"صيدلية (أدوية ومستلزمات طبية)")</f>
        <v>صيدلية (أدوية ومستلزمات طبية)</v>
      </c>
      <c r="G3256" s="5" t="str">
        <f ca="1">IFERROR(__xludf.DUMMYFUNCTION("""COMPUTED_VALUE"""),"محمود منصور امين احمد و شريكته (ستار فارما)")</f>
        <v>محمود منصور امين احمد و شريكته (ستار فارما)</v>
      </c>
      <c r="H3256" s="5" t="str">
        <f ca="1">IFERROR(__xludf.DUMMYFUNCTION("""COMPUTED_VALUE"""),"جمعية امنحتب النهضة السلام")</f>
        <v>جمعية امنحتب النهضة السلام</v>
      </c>
      <c r="I3256" s="6" t="str">
        <f ca="1">IFERROR(__xludf.DUMMYFUNCTION("""COMPUTED_VALUE"""),"01144456887")</f>
        <v>01144456887</v>
      </c>
      <c r="J3256" s="6"/>
      <c r="K3256" s="6" t="str">
        <f ca="1">IFERROR(__xludf.DUMMYFUNCTION("""COMPUTED_VALUE"""),"خصم 16% علي المستورد و 8% علي المحلي")</f>
        <v>خصم 16% علي المستورد و 8% علي المحلي</v>
      </c>
    </row>
    <row r="3257" spans="1:11" x14ac:dyDescent="0.25">
      <c r="A3257" s="4" t="str">
        <f ca="1">IFERROR(__xludf.DUMMYFUNCTION("""COMPUTED_VALUE"""),"107512-B")</f>
        <v>107512-B</v>
      </c>
      <c r="B3257" s="5" t="str">
        <f ca="1">IFERROR(__xludf.DUMMYFUNCTION("""COMPUTED_VALUE"""),"الجيزة")</f>
        <v>الجيزة</v>
      </c>
      <c r="C3257" s="5" t="str">
        <f ca="1">IFERROR(__xludf.DUMMYFUNCTION("""COMPUTED_VALUE"""),"المهندسين")</f>
        <v>المهندسين</v>
      </c>
      <c r="D3257" s="5" t="str">
        <f ca="1">IFERROR(__xludf.DUMMYFUNCTION("""COMPUTED_VALUE"""),"صيدلية")</f>
        <v>صيدلية</v>
      </c>
      <c r="E3257" s="5" t="str">
        <f ca="1">IFERROR(__xludf.DUMMYFUNCTION("""COMPUTED_VALUE"""),"صيدلية")</f>
        <v>صيدلية</v>
      </c>
      <c r="F3257" s="5" t="str">
        <f ca="1">IFERROR(__xludf.DUMMYFUNCTION("""COMPUTED_VALUE"""),"صيدلية (أدوية ومستلزمات طبية)")</f>
        <v>صيدلية (أدوية ومستلزمات طبية)</v>
      </c>
      <c r="G3257" s="5" t="str">
        <f ca="1">IFERROR(__xludf.DUMMYFUNCTION("""COMPUTED_VALUE"""),"محمود منصور امين احمد و شريكته (ستار فارما)")</f>
        <v>محمود منصور امين احمد و شريكته (ستار فارما)</v>
      </c>
      <c r="H3257" s="5" t="str">
        <f ca="1">IFERROR(__xludf.DUMMYFUNCTION("""COMPUTED_VALUE"""),"رقم 12 ش اسراء المعلمين ميدان لبنان")</f>
        <v>رقم 12 ش اسراء المعلمين ميدان لبنان</v>
      </c>
      <c r="I3257" s="6" t="str">
        <f ca="1">IFERROR(__xludf.DUMMYFUNCTION("""COMPUTED_VALUE"""),"01200291971")</f>
        <v>01200291971</v>
      </c>
      <c r="J3257" s="6"/>
      <c r="K3257" s="6" t="str">
        <f ca="1">IFERROR(__xludf.DUMMYFUNCTION("""COMPUTED_VALUE"""),"خصم 16% علي المستورد و 8% علي المحلي")</f>
        <v>خصم 16% علي المستورد و 8% علي المحلي</v>
      </c>
    </row>
    <row r="3258" spans="1:11" x14ac:dyDescent="0.25">
      <c r="A3258" s="4" t="str">
        <f ca="1">IFERROR(__xludf.DUMMYFUNCTION("""COMPUTED_VALUE"""),"107512-B")</f>
        <v>107512-B</v>
      </c>
      <c r="B3258" s="5" t="str">
        <f ca="1">IFERROR(__xludf.DUMMYFUNCTION("""COMPUTED_VALUE"""),"القاهرة")</f>
        <v>القاهرة</v>
      </c>
      <c r="C3258" s="5" t="str">
        <f ca="1">IFERROR(__xludf.DUMMYFUNCTION("""COMPUTED_VALUE"""),"المعادى")</f>
        <v>المعادى</v>
      </c>
      <c r="D3258" s="5" t="str">
        <f ca="1">IFERROR(__xludf.DUMMYFUNCTION("""COMPUTED_VALUE"""),"صيدلية")</f>
        <v>صيدلية</v>
      </c>
      <c r="E3258" s="5" t="str">
        <f ca="1">IFERROR(__xludf.DUMMYFUNCTION("""COMPUTED_VALUE"""),"صيدلية")</f>
        <v>صيدلية</v>
      </c>
      <c r="F3258" s="5" t="str">
        <f ca="1">IFERROR(__xludf.DUMMYFUNCTION("""COMPUTED_VALUE"""),"صيدلية (أدوية ومستلزمات طبية)")</f>
        <v>صيدلية (أدوية ومستلزمات طبية)</v>
      </c>
      <c r="G3258" s="5" t="str">
        <f ca="1">IFERROR(__xludf.DUMMYFUNCTION("""COMPUTED_VALUE"""),"محمود منصور امين احمد و شريكته (ستار فارما)")</f>
        <v>محمود منصور امين احمد و شريكته (ستار فارما)</v>
      </c>
      <c r="H3258" s="5" t="str">
        <f ca="1">IFERROR(__xludf.DUMMYFUNCTION("""COMPUTED_VALUE"""),"رقم 36 ش 288 المعادي")</f>
        <v>رقم 36 ش 288 المعادي</v>
      </c>
      <c r="I3258" s="6" t="str">
        <f ca="1">IFERROR(__xludf.DUMMYFUNCTION("""COMPUTED_VALUE"""),"25191751")</f>
        <v>25191751</v>
      </c>
      <c r="J3258" s="6"/>
      <c r="K3258" s="6" t="str">
        <f ca="1">IFERROR(__xludf.DUMMYFUNCTION("""COMPUTED_VALUE"""),"خصم 16% علي المستورد و 8% علي المحلي")</f>
        <v>خصم 16% علي المستورد و 8% علي المحلي</v>
      </c>
    </row>
    <row r="3259" spans="1:11" x14ac:dyDescent="0.25">
      <c r="A3259" s="4" t="str">
        <f ca="1">IFERROR(__xludf.DUMMYFUNCTION("""COMPUTED_VALUE"""),"107513")</f>
        <v>107513</v>
      </c>
      <c r="B3259" s="5" t="str">
        <f ca="1">IFERROR(__xludf.DUMMYFUNCTION("""COMPUTED_VALUE"""),"قنا")</f>
        <v>قنا</v>
      </c>
      <c r="C3259" s="5" t="str">
        <f ca="1">IFERROR(__xludf.DUMMYFUNCTION("""COMPUTED_VALUE"""),"قنا")</f>
        <v>قنا</v>
      </c>
      <c r="D3259" s="5" t="str">
        <f ca="1">IFERROR(__xludf.DUMMYFUNCTION("""COMPUTED_VALUE"""),"مركز علاج طبيعي")</f>
        <v>مركز علاج طبيعي</v>
      </c>
      <c r="E3259" s="5" t="str">
        <f ca="1">IFERROR(__xludf.DUMMYFUNCTION("""COMPUTED_VALUE"""),"علاج طبيعي")</f>
        <v>علاج طبيعي</v>
      </c>
      <c r="F3259" s="5" t="str">
        <f ca="1">IFERROR(__xludf.DUMMYFUNCTION("""COMPUTED_VALUE"""),"جلسات العلاج الطبيعي")</f>
        <v>جلسات العلاج الطبيعي</v>
      </c>
      <c r="G3259" s="5" t="str">
        <f ca="1">IFERROR(__xludf.DUMMYFUNCTION("""COMPUTED_VALUE"""),"ابانوب روماني وهيب غبريال (مركز د. ابانوب روماني للعلاج الطبيعي)")</f>
        <v>ابانوب روماني وهيب غبريال (مركز د. ابانوب روماني للعلاج الطبيعي)</v>
      </c>
      <c r="H3259" s="5" t="str">
        <f ca="1">IFERROR(__xludf.DUMMYFUNCTION("""COMPUTED_VALUE"""),"ش عبيد متفرع من شارع مديرية الامن - قنا - قنا")</f>
        <v>ش عبيد متفرع من شارع مديرية الامن - قنا - قنا</v>
      </c>
      <c r="I3259" s="6" t="str">
        <f ca="1">IFERROR(__xludf.DUMMYFUNCTION("""COMPUTED_VALUE"""),"01551316540")</f>
        <v>01551316540</v>
      </c>
      <c r="J3259" s="6"/>
      <c r="K3259" s="6" t="str">
        <f ca="1">IFERROR(__xludf.DUMMYFUNCTION("""COMPUTED_VALUE"""),"خصم 30% علي الاسعار النقدي ")</f>
        <v xml:space="preserve">خصم 30% علي الاسعار النقدي </v>
      </c>
    </row>
    <row r="3260" spans="1:11" x14ac:dyDescent="0.25">
      <c r="A3260" s="4" t="str">
        <f ca="1">IFERROR(__xludf.DUMMYFUNCTION("""COMPUTED_VALUE"""),"107514")</f>
        <v>107514</v>
      </c>
      <c r="B3260" s="5" t="str">
        <f ca="1">IFERROR(__xludf.DUMMYFUNCTION("""COMPUTED_VALUE"""),"القاهرة")</f>
        <v>القاهرة</v>
      </c>
      <c r="C3260" s="5" t="str">
        <f ca="1">IFERROR(__xludf.DUMMYFUNCTION("""COMPUTED_VALUE"""),"الزمالك")</f>
        <v>الزمالك</v>
      </c>
      <c r="D3260" s="5" t="str">
        <f ca="1">IFERROR(__xludf.DUMMYFUNCTION("""COMPUTED_VALUE"""),"مركز علاج طبيعي")</f>
        <v>مركز علاج طبيعي</v>
      </c>
      <c r="E3260" s="5" t="str">
        <f ca="1">IFERROR(__xludf.DUMMYFUNCTION("""COMPUTED_VALUE"""),"علاج طبيعي")</f>
        <v>علاج طبيعي</v>
      </c>
      <c r="F3260" s="5" t="str">
        <f ca="1">IFERROR(__xludf.DUMMYFUNCTION("""COMPUTED_VALUE"""),"جلسات العلاج الطبيعي")</f>
        <v>جلسات العلاج الطبيعي</v>
      </c>
      <c r="G3260" s="5" t="str">
        <f ca="1">IFERROR(__xludf.DUMMYFUNCTION("""COMPUTED_VALUE"""),"ياسمين محمد محمود فت (مركز ابكس للعلاج الطبيعي و اصابات الملاعب)")</f>
        <v>ياسمين محمد محمود فت (مركز ابكس للعلاج الطبيعي و اصابات الملاعب)</v>
      </c>
      <c r="H3260" s="5" t="str">
        <f ca="1">IFERROR(__xludf.DUMMYFUNCTION("""COMPUTED_VALUE"""),"183 ش 26 يوليو - الزمالك - القاهرة")</f>
        <v>183 ش 26 يوليو - الزمالك - القاهرة</v>
      </c>
      <c r="I3260" s="6" t="str">
        <f ca="1">IFERROR(__xludf.DUMMYFUNCTION("""COMPUTED_VALUE"""),"01030304708")</f>
        <v>01030304708</v>
      </c>
      <c r="J3260" s="6"/>
      <c r="K3260" s="6" t="str">
        <f ca="1">IFERROR(__xludf.DUMMYFUNCTION("""COMPUTED_VALUE"""),"خصم 30% علي الاسعار النقدي ")</f>
        <v xml:space="preserve">خصم 30% علي الاسعار النقدي </v>
      </c>
    </row>
    <row r="3261" spans="1:11" x14ac:dyDescent="0.25">
      <c r="A3261" s="4" t="str">
        <f ca="1">IFERROR(__xludf.DUMMYFUNCTION("""COMPUTED_VALUE"""),"107515")</f>
        <v>107515</v>
      </c>
      <c r="B3261" s="5" t="str">
        <f ca="1">IFERROR(__xludf.DUMMYFUNCTION("""COMPUTED_VALUE"""),"المنوفية")</f>
        <v>المنوفية</v>
      </c>
      <c r="C3261" s="5" t="str">
        <f ca="1">IFERROR(__xludf.DUMMYFUNCTION("""COMPUTED_VALUE"""),"شبين الكوم")</f>
        <v>شبين الكوم</v>
      </c>
      <c r="D3261" s="5" t="str">
        <f ca="1">IFERROR(__xludf.DUMMYFUNCTION("""COMPUTED_VALUE"""),"مركز علاج طبيعي")</f>
        <v>مركز علاج طبيعي</v>
      </c>
      <c r="E3261" s="5" t="str">
        <f ca="1">IFERROR(__xludf.DUMMYFUNCTION("""COMPUTED_VALUE"""),"علاج طبيعي")</f>
        <v>علاج طبيعي</v>
      </c>
      <c r="F3261" s="5" t="str">
        <f ca="1">IFERROR(__xludf.DUMMYFUNCTION("""COMPUTED_VALUE"""),"جلسات العلاج الطبيعي")</f>
        <v>جلسات العلاج الطبيعي</v>
      </c>
      <c r="G3261" s="5" t="str">
        <f ca="1">IFERROR(__xludf.DUMMYFUNCTION("""COMPUTED_VALUE"""),"أسماء فتحي حسن عبدالباري (مركز فيزيو للعلاج الطبيعي)")</f>
        <v>أسماء فتحي حسن عبدالباري (مركز فيزيو للعلاج الطبيعي)</v>
      </c>
      <c r="H3261" s="5" t="str">
        <f ca="1">IFERROR(__xludf.DUMMYFUNCTION("""COMPUTED_VALUE"""),"68 ش جمال عبدالناصرالبحري ميدان شرف - شبين الكوم - المنوفية")</f>
        <v>68 ش جمال عبدالناصرالبحري ميدان شرف - شبين الكوم - المنوفية</v>
      </c>
      <c r="I3261" s="6" t="str">
        <f ca="1">IFERROR(__xludf.DUMMYFUNCTION("""COMPUTED_VALUE"""),"01061106258")</f>
        <v>01061106258</v>
      </c>
      <c r="J3261" s="6"/>
      <c r="K3261" s="6" t="str">
        <f ca="1">IFERROR(__xludf.DUMMYFUNCTION("""COMPUTED_VALUE"""),"خصم 30% علي الاسعار النقدي ")</f>
        <v xml:space="preserve">خصم 30% علي الاسعار النقدي </v>
      </c>
    </row>
    <row r="3262" spans="1:11" x14ac:dyDescent="0.25">
      <c r="A3262" s="4" t="str">
        <f ca="1">IFERROR(__xludf.DUMMYFUNCTION("""COMPUTED_VALUE"""),"107516")</f>
        <v>107516</v>
      </c>
      <c r="B3262" s="5" t="str">
        <f ca="1">IFERROR(__xludf.DUMMYFUNCTION("""COMPUTED_VALUE"""),"الفيوم")</f>
        <v>الفيوم</v>
      </c>
      <c r="C3262" s="5" t="str">
        <f ca="1">IFERROR(__xludf.DUMMYFUNCTION("""COMPUTED_VALUE"""),"ابشواى")</f>
        <v>ابشواى</v>
      </c>
      <c r="D3262" s="5" t="str">
        <f ca="1">IFERROR(__xludf.DUMMYFUNCTION("""COMPUTED_VALUE"""),"مركز علاج طبيعي")</f>
        <v>مركز علاج طبيعي</v>
      </c>
      <c r="E3262" s="5" t="str">
        <f ca="1">IFERROR(__xludf.DUMMYFUNCTION("""COMPUTED_VALUE"""),"علاج طبيعي")</f>
        <v>علاج طبيعي</v>
      </c>
      <c r="F3262" s="5" t="str">
        <f ca="1">IFERROR(__xludf.DUMMYFUNCTION("""COMPUTED_VALUE"""),"جلسات العلاج الطبيعي")</f>
        <v>جلسات العلاج الطبيعي</v>
      </c>
      <c r="G3262" s="5" t="str">
        <f ca="1">IFERROR(__xludf.DUMMYFUNCTION("""COMPUTED_VALUE"""),"د. ايمن محمد عبدالتواب عطشي (مركز البراء للعلاج الطبيعي)")</f>
        <v>د. ايمن محمد عبدالتواب عطشي (مركز البراء للعلاج الطبيعي)</v>
      </c>
      <c r="H3262" s="5" t="str">
        <f ca="1">IFERROR(__xludf.DUMMYFUNCTION("""COMPUTED_VALUE"""),"شارع التل الجديد امام مقابر ابشواي - الفيوم")</f>
        <v>شارع التل الجديد امام مقابر ابشواي - الفيوم</v>
      </c>
      <c r="I3262" s="6" t="str">
        <f ca="1">IFERROR(__xludf.DUMMYFUNCTION("""COMPUTED_VALUE"""),"01063163167")</f>
        <v>01063163167</v>
      </c>
      <c r="J3262" s="6"/>
      <c r="K3262" s="6" t="str">
        <f ca="1">IFERROR(__xludf.DUMMYFUNCTION("""COMPUTED_VALUE"""),"خصم 30% علي الاسعار النقدي ")</f>
        <v xml:space="preserve">خصم 30% علي الاسعار النقدي </v>
      </c>
    </row>
    <row r="3263" spans="1:11" x14ac:dyDescent="0.25">
      <c r="A3263" s="4" t="str">
        <f ca="1">IFERROR(__xludf.DUMMYFUNCTION("""COMPUTED_VALUE"""),"107517")</f>
        <v>107517</v>
      </c>
      <c r="B3263" s="5" t="str">
        <f ca="1">IFERROR(__xludf.DUMMYFUNCTION("""COMPUTED_VALUE"""),"الجيزة")</f>
        <v>الجيزة</v>
      </c>
      <c r="C3263" s="5" t="str">
        <f ca="1">IFERROR(__xludf.DUMMYFUNCTION("""COMPUTED_VALUE"""),"فيصل")</f>
        <v>فيصل</v>
      </c>
      <c r="D3263" s="5" t="str">
        <f ca="1">IFERROR(__xludf.DUMMYFUNCTION("""COMPUTED_VALUE"""),"شركة")</f>
        <v>شركة</v>
      </c>
      <c r="E3263" s="5" t="str">
        <f ca="1">IFERROR(__xludf.DUMMYFUNCTION("""COMPUTED_VALUE"""),"شركة اجهزة طبية")</f>
        <v>شركة اجهزة طبية</v>
      </c>
      <c r="F3263" s="5" t="str">
        <f ca="1">IFERROR(__xludf.DUMMYFUNCTION("""COMPUTED_VALUE"""),"مركز بصريات")</f>
        <v>مركز بصريات</v>
      </c>
      <c r="G3263" s="5" t="str">
        <f ca="1">IFERROR(__xludf.DUMMYFUNCTION("""COMPUTED_VALUE"""),"كوثر قبيصي محمود احمد سلمان (الدقي للبصريات)")</f>
        <v>كوثر قبيصي محمود احمد سلمان (الدقي للبصريات)</v>
      </c>
      <c r="H3263" s="5" t="str">
        <f ca="1">IFERROR(__xludf.DUMMYFUNCTION("""COMPUTED_VALUE"""),"446 شارع الملك فيصل - برج النصر - الجيزة")</f>
        <v>446 شارع الملك فيصل - برج النصر - الجيزة</v>
      </c>
      <c r="I3263" s="6" t="str">
        <f ca="1">IFERROR(__xludf.DUMMYFUNCTION("""COMPUTED_VALUE"""),"01005896101")</f>
        <v>01005896101</v>
      </c>
      <c r="J3263" s="6"/>
      <c r="K3263" s="6" t="str">
        <f ca="1">IFERROR(__xludf.DUMMYFUNCTION("""COMPUTED_VALUE"""),"خصم 30% علي الاسعار النقدي ")</f>
        <v xml:space="preserve">خصم 30% علي الاسعار النقدي </v>
      </c>
    </row>
    <row r="3264" spans="1:11" x14ac:dyDescent="0.25">
      <c r="A3264" s="4" t="str">
        <f ca="1">IFERROR(__xludf.DUMMYFUNCTION("""COMPUTED_VALUE"""),"107518")</f>
        <v>107518</v>
      </c>
      <c r="B3264" s="5" t="str">
        <f ca="1">IFERROR(__xludf.DUMMYFUNCTION("""COMPUTED_VALUE"""),"الشرقية")</f>
        <v>الشرقية</v>
      </c>
      <c r="C3264" s="5" t="str">
        <f ca="1">IFERROR(__xludf.DUMMYFUNCTION("""COMPUTED_VALUE"""),"بلبيس")</f>
        <v>بلبيس</v>
      </c>
      <c r="D3264" s="5" t="str">
        <f ca="1">IFERROR(__xludf.DUMMYFUNCTION("""COMPUTED_VALUE"""),"مستشفى")</f>
        <v>مستشفى</v>
      </c>
      <c r="E3264" s="5" t="str">
        <f ca="1">IFERROR(__xludf.DUMMYFUNCTION("""COMPUTED_VALUE"""),"جميع التخصصات")</f>
        <v>جميع التخصصات</v>
      </c>
      <c r="F3264" s="5" t="str">
        <f ca="1">IFERROR(__xludf.DUMMYFUNCTION("""COMPUTED_VALUE"""),"جميع التخصصات الطبية")</f>
        <v>جميع التخصصات الطبية</v>
      </c>
      <c r="G3264" s="5" t="str">
        <f ca="1">IFERROR(__xludf.DUMMYFUNCTION("""COMPUTED_VALUE"""),"وليد عبدالعزيز عبدالحميد محمد الشاذلي (مركز الصفوة الطبي)")</f>
        <v>وليد عبدالعزيز عبدالحميد محمد الشاذلي (مركز الصفوة الطبي)</v>
      </c>
      <c r="H3264" s="5" t="str">
        <f ca="1">IFERROR(__xludf.DUMMYFUNCTION("""COMPUTED_VALUE"""),"44 ش بورسعيد الدور الاول و التاني و الثالث علوي - بلبيس - الشرقية")</f>
        <v>44 ش بورسعيد الدور الاول و التاني و الثالث علوي - بلبيس - الشرقية</v>
      </c>
      <c r="I3264" s="6" t="str">
        <f ca="1">IFERROR(__xludf.DUMMYFUNCTION("""COMPUTED_VALUE"""),"01032684444")</f>
        <v>01032684444</v>
      </c>
      <c r="J3264" s="6"/>
      <c r="K3264" s="6" t="str">
        <f ca="1">IFERROR(__xludf.DUMMYFUNCTION("""COMPUTED_VALUE"""),"خصم 30% علي الاسعار النقدي ")</f>
        <v xml:space="preserve">خصم 30% علي الاسعار النقدي </v>
      </c>
    </row>
    <row r="3265" spans="1:11" x14ac:dyDescent="0.25">
      <c r="A3265" s="4" t="str">
        <f ca="1">IFERROR(__xludf.DUMMYFUNCTION("""COMPUTED_VALUE"""),"107518-B")</f>
        <v>107518-B</v>
      </c>
      <c r="B3265" s="5" t="str">
        <f ca="1">IFERROR(__xludf.DUMMYFUNCTION("""COMPUTED_VALUE"""),"الشرقية")</f>
        <v>الشرقية</v>
      </c>
      <c r="C3265" s="5" t="str">
        <f ca="1">IFERROR(__xludf.DUMMYFUNCTION("""COMPUTED_VALUE"""),"منيا القمح")</f>
        <v>منيا القمح</v>
      </c>
      <c r="D3265" s="5" t="str">
        <f ca="1">IFERROR(__xludf.DUMMYFUNCTION("""COMPUTED_VALUE"""),"مستشفى")</f>
        <v>مستشفى</v>
      </c>
      <c r="E3265" s="5" t="str">
        <f ca="1">IFERROR(__xludf.DUMMYFUNCTION("""COMPUTED_VALUE"""),"جميع التخصصات")</f>
        <v>جميع التخصصات</v>
      </c>
      <c r="F3265" s="5" t="str">
        <f ca="1">IFERROR(__xludf.DUMMYFUNCTION("""COMPUTED_VALUE"""),"جميع التخصصات الطبية")</f>
        <v>جميع التخصصات الطبية</v>
      </c>
      <c r="G3265" s="5" t="str">
        <f ca="1">IFERROR(__xludf.DUMMYFUNCTION("""COMPUTED_VALUE"""),"وليد عبدالعزيز عبدالحميد محمد الشاذلي (مركز الصفوة الطبي)")</f>
        <v>وليد عبدالعزيز عبدالحميد محمد الشاذلي (مركز الصفوة الطبي)</v>
      </c>
      <c r="H3265" s="5" t="str">
        <f ca="1">IFERROR(__xludf.DUMMYFUNCTION("""COMPUTED_VALUE"""),"ش جمال عبدالناصر - الدور الثاني و الثالث علوي - منيا القمح - الشرقية")</f>
        <v>ش جمال عبدالناصر - الدور الثاني و الثالث علوي - منيا القمح - الشرقية</v>
      </c>
      <c r="I3265" s="6" t="str">
        <f ca="1">IFERROR(__xludf.DUMMYFUNCTION("""COMPUTED_VALUE"""),"01032684444")</f>
        <v>01032684444</v>
      </c>
      <c r="J3265" s="6"/>
      <c r="K3265" s="6" t="str">
        <f ca="1">IFERROR(__xludf.DUMMYFUNCTION("""COMPUTED_VALUE"""),"خصم 30% علي الاسعار النقدي ")</f>
        <v xml:space="preserve">خصم 30% علي الاسعار النقدي </v>
      </c>
    </row>
    <row r="3266" spans="1:11" x14ac:dyDescent="0.25">
      <c r="A3266" s="4" t="str">
        <f ca="1">IFERROR(__xludf.DUMMYFUNCTION("""COMPUTED_VALUE"""),"107519")</f>
        <v>107519</v>
      </c>
      <c r="B3266" s="5" t="str">
        <f ca="1">IFERROR(__xludf.DUMMYFUNCTION("""COMPUTED_VALUE"""),"المنوفية")</f>
        <v>المنوفية</v>
      </c>
      <c r="C3266" s="5" t="str">
        <f ca="1">IFERROR(__xludf.DUMMYFUNCTION("""COMPUTED_VALUE"""),"تلا")</f>
        <v>تلا</v>
      </c>
      <c r="D3266" s="5" t="str">
        <f ca="1">IFERROR(__xludf.DUMMYFUNCTION("""COMPUTED_VALUE"""),"مستشفى")</f>
        <v>مستشفى</v>
      </c>
      <c r="E3266" s="5" t="str">
        <f ca="1">IFERROR(__xludf.DUMMYFUNCTION("""COMPUTED_VALUE"""),"جميع التخصصات")</f>
        <v>جميع التخصصات</v>
      </c>
      <c r="F3266" s="5" t="str">
        <f ca="1">IFERROR(__xludf.DUMMYFUNCTION("""COMPUTED_VALUE"""),"جميع التخصصات الطبية")</f>
        <v>جميع التخصصات الطبية</v>
      </c>
      <c r="G3266" s="5" t="str">
        <f ca="1">IFERROR(__xludf.DUMMYFUNCTION("""COMPUTED_VALUE"""),"اشبيليه للخدمات الطبية (مركز حياة التخصصي)")</f>
        <v>اشبيليه للخدمات الطبية (مركز حياة التخصصي)</v>
      </c>
      <c r="H3266" s="5" t="str">
        <f ca="1">IFERROR(__xludf.DUMMYFUNCTION("""COMPUTED_VALUE"""),"بلوك4 طريق تلا - كفرالشيخ سليم - تلا - المنوفية")</f>
        <v>بلوك4 طريق تلا - كفرالشيخ سليم - تلا - المنوفية</v>
      </c>
      <c r="I3266" s="6" t="str">
        <f ca="1">IFERROR(__xludf.DUMMYFUNCTION("""COMPUTED_VALUE"""),"01029720727")</f>
        <v>01029720727</v>
      </c>
      <c r="J3266" s="6"/>
      <c r="K3266" s="6" t="str">
        <f ca="1">IFERROR(__xludf.DUMMYFUNCTION("""COMPUTED_VALUE"""),"خصم 30% علي الاسعار النقدي ")</f>
        <v xml:space="preserve">خصم 30% علي الاسعار النقدي </v>
      </c>
    </row>
    <row r="3267" spans="1:11" x14ac:dyDescent="0.25">
      <c r="A3267" s="4" t="str">
        <f ca="1">IFERROR(__xludf.DUMMYFUNCTION("""COMPUTED_VALUE"""),"107520")</f>
        <v>107520</v>
      </c>
      <c r="B3267" s="5" t="str">
        <f ca="1">IFERROR(__xludf.DUMMYFUNCTION("""COMPUTED_VALUE"""),"المنوفية")</f>
        <v>المنوفية</v>
      </c>
      <c r="C3267" s="5" t="str">
        <f ca="1">IFERROR(__xludf.DUMMYFUNCTION("""COMPUTED_VALUE"""),"الباجور")</f>
        <v>الباجور</v>
      </c>
      <c r="D3267" s="5" t="str">
        <f ca="1">IFERROR(__xludf.DUMMYFUNCTION("""COMPUTED_VALUE"""),"مجمع عيادات")</f>
        <v>مجمع عيادات</v>
      </c>
      <c r="E3267" s="5" t="str">
        <f ca="1">IFERROR(__xludf.DUMMYFUNCTION("""COMPUTED_VALUE"""),"جميع التخصصات")</f>
        <v>جميع التخصصات</v>
      </c>
      <c r="F3267" s="5" t="str">
        <f ca="1">IFERROR(__xludf.DUMMYFUNCTION("""COMPUTED_VALUE"""),"جميع التخصصات الطبية")</f>
        <v>جميع التخصصات الطبية</v>
      </c>
      <c r="G3267" s="5" t="str">
        <f ca="1">IFERROR(__xludf.DUMMYFUNCTION("""COMPUTED_VALUE"""),"مصطفي محمد مصطفي رمضان (عيادات دلتا كير التخصصية)")</f>
        <v>مصطفي محمد مصطفي رمضان (عيادات دلتا كير التخصصية)</v>
      </c>
      <c r="H3267" s="5" t="str">
        <f ca="1">IFERROR(__xludf.DUMMYFUNCTION("""COMPUTED_VALUE"""),"ش عجمي مطر بجوار بنك الاسكندرية- الباجور - المنوفية")</f>
        <v>ش عجمي مطر بجوار بنك الاسكندرية- الباجور - المنوفية</v>
      </c>
      <c r="I3267" s="6" t="str">
        <f ca="1">IFERROR(__xludf.DUMMYFUNCTION("""COMPUTED_VALUE"""),"01010744071")</f>
        <v>01010744071</v>
      </c>
      <c r="J3267" s="6"/>
      <c r="K3267" s="6" t="str">
        <f ca="1">IFERROR(__xludf.DUMMYFUNCTION("""COMPUTED_VALUE"""),"خصم 30% علي الاسعار النقدي ")</f>
        <v xml:space="preserve">خصم 30% علي الاسعار النقدي </v>
      </c>
    </row>
    <row r="3268" spans="1:11" x14ac:dyDescent="0.25">
      <c r="A3268" s="4" t="str">
        <f ca="1">IFERROR(__xludf.DUMMYFUNCTION("""COMPUTED_VALUE"""),"107523")</f>
        <v>107523</v>
      </c>
      <c r="B3268" s="5" t="str">
        <f ca="1">IFERROR(__xludf.DUMMYFUNCTION("""COMPUTED_VALUE"""),"المنوفية")</f>
        <v>المنوفية</v>
      </c>
      <c r="C3268" s="5" t="str">
        <f ca="1">IFERROR(__xludf.DUMMYFUNCTION("""COMPUTED_VALUE"""),"شبين الكوم")</f>
        <v>شبين الكوم</v>
      </c>
      <c r="D3268" s="5" t="str">
        <f ca="1">IFERROR(__xludf.DUMMYFUNCTION("""COMPUTED_VALUE"""),"مجمع عيادات")</f>
        <v>مجمع عيادات</v>
      </c>
      <c r="E3268" s="5" t="str">
        <f ca="1">IFERROR(__xludf.DUMMYFUNCTION("""COMPUTED_VALUE"""),"جميع التخصصات")</f>
        <v>جميع التخصصات</v>
      </c>
      <c r="F3268" s="5" t="str">
        <f ca="1">IFERROR(__xludf.DUMMYFUNCTION("""COMPUTED_VALUE"""),"جميع التخصصات الطبية")</f>
        <v>جميع التخصصات الطبية</v>
      </c>
      <c r="G3268" s="5" t="str">
        <f ca="1">IFERROR(__xludf.DUMMYFUNCTION("""COMPUTED_VALUE"""),"هادي عبدالسلام عبدالحميد سيف (عيادات سيف التخصصية)")</f>
        <v>هادي عبدالسلام عبدالحميد سيف (عيادات سيف التخصصية)</v>
      </c>
      <c r="H3268" s="5" t="str">
        <f ca="1">IFERROR(__xludf.DUMMYFUNCTION("""COMPUTED_VALUE"""),"38 شارع جمال عبدالناصر البحري - شبين الكوم - المنوفية")</f>
        <v>38 شارع جمال عبدالناصر البحري - شبين الكوم - المنوفية</v>
      </c>
      <c r="I3268" s="6" t="str">
        <f ca="1">IFERROR(__xludf.DUMMYFUNCTION("""COMPUTED_VALUE"""),"01098253622")</f>
        <v>01098253622</v>
      </c>
      <c r="J3268" s="6"/>
      <c r="K3268" s="6" t="str">
        <f ca="1">IFERROR(__xludf.DUMMYFUNCTION("""COMPUTED_VALUE"""),"خصم 30% علي الاسعار النقدي ")</f>
        <v xml:space="preserve">خصم 30% علي الاسعار النقدي </v>
      </c>
    </row>
    <row r="3269" spans="1:11" x14ac:dyDescent="0.25">
      <c r="A3269" s="4" t="str">
        <f ca="1">IFERROR(__xludf.DUMMYFUNCTION("""COMPUTED_VALUE"""),"107525")</f>
        <v>107525</v>
      </c>
      <c r="B3269" s="5" t="str">
        <f ca="1">IFERROR(__xludf.DUMMYFUNCTION("""COMPUTED_VALUE"""),"الغربية")</f>
        <v>الغربية</v>
      </c>
      <c r="C3269" s="5" t="str">
        <f ca="1">IFERROR(__xludf.DUMMYFUNCTION("""COMPUTED_VALUE"""),"طنطا")</f>
        <v>طنطا</v>
      </c>
      <c r="D3269" s="5" t="str">
        <f ca="1">IFERROR(__xludf.DUMMYFUNCTION("""COMPUTED_VALUE"""),"مستشفى")</f>
        <v>مستشفى</v>
      </c>
      <c r="E3269" s="5" t="str">
        <f ca="1">IFERROR(__xludf.DUMMYFUNCTION("""COMPUTED_VALUE"""),"مستشفي طبي متخصص")</f>
        <v>مستشفي طبي متخصص</v>
      </c>
      <c r="F3269" s="5" t="str">
        <f ca="1">IFERROR(__xludf.DUMMYFUNCTION("""COMPUTED_VALUE"""),"قلب واوعية دموية")</f>
        <v>قلب واوعية دموية</v>
      </c>
      <c r="G3269" s="5" t="str">
        <f ca="1">IFERROR(__xludf.DUMMYFUNCTION("""COMPUTED_VALUE"""),"محمد ابراهيم محمد ابراهيم الوكيل (مركز العروبة لجراحة الاوعية الدموية و القدم السكري)")</f>
        <v>محمد ابراهيم محمد ابراهيم الوكيل (مركز العروبة لجراحة الاوعية الدموية و القدم السكري)</v>
      </c>
      <c r="H3269" s="5" t="str">
        <f ca="1">IFERROR(__xludf.DUMMYFUNCTION("""COMPUTED_VALUE"""),"90 شارع بطرس طنطا - الغربية")</f>
        <v>90 شارع بطرس طنطا - الغربية</v>
      </c>
      <c r="I3269" s="6" t="str">
        <f ca="1">IFERROR(__xludf.DUMMYFUNCTION("""COMPUTED_VALUE"""),"015515997784")</f>
        <v>015515997784</v>
      </c>
      <c r="J3269" s="6"/>
      <c r="K3269" s="6" t="str">
        <f ca="1">IFERROR(__xludf.DUMMYFUNCTION("""COMPUTED_VALUE"""),"خصم 30% علي الاسعار النقدي ")</f>
        <v xml:space="preserve">خصم 30% علي الاسعار النقدي </v>
      </c>
    </row>
    <row r="3270" spans="1:11" x14ac:dyDescent="0.25">
      <c r="A3270" s="4" t="str">
        <f ca="1">IFERROR(__xludf.DUMMYFUNCTION("""COMPUTED_VALUE"""),"107526")</f>
        <v>107526</v>
      </c>
      <c r="B3270" s="5" t="str">
        <f ca="1">IFERROR(__xludf.DUMMYFUNCTION("""COMPUTED_VALUE"""),"الجيزة")</f>
        <v>الجيزة</v>
      </c>
      <c r="C3270" s="5" t="str">
        <f ca="1">IFERROR(__xludf.DUMMYFUNCTION("""COMPUTED_VALUE"""),"بولاق الدكرور")</f>
        <v>بولاق الدكرور</v>
      </c>
      <c r="D3270" s="5" t="str">
        <f ca="1">IFERROR(__xludf.DUMMYFUNCTION("""COMPUTED_VALUE"""),"هيئة الأطباء")</f>
        <v>هيئة الأطباء</v>
      </c>
      <c r="E3270" s="5" t="str">
        <f ca="1">IFERROR(__xludf.DUMMYFUNCTION("""COMPUTED_VALUE"""),"اسنان")</f>
        <v>اسنان</v>
      </c>
      <c r="F3270" s="5" t="str">
        <f ca="1">IFERROR(__xludf.DUMMYFUNCTION("""COMPUTED_VALUE"""),"جراحة الفم والأسنان")</f>
        <v>جراحة الفم والأسنان</v>
      </c>
      <c r="G3270" s="5" t="str">
        <f ca="1">IFERROR(__xludf.DUMMYFUNCTION("""COMPUTED_VALUE"""),"د. عمروعادل علي احمد ابراهيم (عيادة ايثتكا لطب الفم و الاسنان)")</f>
        <v>د. عمروعادل علي احمد ابراهيم (عيادة ايثتكا لطب الفم و الاسنان)</v>
      </c>
      <c r="H3270" s="5" t="str">
        <f ca="1">IFERROR(__xludf.DUMMYFUNCTION("""COMPUTED_VALUE"""),"شارع بكري عليوه من شارع الشهداء - بولاق الدكرور -الجيزة")</f>
        <v>شارع بكري عليوه من شارع الشهداء - بولاق الدكرور -الجيزة</v>
      </c>
      <c r="I3270" s="6" t="str">
        <f ca="1">IFERROR(__xludf.DUMMYFUNCTION("""COMPUTED_VALUE"""),"01110270937")</f>
        <v>01110270937</v>
      </c>
      <c r="J3270" s="6"/>
      <c r="K3270" s="6" t="str">
        <f ca="1">IFERROR(__xludf.DUMMYFUNCTION("""COMPUTED_VALUE"""),"خصم 30% علي الاسعار النقدي ")</f>
        <v xml:space="preserve">خصم 30% علي الاسعار النقدي </v>
      </c>
    </row>
    <row r="3271" spans="1:11" x14ac:dyDescent="0.25">
      <c r="A3271" s="4" t="str">
        <f ca="1">IFERROR(__xludf.DUMMYFUNCTION("""COMPUTED_VALUE"""),"107527")</f>
        <v>107527</v>
      </c>
      <c r="B3271" s="5" t="str">
        <f ca="1">IFERROR(__xludf.DUMMYFUNCTION("""COMPUTED_VALUE"""),"المنوفية")</f>
        <v>المنوفية</v>
      </c>
      <c r="C3271" s="5" t="str">
        <f ca="1">IFERROR(__xludf.DUMMYFUNCTION("""COMPUTED_VALUE"""),"تلا")</f>
        <v>تلا</v>
      </c>
      <c r="D3271" s="5" t="str">
        <f ca="1">IFERROR(__xludf.DUMMYFUNCTION("""COMPUTED_VALUE"""),"معمل")</f>
        <v>معمل</v>
      </c>
      <c r="E3271" s="5" t="str">
        <f ca="1">IFERROR(__xludf.DUMMYFUNCTION("""COMPUTED_VALUE"""),"معمل")</f>
        <v>معمل</v>
      </c>
      <c r="F3271" s="5" t="str">
        <f ca="1">IFERROR(__xludf.DUMMYFUNCTION("""COMPUTED_VALUE"""),"معمل التحاليل الطبية")</f>
        <v>معمل التحاليل الطبية</v>
      </c>
      <c r="G3271" s="5" t="str">
        <f ca="1">IFERROR(__xludf.DUMMYFUNCTION("""COMPUTED_VALUE"""),"هند عبدالناصر عيسوي ابراهيم (معمل الرازي)")</f>
        <v>هند عبدالناصر عيسوي ابراهيم (معمل الرازي)</v>
      </c>
      <c r="H3271" s="5" t="str">
        <f ca="1">IFERROR(__xludf.DUMMYFUNCTION("""COMPUTED_VALUE"""),"شارع الحرية - تلا - المنوفية")</f>
        <v>شارع الحرية - تلا - المنوفية</v>
      </c>
      <c r="I3271" s="6" t="str">
        <f ca="1">IFERROR(__xludf.DUMMYFUNCTION("""COMPUTED_VALUE"""),"01120884987")</f>
        <v>01120884987</v>
      </c>
      <c r="J3271" s="6"/>
      <c r="K3271" s="6" t="str">
        <f ca="1">IFERROR(__xludf.DUMMYFUNCTION("""COMPUTED_VALUE"""),"خصم 30% علي الاسعار النقدي ")</f>
        <v xml:space="preserve">خصم 30% علي الاسعار النقدي </v>
      </c>
    </row>
    <row r="3272" spans="1:11" x14ac:dyDescent="0.25">
      <c r="A3272" s="4" t="str">
        <f ca="1">IFERROR(__xludf.DUMMYFUNCTION("""COMPUTED_VALUE"""),"1753-B")</f>
        <v>1753-B</v>
      </c>
      <c r="B3272" s="5" t="str">
        <f ca="1">IFERROR(__xludf.DUMMYFUNCTION("""COMPUTED_VALUE"""),"الجيزة")</f>
        <v>الجيزة</v>
      </c>
      <c r="C3272" s="5" t="str">
        <f ca="1">IFERROR(__xludf.DUMMYFUNCTION("""COMPUTED_VALUE"""),"الدقي")</f>
        <v>الدقي</v>
      </c>
      <c r="D3272" s="5" t="str">
        <f ca="1">IFERROR(__xludf.DUMMYFUNCTION("""COMPUTED_VALUE"""),"مركز أشعة")</f>
        <v>مركز أشعة</v>
      </c>
      <c r="E3272" s="5" t="str">
        <f ca="1">IFERROR(__xludf.DUMMYFUNCTION("""COMPUTED_VALUE"""),"مركز أشعة")</f>
        <v>مركز أشعة</v>
      </c>
      <c r="F3272" s="5" t="str">
        <f ca="1">IFERROR(__xludf.DUMMYFUNCTION("""COMPUTED_VALUE"""),"مركز الأشعة التشخيصية")</f>
        <v>مركز الأشعة التشخيصية</v>
      </c>
      <c r="G3272" s="5" t="str">
        <f ca="1">IFERROR(__xludf.DUMMYFUNCTION("""COMPUTED_VALUE"""),"ألفا سكان")</f>
        <v>ألفا سكان</v>
      </c>
      <c r="H3272" s="5" t="str">
        <f ca="1">IFERROR(__xludf.DUMMYFUNCTION("""COMPUTED_VALUE"""),"94 ش التحرير برج المغربي بالقرب من ميدان الدقي")</f>
        <v>94 ش التحرير برج المغربي بالقرب من ميدان الدقي</v>
      </c>
      <c r="I3272" s="6"/>
      <c r="J3272" s="6" t="str">
        <f ca="1">IFERROR(__xludf.DUMMYFUNCTION("""COMPUTED_VALUE"""),"16171")</f>
        <v>16171</v>
      </c>
      <c r="K3272" s="6" t="str">
        <f ca="1">IFERROR(__xludf.DUMMYFUNCTION("""COMPUTED_VALUE"""),"10% على جميع الخدمات المقدمة")</f>
        <v>10% على جميع الخدمات المقدمة</v>
      </c>
    </row>
    <row r="3273" spans="1:11" x14ac:dyDescent="0.25">
      <c r="A3273" s="4" t="str">
        <f ca="1">IFERROR(__xludf.DUMMYFUNCTION("""COMPUTED_VALUE"""),"1753-B")</f>
        <v>1753-B</v>
      </c>
      <c r="B3273" s="5" t="str">
        <f ca="1">IFERROR(__xludf.DUMMYFUNCTION("""COMPUTED_VALUE"""),"الجيزة")</f>
        <v>الجيزة</v>
      </c>
      <c r="C3273" s="5" t="str">
        <f ca="1">IFERROR(__xludf.DUMMYFUNCTION("""COMPUTED_VALUE"""),"فيصل")</f>
        <v>فيصل</v>
      </c>
      <c r="D3273" s="5" t="str">
        <f ca="1">IFERROR(__xludf.DUMMYFUNCTION("""COMPUTED_VALUE"""),"مركز أشعة")</f>
        <v>مركز أشعة</v>
      </c>
      <c r="E3273" s="5" t="str">
        <f ca="1">IFERROR(__xludf.DUMMYFUNCTION("""COMPUTED_VALUE"""),"مركز أشعة")</f>
        <v>مركز أشعة</v>
      </c>
      <c r="F3273" s="5" t="str">
        <f ca="1">IFERROR(__xludf.DUMMYFUNCTION("""COMPUTED_VALUE"""),"مركز الأشعة التشخيصية")</f>
        <v>مركز الأشعة التشخيصية</v>
      </c>
      <c r="G3273" s="5" t="str">
        <f ca="1">IFERROR(__xludf.DUMMYFUNCTION("""COMPUTED_VALUE"""),"ألفا سكان")</f>
        <v>ألفا سكان</v>
      </c>
      <c r="H3273" s="5" t="str">
        <f ca="1">IFERROR(__xludf.DUMMYFUNCTION("""COMPUTED_VALUE"""),"124 شارع الملك فيصل")</f>
        <v>124 شارع الملك فيصل</v>
      </c>
      <c r="I3273" s="6"/>
      <c r="J3273" s="6" t="str">
        <f ca="1">IFERROR(__xludf.DUMMYFUNCTION("""COMPUTED_VALUE"""),"16171")</f>
        <v>16171</v>
      </c>
      <c r="K3273" s="6" t="str">
        <f ca="1">IFERROR(__xludf.DUMMYFUNCTION("""COMPUTED_VALUE"""),"10% على جميع الخدمات المقدمة")</f>
        <v>10% على جميع الخدمات المقدمة</v>
      </c>
    </row>
    <row r="3274" spans="1:11" x14ac:dyDescent="0.25">
      <c r="A3274" s="4" t="str">
        <f ca="1">IFERROR(__xludf.DUMMYFUNCTION("""COMPUTED_VALUE"""),"1753-B")</f>
        <v>1753-B</v>
      </c>
      <c r="B3274" s="5" t="str">
        <f ca="1">IFERROR(__xludf.DUMMYFUNCTION("""COMPUTED_VALUE"""),"مرسى مطروح")</f>
        <v>مرسى مطروح</v>
      </c>
      <c r="C3274" s="5" t="str">
        <f ca="1">IFERROR(__xludf.DUMMYFUNCTION("""COMPUTED_VALUE"""),"الساحل الشمالي")</f>
        <v>الساحل الشمالي</v>
      </c>
      <c r="D3274" s="5" t="str">
        <f ca="1">IFERROR(__xludf.DUMMYFUNCTION("""COMPUTED_VALUE"""),"مركز أشعة")</f>
        <v>مركز أشعة</v>
      </c>
      <c r="E3274" s="5" t="str">
        <f ca="1">IFERROR(__xludf.DUMMYFUNCTION("""COMPUTED_VALUE"""),"مركز أشعة")</f>
        <v>مركز أشعة</v>
      </c>
      <c r="F3274" s="5" t="str">
        <f ca="1">IFERROR(__xludf.DUMMYFUNCTION("""COMPUTED_VALUE"""),"مركز الأشعة التشخيصية")</f>
        <v>مركز الأشعة التشخيصية</v>
      </c>
      <c r="G3274" s="5" t="str">
        <f ca="1">IFERROR(__xludf.DUMMYFUNCTION("""COMPUTED_VALUE"""),"ألفا سكان")</f>
        <v>ألفا سكان</v>
      </c>
      <c r="H3274" s="5" t="str">
        <f ca="1">IFERROR(__xludf.DUMMYFUNCTION("""COMPUTED_VALUE"""),"الكيلو 134 امام قريه سيشل")</f>
        <v>الكيلو 134 امام قريه سيشل</v>
      </c>
      <c r="I3274" s="6"/>
      <c r="J3274" s="6" t="str">
        <f ca="1">IFERROR(__xludf.DUMMYFUNCTION("""COMPUTED_VALUE"""),"16171")</f>
        <v>16171</v>
      </c>
      <c r="K3274" s="6" t="str">
        <f ca="1">IFERROR(__xludf.DUMMYFUNCTION("""COMPUTED_VALUE"""),"10% على جميع الخدمات المقدمة")</f>
        <v>10% على جميع الخدمات المقدمة</v>
      </c>
    </row>
    <row r="3275" spans="1:11" x14ac:dyDescent="0.25">
      <c r="A3275" s="4" t="str">
        <f ca="1">IFERROR(__xludf.DUMMYFUNCTION("""COMPUTED_VALUE"""),"1753-B")</f>
        <v>1753-B</v>
      </c>
      <c r="B3275" s="5" t="str">
        <f ca="1">IFERROR(__xludf.DUMMYFUNCTION("""COMPUTED_VALUE"""),"مرسى مطروح")</f>
        <v>مرسى مطروح</v>
      </c>
      <c r="C3275" s="5" t="str">
        <f ca="1">IFERROR(__xludf.DUMMYFUNCTION("""COMPUTED_VALUE"""),"الساحل الشمالي")</f>
        <v>الساحل الشمالي</v>
      </c>
      <c r="D3275" s="5" t="str">
        <f ca="1">IFERROR(__xludf.DUMMYFUNCTION("""COMPUTED_VALUE"""),"مركز أشعة")</f>
        <v>مركز أشعة</v>
      </c>
      <c r="E3275" s="5" t="str">
        <f ca="1">IFERROR(__xludf.DUMMYFUNCTION("""COMPUTED_VALUE"""),"مركز أشعة")</f>
        <v>مركز أشعة</v>
      </c>
      <c r="F3275" s="5" t="str">
        <f ca="1">IFERROR(__xludf.DUMMYFUNCTION("""COMPUTED_VALUE"""),"مركز الأشعة التشخيصية")</f>
        <v>مركز الأشعة التشخيصية</v>
      </c>
      <c r="G3275" s="5" t="str">
        <f ca="1">IFERROR(__xludf.DUMMYFUNCTION("""COMPUTED_VALUE"""),"ألفا سكان")</f>
        <v>ألفا سكان</v>
      </c>
      <c r="H3275" s="5" t="str">
        <f ca="1">IFERROR(__xludf.DUMMYFUNCTION("""COMPUTED_VALUE"""),"مراسي الساحل الشمالي")</f>
        <v>مراسي الساحل الشمالي</v>
      </c>
      <c r="I3275" s="6"/>
      <c r="J3275" s="6" t="str">
        <f ca="1">IFERROR(__xludf.DUMMYFUNCTION("""COMPUTED_VALUE"""),"16171")</f>
        <v>16171</v>
      </c>
      <c r="K3275" s="6" t="str">
        <f ca="1">IFERROR(__xludf.DUMMYFUNCTION("""COMPUTED_VALUE"""),"10% على جميع الخدمات المقدمة")</f>
        <v>10% على جميع الخدمات المقدمة</v>
      </c>
    </row>
    <row r="3276" spans="1:11" x14ac:dyDescent="0.25">
      <c r="A3276" s="4" t="str">
        <f ca="1">IFERROR(__xludf.DUMMYFUNCTION("""COMPUTED_VALUE"""),"1753-B")</f>
        <v>1753-B</v>
      </c>
      <c r="B3276" s="5" t="str">
        <f ca="1">IFERROR(__xludf.DUMMYFUNCTION("""COMPUTED_VALUE"""),"الجيزة")</f>
        <v>الجيزة</v>
      </c>
      <c r="C3276" s="5" t="str">
        <f ca="1">IFERROR(__xludf.DUMMYFUNCTION("""COMPUTED_VALUE"""),"العجوزة")</f>
        <v>العجوزة</v>
      </c>
      <c r="D3276" s="5" t="str">
        <f ca="1">IFERROR(__xludf.DUMMYFUNCTION("""COMPUTED_VALUE"""),"مركز أشعة")</f>
        <v>مركز أشعة</v>
      </c>
      <c r="E3276" s="5" t="str">
        <f ca="1">IFERROR(__xludf.DUMMYFUNCTION("""COMPUTED_VALUE"""),"مركز أشعة")</f>
        <v>مركز أشعة</v>
      </c>
      <c r="F3276" s="5" t="str">
        <f ca="1">IFERROR(__xludf.DUMMYFUNCTION("""COMPUTED_VALUE"""),"مركز الأشعة التشخيصية")</f>
        <v>مركز الأشعة التشخيصية</v>
      </c>
      <c r="G3276" s="5" t="str">
        <f ca="1">IFERROR(__xludf.DUMMYFUNCTION("""COMPUTED_VALUE"""),"ألفا سكان")</f>
        <v>ألفا سكان</v>
      </c>
      <c r="H3276" s="5" t="str">
        <f ca="1">IFERROR(__xludf.DUMMYFUNCTION("""COMPUTED_VALUE"""),"ش احمد عرابي حي العجوزه")</f>
        <v>ش احمد عرابي حي العجوزه</v>
      </c>
      <c r="I3276" s="6"/>
      <c r="J3276" s="6" t="str">
        <f ca="1">IFERROR(__xludf.DUMMYFUNCTION("""COMPUTED_VALUE"""),"16171")</f>
        <v>16171</v>
      </c>
      <c r="K3276" s="6" t="str">
        <f ca="1">IFERROR(__xludf.DUMMYFUNCTION("""COMPUTED_VALUE"""),"10% على جميع الخدمات المقدمة")</f>
        <v>10% على جميع الخدمات المقدمة</v>
      </c>
    </row>
    <row r="3277" spans="1:11" x14ac:dyDescent="0.25">
      <c r="A3277" s="4" t="str">
        <f ca="1">IFERROR(__xludf.DUMMYFUNCTION("""COMPUTED_VALUE"""),"1753-B")</f>
        <v>1753-B</v>
      </c>
      <c r="B3277" s="5" t="str">
        <f ca="1">IFERROR(__xludf.DUMMYFUNCTION("""COMPUTED_VALUE"""),"الجيزة")</f>
        <v>الجيزة</v>
      </c>
      <c r="C3277" s="5" t="str">
        <f ca="1">IFERROR(__xludf.DUMMYFUNCTION("""COMPUTED_VALUE"""),"الشيخ زايد")</f>
        <v>الشيخ زايد</v>
      </c>
      <c r="D3277" s="5" t="str">
        <f ca="1">IFERROR(__xludf.DUMMYFUNCTION("""COMPUTED_VALUE"""),"مركز أشعة")</f>
        <v>مركز أشعة</v>
      </c>
      <c r="E3277" s="5" t="str">
        <f ca="1">IFERROR(__xludf.DUMMYFUNCTION("""COMPUTED_VALUE"""),"مركز أشعة")</f>
        <v>مركز أشعة</v>
      </c>
      <c r="F3277" s="5" t="str">
        <f ca="1">IFERROR(__xludf.DUMMYFUNCTION("""COMPUTED_VALUE"""),"مركز الأشعة التشخيصية")</f>
        <v>مركز الأشعة التشخيصية</v>
      </c>
      <c r="G3277" s="5" t="str">
        <f ca="1">IFERROR(__xludf.DUMMYFUNCTION("""COMPUTED_VALUE"""),"ألفا سكان")</f>
        <v>ألفا سكان</v>
      </c>
      <c r="H3277" s="5" t="str">
        <f ca="1">IFERROR(__xludf.DUMMYFUNCTION("""COMPUTED_VALUE"""),"الجولف سنرت، بالم هيلز، محور 26 يوليو، مدخل ،3 مدينة الشيخ زايد")</f>
        <v>الجولف سنرت، بالم هيلز، محور 26 يوليو، مدخل ،3 مدينة الشيخ زايد</v>
      </c>
      <c r="I3277" s="6"/>
      <c r="J3277" s="6" t="str">
        <f ca="1">IFERROR(__xludf.DUMMYFUNCTION("""COMPUTED_VALUE"""),"16171")</f>
        <v>16171</v>
      </c>
      <c r="K3277" s="6" t="str">
        <f ca="1">IFERROR(__xludf.DUMMYFUNCTION("""COMPUTED_VALUE"""),"10% على جميع الخدمات المقدمة")</f>
        <v>10% على جميع الخدمات المقدمة</v>
      </c>
    </row>
    <row r="3278" spans="1:11" x14ac:dyDescent="0.25">
      <c r="A3278" s="4" t="str">
        <f ca="1">IFERROR(__xludf.DUMMYFUNCTION("""COMPUTED_VALUE"""),"107531")</f>
        <v>107531</v>
      </c>
      <c r="B3278" s="5" t="str">
        <f ca="1">IFERROR(__xludf.DUMMYFUNCTION("""COMPUTED_VALUE"""),"قنا")</f>
        <v>قنا</v>
      </c>
      <c r="C3278" s="5" t="str">
        <f ca="1">IFERROR(__xludf.DUMMYFUNCTION("""COMPUTED_VALUE"""),"نجع حمادى")</f>
        <v>نجع حمادى</v>
      </c>
      <c r="D3278" s="5" t="str">
        <f ca="1">IFERROR(__xludf.DUMMYFUNCTION("""COMPUTED_VALUE"""),"صيدلية")</f>
        <v>صيدلية</v>
      </c>
      <c r="E3278" s="5" t="str">
        <f ca="1">IFERROR(__xludf.DUMMYFUNCTION("""COMPUTED_VALUE"""),"صيدلية")</f>
        <v>صيدلية</v>
      </c>
      <c r="F3278" s="5" t="str">
        <f ca="1">IFERROR(__xludf.DUMMYFUNCTION("""COMPUTED_VALUE"""),"صيدلية (أدوية ومستلزمات طبية)")</f>
        <v>صيدلية (أدوية ومستلزمات طبية)</v>
      </c>
      <c r="G3278" s="5" t="str">
        <f ca="1">IFERROR(__xludf.DUMMYFUNCTION("""COMPUTED_VALUE"""),"صيدلية د. ريمون وفيق وليم")</f>
        <v>صيدلية د. ريمون وفيق وليم</v>
      </c>
      <c r="H3278" s="5" t="str">
        <f ca="1">IFERROR(__xludf.DUMMYFUNCTION("""COMPUTED_VALUE"""),"ش البوستة الجديدة - نجع حمادي - قنا")</f>
        <v>ش البوستة الجديدة - نجع حمادي - قنا</v>
      </c>
      <c r="I3278" s="6" t="str">
        <f ca="1">IFERROR(__xludf.DUMMYFUNCTION("""COMPUTED_VALUE"""),"01224092240")</f>
        <v>01224092240</v>
      </c>
      <c r="J3278" s="6"/>
      <c r="K3278" s="6" t="str">
        <f ca="1">IFERROR(__xludf.DUMMYFUNCTION("""COMPUTED_VALUE"""),"خصم 14% علي المستورد و 7% علي المحلي")</f>
        <v>خصم 14% علي المستورد و 7% علي المحلي</v>
      </c>
    </row>
    <row r="3279" spans="1:11" x14ac:dyDescent="0.25">
      <c r="A3279" s="4" t="str">
        <f ca="1">IFERROR(__xludf.DUMMYFUNCTION("""COMPUTED_VALUE"""),"107532")</f>
        <v>107532</v>
      </c>
      <c r="B3279" s="5" t="str">
        <f ca="1">IFERROR(__xludf.DUMMYFUNCTION("""COMPUTED_VALUE"""),"الشرقية")</f>
        <v>الشرقية</v>
      </c>
      <c r="C3279" s="5" t="str">
        <f ca="1">IFERROR(__xludf.DUMMYFUNCTION("""COMPUTED_VALUE"""),"أبو حماد")</f>
        <v>أبو حماد</v>
      </c>
      <c r="D3279" s="5" t="str">
        <f ca="1">IFERROR(__xludf.DUMMYFUNCTION("""COMPUTED_VALUE"""),"صيدلية")</f>
        <v>صيدلية</v>
      </c>
      <c r="E3279" s="5" t="str">
        <f ca="1">IFERROR(__xludf.DUMMYFUNCTION("""COMPUTED_VALUE"""),"صيدلية")</f>
        <v>صيدلية</v>
      </c>
      <c r="F3279" s="5" t="str">
        <f ca="1">IFERROR(__xludf.DUMMYFUNCTION("""COMPUTED_VALUE"""),"صيدلية (أدوية ومستلزمات طبية)")</f>
        <v>صيدلية (أدوية ومستلزمات طبية)</v>
      </c>
      <c r="G3279" s="5" t="str">
        <f ca="1">IFERROR(__xludf.DUMMYFUNCTION("""COMPUTED_VALUE"""),"صيدلية د. حمزة عبدالحميد احمد عبدالحميد")</f>
        <v>صيدلية د. حمزة عبدالحميد احمد عبدالحميد</v>
      </c>
      <c r="H3279" s="5" t="str">
        <f ca="1">IFERROR(__xludf.DUMMYFUNCTION("""COMPUTED_VALUE"""),"شارع الجلاء - أبو حماد - الشرقية")</f>
        <v>شارع الجلاء - أبو حماد - الشرقية</v>
      </c>
      <c r="I3279" s="6" t="str">
        <f ca="1">IFERROR(__xludf.DUMMYFUNCTION("""COMPUTED_VALUE"""),"01142390604")</f>
        <v>01142390604</v>
      </c>
      <c r="J3279" s="6"/>
      <c r="K3279" s="6" t="str">
        <f ca="1">IFERROR(__xludf.DUMMYFUNCTION("""COMPUTED_VALUE"""),"خصم 13% علي المستورد و 6% علي المحلي")</f>
        <v>خصم 13% علي المستورد و 6% علي المحلي</v>
      </c>
    </row>
    <row r="3280" spans="1:11" x14ac:dyDescent="0.25">
      <c r="A3280" s="4" t="str">
        <f ca="1">IFERROR(__xludf.DUMMYFUNCTION("""COMPUTED_VALUE"""),"107533")</f>
        <v>107533</v>
      </c>
      <c r="B3280" s="5" t="str">
        <f ca="1">IFERROR(__xludf.DUMMYFUNCTION("""COMPUTED_VALUE"""),"الاسكندرية")</f>
        <v>الاسكندرية</v>
      </c>
      <c r="C3280" s="5" t="str">
        <f ca="1">IFERROR(__xludf.DUMMYFUNCTION("""COMPUTED_VALUE"""),"العصافرة")</f>
        <v>العصافرة</v>
      </c>
      <c r="D3280" s="5" t="str">
        <f ca="1">IFERROR(__xludf.DUMMYFUNCTION("""COMPUTED_VALUE"""),"هيئة الأطباء")</f>
        <v>هيئة الأطباء</v>
      </c>
      <c r="E3280" s="5" t="str">
        <f ca="1">IFERROR(__xludf.DUMMYFUNCTION("""COMPUTED_VALUE"""),"اسنان")</f>
        <v>اسنان</v>
      </c>
      <c r="F3280" s="5" t="str">
        <f ca="1">IFERROR(__xludf.DUMMYFUNCTION("""COMPUTED_VALUE"""),"جراحة الفم والأسنان")</f>
        <v>جراحة الفم والأسنان</v>
      </c>
      <c r="G3280" s="5" t="str">
        <f ca="1">IFERROR(__xludf.DUMMYFUNCTION("""COMPUTED_VALUE"""),"رانيا عبدالرازق رمضان الماظ (مركز الماظ دنت)")</f>
        <v>رانيا عبدالرازق رمضان الماظ (مركز الماظ دنت)</v>
      </c>
      <c r="H3280" s="5" t="str">
        <f ca="1">IFERROR(__xludf.DUMMYFUNCTION("""COMPUTED_VALUE"""),"برج المهندسين بشارع ملك حفني - العصافرة - الاسكندرية")</f>
        <v>برج المهندسين بشارع ملك حفني - العصافرة - الاسكندرية</v>
      </c>
      <c r="I3280" s="6" t="str">
        <f ca="1">IFERROR(__xludf.DUMMYFUNCTION("""COMPUTED_VALUE"""),"35402737")</f>
        <v>35402737</v>
      </c>
      <c r="J3280" s="6"/>
      <c r="K3280" s="6" t="str">
        <f ca="1">IFERROR(__xludf.DUMMYFUNCTION("""COMPUTED_VALUE"""),"خصم 30% علي الاسعار النقدي ")</f>
        <v xml:space="preserve">خصم 30% علي الاسعار النقدي </v>
      </c>
    </row>
    <row r="3281" spans="1:11" x14ac:dyDescent="0.25">
      <c r="A3281" s="4" t="str">
        <f ca="1">IFERROR(__xludf.DUMMYFUNCTION("""COMPUTED_VALUE"""),"107535")</f>
        <v>107535</v>
      </c>
      <c r="B3281" s="5" t="str">
        <f ca="1">IFERROR(__xludf.DUMMYFUNCTION("""COMPUTED_VALUE"""),"القاهرة")</f>
        <v>القاهرة</v>
      </c>
      <c r="C3281" s="5" t="str">
        <f ca="1">IFERROR(__xludf.DUMMYFUNCTION("""COMPUTED_VALUE"""),"مدينة نصر")</f>
        <v>مدينة نصر</v>
      </c>
      <c r="D3281" s="5" t="str">
        <f ca="1">IFERROR(__xludf.DUMMYFUNCTION("""COMPUTED_VALUE"""),"مستشفى")</f>
        <v>مستشفى</v>
      </c>
      <c r="E3281" s="5" t="str">
        <f ca="1">IFERROR(__xludf.DUMMYFUNCTION("""COMPUTED_VALUE"""),"جميع التخصصات")</f>
        <v>جميع التخصصات</v>
      </c>
      <c r="F3281" s="5" t="str">
        <f ca="1">IFERROR(__xludf.DUMMYFUNCTION("""COMPUTED_VALUE"""),"جميع التخصصات الطبية")</f>
        <v>جميع التخصصات الطبية</v>
      </c>
      <c r="G3281" s="5" t="str">
        <f ca="1">IFERROR(__xludf.DUMMYFUNCTION("""COMPUTED_VALUE"""),"مستشفي السفارات")</f>
        <v>مستشفي السفارات</v>
      </c>
      <c r="H3281" s="5" t="str">
        <f ca="1">IFERROR(__xludf.DUMMYFUNCTION("""COMPUTED_VALUE"""),"119 ش عبدالقادر الجرجاني الحي السابع - مدينة نصر - القاهرة")</f>
        <v>119 ش عبدالقادر الجرجاني الحي السابع - مدينة نصر - القاهرة</v>
      </c>
      <c r="I3281" s="6" t="str">
        <f ca="1">IFERROR(__xludf.DUMMYFUNCTION("""COMPUTED_VALUE"""),"01020022007")</f>
        <v>01020022007</v>
      </c>
      <c r="J3281" s="6"/>
      <c r="K3281" s="6" t="str">
        <f ca="1">IFERROR(__xludf.DUMMYFUNCTION("""COMPUTED_VALUE"""),"خصم 30% علي الاسعار النقدي ")</f>
        <v xml:space="preserve">خصم 30% علي الاسعار النقدي </v>
      </c>
    </row>
    <row r="3282" spans="1:11" x14ac:dyDescent="0.25">
      <c r="A3282" s="4" t="str">
        <f ca="1">IFERROR(__xludf.DUMMYFUNCTION("""COMPUTED_VALUE"""),"107536")</f>
        <v>107536</v>
      </c>
      <c r="B3282" s="5" t="str">
        <f ca="1">IFERROR(__xludf.DUMMYFUNCTION("""COMPUTED_VALUE"""),"القاهرة")</f>
        <v>القاهرة</v>
      </c>
      <c r="C3282" s="5" t="str">
        <f ca="1">IFERROR(__xludf.DUMMYFUNCTION("""COMPUTED_VALUE"""),"مدينة نصر")</f>
        <v>مدينة نصر</v>
      </c>
      <c r="D3282" s="5" t="str">
        <f ca="1">IFERROR(__xludf.DUMMYFUNCTION("""COMPUTED_VALUE"""),"مستشفى")</f>
        <v>مستشفى</v>
      </c>
      <c r="E3282" s="5" t="str">
        <f ca="1">IFERROR(__xludf.DUMMYFUNCTION("""COMPUTED_VALUE"""),"جميع التخصصات")</f>
        <v>جميع التخصصات</v>
      </c>
      <c r="F3282" s="5" t="str">
        <f ca="1">IFERROR(__xludf.DUMMYFUNCTION("""COMPUTED_VALUE"""),"جميع التخصصات الطبية")</f>
        <v>جميع التخصصات الطبية</v>
      </c>
      <c r="G3282" s="5" t="str">
        <f ca="1">IFERROR(__xludf.DUMMYFUNCTION("""COMPUTED_VALUE"""),"العروبة للخدمات الطبية (مستشفي دار العروبة)")</f>
        <v>العروبة للخدمات الطبية (مستشفي دار العروبة)</v>
      </c>
      <c r="H3282" s="5" t="str">
        <f ca="1">IFERROR(__xludf.DUMMYFUNCTION("""COMPUTED_VALUE"""),"4 شارع حافظ رمضان المنطقة السادسة -مدينة نصر - القاهرة")</f>
        <v>4 شارع حافظ رمضان المنطقة السادسة -مدينة نصر - القاهرة</v>
      </c>
      <c r="I3282" s="6"/>
      <c r="J3282" s="6" t="str">
        <f ca="1">IFERROR(__xludf.DUMMYFUNCTION("""COMPUTED_VALUE"""),"15894")</f>
        <v>15894</v>
      </c>
      <c r="K3282" s="6" t="str">
        <f ca="1">IFERROR(__xludf.DUMMYFUNCTION("""COMPUTED_VALUE"""),"40% على الكشوفات،و15% على اتعاب الأطباء و30% على باقي الخدمات على
أسعار النقدي المعلنه لدى سيادتكم، ماعدا البنود الغير مسموح لها بالخصم وتشمل
المناظير والكلى  والأدوية و المستلزمات
وأجهزة العمليات وبنك الدم وجلسات العلاج الكيماوي والقساطر")</f>
        <v>40% على الكشوفات،و15% على اتعاب الأطباء و30% على باقي الخدمات على
أسعار النقدي المعلنه لدى سيادتكم، ماعدا البنود الغير مسموح لها بالخصم وتشمل
المناظير والكلى  والأدوية و المستلزمات
وأجهزة العمليات وبنك الدم وجلسات العلاج الكيماوي والقساطر</v>
      </c>
    </row>
    <row r="3283" spans="1:11" x14ac:dyDescent="0.25">
      <c r="A3283" s="4" t="str">
        <f ca="1">IFERROR(__xludf.DUMMYFUNCTION("""COMPUTED_VALUE"""),"107537")</f>
        <v>107537</v>
      </c>
      <c r="B3283" s="5" t="str">
        <f ca="1">IFERROR(__xludf.DUMMYFUNCTION("""COMPUTED_VALUE"""),"مرسى مطروح")</f>
        <v>مرسى مطروح</v>
      </c>
      <c r="C3283" s="5" t="str">
        <f ca="1">IFERROR(__xludf.DUMMYFUNCTION("""COMPUTED_VALUE"""),"مرسى مطروح")</f>
        <v>مرسى مطروح</v>
      </c>
      <c r="D3283" s="5" t="str">
        <f ca="1">IFERROR(__xludf.DUMMYFUNCTION("""COMPUTED_VALUE"""),"هيئة الأطباء")</f>
        <v>هيئة الأطباء</v>
      </c>
      <c r="E3283" s="5" t="str">
        <f ca="1">IFERROR(__xludf.DUMMYFUNCTION("""COMPUTED_VALUE"""),"اسنان")</f>
        <v>اسنان</v>
      </c>
      <c r="F3283" s="5" t="str">
        <f ca="1">IFERROR(__xludf.DUMMYFUNCTION("""COMPUTED_VALUE"""),"جراحة الفم والأسنان")</f>
        <v>جراحة الفم والأسنان</v>
      </c>
      <c r="G3283" s="5" t="str">
        <f ca="1">IFERROR(__xludf.DUMMYFUNCTION("""COMPUTED_VALUE"""),"د. شريف عبدالمنعم عبدالله عيسي (مركز تقويم لطب الاسنان)")</f>
        <v>د. شريف عبدالمنعم عبدالله عيسي (مركز تقويم لطب الاسنان)</v>
      </c>
      <c r="H3283" s="5" t="str">
        <f ca="1">IFERROR(__xludf.DUMMYFUNCTION("""COMPUTED_VALUE"""),"برج الرياض - شارع الاسكندرية - مرسي مطروح")</f>
        <v>برج الرياض - شارع الاسكندرية - مرسي مطروح</v>
      </c>
      <c r="I3283" s="6" t="str">
        <f ca="1">IFERROR(__xludf.DUMMYFUNCTION("""COMPUTED_VALUE"""),"01551058899")</f>
        <v>01551058899</v>
      </c>
      <c r="J3283" s="6"/>
      <c r="K3283" s="6" t="str">
        <f ca="1">IFERROR(__xludf.DUMMYFUNCTION("""COMPUTED_VALUE"""),"خصم 40% علي الاسعار النقدي ")</f>
        <v xml:space="preserve">خصم 40% علي الاسعار النقدي </v>
      </c>
    </row>
    <row r="3284" spans="1:11" x14ac:dyDescent="0.25">
      <c r="A3284" s="4" t="str">
        <f ca="1">IFERROR(__xludf.DUMMYFUNCTION("""COMPUTED_VALUE"""),"107538")</f>
        <v>107538</v>
      </c>
      <c r="B3284" s="5" t="str">
        <f ca="1">IFERROR(__xludf.DUMMYFUNCTION("""COMPUTED_VALUE"""),"البحيرة")</f>
        <v>البحيرة</v>
      </c>
      <c r="C3284" s="5" t="str">
        <f ca="1">IFERROR(__xludf.DUMMYFUNCTION("""COMPUTED_VALUE"""),"ايتاي البارود")</f>
        <v>ايتاي البارود</v>
      </c>
      <c r="D3284" s="5" t="str">
        <f ca="1">IFERROR(__xludf.DUMMYFUNCTION("""COMPUTED_VALUE"""),"هيئة الأطباء")</f>
        <v>هيئة الأطباء</v>
      </c>
      <c r="E3284" s="5" t="str">
        <f ca="1">IFERROR(__xludf.DUMMYFUNCTION("""COMPUTED_VALUE"""),"اسنان")</f>
        <v>اسنان</v>
      </c>
      <c r="F3284" s="5" t="str">
        <f ca="1">IFERROR(__xludf.DUMMYFUNCTION("""COMPUTED_VALUE"""),"جراحة الفم والأسنان")</f>
        <v>جراحة الفم والأسنان</v>
      </c>
      <c r="G3284" s="5" t="str">
        <f ca="1">IFERROR(__xludf.DUMMYFUNCTION("""COMPUTED_VALUE"""),"د. احمد سليمان متولي احمد حجاب")</f>
        <v>د. احمد سليمان متولي احمد حجاب</v>
      </c>
      <c r="H3284" s="5" t="str">
        <f ca="1">IFERROR(__xludf.DUMMYFUNCTION("""COMPUTED_VALUE"""),"ش المركز الاسلامي مساكن الجمعيه - الاسكان التعاوني - ايتاي البارود - البحيرة")</f>
        <v>ش المركز الاسلامي مساكن الجمعيه - الاسكان التعاوني - ايتاي البارود - البحيرة</v>
      </c>
      <c r="I3284" s="6" t="str">
        <f ca="1">IFERROR(__xludf.DUMMYFUNCTION("""COMPUTED_VALUE"""),"045347330")</f>
        <v>045347330</v>
      </c>
      <c r="J3284" s="6"/>
      <c r="K3284" s="6" t="str">
        <f ca="1">IFERROR(__xludf.DUMMYFUNCTION("""COMPUTED_VALUE"""),"خصم 30% علي الاسعار النقدي ")</f>
        <v xml:space="preserve">خصم 30% علي الاسعار النقدي </v>
      </c>
    </row>
    <row r="3285" spans="1:11" x14ac:dyDescent="0.25">
      <c r="A3285" s="4" t="str">
        <f ca="1">IFERROR(__xludf.DUMMYFUNCTION("""COMPUTED_VALUE"""),"107539")</f>
        <v>107539</v>
      </c>
      <c r="B3285" s="5" t="str">
        <f ca="1">IFERROR(__xludf.DUMMYFUNCTION("""COMPUTED_VALUE"""),"الجيزة")</f>
        <v>الجيزة</v>
      </c>
      <c r="C3285" s="5" t="str">
        <f ca="1">IFERROR(__xludf.DUMMYFUNCTION("""COMPUTED_VALUE"""),"منشيه القناطر")</f>
        <v>منشيه القناطر</v>
      </c>
      <c r="D3285" s="5" t="str">
        <f ca="1">IFERROR(__xludf.DUMMYFUNCTION("""COMPUTED_VALUE"""),"هيئة الأطباء")</f>
        <v>هيئة الأطباء</v>
      </c>
      <c r="E3285" s="5" t="str">
        <f ca="1">IFERROR(__xludf.DUMMYFUNCTION("""COMPUTED_VALUE"""),"اسنان")</f>
        <v>اسنان</v>
      </c>
      <c r="F3285" s="5" t="str">
        <f ca="1">IFERROR(__xludf.DUMMYFUNCTION("""COMPUTED_VALUE"""),"جراحة الفم والأسنان")</f>
        <v>جراحة الفم والأسنان</v>
      </c>
      <c r="G3285" s="5" t="str">
        <f ca="1">IFERROR(__xludf.DUMMYFUNCTION("""COMPUTED_VALUE"""),"د. احمد محمد ابراهيم علي ابو رخيصة")</f>
        <v>د. احمد محمد ابراهيم علي ابو رخيصة</v>
      </c>
      <c r="H3285" s="5" t="str">
        <f ca="1">IFERROR(__xludf.DUMMYFUNCTION("""COMPUTED_VALUE"""),"المنصورية - الطريق العمومي بجوار مسجد النصر - منشية القناطر - الجيزة")</f>
        <v>المنصورية - الطريق العمومي بجوار مسجد النصر - منشية القناطر - الجيزة</v>
      </c>
      <c r="I3285" s="6" t="str">
        <f ca="1">IFERROR(__xludf.DUMMYFUNCTION("""COMPUTED_VALUE"""),"01117335026")</f>
        <v>01117335026</v>
      </c>
      <c r="J3285" s="6"/>
      <c r="K3285" s="6" t="str">
        <f ca="1">IFERROR(__xludf.DUMMYFUNCTION("""COMPUTED_VALUE"""),"خصم 30% علي الاسعار النقدي ")</f>
        <v xml:space="preserve">خصم 30% علي الاسعار النقدي </v>
      </c>
    </row>
    <row r="3286" spans="1:11" x14ac:dyDescent="0.25">
      <c r="A3286" s="4" t="str">
        <f ca="1">IFERROR(__xludf.DUMMYFUNCTION("""COMPUTED_VALUE"""),"107540")</f>
        <v>107540</v>
      </c>
      <c r="B3286" s="5" t="str">
        <f ca="1">IFERROR(__xludf.DUMMYFUNCTION("""COMPUTED_VALUE"""),"سوهاج")</f>
        <v>سوهاج</v>
      </c>
      <c r="C3286" s="5" t="str">
        <f ca="1">IFERROR(__xludf.DUMMYFUNCTION("""COMPUTED_VALUE"""),"سوهاج")</f>
        <v>سوهاج</v>
      </c>
      <c r="D3286" s="5" t="str">
        <f ca="1">IFERROR(__xludf.DUMMYFUNCTION("""COMPUTED_VALUE"""),"مستشفى")</f>
        <v>مستشفى</v>
      </c>
      <c r="E3286" s="5" t="str">
        <f ca="1">IFERROR(__xludf.DUMMYFUNCTION("""COMPUTED_VALUE"""),"جميع التخصصات")</f>
        <v>جميع التخصصات</v>
      </c>
      <c r="F3286" s="5" t="str">
        <f ca="1">IFERROR(__xludf.DUMMYFUNCTION("""COMPUTED_VALUE"""),"جميع التخصصات الطبية")</f>
        <v>جميع التخصصات الطبية</v>
      </c>
      <c r="G3286" s="5" t="str">
        <f ca="1">IFERROR(__xludf.DUMMYFUNCTION("""COMPUTED_VALUE"""),"صبري محمود محمد حسين عبدالحق (مستشفي الهنا)")</f>
        <v>صبري محمود محمد حسين عبدالحق (مستشفي الهنا)</v>
      </c>
      <c r="H3286" s="5" t="str">
        <f ca="1">IFERROR(__xludf.DUMMYFUNCTION("""COMPUTED_VALUE"""),"12 شارع تقسيم المزلاوي المتفرع من طريق سوهاج و اسيوط- سوهاج")</f>
        <v>12 شارع تقسيم المزلاوي المتفرع من طريق سوهاج و اسيوط- سوهاج</v>
      </c>
      <c r="I3286" s="6" t="str">
        <f ca="1">IFERROR(__xludf.DUMMYFUNCTION("""COMPUTED_VALUE"""),"01021105357")</f>
        <v>01021105357</v>
      </c>
      <c r="J3286" s="6"/>
      <c r="K3286" s="6" t="str">
        <f ca="1">IFERROR(__xludf.DUMMYFUNCTION("""COMPUTED_VALUE"""),"خصم 30% علي الاسعار النقدي ")</f>
        <v xml:space="preserve">خصم 30% علي الاسعار النقدي </v>
      </c>
    </row>
    <row r="3287" spans="1:11" x14ac:dyDescent="0.25">
      <c r="A3287" s="4" t="str">
        <f ca="1">IFERROR(__xludf.DUMMYFUNCTION("""COMPUTED_VALUE"""),"107541")</f>
        <v>107541</v>
      </c>
      <c r="B3287" s="5" t="str">
        <f ca="1">IFERROR(__xludf.DUMMYFUNCTION("""COMPUTED_VALUE"""),"الاسكندرية")</f>
        <v>الاسكندرية</v>
      </c>
      <c r="C3287" s="5" t="str">
        <f ca="1">IFERROR(__xludf.DUMMYFUNCTION("""COMPUTED_VALUE"""),"العطارين")</f>
        <v>العطارين</v>
      </c>
      <c r="D3287" s="5" t="str">
        <f ca="1">IFERROR(__xludf.DUMMYFUNCTION("""COMPUTED_VALUE"""),"هيئة الأطباء")</f>
        <v>هيئة الأطباء</v>
      </c>
      <c r="E3287" s="5" t="str">
        <f ca="1">IFERROR(__xludf.DUMMYFUNCTION("""COMPUTED_VALUE"""),"جراحة")</f>
        <v>جراحة</v>
      </c>
      <c r="F3287" s="5" t="str">
        <f ca="1">IFERROR(__xludf.DUMMYFUNCTION("""COMPUTED_VALUE"""),"جراحة عامة")</f>
        <v>جراحة عامة</v>
      </c>
      <c r="G3287" s="5" t="str">
        <f ca="1">IFERROR(__xludf.DUMMYFUNCTION("""COMPUTED_VALUE"""),"د. احمد محمود محي الدين محمد الدعوشي")</f>
        <v>د. احمد محمود محي الدين محمد الدعوشي</v>
      </c>
      <c r="H3287" s="5" t="str">
        <f ca="1">IFERROR(__xludf.DUMMYFUNCTION("""COMPUTED_VALUE"""),"8 شارع كلية الطب - وحدة 512 - الدور الخامس - برج الاطباء - العطارين - الاسكندرية")</f>
        <v>8 شارع كلية الطب - وحدة 512 - الدور الخامس - برج الاطباء - العطارين - الاسكندرية</v>
      </c>
      <c r="I3287" s="6" t="str">
        <f ca="1">IFERROR(__xludf.DUMMYFUNCTION("""COMPUTED_VALUE"""),"01122554449")</f>
        <v>01122554449</v>
      </c>
      <c r="J3287" s="6"/>
      <c r="K3287" s="6" t="str">
        <f ca="1">IFERROR(__xludf.DUMMYFUNCTION("""COMPUTED_VALUE"""),"خصم 30% علي الاسعار النقدي ")</f>
        <v xml:space="preserve">خصم 30% علي الاسعار النقدي </v>
      </c>
    </row>
    <row r="3288" spans="1:11" x14ac:dyDescent="0.25">
      <c r="A3288" s="4" t="str">
        <f ca="1">IFERROR(__xludf.DUMMYFUNCTION("""COMPUTED_VALUE"""),"107542")</f>
        <v>107542</v>
      </c>
      <c r="B3288" s="5" t="str">
        <f ca="1">IFERROR(__xludf.DUMMYFUNCTION("""COMPUTED_VALUE"""),"البحيرة")</f>
        <v>البحيرة</v>
      </c>
      <c r="C3288" s="5" t="str">
        <f ca="1">IFERROR(__xludf.DUMMYFUNCTION("""COMPUTED_VALUE"""),"دمنهور")</f>
        <v>دمنهور</v>
      </c>
      <c r="D3288" s="5" t="str">
        <f ca="1">IFERROR(__xludf.DUMMYFUNCTION("""COMPUTED_VALUE"""),"مركز علاج طبيعي")</f>
        <v>مركز علاج طبيعي</v>
      </c>
      <c r="E3288" s="5" t="str">
        <f ca="1">IFERROR(__xludf.DUMMYFUNCTION("""COMPUTED_VALUE"""),"علاج طبيعي")</f>
        <v>علاج طبيعي</v>
      </c>
      <c r="F3288" s="5" t="str">
        <f ca="1">IFERROR(__xludf.DUMMYFUNCTION("""COMPUTED_VALUE"""),"جلسات العلاج الطبيعي")</f>
        <v>جلسات العلاج الطبيعي</v>
      </c>
      <c r="G3288" s="5" t="str">
        <f ca="1">IFERROR(__xludf.DUMMYFUNCTION("""COMPUTED_VALUE"""),"غادة صدقي علي شريط (مركز شريط للعلاج الطبيعي)")</f>
        <v>غادة صدقي علي شريط (مركز شريط للعلاج الطبيعي)</v>
      </c>
      <c r="H3288" s="5" t="str">
        <f ca="1">IFERROR(__xludf.DUMMYFUNCTION("""COMPUTED_VALUE"""),"الابراج ش الجيش دمنهور - البحيرة")</f>
        <v>الابراج ش الجيش دمنهور - البحيرة</v>
      </c>
      <c r="I3288" s="6" t="str">
        <f ca="1">IFERROR(__xludf.DUMMYFUNCTION("""COMPUTED_VALUE"""),"01092197009")</f>
        <v>01092197009</v>
      </c>
      <c r="J3288" s="6"/>
      <c r="K3288" s="6" t="str">
        <f ca="1">IFERROR(__xludf.DUMMYFUNCTION("""COMPUTED_VALUE"""),"خصم 30% علي الاسعار النقدي ")</f>
        <v xml:space="preserve">خصم 30% علي الاسعار النقدي </v>
      </c>
    </row>
    <row r="3289" spans="1:11" x14ac:dyDescent="0.25">
      <c r="A3289" s="4" t="str">
        <f ca="1">IFERROR(__xludf.DUMMYFUNCTION("""COMPUTED_VALUE"""),"107543")</f>
        <v>107543</v>
      </c>
      <c r="B3289" s="5" t="str">
        <f ca="1">IFERROR(__xludf.DUMMYFUNCTION("""COMPUTED_VALUE"""),"الشرقية")</f>
        <v>الشرقية</v>
      </c>
      <c r="C3289" s="5" t="str">
        <f ca="1">IFERROR(__xludf.DUMMYFUNCTION("""COMPUTED_VALUE"""),"الزقازيق")</f>
        <v>الزقازيق</v>
      </c>
      <c r="D3289" s="5" t="str">
        <f ca="1">IFERROR(__xludf.DUMMYFUNCTION("""COMPUTED_VALUE"""),"مركز أشعة")</f>
        <v>مركز أشعة</v>
      </c>
      <c r="E3289" s="5" t="str">
        <f ca="1">IFERROR(__xludf.DUMMYFUNCTION("""COMPUTED_VALUE"""),"مركز أشعة")</f>
        <v>مركز أشعة</v>
      </c>
      <c r="F3289" s="5" t="str">
        <f ca="1">IFERROR(__xludf.DUMMYFUNCTION("""COMPUTED_VALUE"""),"أشعة تشخيصية")</f>
        <v>أشعة تشخيصية</v>
      </c>
      <c r="G3289" s="5" t="str">
        <f ca="1">IFERROR(__xludf.DUMMYFUNCTION("""COMPUTED_VALUE"""),"خالد محمد شوقي و شريكيه(مركز النور للأشعه)")</f>
        <v>خالد محمد شوقي و شريكيه(مركز النور للأشعه)</v>
      </c>
      <c r="H3289" s="5" t="str">
        <f ca="1">IFERROR(__xludf.DUMMYFUNCTION("""COMPUTED_VALUE"""),"وحدة 1 دور 1 علوي برج دار الطب - 3 شارع الجلاء - قسم النظام - الزقازيق - الشرقية")</f>
        <v>وحدة 1 دور 1 علوي برج دار الطب - 3 شارع الجلاء - قسم النظام - الزقازيق - الشرقية</v>
      </c>
      <c r="I3289" s="6" t="str">
        <f ca="1">IFERROR(__xludf.DUMMYFUNCTION("""COMPUTED_VALUE"""),"0552324305")</f>
        <v>0552324305</v>
      </c>
      <c r="J3289" s="6"/>
      <c r="K3289" s="6" t="str">
        <f ca="1">IFERROR(__xludf.DUMMYFUNCTION("""COMPUTED_VALUE"""),"خصم 30% علي الاسعار النقدي ")</f>
        <v xml:space="preserve">خصم 30% علي الاسعار النقدي </v>
      </c>
    </row>
    <row r="3290" spans="1:11" x14ac:dyDescent="0.25">
      <c r="A3290" s="4" t="str">
        <f ca="1">IFERROR(__xludf.DUMMYFUNCTION("""COMPUTED_VALUE"""),"106090")</f>
        <v>106090</v>
      </c>
      <c r="B3290" s="5" t="str">
        <f ca="1">IFERROR(__xludf.DUMMYFUNCTION("""COMPUTED_VALUE"""),"القاهرة")</f>
        <v>القاهرة</v>
      </c>
      <c r="C3290" s="5" t="str">
        <f ca="1">IFERROR(__xludf.DUMMYFUNCTION("""COMPUTED_VALUE"""),"الرحاب")</f>
        <v>الرحاب</v>
      </c>
      <c r="D3290" s="5" t="str">
        <f ca="1">IFERROR(__xludf.DUMMYFUNCTION("""COMPUTED_VALUE"""),"مركز أشعة")</f>
        <v>مركز أشعة</v>
      </c>
      <c r="E3290" s="5" t="str">
        <f ca="1">IFERROR(__xludf.DUMMYFUNCTION("""COMPUTED_VALUE"""),"مركز أشعة")</f>
        <v>مركز أشعة</v>
      </c>
      <c r="F3290" s="5" t="str">
        <f ca="1">IFERROR(__xludf.DUMMYFUNCTION("""COMPUTED_VALUE"""),"مركز الأشعة التشخيصية")</f>
        <v>مركز الأشعة التشخيصية</v>
      </c>
      <c r="G3290" s="5" t="str">
        <f ca="1">IFERROR(__xludf.DUMMYFUNCTION("""COMPUTED_VALUE"""),"برو سكان للاشعة")</f>
        <v>برو سكان للاشعة</v>
      </c>
      <c r="H3290" s="5" t="str">
        <f ca="1">IFERROR(__xludf.DUMMYFUNCTION("""COMPUTED_VALUE"""),"جيت يارد مول بوابة 6 بجوار فتح الله ماركت")</f>
        <v>جيت يارد مول بوابة 6 بجوار فتح الله ماركت</v>
      </c>
      <c r="I3290" s="6"/>
      <c r="J3290" s="6" t="str">
        <f ca="1">IFERROR(__xludf.DUMMYFUNCTION("""COMPUTED_VALUE"""),"15752")</f>
        <v>15752</v>
      </c>
      <c r="K3290" s="6" t="str">
        <f ca="1">IFERROR(__xludf.DUMMYFUNCTION("""COMPUTED_VALUE"""),"نقابه 2018")</f>
        <v>نقابه 2018</v>
      </c>
    </row>
    <row r="3291" spans="1:11" x14ac:dyDescent="0.25">
      <c r="A3291" s="4" t="str">
        <f ca="1">IFERROR(__xludf.DUMMYFUNCTION("""COMPUTED_VALUE"""),"106090-B")</f>
        <v>106090-B</v>
      </c>
      <c r="B3291" s="5" t="str">
        <f ca="1">IFERROR(__xludf.DUMMYFUNCTION("""COMPUTED_VALUE"""),"القاهرة")</f>
        <v>القاهرة</v>
      </c>
      <c r="C3291" s="5" t="str">
        <f ca="1">IFERROR(__xludf.DUMMYFUNCTION("""COMPUTED_VALUE"""),"القاهرة الجديدة")</f>
        <v>القاهرة الجديدة</v>
      </c>
      <c r="D3291" s="5" t="str">
        <f ca="1">IFERROR(__xludf.DUMMYFUNCTION("""COMPUTED_VALUE"""),"مركز أشعة")</f>
        <v>مركز أشعة</v>
      </c>
      <c r="E3291" s="5" t="str">
        <f ca="1">IFERROR(__xludf.DUMMYFUNCTION("""COMPUTED_VALUE"""),"مركز أشعة")</f>
        <v>مركز أشعة</v>
      </c>
      <c r="F3291" s="5" t="str">
        <f ca="1">IFERROR(__xludf.DUMMYFUNCTION("""COMPUTED_VALUE"""),"مركز الأشعة التشخيصية")</f>
        <v>مركز الأشعة التشخيصية</v>
      </c>
      <c r="G3291" s="5" t="str">
        <f ca="1">IFERROR(__xludf.DUMMYFUNCTION("""COMPUTED_VALUE"""),"برو سكان للاشعة")</f>
        <v>برو سكان للاشعة</v>
      </c>
      <c r="H3291" s="5" t="str">
        <f ca="1">IFERROR(__xludf.DUMMYFUNCTION("""COMPUTED_VALUE"""),"محور محمد نجيب امام كمباوند ديار التجمع الخامس")</f>
        <v>محور محمد نجيب امام كمباوند ديار التجمع الخامس</v>
      </c>
      <c r="I3291" s="6"/>
      <c r="J3291" s="6" t="str">
        <f ca="1">IFERROR(__xludf.DUMMYFUNCTION("""COMPUTED_VALUE"""),"15752")</f>
        <v>15752</v>
      </c>
      <c r="K3291" s="6" t="str">
        <f ca="1">IFERROR(__xludf.DUMMYFUNCTION("""COMPUTED_VALUE"""),"نقابه 2018")</f>
        <v>نقابه 2018</v>
      </c>
    </row>
    <row r="3292" spans="1:11" x14ac:dyDescent="0.25">
      <c r="A3292" s="4" t="str">
        <f ca="1">IFERROR(__xludf.DUMMYFUNCTION("""COMPUTED_VALUE"""),"107543-B")</f>
        <v>107543-B</v>
      </c>
      <c r="B3292" s="5" t="str">
        <f ca="1">IFERROR(__xludf.DUMMYFUNCTION("""COMPUTED_VALUE"""),"الشرقية")</f>
        <v>الشرقية</v>
      </c>
      <c r="C3292" s="5" t="str">
        <f ca="1">IFERROR(__xludf.DUMMYFUNCTION("""COMPUTED_VALUE"""),"الزقازيق")</f>
        <v>الزقازيق</v>
      </c>
      <c r="D3292" s="5" t="str">
        <f ca="1">IFERROR(__xludf.DUMMYFUNCTION("""COMPUTED_VALUE"""),"مركز أشعة")</f>
        <v>مركز أشعة</v>
      </c>
      <c r="E3292" s="5" t="str">
        <f ca="1">IFERROR(__xludf.DUMMYFUNCTION("""COMPUTED_VALUE"""),"مركز أشعة")</f>
        <v>مركز أشعة</v>
      </c>
      <c r="F3292" s="5" t="str">
        <f ca="1">IFERROR(__xludf.DUMMYFUNCTION("""COMPUTED_VALUE"""),"أشعة تشخيصية")</f>
        <v>أشعة تشخيصية</v>
      </c>
      <c r="G3292" s="5" t="str">
        <f ca="1">IFERROR(__xludf.DUMMYFUNCTION("""COMPUTED_VALUE"""),"خالد محمد شوقي و شريكيه(مركز النور للأشعه)")</f>
        <v>خالد محمد شوقي و شريكيه(مركز النور للأشعه)</v>
      </c>
      <c r="H3292" s="5" t="str">
        <f ca="1">IFERROR(__xludf.DUMMYFUNCTION("""COMPUTED_VALUE"""),"الزقازيق - 10 ش الشيخ عبدالله المتفرع من ش المحافظة")</f>
        <v>الزقازيق - 10 ش الشيخ عبدالله المتفرع من ش المحافظة</v>
      </c>
      <c r="I3292" s="6" t="str">
        <f ca="1">IFERROR(__xludf.DUMMYFUNCTION("""COMPUTED_VALUE"""),"0552324305")</f>
        <v>0552324305</v>
      </c>
      <c r="J3292" s="6"/>
      <c r="K3292" s="6" t="str">
        <f ca="1">IFERROR(__xludf.DUMMYFUNCTION("""COMPUTED_VALUE"""),"خصم 30% علي الاسعار النقدي ")</f>
        <v xml:space="preserve">خصم 30% علي الاسعار النقدي </v>
      </c>
    </row>
    <row r="3293" spans="1:11" x14ac:dyDescent="0.25">
      <c r="A3293" s="4" t="str">
        <f ca="1">IFERROR(__xludf.DUMMYFUNCTION("""COMPUTED_VALUE"""),"107543-B")</f>
        <v>107543-B</v>
      </c>
      <c r="B3293" s="5" t="str">
        <f ca="1">IFERROR(__xludf.DUMMYFUNCTION("""COMPUTED_VALUE"""),"الشرقية")</f>
        <v>الشرقية</v>
      </c>
      <c r="C3293" s="5" t="str">
        <f ca="1">IFERROR(__xludf.DUMMYFUNCTION("""COMPUTED_VALUE"""),"منيا القمح")</f>
        <v>منيا القمح</v>
      </c>
      <c r="D3293" s="5" t="str">
        <f ca="1">IFERROR(__xludf.DUMMYFUNCTION("""COMPUTED_VALUE"""),"مركز أشعة")</f>
        <v>مركز أشعة</v>
      </c>
      <c r="E3293" s="5" t="str">
        <f ca="1">IFERROR(__xludf.DUMMYFUNCTION("""COMPUTED_VALUE"""),"مركز أشعة")</f>
        <v>مركز أشعة</v>
      </c>
      <c r="F3293" s="5" t="str">
        <f ca="1">IFERROR(__xludf.DUMMYFUNCTION("""COMPUTED_VALUE"""),"أشعة تشخيصية")</f>
        <v>أشعة تشخيصية</v>
      </c>
      <c r="G3293" s="5" t="str">
        <f ca="1">IFERROR(__xludf.DUMMYFUNCTION("""COMPUTED_VALUE"""),"خالد محمد شوقي و شريكيه(مركز النور للأشعه)")</f>
        <v>خالد محمد شوقي و شريكيه(مركز النور للأشعه)</v>
      </c>
      <c r="H3293" s="5" t="str">
        <f ca="1">IFERROR(__xludf.DUMMYFUNCTION("""COMPUTED_VALUE"""),"الشرقيه - منيا القمح - الدور الارضي - ش سعد زغلول")</f>
        <v>الشرقيه - منيا القمح - الدور الارضي - ش سعد زغلول</v>
      </c>
      <c r="I3293" s="6" t="str">
        <f ca="1">IFERROR(__xludf.DUMMYFUNCTION("""COMPUTED_VALUE"""),"0552324305")</f>
        <v>0552324305</v>
      </c>
      <c r="J3293" s="6"/>
      <c r="K3293" s="6" t="str">
        <f ca="1">IFERROR(__xludf.DUMMYFUNCTION("""COMPUTED_VALUE"""),"خصم 30% علي الاسعار النقدي ")</f>
        <v xml:space="preserve">خصم 30% علي الاسعار النقدي </v>
      </c>
    </row>
    <row r="3294" spans="1:11" x14ac:dyDescent="0.25">
      <c r="A3294" s="4" t="str">
        <f ca="1">IFERROR(__xludf.DUMMYFUNCTION("""COMPUTED_VALUE"""),"107544")</f>
        <v>107544</v>
      </c>
      <c r="B3294" s="5" t="str">
        <f ca="1">IFERROR(__xludf.DUMMYFUNCTION("""COMPUTED_VALUE"""),"بورسعيد")</f>
        <v>بورسعيد</v>
      </c>
      <c r="C3294" s="5" t="str">
        <f ca="1">IFERROR(__xludf.DUMMYFUNCTION("""COMPUTED_VALUE"""),"بورسعيد")</f>
        <v>بورسعيد</v>
      </c>
      <c r="D3294" s="5" t="str">
        <f ca="1">IFERROR(__xludf.DUMMYFUNCTION("""COMPUTED_VALUE"""),"هيئة الأطباء")</f>
        <v>هيئة الأطباء</v>
      </c>
      <c r="E3294" s="5" t="str">
        <f ca="1">IFERROR(__xludf.DUMMYFUNCTION("""COMPUTED_VALUE"""),"جراحة")</f>
        <v>جراحة</v>
      </c>
      <c r="F3294" s="5" t="str">
        <f ca="1">IFERROR(__xludf.DUMMYFUNCTION("""COMPUTED_VALUE"""),"جراحة عظام")</f>
        <v>جراحة عظام</v>
      </c>
      <c r="G3294" s="5" t="str">
        <f ca="1">IFERROR(__xludf.DUMMYFUNCTION("""COMPUTED_VALUE"""),"د. خالد محمد احمد محمود ابوالنصر")</f>
        <v>د. خالد محمد احمد محمود ابوالنصر</v>
      </c>
      <c r="H3294" s="5" t="str">
        <f ca="1">IFERROR(__xludf.DUMMYFUNCTION("""COMPUTED_VALUE"""),"شقة 1 الدور الاول علوي- ش سعد زغلول الشرقي - بورسعيد")</f>
        <v>شقة 1 الدور الاول علوي- ش سعد زغلول الشرقي - بورسعيد</v>
      </c>
      <c r="I3294" s="6" t="str">
        <f ca="1">IFERROR(__xludf.DUMMYFUNCTION("""COMPUTED_VALUE"""),"01067420644")</f>
        <v>01067420644</v>
      </c>
      <c r="J3294" s="6"/>
      <c r="K3294" s="6" t="str">
        <f ca="1">IFERROR(__xludf.DUMMYFUNCTION("""COMPUTED_VALUE"""),"خصم 30% علي الاسعار النقدي ")</f>
        <v xml:space="preserve">خصم 30% علي الاسعار النقدي </v>
      </c>
    </row>
    <row r="3295" spans="1:11" x14ac:dyDescent="0.25">
      <c r="A3295" s="4" t="str">
        <f ca="1">IFERROR(__xludf.DUMMYFUNCTION("""COMPUTED_VALUE"""),"107545")</f>
        <v>107545</v>
      </c>
      <c r="B3295" s="5" t="str">
        <f ca="1">IFERROR(__xludf.DUMMYFUNCTION("""COMPUTED_VALUE"""),"المنيا")</f>
        <v>المنيا</v>
      </c>
      <c r="C3295" s="5" t="str">
        <f ca="1">IFERROR(__xludf.DUMMYFUNCTION("""COMPUTED_VALUE"""),"أبو قرقاص")</f>
        <v>أبو قرقاص</v>
      </c>
      <c r="D3295" s="5" t="str">
        <f ca="1">IFERROR(__xludf.DUMMYFUNCTION("""COMPUTED_VALUE"""),"مستشفى")</f>
        <v>مستشفى</v>
      </c>
      <c r="E3295" s="5" t="str">
        <f ca="1">IFERROR(__xludf.DUMMYFUNCTION("""COMPUTED_VALUE"""),"جميع التخصصات")</f>
        <v>جميع التخصصات</v>
      </c>
      <c r="F3295" s="5" t="str">
        <f ca="1">IFERROR(__xludf.DUMMYFUNCTION("""COMPUTED_VALUE"""),"جميع التخصصات الطبية")</f>
        <v>جميع التخصصات الطبية</v>
      </c>
      <c r="G3295" s="5" t="str">
        <f ca="1">IFERROR(__xludf.DUMMYFUNCTION("""COMPUTED_VALUE"""),"كيرليس فوزي بسالي سويحه (مستشفي الدكتور فوزي بسالي التخصصي)")</f>
        <v>كيرليس فوزي بسالي سويحه (مستشفي الدكتور فوزي بسالي التخصصي)</v>
      </c>
      <c r="H3295" s="5" t="str">
        <f ca="1">IFERROR(__xludf.DUMMYFUNCTION("""COMPUTED_VALUE"""),"ش المسشفي الفكريه - ابو قرقاص - المنيا")</f>
        <v>ش المسشفي الفكريه - ابو قرقاص - المنيا</v>
      </c>
      <c r="I3295" s="6" t="str">
        <f ca="1">IFERROR(__xludf.DUMMYFUNCTION("""COMPUTED_VALUE"""),"0862178333")</f>
        <v>0862178333</v>
      </c>
      <c r="J3295" s="6"/>
      <c r="K3295" s="6" t="str">
        <f ca="1">IFERROR(__xludf.DUMMYFUNCTION("""COMPUTED_VALUE"""),"خصم 30% علي الاسعار النقدي ")</f>
        <v xml:space="preserve">خصم 30% علي الاسعار النقدي </v>
      </c>
    </row>
    <row r="3296" spans="1:11" x14ac:dyDescent="0.25">
      <c r="A3296" s="4" t="str">
        <f ca="1">IFERROR(__xludf.DUMMYFUNCTION("""COMPUTED_VALUE"""),"107546")</f>
        <v>107546</v>
      </c>
      <c r="B3296" s="5" t="str">
        <f ca="1">IFERROR(__xludf.DUMMYFUNCTION("""COMPUTED_VALUE"""),"القليوبية")</f>
        <v>القليوبية</v>
      </c>
      <c r="C3296" s="5" t="str">
        <f ca="1">IFERROR(__xludf.DUMMYFUNCTION("""COMPUTED_VALUE"""),"كفر شكر")</f>
        <v>كفر شكر</v>
      </c>
      <c r="D3296" s="5" t="str">
        <f ca="1">IFERROR(__xludf.DUMMYFUNCTION("""COMPUTED_VALUE"""),"مستشفى")</f>
        <v>مستشفى</v>
      </c>
      <c r="E3296" s="5" t="str">
        <f ca="1">IFERROR(__xludf.DUMMYFUNCTION("""COMPUTED_VALUE"""),"جميع التخصصات")</f>
        <v>جميع التخصصات</v>
      </c>
      <c r="F3296" s="5" t="str">
        <f ca="1">IFERROR(__xludf.DUMMYFUNCTION("""COMPUTED_VALUE"""),"جميع التخصصات الطبية")</f>
        <v>جميع التخصصات الطبية</v>
      </c>
      <c r="G3296" s="5" t="str">
        <f ca="1">IFERROR(__xludf.DUMMYFUNCTION("""COMPUTED_VALUE"""),"عمرو عبدالحفيظ عبدالخالق عبدالقادر و شركاه (مستشفي النوري التخصصي)")</f>
        <v>عمرو عبدالحفيظ عبدالخالق عبدالقادر و شركاه (مستشفي النوري التخصصي)</v>
      </c>
      <c r="H3296" s="5" t="str">
        <f ca="1">IFERROR(__xludf.DUMMYFUNCTION("""COMPUTED_VALUE"""),"حوض البحيرة الطريق السريع - كفر شكر - القليوبية")</f>
        <v>حوض البحيرة الطريق السريع - كفر شكر - القليوبية</v>
      </c>
      <c r="I3296" s="6" t="str">
        <f ca="1">IFERROR(__xludf.DUMMYFUNCTION("""COMPUTED_VALUE"""),"01062712723")</f>
        <v>01062712723</v>
      </c>
      <c r="J3296" s="6"/>
      <c r="K3296" s="6" t="str">
        <f ca="1">IFERROR(__xludf.DUMMYFUNCTION("""COMPUTED_VALUE"""),"خصم 30% علي الاسعار النقدي ")</f>
        <v xml:space="preserve">خصم 30% علي الاسعار النقدي </v>
      </c>
    </row>
    <row r="3297" spans="1:11" x14ac:dyDescent="0.25">
      <c r="A3297" s="4" t="str">
        <f ca="1">IFERROR(__xludf.DUMMYFUNCTION("""COMPUTED_VALUE"""),"107547")</f>
        <v>107547</v>
      </c>
      <c r="B3297" s="5" t="str">
        <f ca="1">IFERROR(__xludf.DUMMYFUNCTION("""COMPUTED_VALUE"""),"الجيزة")</f>
        <v>الجيزة</v>
      </c>
      <c r="C3297" s="5" t="str">
        <f ca="1">IFERROR(__xludf.DUMMYFUNCTION("""COMPUTED_VALUE"""),"العياط")</f>
        <v>العياط</v>
      </c>
      <c r="D3297" s="5" t="str">
        <f ca="1">IFERROR(__xludf.DUMMYFUNCTION("""COMPUTED_VALUE"""),"صيدلية")</f>
        <v>صيدلية</v>
      </c>
      <c r="E3297" s="5" t="str">
        <f ca="1">IFERROR(__xludf.DUMMYFUNCTION("""COMPUTED_VALUE"""),"صيدلية")</f>
        <v>صيدلية</v>
      </c>
      <c r="F3297" s="5" t="str">
        <f ca="1">IFERROR(__xludf.DUMMYFUNCTION("""COMPUTED_VALUE"""),"صيدلية (أدوية ومستلزمات طبية)")</f>
        <v>صيدلية (أدوية ومستلزمات طبية)</v>
      </c>
      <c r="G3297" s="5" t="str">
        <f ca="1">IFERROR(__xludf.DUMMYFUNCTION("""COMPUTED_VALUE"""),"ايمان و شيماء للخدمات الطبية (صيدليات ايماس)")</f>
        <v>ايمان و شيماء للخدمات الطبية (صيدليات ايماس)</v>
      </c>
      <c r="H3297" s="5" t="str">
        <f ca="1">IFERROR(__xludf.DUMMYFUNCTION("""COMPUTED_VALUE"""),"ش الجيش بجوار مستشفي الزهراء - العياط - الجيزة")</f>
        <v>ش الجيش بجوار مستشفي الزهراء - العياط - الجيزة</v>
      </c>
      <c r="I3297" s="6" t="str">
        <f ca="1">IFERROR(__xludf.DUMMYFUNCTION("""COMPUTED_VALUE"""),"01288032438")</f>
        <v>01288032438</v>
      </c>
      <c r="J3297" s="6"/>
      <c r="K3297" s="6" t="str">
        <f ca="1">IFERROR(__xludf.DUMMYFUNCTION("""COMPUTED_VALUE"""),"خصم 10% علي المستورد و 5% علي المحلي")</f>
        <v>خصم 10% علي المستورد و 5% علي المحلي</v>
      </c>
    </row>
    <row r="3298" spans="1:11" x14ac:dyDescent="0.25">
      <c r="A3298" s="4" t="str">
        <f ca="1">IFERROR(__xludf.DUMMYFUNCTION("""COMPUTED_VALUE"""),"107547-B")</f>
        <v>107547-B</v>
      </c>
      <c r="B3298" s="5" t="str">
        <f ca="1">IFERROR(__xludf.DUMMYFUNCTION("""COMPUTED_VALUE"""),"الجيزة")</f>
        <v>الجيزة</v>
      </c>
      <c r="C3298" s="5" t="str">
        <f ca="1">IFERROR(__xludf.DUMMYFUNCTION("""COMPUTED_VALUE"""),"العياط")</f>
        <v>العياط</v>
      </c>
      <c r="D3298" s="5" t="str">
        <f ca="1">IFERROR(__xludf.DUMMYFUNCTION("""COMPUTED_VALUE"""),"صيدلية")</f>
        <v>صيدلية</v>
      </c>
      <c r="E3298" s="5" t="str">
        <f ca="1">IFERROR(__xludf.DUMMYFUNCTION("""COMPUTED_VALUE"""),"صيدلية")</f>
        <v>صيدلية</v>
      </c>
      <c r="F3298" s="5" t="str">
        <f ca="1">IFERROR(__xludf.DUMMYFUNCTION("""COMPUTED_VALUE"""),"صيدلية (أدوية ومستلزمات طبية)")</f>
        <v>صيدلية (أدوية ومستلزمات طبية)</v>
      </c>
      <c r="G3298" s="5" t="str">
        <f ca="1">IFERROR(__xludf.DUMMYFUNCTION("""COMPUTED_VALUE"""),"ايمان و شيماء للخدمات الطبية (صيدليات ايماس)")</f>
        <v>ايمان و شيماء للخدمات الطبية (صيدليات ايماس)</v>
      </c>
      <c r="H3298" s="5" t="str">
        <f ca="1">IFERROR(__xludf.DUMMYFUNCTION("""COMPUTED_VALUE"""),"برشنت طريق المريوطية - العياط - الجيزة")</f>
        <v>برشنت طريق المريوطية - العياط - الجيزة</v>
      </c>
      <c r="I3298" s="6" t="str">
        <f ca="1">IFERROR(__xludf.DUMMYFUNCTION("""COMPUTED_VALUE"""),"01288032438")</f>
        <v>01288032438</v>
      </c>
      <c r="J3298" s="6"/>
      <c r="K3298" s="6" t="str">
        <f ca="1">IFERROR(__xludf.DUMMYFUNCTION("""COMPUTED_VALUE"""),"خصم 10% علي المستورد و 5% علي المحلي")</f>
        <v>خصم 10% علي المستورد و 5% علي المحلي</v>
      </c>
    </row>
    <row r="3299" spans="1:11" x14ac:dyDescent="0.25">
      <c r="A3299" s="4" t="str">
        <f ca="1">IFERROR(__xludf.DUMMYFUNCTION("""COMPUTED_VALUE"""),"107547-B")</f>
        <v>107547-B</v>
      </c>
      <c r="B3299" s="5" t="str">
        <f ca="1">IFERROR(__xludf.DUMMYFUNCTION("""COMPUTED_VALUE"""),"الجيزة")</f>
        <v>الجيزة</v>
      </c>
      <c r="C3299" s="5" t="str">
        <f ca="1">IFERROR(__xludf.DUMMYFUNCTION("""COMPUTED_VALUE"""),"العياط")</f>
        <v>العياط</v>
      </c>
      <c r="D3299" s="5" t="str">
        <f ca="1">IFERROR(__xludf.DUMMYFUNCTION("""COMPUTED_VALUE"""),"صيدلية")</f>
        <v>صيدلية</v>
      </c>
      <c r="E3299" s="5" t="str">
        <f ca="1">IFERROR(__xludf.DUMMYFUNCTION("""COMPUTED_VALUE"""),"صيدلية")</f>
        <v>صيدلية</v>
      </c>
      <c r="F3299" s="5" t="str">
        <f ca="1">IFERROR(__xludf.DUMMYFUNCTION("""COMPUTED_VALUE"""),"صيدلية (أدوية ومستلزمات طبية)")</f>
        <v>صيدلية (أدوية ومستلزمات طبية)</v>
      </c>
      <c r="G3299" s="5" t="str">
        <f ca="1">IFERROR(__xludf.DUMMYFUNCTION("""COMPUTED_VALUE"""),"ايمان و شيماء للخدمات الطبية (صيدليات ايماس)")</f>
        <v>ايمان و شيماء للخدمات الطبية (صيدليات ايماس)</v>
      </c>
      <c r="H3299" s="5" t="str">
        <f ca="1">IFERROR(__xludf.DUMMYFUNCTION("""COMPUTED_VALUE"""),"طريق مصر أسيوط الزراعي بجوار مونجيني - العياط - الجيزة")</f>
        <v>طريق مصر أسيوط الزراعي بجوار مونجيني - العياط - الجيزة</v>
      </c>
      <c r="I3299" s="6" t="str">
        <f ca="1">IFERROR(__xludf.DUMMYFUNCTION("""COMPUTED_VALUE"""),"01288032438")</f>
        <v>01288032438</v>
      </c>
      <c r="J3299" s="6"/>
      <c r="K3299" s="6" t="str">
        <f ca="1">IFERROR(__xludf.DUMMYFUNCTION("""COMPUTED_VALUE"""),"خصم 10% علي المستورد و 5% علي المحلي")</f>
        <v>خصم 10% علي المستورد و 5% علي المحلي</v>
      </c>
    </row>
    <row r="3300" spans="1:11" x14ac:dyDescent="0.25">
      <c r="A3300" s="4" t="str">
        <f ca="1">IFERROR(__xludf.DUMMYFUNCTION("""COMPUTED_VALUE"""),"107551")</f>
        <v>107551</v>
      </c>
      <c r="B3300" s="5" t="str">
        <f ca="1">IFERROR(__xludf.DUMMYFUNCTION("""COMPUTED_VALUE"""),"الدقهلية")</f>
        <v>الدقهلية</v>
      </c>
      <c r="C3300" s="5" t="str">
        <f ca="1">IFERROR(__xludf.DUMMYFUNCTION("""COMPUTED_VALUE"""),"السنبلاوين")</f>
        <v>السنبلاوين</v>
      </c>
      <c r="D3300" s="5" t="str">
        <f ca="1">IFERROR(__xludf.DUMMYFUNCTION("""COMPUTED_VALUE"""),"شركة")</f>
        <v>شركة</v>
      </c>
      <c r="E3300" s="5" t="str">
        <f ca="1">IFERROR(__xludf.DUMMYFUNCTION("""COMPUTED_VALUE"""),"شركة اجهزة طبية")</f>
        <v>شركة اجهزة طبية</v>
      </c>
      <c r="F3300" s="5" t="str">
        <f ca="1">IFERROR(__xludf.DUMMYFUNCTION("""COMPUTED_VALUE"""),"مركز بصريات")</f>
        <v>مركز بصريات</v>
      </c>
      <c r="G3300" s="5" t="str">
        <f ca="1">IFERROR(__xludf.DUMMYFUNCTION("""COMPUTED_VALUE"""),"فاتن محمد محجوب حسن (النور للبصريات)")</f>
        <v>فاتن محمد محجوب حسن (النور للبصريات)</v>
      </c>
      <c r="H3300" s="5" t="str">
        <f ca="1">IFERROR(__xludf.DUMMYFUNCTION("""COMPUTED_VALUE"""),"ش النقراشي ارض المحلج - السنبلاوين - الدقهلية")</f>
        <v>ش النقراشي ارض المحلج - السنبلاوين - الدقهلية</v>
      </c>
      <c r="I3300" s="6" t="str">
        <f ca="1">IFERROR(__xludf.DUMMYFUNCTION("""COMPUTED_VALUE"""),"01091739990")</f>
        <v>01091739990</v>
      </c>
      <c r="J3300" s="6"/>
      <c r="K3300" s="6" t="str">
        <f ca="1">IFERROR(__xludf.DUMMYFUNCTION("""COMPUTED_VALUE"""),"خصم 30% علي الاسعار النقدي المعلنة")</f>
        <v>خصم 30% علي الاسعار النقدي المعلنة</v>
      </c>
    </row>
    <row r="3301" spans="1:11" x14ac:dyDescent="0.25">
      <c r="A3301" s="4" t="str">
        <f ca="1">IFERROR(__xludf.DUMMYFUNCTION("""COMPUTED_VALUE"""),"107552")</f>
        <v>107552</v>
      </c>
      <c r="B3301" s="5" t="str">
        <f ca="1">IFERROR(__xludf.DUMMYFUNCTION("""COMPUTED_VALUE"""),"الشرقية")</f>
        <v>الشرقية</v>
      </c>
      <c r="C3301" s="5" t="str">
        <f ca="1">IFERROR(__xludf.DUMMYFUNCTION("""COMPUTED_VALUE"""),"العاشر من رمضان")</f>
        <v>العاشر من رمضان</v>
      </c>
      <c r="D3301" s="5" t="str">
        <f ca="1">IFERROR(__xludf.DUMMYFUNCTION("""COMPUTED_VALUE"""),"مجمع عيادات")</f>
        <v>مجمع عيادات</v>
      </c>
      <c r="E3301" s="5" t="str">
        <f ca="1">IFERROR(__xludf.DUMMYFUNCTION("""COMPUTED_VALUE"""),"جميع التخصصات")</f>
        <v>جميع التخصصات</v>
      </c>
      <c r="F3301" s="5" t="str">
        <f ca="1">IFERROR(__xludf.DUMMYFUNCTION("""COMPUTED_VALUE"""),"جميع التخصصات الطبية")</f>
        <v>جميع التخصصات الطبية</v>
      </c>
      <c r="G3301" s="5" t="str">
        <f ca="1">IFERROR(__xludf.DUMMYFUNCTION("""COMPUTED_VALUE"""),"تامرالسيد عطيه و شريكه (عيادات كنوز الهدي التخصصيه)")</f>
        <v>تامرالسيد عطيه و شريكه (عيادات كنوز الهدي التخصصيه)</v>
      </c>
      <c r="H3301" s="5" t="str">
        <f ca="1">IFERROR(__xludf.DUMMYFUNCTION("""COMPUTED_VALUE"""),"الدور الثالث يمين السلم - مول سينكو 2000 الاردنية - العاشر من رمضان - الشرقية")</f>
        <v>الدور الثالث يمين السلم - مول سينكو 2000 الاردنية - العاشر من رمضان - الشرقية</v>
      </c>
      <c r="I3301" s="6" t="str">
        <f ca="1">IFERROR(__xludf.DUMMYFUNCTION("""COMPUTED_VALUE"""),"01066088070")</f>
        <v>01066088070</v>
      </c>
      <c r="J3301" s="6"/>
      <c r="K3301" s="6" t="str">
        <f ca="1">IFERROR(__xludf.DUMMYFUNCTION("""COMPUTED_VALUE"""),"خصم 30% علي الاسعار النقدي المعلنة")</f>
        <v>خصم 30% علي الاسعار النقدي المعلنة</v>
      </c>
    </row>
    <row r="3302" spans="1:11" x14ac:dyDescent="0.25">
      <c r="A3302" s="4" t="str">
        <f ca="1">IFERROR(__xludf.DUMMYFUNCTION("""COMPUTED_VALUE"""),"107553")</f>
        <v>107553</v>
      </c>
      <c r="B3302" s="5" t="str">
        <f ca="1">IFERROR(__xludf.DUMMYFUNCTION("""COMPUTED_VALUE"""),"القاهرة")</f>
        <v>القاهرة</v>
      </c>
      <c r="C3302" s="5" t="str">
        <f ca="1">IFERROR(__xludf.DUMMYFUNCTION("""COMPUTED_VALUE"""),"مدينة السلام")</f>
        <v>مدينة السلام</v>
      </c>
      <c r="D3302" s="5" t="str">
        <f ca="1">IFERROR(__xludf.DUMMYFUNCTION("""COMPUTED_VALUE"""),"هيئة الأطباء")</f>
        <v>هيئة الأطباء</v>
      </c>
      <c r="E3302" s="5" t="str">
        <f ca="1">IFERROR(__xludf.DUMMYFUNCTION("""COMPUTED_VALUE"""),"اسنان")</f>
        <v>اسنان</v>
      </c>
      <c r="F3302" s="5" t="str">
        <f ca="1">IFERROR(__xludf.DUMMYFUNCTION("""COMPUTED_VALUE"""),"جراحة الفم والأسنان")</f>
        <v>جراحة الفم والأسنان</v>
      </c>
      <c r="G3302" s="5" t="str">
        <f ca="1">IFERROR(__xludf.DUMMYFUNCTION("""COMPUTED_VALUE"""),"محمد صلاح اسماعيل ابراهيم مامون (عيادة د. محمد صلاح مامون)")</f>
        <v>محمد صلاح اسماعيل ابراهيم مامون (عيادة د. محمد صلاح مامون)</v>
      </c>
      <c r="H3302" s="5" t="str">
        <f ca="1">IFERROR(__xludf.DUMMYFUNCTION("""COMPUTED_VALUE"""),"129 مدخل مساكن الدلتا - مدينة السلام - القاهرة")</f>
        <v>129 مدخل مساكن الدلتا - مدينة السلام - القاهرة</v>
      </c>
      <c r="I3302" s="6" t="str">
        <f ca="1">IFERROR(__xludf.DUMMYFUNCTION("""COMPUTED_VALUE"""),"01110380634")</f>
        <v>01110380634</v>
      </c>
      <c r="J3302" s="6"/>
      <c r="K3302" s="6" t="str">
        <f ca="1">IFERROR(__xludf.DUMMYFUNCTION("""COMPUTED_VALUE"""),"خصم 30% علي الاسعار النقدي المعلنة")</f>
        <v>خصم 30% علي الاسعار النقدي المعلنة</v>
      </c>
    </row>
    <row r="3303" spans="1:11" x14ac:dyDescent="0.25">
      <c r="A3303" s="4" t="str">
        <f ca="1">IFERROR(__xludf.DUMMYFUNCTION("""COMPUTED_VALUE"""),"107554")</f>
        <v>107554</v>
      </c>
      <c r="B3303" s="5" t="str">
        <f ca="1">IFERROR(__xludf.DUMMYFUNCTION("""COMPUTED_VALUE"""),"البحيرة")</f>
        <v>البحيرة</v>
      </c>
      <c r="C3303" s="5" t="str">
        <f ca="1">IFERROR(__xludf.DUMMYFUNCTION("""COMPUTED_VALUE"""),"ابو المطامير")</f>
        <v>ابو المطامير</v>
      </c>
      <c r="D3303" s="5" t="str">
        <f ca="1">IFERROR(__xludf.DUMMYFUNCTION("""COMPUTED_VALUE"""),"هيئة الأطباء")</f>
        <v>هيئة الأطباء</v>
      </c>
      <c r="E3303" s="5" t="str">
        <f ca="1">IFERROR(__xludf.DUMMYFUNCTION("""COMPUTED_VALUE"""),"اسنان")</f>
        <v>اسنان</v>
      </c>
      <c r="F3303" s="5" t="str">
        <f ca="1">IFERROR(__xludf.DUMMYFUNCTION("""COMPUTED_VALUE"""),"جراحة الفم والأسنان")</f>
        <v>جراحة الفم والأسنان</v>
      </c>
      <c r="G3303" s="5" t="str">
        <f ca="1">IFERROR(__xludf.DUMMYFUNCTION("""COMPUTED_VALUE"""),"بيتر اميل الفي بطرس (اميل دينتال كلينك)")</f>
        <v>بيتر اميل الفي بطرس (اميل دينتال كلينك)</v>
      </c>
      <c r="H3303" s="5" t="str">
        <f ca="1">IFERROR(__xludf.DUMMYFUNCTION("""COMPUTED_VALUE"""),"شارع الدستور - أبو المطامير - البحيرة")</f>
        <v>شارع الدستور - أبو المطامير - البحيرة</v>
      </c>
      <c r="I3303" s="6" t="str">
        <f ca="1">IFERROR(__xludf.DUMMYFUNCTION("""COMPUTED_VALUE"""),"01003506776")</f>
        <v>01003506776</v>
      </c>
      <c r="J3303" s="6"/>
      <c r="K3303" s="6" t="str">
        <f ca="1">IFERROR(__xludf.DUMMYFUNCTION("""COMPUTED_VALUE"""),"خصم 30% علي الاسعار النقدي المعلنة")</f>
        <v>خصم 30% علي الاسعار النقدي المعلنة</v>
      </c>
    </row>
    <row r="3304" spans="1:11" x14ac:dyDescent="0.25">
      <c r="A3304" s="4" t="str">
        <f ca="1">IFERROR(__xludf.DUMMYFUNCTION("""COMPUTED_VALUE"""),"107555")</f>
        <v>107555</v>
      </c>
      <c r="B3304" s="5" t="str">
        <f ca="1">IFERROR(__xludf.DUMMYFUNCTION("""COMPUTED_VALUE"""),"القاهرة")</f>
        <v>القاهرة</v>
      </c>
      <c r="C3304" s="5" t="str">
        <f ca="1">IFERROR(__xludf.DUMMYFUNCTION("""COMPUTED_VALUE"""),"القاهرة الجديدة")</f>
        <v>القاهرة الجديدة</v>
      </c>
      <c r="D3304" s="5" t="str">
        <f ca="1">IFERROR(__xludf.DUMMYFUNCTION("""COMPUTED_VALUE"""),"مستشفى")</f>
        <v>مستشفى</v>
      </c>
      <c r="E3304" s="5" t="str">
        <f ca="1">IFERROR(__xludf.DUMMYFUNCTION("""COMPUTED_VALUE"""),"جميع التخصصات")</f>
        <v>جميع التخصصات</v>
      </c>
      <c r="F3304" s="5" t="str">
        <f ca="1">IFERROR(__xludf.DUMMYFUNCTION("""COMPUTED_VALUE"""),"جميع التخصصات الطبية")</f>
        <v>جميع التخصصات الطبية</v>
      </c>
      <c r="G3304" s="5" t="str">
        <f ca="1">IFERROR(__xludf.DUMMYFUNCTION("""COMPUTED_VALUE"""),"مؤسسة أهل مصر للتنمية (مستشفي أهل مصر لعلاج الحروق)")</f>
        <v>مؤسسة أهل مصر للتنمية (مستشفي أهل مصر لعلاج الحروق)</v>
      </c>
      <c r="H3304" s="5" t="str">
        <f ca="1">IFERROR(__xludf.DUMMYFUNCTION("""COMPUTED_VALUE"""),"قطعه 11، 10 منطقة جنوب القرنفل - التجمع الاول - القاهرة الجديدة - القاهرة")</f>
        <v>قطعه 11، 10 منطقة جنوب القرنفل - التجمع الاول - القاهرة الجديدة - القاهرة</v>
      </c>
      <c r="I3304" s="6" t="str">
        <f ca="1">IFERROR(__xludf.DUMMYFUNCTION("""COMPUTED_VALUE"""),"01009772099")</f>
        <v>01009772099</v>
      </c>
      <c r="J3304" s="6" t="str">
        <f ca="1">IFERROR(__xludf.DUMMYFUNCTION("""COMPUTED_VALUE"""),"16863")</f>
        <v>16863</v>
      </c>
      <c r="K3304" s="6" t="str">
        <f ca="1">IFERROR(__xludf.DUMMYFUNCTION("""COMPUTED_VALUE"""),"خصم 45% علي الاشعه و التحليل بالقسم الداخلي و الخارجي، 40% علي الكشف و القسم الخارجي و الطوارئ، 35% علي القسم الداخلي، 40% علي الاقامة، 20% علي الاتعاب و خصم 30% علي العلاج الطبيعي و التأهيل")</f>
        <v>خصم 45% علي الاشعه و التحليل بالقسم الداخلي و الخارجي، 40% علي الكشف و القسم الخارجي و الطوارئ، 35% علي القسم الداخلي، 40% علي الاقامة، 20% علي الاتعاب و خصم 30% علي العلاج الطبيعي و التأهيل</v>
      </c>
    </row>
    <row r="3305" spans="1:11" x14ac:dyDescent="0.25">
      <c r="A3305" s="4" t="str">
        <f ca="1">IFERROR(__xludf.DUMMYFUNCTION("""COMPUTED_VALUE"""),"107556")</f>
        <v>107556</v>
      </c>
      <c r="B3305" s="5" t="str">
        <f ca="1">IFERROR(__xludf.DUMMYFUNCTION("""COMPUTED_VALUE"""),"الوادى الجديد")</f>
        <v>الوادى الجديد</v>
      </c>
      <c r="C3305" s="5" t="str">
        <f ca="1">IFERROR(__xludf.DUMMYFUNCTION("""COMPUTED_VALUE"""),"الداخلة")</f>
        <v>الداخلة</v>
      </c>
      <c r="D3305" s="5" t="str">
        <f ca="1">IFERROR(__xludf.DUMMYFUNCTION("""COMPUTED_VALUE"""),"صيدلية")</f>
        <v>صيدلية</v>
      </c>
      <c r="E3305" s="5" t="str">
        <f ca="1">IFERROR(__xludf.DUMMYFUNCTION("""COMPUTED_VALUE"""),"صيدلية")</f>
        <v>صيدلية</v>
      </c>
      <c r="F3305" s="5" t="str">
        <f ca="1">IFERROR(__xludf.DUMMYFUNCTION("""COMPUTED_VALUE"""),"صيدلية (أدوية ومستلزمات طبية)")</f>
        <v>صيدلية (أدوية ومستلزمات طبية)</v>
      </c>
      <c r="G3305" s="5" t="str">
        <f ca="1">IFERROR(__xludf.DUMMYFUNCTION("""COMPUTED_VALUE"""),"أحمد محمد عبدالرحمن خلف الله (صيدلية الحرمين)")</f>
        <v>أحمد محمد عبدالرحمن خلف الله (صيدلية الحرمين)</v>
      </c>
      <c r="H3305" s="5" t="str">
        <f ca="1">IFERROR(__xludf.DUMMYFUNCTION("""COMPUTED_VALUE"""),"موط امام مستشفي الداخلة العام - الداخلة - الوادي الجديد")</f>
        <v>موط امام مستشفي الداخلة العام - الداخلة - الوادي الجديد</v>
      </c>
      <c r="I3305" s="6" t="str">
        <f ca="1">IFERROR(__xludf.DUMMYFUNCTION("""COMPUTED_VALUE"""),"0927821810")</f>
        <v>0927821810</v>
      </c>
      <c r="J3305" s="6"/>
      <c r="K3305" s="6" t="str">
        <f ca="1">IFERROR(__xludf.DUMMYFUNCTION("""COMPUTED_VALUE"""),"خصم 16% علي المستورد و 8% علي المحلي")</f>
        <v>خصم 16% علي المستورد و 8% علي المحلي</v>
      </c>
    </row>
    <row r="3306" spans="1:11" x14ac:dyDescent="0.25">
      <c r="A3306" s="4" t="str">
        <f ca="1">IFERROR(__xludf.DUMMYFUNCTION("""COMPUTED_VALUE"""),"107558-B")</f>
        <v>107558-B</v>
      </c>
      <c r="B3306" s="5" t="str">
        <f ca="1">IFERROR(__xludf.DUMMYFUNCTION("""COMPUTED_VALUE"""),"دمياط")</f>
        <v>دمياط</v>
      </c>
      <c r="C3306" s="5" t="str">
        <f ca="1">IFERROR(__xludf.DUMMYFUNCTION("""COMPUTED_VALUE"""),"دمياط الجديدة")</f>
        <v>دمياط الجديدة</v>
      </c>
      <c r="D3306" s="5" t="str">
        <f ca="1">IFERROR(__xludf.DUMMYFUNCTION("""COMPUTED_VALUE"""),"هيئة الأطباء")</f>
        <v>هيئة الأطباء</v>
      </c>
      <c r="E3306" s="5" t="str">
        <f ca="1">IFERROR(__xludf.DUMMYFUNCTION("""COMPUTED_VALUE"""),"أنف وأذن وحنجرة")</f>
        <v>أنف وأذن وحنجرة</v>
      </c>
      <c r="F3306" s="5" t="str">
        <f ca="1">IFERROR(__xludf.DUMMYFUNCTION("""COMPUTED_VALUE"""),"أنف وأذن وحنجرة")</f>
        <v>أنف وأذن وحنجرة</v>
      </c>
      <c r="G3306" s="5" t="str">
        <f ca="1">IFERROR(__xludf.DUMMYFUNCTION("""COMPUTED_VALUE"""),"د. احمد شوقي عبدالحميد ابراهيم")</f>
        <v>د. احمد شوقي عبدالحميد ابراهيم</v>
      </c>
      <c r="H3306" s="5" t="str">
        <f ca="1">IFERROR(__xludf.DUMMYFUNCTION("""COMPUTED_VALUE"""),"منتصف ش الصعيدى القديم دمياط الجديدة - دمياط")</f>
        <v>منتصف ش الصعيدى القديم دمياط الجديدة - دمياط</v>
      </c>
      <c r="I3306" s="6" t="str">
        <f ca="1">IFERROR(__xludf.DUMMYFUNCTION("""COMPUTED_VALUE"""),"01098625753")</f>
        <v>01098625753</v>
      </c>
      <c r="J3306" s="6"/>
      <c r="K3306" s="6" t="str">
        <f ca="1">IFERROR(__xludf.DUMMYFUNCTION("""COMPUTED_VALUE"""),"خصم 30% علي الاسعار النقدي")</f>
        <v>خصم 30% علي الاسعار النقدي</v>
      </c>
    </row>
    <row r="3307" spans="1:11" x14ac:dyDescent="0.25">
      <c r="A3307" s="4" t="str">
        <f ca="1">IFERROR(__xludf.DUMMYFUNCTION("""COMPUTED_VALUE"""),"107558")</f>
        <v>107558</v>
      </c>
      <c r="B3307" s="5" t="str">
        <f ca="1">IFERROR(__xludf.DUMMYFUNCTION("""COMPUTED_VALUE"""),"دمياط")</f>
        <v>دمياط</v>
      </c>
      <c r="C3307" s="5" t="str">
        <f ca="1">IFERROR(__xludf.DUMMYFUNCTION("""COMPUTED_VALUE"""),"دمياط الجديدة")</f>
        <v>دمياط الجديدة</v>
      </c>
      <c r="D3307" s="5" t="str">
        <f ca="1">IFERROR(__xludf.DUMMYFUNCTION("""COMPUTED_VALUE"""),"هيئة الأطباء")</f>
        <v>هيئة الأطباء</v>
      </c>
      <c r="E3307" s="5" t="str">
        <f ca="1">IFERROR(__xludf.DUMMYFUNCTION("""COMPUTED_VALUE"""),"أنف وأذن وحنجرة")</f>
        <v>أنف وأذن وحنجرة</v>
      </c>
      <c r="F3307" s="5" t="str">
        <f ca="1">IFERROR(__xludf.DUMMYFUNCTION("""COMPUTED_VALUE"""),"أنف وأذن وحنجرة")</f>
        <v>أنف وأذن وحنجرة</v>
      </c>
      <c r="G3307" s="5" t="str">
        <f ca="1">IFERROR(__xludf.DUMMYFUNCTION("""COMPUTED_VALUE"""),"د. احمد شوقي عبدالحميد ابراهيم")</f>
        <v>د. احمد شوقي عبدالحميد ابراهيم</v>
      </c>
      <c r="H3307" s="5" t="str">
        <f ca="1">IFERROR(__xludf.DUMMYFUNCTION("""COMPUTED_VALUE"""),"بندر كفر سعد ش ناصر بملك اسامه عوف مركز كفر سعد - دمياط")</f>
        <v>بندر كفر سعد ش ناصر بملك اسامه عوف مركز كفر سعد - دمياط</v>
      </c>
      <c r="I3307" s="6" t="str">
        <f ca="1">IFERROR(__xludf.DUMMYFUNCTION("""COMPUTED_VALUE"""),"01098625753")</f>
        <v>01098625753</v>
      </c>
      <c r="J3307" s="6"/>
      <c r="K3307" s="6" t="str">
        <f ca="1">IFERROR(__xludf.DUMMYFUNCTION("""COMPUTED_VALUE"""),"خصم 30% علي الاسعار النقدي")</f>
        <v>خصم 30% علي الاسعار النقدي</v>
      </c>
    </row>
    <row r="3308" spans="1:11" x14ac:dyDescent="0.25">
      <c r="A3308" s="4" t="str">
        <f ca="1">IFERROR(__xludf.DUMMYFUNCTION("""COMPUTED_VALUE"""),"107558-B")</f>
        <v>107558-B</v>
      </c>
      <c r="B3308" s="5" t="str">
        <f ca="1">IFERROR(__xludf.DUMMYFUNCTION("""COMPUTED_VALUE"""),"دمياط")</f>
        <v>دمياط</v>
      </c>
      <c r="C3308" s="5" t="str">
        <f ca="1">IFERROR(__xludf.DUMMYFUNCTION("""COMPUTED_VALUE"""),"دمياط الجديدة")</f>
        <v>دمياط الجديدة</v>
      </c>
      <c r="D3308" s="5" t="str">
        <f ca="1">IFERROR(__xludf.DUMMYFUNCTION("""COMPUTED_VALUE"""),"هيئة الأطباء")</f>
        <v>هيئة الأطباء</v>
      </c>
      <c r="E3308" s="5" t="str">
        <f ca="1">IFERROR(__xludf.DUMMYFUNCTION("""COMPUTED_VALUE"""),"أنف وأذن وحنجرة")</f>
        <v>أنف وأذن وحنجرة</v>
      </c>
      <c r="F3308" s="5" t="str">
        <f ca="1">IFERROR(__xludf.DUMMYFUNCTION("""COMPUTED_VALUE"""),"أنف وأذن وحنجرة")</f>
        <v>أنف وأذن وحنجرة</v>
      </c>
      <c r="G3308" s="5" t="str">
        <f ca="1">IFERROR(__xludf.DUMMYFUNCTION("""COMPUTED_VALUE"""),"د. احمد شوقي عبدالحميد ابراهيم")</f>
        <v>د. احمد شوقي عبدالحميد ابراهيم</v>
      </c>
      <c r="H3308" s="5" t="str">
        <f ca="1">IFERROR(__xludf.DUMMYFUNCTION("""COMPUTED_VALUE"""),"اعلى محلات النجار للكهرباء الدور الاول علوى مركز فارسكور - دمياط")</f>
        <v>اعلى محلات النجار للكهرباء الدور الاول علوى مركز فارسكور - دمياط</v>
      </c>
      <c r="I3308" s="6" t="str">
        <f ca="1">IFERROR(__xludf.DUMMYFUNCTION("""COMPUTED_VALUE"""),"01098625753")</f>
        <v>01098625753</v>
      </c>
      <c r="J3308" s="6"/>
      <c r="K3308" s="6" t="str">
        <f ca="1">IFERROR(__xludf.DUMMYFUNCTION("""COMPUTED_VALUE"""),"خصم 30% علي الاسعار النقدي")</f>
        <v>خصم 30% علي الاسعار النقدي</v>
      </c>
    </row>
    <row r="3309" spans="1:11" x14ac:dyDescent="0.25">
      <c r="A3309" s="4" t="str">
        <f ca="1">IFERROR(__xludf.DUMMYFUNCTION("""COMPUTED_VALUE"""),"105129-B")</f>
        <v>105129-B</v>
      </c>
      <c r="B3309" s="5" t="str">
        <f ca="1">IFERROR(__xludf.DUMMYFUNCTION("""COMPUTED_VALUE"""),"الجيزة")</f>
        <v>الجيزة</v>
      </c>
      <c r="C3309" s="5" t="str">
        <f ca="1">IFERROR(__xludf.DUMMYFUNCTION("""COMPUTED_VALUE"""),"السادس من اكتوبر")</f>
        <v>السادس من اكتوبر</v>
      </c>
      <c r="D3309" s="5" t="str">
        <f ca="1">IFERROR(__xludf.DUMMYFUNCTION("""COMPUTED_VALUE"""),"مستشفى")</f>
        <v>مستشفى</v>
      </c>
      <c r="E3309" s="5" t="str">
        <f ca="1">IFERROR(__xludf.DUMMYFUNCTION("""COMPUTED_VALUE"""),"مستشفي طبي متخصص")</f>
        <v>مستشفي طبي متخصص</v>
      </c>
      <c r="F3309" s="5" t="str">
        <f ca="1">IFERROR(__xludf.DUMMYFUNCTION("""COMPUTED_VALUE"""),"مناظير الجهاز الهضمي")</f>
        <v>مناظير الجهاز الهضمي</v>
      </c>
      <c r="G3309" s="5" t="str">
        <f ca="1">IFERROR(__xludf.DUMMYFUNCTION("""COMPUTED_VALUE"""),"مصر سكوب لمناظير الجهاز الهضمي (القاهرة)")</f>
        <v>مصر سكوب لمناظير الجهاز الهضمي (القاهرة)</v>
      </c>
      <c r="H3309" s="5" t="str">
        <f ca="1">IFERROR(__xludf.DUMMYFUNCTION("""COMPUTED_VALUE"""),"425 المحور المركزي - اكتوبر - الجيزة")</f>
        <v>425 المحور المركزي - اكتوبر - الجيزة</v>
      </c>
      <c r="I3309" s="6" t="str">
        <f ca="1">IFERROR(__xludf.DUMMYFUNCTION("""COMPUTED_VALUE"""),"01022167784")</f>
        <v>01022167784</v>
      </c>
      <c r="J3309" s="6"/>
      <c r="K3309" s="6" t="str">
        <f ca="1">IFERROR(__xludf.DUMMYFUNCTION("""COMPUTED_VALUE"""),"40% على جميع الخدمات")</f>
        <v>40% على جميع الخدمات</v>
      </c>
    </row>
    <row r="3310" spans="1:11" x14ac:dyDescent="0.25">
      <c r="A3310" s="4" t="str">
        <f ca="1">IFERROR(__xludf.DUMMYFUNCTION("""COMPUTED_VALUE"""),"107559")</f>
        <v>107559</v>
      </c>
      <c r="B3310" s="5" t="str">
        <f ca="1">IFERROR(__xludf.DUMMYFUNCTION("""COMPUTED_VALUE"""),"الغربية")</f>
        <v>الغربية</v>
      </c>
      <c r="C3310" s="5" t="str">
        <f ca="1">IFERROR(__xludf.DUMMYFUNCTION("""COMPUTED_VALUE"""),"طنطا")</f>
        <v>طنطا</v>
      </c>
      <c r="D3310" s="5" t="str">
        <f ca="1">IFERROR(__xludf.DUMMYFUNCTION("""COMPUTED_VALUE"""),"مستشفى")</f>
        <v>مستشفى</v>
      </c>
      <c r="E3310" s="5" t="str">
        <f ca="1">IFERROR(__xludf.DUMMYFUNCTION("""COMPUTED_VALUE"""),"مستشفي طبي متخصص")</f>
        <v>مستشفي طبي متخصص</v>
      </c>
      <c r="F3310" s="5" t="str">
        <f ca="1">IFERROR(__xludf.DUMMYFUNCTION("""COMPUTED_VALUE"""),"رمد (جراحة عيون)")</f>
        <v>رمد (جراحة عيون)</v>
      </c>
      <c r="G3310" s="5" t="str">
        <f ca="1">IFERROR(__xludf.DUMMYFUNCTION("""COMPUTED_VALUE"""),"الامل لطب و جراحة العيون")</f>
        <v>الامل لطب و جراحة العيون</v>
      </c>
      <c r="H3310" s="5" t="str">
        <f ca="1">IFERROR(__xludf.DUMMYFUNCTION("""COMPUTED_VALUE"""),"برج الهدي شارع بطرس حوض المنداسي - طنطا - الغربية")</f>
        <v>برج الهدي شارع بطرس حوض المنداسي - طنطا - الغربية</v>
      </c>
      <c r="I3310" s="6" t="str">
        <f ca="1">IFERROR(__xludf.DUMMYFUNCTION("""COMPUTED_VALUE"""),"01221809182")</f>
        <v>01221809182</v>
      </c>
      <c r="J3310" s="6"/>
      <c r="K3310" s="6" t="str">
        <f ca="1">IFERROR(__xludf.DUMMYFUNCTION("""COMPUTED_VALUE"""),"خصم 30% علي الاسعار النقدي المعلنة")</f>
        <v>خصم 30% علي الاسعار النقدي المعلنة</v>
      </c>
    </row>
    <row r="3311" spans="1:11" x14ac:dyDescent="0.25">
      <c r="A3311" s="4" t="str">
        <f ca="1">IFERROR(__xludf.DUMMYFUNCTION("""COMPUTED_VALUE"""),"107560")</f>
        <v>107560</v>
      </c>
      <c r="B3311" s="5" t="str">
        <f ca="1">IFERROR(__xludf.DUMMYFUNCTION("""COMPUTED_VALUE"""),"الشرقية")</f>
        <v>الشرقية</v>
      </c>
      <c r="C3311" s="5" t="str">
        <f ca="1">IFERROR(__xludf.DUMMYFUNCTION("""COMPUTED_VALUE"""),"أبو كبير")</f>
        <v>أبو كبير</v>
      </c>
      <c r="D3311" s="5" t="str">
        <f ca="1">IFERROR(__xludf.DUMMYFUNCTION("""COMPUTED_VALUE"""),"صيدلية")</f>
        <v>صيدلية</v>
      </c>
      <c r="E3311" s="5" t="str">
        <f ca="1">IFERROR(__xludf.DUMMYFUNCTION("""COMPUTED_VALUE"""),"صيدلية")</f>
        <v>صيدلية</v>
      </c>
      <c r="F3311" s="5" t="str">
        <f ca="1">IFERROR(__xludf.DUMMYFUNCTION("""COMPUTED_VALUE"""),"صيدلية (أدوية ومستلزمات طبية)")</f>
        <v>صيدلية (أدوية ومستلزمات طبية)</v>
      </c>
      <c r="G3311" s="5" t="str">
        <f ca="1">IFERROR(__xludf.DUMMYFUNCTION("""COMPUTED_VALUE"""),"صيدلية د/ محمد علام مصطفي احمد")</f>
        <v>صيدلية د/ محمد علام مصطفي احمد</v>
      </c>
      <c r="H3311" s="5" t="str">
        <f ca="1">IFERROR(__xludf.DUMMYFUNCTION("""COMPUTED_VALUE"""),"ش الحرية طريق ابو حماد ابو كبير - الشرقية")</f>
        <v>ش الحرية طريق ابو حماد ابو كبير - الشرقية</v>
      </c>
      <c r="I3311" s="6" t="str">
        <f ca="1">IFERROR(__xludf.DUMMYFUNCTION("""COMPUTED_VALUE"""),"01066944944")</f>
        <v>01066944944</v>
      </c>
      <c r="J3311" s="6"/>
      <c r="K3311" s="6" t="str">
        <f ca="1">IFERROR(__xludf.DUMMYFUNCTION("""COMPUTED_VALUE"""),"خصم 12% علي المستورد و 6% علي المحلي")</f>
        <v>خصم 12% علي المستورد و 6% علي المحلي</v>
      </c>
    </row>
    <row r="3312" spans="1:11" x14ac:dyDescent="0.25">
      <c r="A3312" s="4" t="str">
        <f ca="1">IFERROR(__xludf.DUMMYFUNCTION("""COMPUTED_VALUE"""),"107560-B")</f>
        <v>107560-B</v>
      </c>
      <c r="B3312" s="5" t="str">
        <f ca="1">IFERROR(__xludf.DUMMYFUNCTION("""COMPUTED_VALUE"""),"الشرقية")</f>
        <v>الشرقية</v>
      </c>
      <c r="C3312" s="5" t="str">
        <f ca="1">IFERROR(__xludf.DUMMYFUNCTION("""COMPUTED_VALUE"""),"أبو كبير")</f>
        <v>أبو كبير</v>
      </c>
      <c r="D3312" s="5" t="str">
        <f ca="1">IFERROR(__xludf.DUMMYFUNCTION("""COMPUTED_VALUE"""),"صيدلية")</f>
        <v>صيدلية</v>
      </c>
      <c r="E3312" s="5" t="str">
        <f ca="1">IFERROR(__xludf.DUMMYFUNCTION("""COMPUTED_VALUE"""),"صيدلية")</f>
        <v>صيدلية</v>
      </c>
      <c r="F3312" s="5" t="str">
        <f ca="1">IFERROR(__xludf.DUMMYFUNCTION("""COMPUTED_VALUE"""),"صيدلية (أدوية ومستلزمات طبية)")</f>
        <v>صيدلية (أدوية ومستلزمات طبية)</v>
      </c>
      <c r="G3312" s="5" t="str">
        <f ca="1">IFERROR(__xludf.DUMMYFUNCTION("""COMPUTED_VALUE"""),"صيدلية د/ محمد علام مصطفي احمد")</f>
        <v>صيدلية د/ محمد علام مصطفي احمد</v>
      </c>
      <c r="H3312" s="5" t="str">
        <f ca="1">IFERROR(__xludf.DUMMYFUNCTION("""COMPUTED_VALUE"""),"شارع مصطفى كامل ابو كبير - الشرقية")</f>
        <v>شارع مصطفى كامل ابو كبير - الشرقية</v>
      </c>
      <c r="I3312" s="6" t="str">
        <f ca="1">IFERROR(__xludf.DUMMYFUNCTION("""COMPUTED_VALUE"""),"01066944944")</f>
        <v>01066944944</v>
      </c>
      <c r="J3312" s="6"/>
      <c r="K3312" s="6" t="str">
        <f ca="1">IFERROR(__xludf.DUMMYFUNCTION("""COMPUTED_VALUE"""),"خصم 12% علي المستورد و 6% علي المحلي")</f>
        <v>خصم 12% علي المستورد و 6% علي المحلي</v>
      </c>
    </row>
    <row r="3313" spans="1:11" x14ac:dyDescent="0.25">
      <c r="A3313" s="4" t="str">
        <f ca="1">IFERROR(__xludf.DUMMYFUNCTION("""COMPUTED_VALUE"""),"107561")</f>
        <v>107561</v>
      </c>
      <c r="B3313" s="5" t="str">
        <f ca="1">IFERROR(__xludf.DUMMYFUNCTION("""COMPUTED_VALUE"""),"البحيرة")</f>
        <v>البحيرة</v>
      </c>
      <c r="C3313" s="5" t="str">
        <f ca="1">IFERROR(__xludf.DUMMYFUNCTION("""COMPUTED_VALUE"""),"أبو حمص")</f>
        <v>أبو حمص</v>
      </c>
      <c r="D3313" s="5" t="str">
        <f ca="1">IFERROR(__xludf.DUMMYFUNCTION("""COMPUTED_VALUE"""),"هيئة الأطباء")</f>
        <v>هيئة الأطباء</v>
      </c>
      <c r="E3313" s="5" t="str">
        <f ca="1">IFERROR(__xludf.DUMMYFUNCTION("""COMPUTED_VALUE"""),"باطنة")</f>
        <v>باطنة</v>
      </c>
      <c r="F3313" s="5" t="str">
        <f ca="1">IFERROR(__xludf.DUMMYFUNCTION("""COMPUTED_VALUE"""),"صدرية")</f>
        <v>صدرية</v>
      </c>
      <c r="G3313" s="5" t="str">
        <f ca="1">IFERROR(__xludf.DUMMYFUNCTION("""COMPUTED_VALUE"""),"د. رجب سعد عبدالله مبروك")</f>
        <v>د. رجب سعد عبدالله مبروك</v>
      </c>
      <c r="H3313" s="5" t="str">
        <f ca="1">IFERROR(__xludf.DUMMYFUNCTION("""COMPUTED_VALUE"""),"شارع محمد عامر جاب الله امام مجلس المدينة - أبو حمص")</f>
        <v>شارع محمد عامر جاب الله امام مجلس المدينة - أبو حمص</v>
      </c>
      <c r="I3313" s="6" t="str">
        <f ca="1">IFERROR(__xludf.DUMMYFUNCTION("""COMPUTED_VALUE"""),"01007302235")</f>
        <v>01007302235</v>
      </c>
      <c r="J3313" s="6"/>
      <c r="K3313" s="6" t="str">
        <f ca="1">IFERROR(__xludf.DUMMYFUNCTION("""COMPUTED_VALUE"""),"خصم 30% علي الاسعار النقدي")</f>
        <v>خصم 30% علي الاسعار النقدي</v>
      </c>
    </row>
    <row r="3314" spans="1:11" x14ac:dyDescent="0.25">
      <c r="A3314" s="4" t="str">
        <f ca="1">IFERROR(__xludf.DUMMYFUNCTION("""COMPUTED_VALUE"""),"107563")</f>
        <v>107563</v>
      </c>
      <c r="B3314" s="5" t="str">
        <f ca="1">IFERROR(__xludf.DUMMYFUNCTION("""COMPUTED_VALUE"""),"كفر الشيخ")</f>
        <v>كفر الشيخ</v>
      </c>
      <c r="C3314" s="5" t="str">
        <f ca="1">IFERROR(__xludf.DUMMYFUNCTION("""COMPUTED_VALUE"""),"كفر الشيخ")</f>
        <v>كفر الشيخ</v>
      </c>
      <c r="D3314" s="5" t="str">
        <f ca="1">IFERROR(__xludf.DUMMYFUNCTION("""COMPUTED_VALUE"""),"هيئة الأطباء")</f>
        <v>هيئة الأطباء</v>
      </c>
      <c r="E3314" s="5" t="str">
        <f ca="1">IFERROR(__xludf.DUMMYFUNCTION("""COMPUTED_VALUE"""),"اسنان")</f>
        <v>اسنان</v>
      </c>
      <c r="F3314" s="5" t="str">
        <f ca="1">IFERROR(__xludf.DUMMYFUNCTION("""COMPUTED_VALUE"""),"جراحة الفم والأسنان")</f>
        <v>جراحة الفم والأسنان</v>
      </c>
      <c r="G3314" s="5" t="str">
        <f ca="1">IFERROR(__xludf.DUMMYFUNCTION("""COMPUTED_VALUE"""),"د. الحسيني عبدربه ابراهيم يوسف")</f>
        <v>د. الحسيني عبدربه ابراهيم يوسف</v>
      </c>
      <c r="H3314" s="5" t="str">
        <f ca="1">IFERROR(__xludf.DUMMYFUNCTION("""COMPUTED_VALUE"""),"شارع صلاح سالم - ابراج فينيسيا 2 - كفرالشيخ")</f>
        <v>شارع صلاح سالم - ابراج فينيسيا 2 - كفرالشيخ</v>
      </c>
      <c r="I3314" s="6" t="str">
        <f ca="1">IFERROR(__xludf.DUMMYFUNCTION("""COMPUTED_VALUE"""),"0473144527")</f>
        <v>0473144527</v>
      </c>
      <c r="J3314" s="6"/>
      <c r="K3314" s="6" t="str">
        <f ca="1">IFERROR(__xludf.DUMMYFUNCTION("""COMPUTED_VALUE"""),"خصم 30% علي الاسعار النقدي")</f>
        <v>خصم 30% علي الاسعار النقدي</v>
      </c>
    </row>
    <row r="3315" spans="1:11" x14ac:dyDescent="0.25">
      <c r="A3315" s="4" t="str">
        <f ca="1">IFERROR(__xludf.DUMMYFUNCTION("""COMPUTED_VALUE"""),"104296-B")</f>
        <v>104296-B</v>
      </c>
      <c r="B3315" s="5" t="str">
        <f ca="1">IFERROR(__xludf.DUMMYFUNCTION("""COMPUTED_VALUE"""),"القاهرة")</f>
        <v>القاهرة</v>
      </c>
      <c r="C3315" s="5" t="str">
        <f ca="1">IFERROR(__xludf.DUMMYFUNCTION("""COMPUTED_VALUE"""),"مدينة بدر")</f>
        <v>مدينة بدر</v>
      </c>
      <c r="D3315" s="5" t="str">
        <f ca="1">IFERROR(__xludf.DUMMYFUNCTION("""COMPUTED_VALUE"""),"مركز علاج طبيعي")</f>
        <v>مركز علاج طبيعي</v>
      </c>
      <c r="E3315" s="5" t="str">
        <f ca="1">IFERROR(__xludf.DUMMYFUNCTION("""COMPUTED_VALUE"""),"علاج طبيعي")</f>
        <v>علاج طبيعي</v>
      </c>
      <c r="F3315" s="5" t="str">
        <f ca="1">IFERROR(__xludf.DUMMYFUNCTION("""COMPUTED_VALUE"""),"جلسات العلاج الطبيعي")</f>
        <v>جلسات العلاج الطبيعي</v>
      </c>
      <c r="G3315" s="5" t="str">
        <f ca="1">IFERROR(__xludf.DUMMYFUNCTION("""COMPUTED_VALUE"""),"مركز ألفا كير للعلاج الطبيعي (د.كريم عبدالقوى عبدالله)")</f>
        <v>مركز ألفا كير للعلاج الطبيعي (د.كريم عبدالقوى عبدالله)</v>
      </c>
      <c r="H3315" s="5" t="str">
        <f ca="1">IFERROR(__xludf.DUMMYFUNCTION("""COMPUTED_VALUE"""),"ميديكال بوينت. بالحي المتميز شمالاً. جنوب دار مصر. مدينة بدر")</f>
        <v>ميديكال بوينت. بالحي المتميز شمالاً. جنوب دار مصر. مدينة بدر</v>
      </c>
      <c r="I3315" s="6"/>
      <c r="J3315" s="6" t="str">
        <f ca="1">IFERROR(__xludf.DUMMYFUNCTION("""COMPUTED_VALUE"""),"15662")</f>
        <v>15662</v>
      </c>
      <c r="K3315" s="6" t="str">
        <f ca="1">IFERROR(__xludf.DUMMYFUNCTION("""COMPUTED_VALUE"""),"30% على جميع الخدمات")</f>
        <v>30% على جميع الخدمات</v>
      </c>
    </row>
    <row r="3316" spans="1:11" x14ac:dyDescent="0.25">
      <c r="A3316" s="4" t="str">
        <f ca="1">IFERROR(__xludf.DUMMYFUNCTION("""COMPUTED_VALUE"""),"107564")</f>
        <v>107564</v>
      </c>
      <c r="B3316" s="5" t="str">
        <f ca="1">IFERROR(__xludf.DUMMYFUNCTION("""COMPUTED_VALUE"""),"الجيزة")</f>
        <v>الجيزة</v>
      </c>
      <c r="C3316" s="5" t="str">
        <f ca="1">IFERROR(__xludf.DUMMYFUNCTION("""COMPUTED_VALUE"""),"الصف")</f>
        <v>الصف</v>
      </c>
      <c r="D3316" s="5" t="str">
        <f ca="1">IFERROR(__xludf.DUMMYFUNCTION("""COMPUTED_VALUE"""),"صيدلية")</f>
        <v>صيدلية</v>
      </c>
      <c r="E3316" s="5" t="str">
        <f ca="1">IFERROR(__xludf.DUMMYFUNCTION("""COMPUTED_VALUE"""),"صيدلية")</f>
        <v>صيدلية</v>
      </c>
      <c r="F3316" s="5" t="str">
        <f ca="1">IFERROR(__xludf.DUMMYFUNCTION("""COMPUTED_VALUE"""),"صيدلية (أدوية ومستلزمات طبية)")</f>
        <v>صيدلية (أدوية ومستلزمات طبية)</v>
      </c>
      <c r="G3316" s="5" t="str">
        <f ca="1">IFERROR(__xludf.DUMMYFUNCTION("""COMPUTED_VALUE"""),"صيدلية د. احمد يحيي محمد سليمان")</f>
        <v>صيدلية د. احمد يحيي محمد سليمان</v>
      </c>
      <c r="H3316" s="5" t="str">
        <f ca="1">IFERROR(__xludf.DUMMYFUNCTION("""COMPUTED_VALUE"""),"بجوار مكتب البريد قرية الشرفا - الصف - الجيزة")</f>
        <v>بجوار مكتب البريد قرية الشرفا - الصف - الجيزة</v>
      </c>
      <c r="I3316" s="6" t="str">
        <f ca="1">IFERROR(__xludf.DUMMYFUNCTION("""COMPUTED_VALUE"""),"01147580956")</f>
        <v>01147580956</v>
      </c>
      <c r="J3316" s="6"/>
      <c r="K3316" s="6" t="str">
        <f ca="1">IFERROR(__xludf.DUMMYFUNCTION("""COMPUTED_VALUE"""),"خصم 16% علي المستورد و 8% علي المحلي")</f>
        <v>خصم 16% علي المستورد و 8% علي المحلي</v>
      </c>
    </row>
    <row r="3317" spans="1:11" x14ac:dyDescent="0.25">
      <c r="A3317" s="4" t="str">
        <f ca="1">IFERROR(__xludf.DUMMYFUNCTION("""COMPUTED_VALUE"""),"107565")</f>
        <v>107565</v>
      </c>
      <c r="B3317" s="5" t="str">
        <f ca="1">IFERROR(__xludf.DUMMYFUNCTION("""COMPUTED_VALUE"""),"أسيوط")</f>
        <v>أسيوط</v>
      </c>
      <c r="C3317" s="5" t="str">
        <f ca="1">IFERROR(__xludf.DUMMYFUNCTION("""COMPUTED_VALUE"""),"ابنوب")</f>
        <v>ابنوب</v>
      </c>
      <c r="D3317" s="5" t="str">
        <f ca="1">IFERROR(__xludf.DUMMYFUNCTION("""COMPUTED_VALUE"""),"صيدلية")</f>
        <v>صيدلية</v>
      </c>
      <c r="E3317" s="5" t="str">
        <f ca="1">IFERROR(__xludf.DUMMYFUNCTION("""COMPUTED_VALUE"""),"صيدلية")</f>
        <v>صيدلية</v>
      </c>
      <c r="F3317" s="5" t="str">
        <f ca="1">IFERROR(__xludf.DUMMYFUNCTION("""COMPUTED_VALUE"""),"صيدلية (أدوية ومستلزمات طبية)")</f>
        <v>صيدلية (أدوية ومستلزمات طبية)</v>
      </c>
      <c r="G3317" s="5" t="str">
        <f ca="1">IFERROR(__xludf.DUMMYFUNCTION("""COMPUTED_VALUE"""),"صيدلية د. مريم عاطف زهجر جرجس")</f>
        <v>صيدلية د. مريم عاطف زهجر جرجس</v>
      </c>
      <c r="H3317" s="5" t="str">
        <f ca="1">IFERROR(__xludf.DUMMYFUNCTION("""COMPUTED_VALUE"""),"المعابدة الغربية شقلقيل - ابنوب - أسيوط")</f>
        <v>المعابدة الغربية شقلقيل - ابنوب - أسيوط</v>
      </c>
      <c r="I3317" s="6" t="str">
        <f ca="1">IFERROR(__xludf.DUMMYFUNCTION("""COMPUTED_VALUE"""),"01113501138")</f>
        <v>01113501138</v>
      </c>
      <c r="J3317" s="6"/>
      <c r="K3317" s="6" t="str">
        <f ca="1">IFERROR(__xludf.DUMMYFUNCTION("""COMPUTED_VALUE"""),"خصم 14% علي المستورد و 7% علي المحلي")</f>
        <v>خصم 14% علي المستورد و 7% علي المحلي</v>
      </c>
    </row>
    <row r="3318" spans="1:11" x14ac:dyDescent="0.25">
      <c r="A3318" s="4" t="str">
        <f ca="1">IFERROR(__xludf.DUMMYFUNCTION("""COMPUTED_VALUE"""),"107565-B")</f>
        <v>107565-B</v>
      </c>
      <c r="B3318" s="5" t="str">
        <f ca="1">IFERROR(__xludf.DUMMYFUNCTION("""COMPUTED_VALUE"""),"أسيوط")</f>
        <v>أسيوط</v>
      </c>
      <c r="C3318" s="5" t="str">
        <f ca="1">IFERROR(__xludf.DUMMYFUNCTION("""COMPUTED_VALUE"""),"أسيوط")</f>
        <v>أسيوط</v>
      </c>
      <c r="D3318" s="5" t="str">
        <f ca="1">IFERROR(__xludf.DUMMYFUNCTION("""COMPUTED_VALUE"""),"صيدلية")</f>
        <v>صيدلية</v>
      </c>
      <c r="E3318" s="5" t="str">
        <f ca="1">IFERROR(__xludf.DUMMYFUNCTION("""COMPUTED_VALUE"""),"صيدلية")</f>
        <v>صيدلية</v>
      </c>
      <c r="F3318" s="5" t="str">
        <f ca="1">IFERROR(__xludf.DUMMYFUNCTION("""COMPUTED_VALUE"""),"صيدلية (أدوية ومستلزمات طبية)")</f>
        <v>صيدلية (أدوية ومستلزمات طبية)</v>
      </c>
      <c r="G3318" s="5" t="str">
        <f ca="1">IFERROR(__xludf.DUMMYFUNCTION("""COMPUTED_VALUE"""),"صيدلية د. مريم عاطف زهجر جرجس")</f>
        <v>صيدلية د. مريم عاطف زهجر جرجس</v>
      </c>
      <c r="H3318" s="5" t="str">
        <f ca="1">IFERROR(__xludf.DUMMYFUNCTION("""COMPUTED_VALUE"""),"شارع الجناين - الوسطي - أسيوط")</f>
        <v>شارع الجناين - الوسطي - أسيوط</v>
      </c>
      <c r="I3318" s="6" t="str">
        <f ca="1">IFERROR(__xludf.DUMMYFUNCTION("""COMPUTED_VALUE"""),"01113501138")</f>
        <v>01113501138</v>
      </c>
      <c r="J3318" s="6"/>
      <c r="K3318" s="6" t="str">
        <f ca="1">IFERROR(__xludf.DUMMYFUNCTION("""COMPUTED_VALUE"""),"خصم 14% علي المستورد و 7% علي المحلي")</f>
        <v>خصم 14% علي المستورد و 7% علي المحلي</v>
      </c>
    </row>
    <row r="3319" spans="1:11" x14ac:dyDescent="0.25">
      <c r="A3319" s="4" t="str">
        <f ca="1">IFERROR(__xludf.DUMMYFUNCTION("""COMPUTED_VALUE"""),"107566")</f>
        <v>107566</v>
      </c>
      <c r="B3319" s="5" t="str">
        <f ca="1">IFERROR(__xludf.DUMMYFUNCTION("""COMPUTED_VALUE"""),"الشرقية")</f>
        <v>الشرقية</v>
      </c>
      <c r="C3319" s="5" t="str">
        <f ca="1">IFERROR(__xludf.DUMMYFUNCTION("""COMPUTED_VALUE"""),"العاشر من رمضان")</f>
        <v>العاشر من رمضان</v>
      </c>
      <c r="D3319" s="5" t="str">
        <f ca="1">IFERROR(__xludf.DUMMYFUNCTION("""COMPUTED_VALUE"""),"مستشفى")</f>
        <v>مستشفى</v>
      </c>
      <c r="E3319" s="5" t="str">
        <f ca="1">IFERROR(__xludf.DUMMYFUNCTION("""COMPUTED_VALUE"""),"مستشفي طبي متخصص")</f>
        <v>مستشفي طبي متخصص</v>
      </c>
      <c r="F3319" s="5" t="str">
        <f ca="1">IFERROR(__xludf.DUMMYFUNCTION("""COMPUTED_VALUE"""),"قلب واوعية دموية")</f>
        <v>قلب واوعية دموية</v>
      </c>
      <c r="G3319" s="5" t="str">
        <f ca="1">IFERROR(__xludf.DUMMYFUNCTION("""COMPUTED_VALUE"""),"جرين هارت لصحة و ابحاث القلب")</f>
        <v>جرين هارت لصحة و ابحاث القلب</v>
      </c>
      <c r="H3319" s="5" t="str">
        <f ca="1">IFERROR(__xludf.DUMMYFUNCTION("""COMPUTED_VALUE"""),"قطعه 10 الغابه الاولي الحزام الاخضر - العاشر من رمضان - الشرقية")</f>
        <v>قطعه 10 الغابه الاولي الحزام الاخضر - العاشر من رمضان - الشرقية</v>
      </c>
      <c r="I3319" s="6" t="str">
        <f ca="1">IFERROR(__xludf.DUMMYFUNCTION("""COMPUTED_VALUE"""),"01022555446")</f>
        <v>01022555446</v>
      </c>
      <c r="J3319" s="6"/>
      <c r="K3319" s="6" t="str">
        <f ca="1">IFERROR(__xludf.DUMMYFUNCTION("""COMPUTED_VALUE"""),"خصم 30% علي الاسعار النقدي")</f>
        <v>خصم 30% علي الاسعار النقدي</v>
      </c>
    </row>
    <row r="3320" spans="1:11" x14ac:dyDescent="0.25">
      <c r="A3320" s="4" t="str">
        <f ca="1">IFERROR(__xludf.DUMMYFUNCTION("""COMPUTED_VALUE"""),"107567")</f>
        <v>107567</v>
      </c>
      <c r="B3320" s="5" t="str">
        <f ca="1">IFERROR(__xludf.DUMMYFUNCTION("""COMPUTED_VALUE"""),"القاهرة")</f>
        <v>القاهرة</v>
      </c>
      <c r="C3320" s="5" t="str">
        <f ca="1">IFERROR(__xludf.DUMMYFUNCTION("""COMPUTED_VALUE"""),"حدائق القبة")</f>
        <v>حدائق القبة</v>
      </c>
      <c r="D3320" s="5" t="str">
        <f ca="1">IFERROR(__xludf.DUMMYFUNCTION("""COMPUTED_VALUE"""),"مستشفى")</f>
        <v>مستشفى</v>
      </c>
      <c r="E3320" s="5" t="str">
        <f ca="1">IFERROR(__xludf.DUMMYFUNCTION("""COMPUTED_VALUE"""),"جميع التخصصات")</f>
        <v>جميع التخصصات</v>
      </c>
      <c r="F3320" s="5" t="str">
        <f ca="1">IFERROR(__xludf.DUMMYFUNCTION("""COMPUTED_VALUE"""),"جميع التخصصات الطبية")</f>
        <v>جميع التخصصات الطبية</v>
      </c>
      <c r="G3320" s="5" t="str">
        <f ca="1">IFERROR(__xludf.DUMMYFUNCTION("""COMPUTED_VALUE"""),"شركة مجموعه السويدي الطبية لانشاء و تشغيل المستشفيات (مستشفي الفؤاد)")</f>
        <v>شركة مجموعه السويدي الطبية لانشاء و تشغيل المستشفيات (مستشفي الفؤاد)</v>
      </c>
      <c r="H3320" s="5" t="str">
        <f ca="1">IFERROR(__xludf.DUMMYFUNCTION("""COMPUTED_VALUE"""),"66 شارع مصر و السودان - حدائق القبة - القاهرة")</f>
        <v>66 شارع مصر و السودان - حدائق القبة - القاهرة</v>
      </c>
      <c r="I3320" s="6" t="str">
        <f ca="1">IFERROR(__xludf.DUMMYFUNCTION("""COMPUTED_VALUE"""),"01066310003")</f>
        <v>01066310003</v>
      </c>
      <c r="J3320" s="6"/>
      <c r="K3320" s="6" t="str">
        <f ca="1">IFERROR(__xludf.DUMMYFUNCTION("""COMPUTED_VALUE"""),"خصم 30% علي الاسعار النقدي")</f>
        <v>خصم 30% علي الاسعار النقدي</v>
      </c>
    </row>
    <row r="3321" spans="1:11" x14ac:dyDescent="0.25">
      <c r="A3321" s="4" t="str">
        <f ca="1">IFERROR(__xludf.DUMMYFUNCTION("""COMPUTED_VALUE"""),"107568")</f>
        <v>107568</v>
      </c>
      <c r="B3321" s="5" t="str">
        <f ca="1">IFERROR(__xludf.DUMMYFUNCTION("""COMPUTED_VALUE"""),"الشرقية")</f>
        <v>الشرقية</v>
      </c>
      <c r="C3321" s="5" t="str">
        <f ca="1">IFERROR(__xludf.DUMMYFUNCTION("""COMPUTED_VALUE"""),"العاشر من رمضان")</f>
        <v>العاشر من رمضان</v>
      </c>
      <c r="D3321" s="5" t="str">
        <f ca="1">IFERROR(__xludf.DUMMYFUNCTION("""COMPUTED_VALUE"""),"مستشفى")</f>
        <v>مستشفى</v>
      </c>
      <c r="E3321" s="5" t="str">
        <f ca="1">IFERROR(__xludf.DUMMYFUNCTION("""COMPUTED_VALUE"""),"جميع التخصصات")</f>
        <v>جميع التخصصات</v>
      </c>
      <c r="F3321" s="5" t="str">
        <f ca="1">IFERROR(__xludf.DUMMYFUNCTION("""COMPUTED_VALUE"""),"جميع التخصصات الطبية")</f>
        <v>جميع التخصصات الطبية</v>
      </c>
      <c r="G3321" s="5" t="str">
        <f ca="1">IFERROR(__xludf.DUMMYFUNCTION("""COMPUTED_VALUE"""),"شركة مجموعه السويدي الطبية لانشاء و تشغيل المستشفيات (مستشفي شرف التخصصي)")</f>
        <v>شركة مجموعه السويدي الطبية لانشاء و تشغيل المستشفيات (مستشفي شرف التخصصي)</v>
      </c>
      <c r="H3321" s="5" t="str">
        <f ca="1">IFERROR(__xludf.DUMMYFUNCTION("""COMPUTED_VALUE"""),"أرض المستشفيات بين الحي الاول و التاني - العاشر من رمضان - الشرقية")</f>
        <v>أرض المستشفيات بين الحي الاول و التاني - العاشر من رمضان - الشرقية</v>
      </c>
      <c r="I3321" s="6" t="str">
        <f ca="1">IFERROR(__xludf.DUMMYFUNCTION("""COMPUTED_VALUE"""),"01006022332")</f>
        <v>01006022332</v>
      </c>
      <c r="J3321" s="6"/>
      <c r="K3321" s="6" t="str">
        <f ca="1">IFERROR(__xludf.DUMMYFUNCTION("""COMPUTED_VALUE"""),"خصم 30% علي الاسعار النقدي")</f>
        <v>خصم 30% علي الاسعار النقدي</v>
      </c>
    </row>
    <row r="3322" spans="1:11" x14ac:dyDescent="0.25">
      <c r="A3322" s="4" t="str">
        <f ca="1">IFERROR(__xludf.DUMMYFUNCTION("""COMPUTED_VALUE"""),"107569")</f>
        <v>107569</v>
      </c>
      <c r="B3322" s="5" t="str">
        <f ca="1">IFERROR(__xludf.DUMMYFUNCTION("""COMPUTED_VALUE"""),"كفر الشيخ")</f>
        <v>كفر الشيخ</v>
      </c>
      <c r="C3322" s="5" t="str">
        <f ca="1">IFERROR(__xludf.DUMMYFUNCTION("""COMPUTED_VALUE"""),"بيلا")</f>
        <v>بيلا</v>
      </c>
      <c r="D3322" s="5" t="str">
        <f ca="1">IFERROR(__xludf.DUMMYFUNCTION("""COMPUTED_VALUE"""),"صيدلية")</f>
        <v>صيدلية</v>
      </c>
      <c r="E3322" s="5" t="str">
        <f ca="1">IFERROR(__xludf.DUMMYFUNCTION("""COMPUTED_VALUE"""),"صيدلية")</f>
        <v>صيدلية</v>
      </c>
      <c r="F3322" s="5" t="str">
        <f ca="1">IFERROR(__xludf.DUMMYFUNCTION("""COMPUTED_VALUE"""),"صيدلية (أدوية ومستلزمات طبية)")</f>
        <v>صيدلية (أدوية ومستلزمات طبية)</v>
      </c>
      <c r="G3322" s="5" t="str">
        <f ca="1">IFERROR(__xludf.DUMMYFUNCTION("""COMPUTED_VALUE"""),"احمد سامي يوسف السيد العطافي (صيدلية د. احمد سامي العطافي)")</f>
        <v>احمد سامي يوسف السيد العطافي (صيدلية د. احمد سامي العطافي)</v>
      </c>
      <c r="H3322" s="5" t="str">
        <f ca="1">IFERROR(__xludf.DUMMYFUNCTION("""COMPUTED_VALUE"""),"شارع شجرة الدر - بيلا - كفرالشيخ")</f>
        <v>شارع شجرة الدر - بيلا - كفرالشيخ</v>
      </c>
      <c r="I3322" s="6" t="str">
        <f ca="1">IFERROR(__xludf.DUMMYFUNCTION("""COMPUTED_VALUE"""),"0473609955")</f>
        <v>0473609955</v>
      </c>
      <c r="J3322" s="6"/>
      <c r="K3322" s="6" t="str">
        <f ca="1">IFERROR(__xludf.DUMMYFUNCTION("""COMPUTED_VALUE"""),"خصم 14% علي المستورد و 7% علي المحلي")</f>
        <v>خصم 14% علي المستورد و 7% علي المحلي</v>
      </c>
    </row>
    <row r="3323" spans="1:11" x14ac:dyDescent="0.25">
      <c r="A3323" s="4" t="str">
        <f ca="1">IFERROR(__xludf.DUMMYFUNCTION("""COMPUTED_VALUE"""),"107572")</f>
        <v>107572</v>
      </c>
      <c r="B3323" s="5" t="str">
        <f ca="1">IFERROR(__xludf.DUMMYFUNCTION("""COMPUTED_VALUE"""),"القاهرة")</f>
        <v>القاهرة</v>
      </c>
      <c r="C3323" s="5" t="str">
        <f ca="1">IFERROR(__xludf.DUMMYFUNCTION("""COMPUTED_VALUE"""),"مدينة نصر")</f>
        <v>مدينة نصر</v>
      </c>
      <c r="D3323" s="5" t="str">
        <f ca="1">IFERROR(__xludf.DUMMYFUNCTION("""COMPUTED_VALUE"""),"مجمع عيادات")</f>
        <v>مجمع عيادات</v>
      </c>
      <c r="E3323" s="5" t="str">
        <f ca="1">IFERROR(__xludf.DUMMYFUNCTION("""COMPUTED_VALUE"""),"جميع التخصصات")</f>
        <v>جميع التخصصات</v>
      </c>
      <c r="F3323" s="5" t="str">
        <f ca="1">IFERROR(__xludf.DUMMYFUNCTION("""COMPUTED_VALUE"""),"جميع التخصصات الطبية")</f>
        <v>جميع التخصصات الطبية</v>
      </c>
      <c r="G3323" s="5" t="str">
        <f ca="1">IFERROR(__xludf.DUMMYFUNCTION("""COMPUTED_VALUE"""),"ارثوبيديا تك (عيادات اورثوبيديا التخصصية)")</f>
        <v>ارثوبيديا تك (عيادات اورثوبيديا التخصصية)</v>
      </c>
      <c r="H3323" s="5" t="str">
        <f ca="1">IFERROR(__xludf.DUMMYFUNCTION("""COMPUTED_VALUE"""),"1 ش ابن قتيبه - الحي السبع - مدينة نصر - القاهرة")</f>
        <v>1 ش ابن قتيبه - الحي السبع - مدينة نصر - القاهرة</v>
      </c>
      <c r="I3323" s="6" t="str">
        <f ca="1">IFERROR(__xludf.DUMMYFUNCTION("""COMPUTED_VALUE"""),"01275360503")</f>
        <v>01275360503</v>
      </c>
      <c r="J3323" s="6"/>
      <c r="K3323" s="6" t="str">
        <f ca="1">IFERROR(__xludf.DUMMYFUNCTION("""COMPUTED_VALUE"""),"خصم 30% علي الاسعار النقدي")</f>
        <v>خصم 30% علي الاسعار النقدي</v>
      </c>
    </row>
    <row r="3324" spans="1:11" x14ac:dyDescent="0.25">
      <c r="A3324" s="4" t="str">
        <f ca="1">IFERROR(__xludf.DUMMYFUNCTION("""COMPUTED_VALUE"""),"107572-B")</f>
        <v>107572-B</v>
      </c>
      <c r="B3324" s="5" t="str">
        <f ca="1">IFERROR(__xludf.DUMMYFUNCTION("""COMPUTED_VALUE"""),"القاهرة")</f>
        <v>القاهرة</v>
      </c>
      <c r="C3324" s="5" t="str">
        <f ca="1">IFERROR(__xludf.DUMMYFUNCTION("""COMPUTED_VALUE"""),"القاهرة الجديدة")</f>
        <v>القاهرة الجديدة</v>
      </c>
      <c r="D3324" s="5" t="str">
        <f ca="1">IFERROR(__xludf.DUMMYFUNCTION("""COMPUTED_VALUE"""),"مجمع عيادات")</f>
        <v>مجمع عيادات</v>
      </c>
      <c r="E3324" s="5" t="str">
        <f ca="1">IFERROR(__xludf.DUMMYFUNCTION("""COMPUTED_VALUE"""),"جميع التخصصات")</f>
        <v>جميع التخصصات</v>
      </c>
      <c r="F3324" s="5" t="str">
        <f ca="1">IFERROR(__xludf.DUMMYFUNCTION("""COMPUTED_VALUE"""),"جميع التخصصات الطبية")</f>
        <v>جميع التخصصات الطبية</v>
      </c>
      <c r="G3324" s="5" t="str">
        <f ca="1">IFERROR(__xludf.DUMMYFUNCTION("""COMPUTED_VALUE"""),"ارثوبيديا تك (عيادات اورثوبيديا التخصصية)")</f>
        <v>ارثوبيديا تك (عيادات اورثوبيديا التخصصية)</v>
      </c>
      <c r="H3324" s="5" t="str">
        <f ca="1">IFERROR(__xludf.DUMMYFUNCTION("""COMPUTED_VALUE"""),"قطعه رقم 6 مركز خدمات عمارات النرجس - وحدة رقم C258 مول اوزون - القاهرة الجديدة")</f>
        <v>قطعه رقم 6 مركز خدمات عمارات النرجس - وحدة رقم C258 مول اوزون - القاهرة الجديدة</v>
      </c>
      <c r="I3324" s="6" t="str">
        <f ca="1">IFERROR(__xludf.DUMMYFUNCTION("""COMPUTED_VALUE"""),"01275360503")</f>
        <v>01275360503</v>
      </c>
      <c r="J3324" s="6"/>
      <c r="K3324" s="6" t="str">
        <f ca="1">IFERROR(__xludf.DUMMYFUNCTION("""COMPUTED_VALUE"""),"خصم 30% علي الاسعار النقدي")</f>
        <v>خصم 30% علي الاسعار النقدي</v>
      </c>
    </row>
    <row r="3325" spans="1:11" x14ac:dyDescent="0.25">
      <c r="A3325" s="4" t="str">
        <f ca="1">IFERROR(__xludf.DUMMYFUNCTION("""COMPUTED_VALUE"""),"107573")</f>
        <v>107573</v>
      </c>
      <c r="B3325" s="5" t="str">
        <f ca="1">IFERROR(__xludf.DUMMYFUNCTION("""COMPUTED_VALUE"""),"الشرقية")</f>
        <v>الشرقية</v>
      </c>
      <c r="C3325" s="5" t="str">
        <f ca="1">IFERROR(__xludf.DUMMYFUNCTION("""COMPUTED_VALUE"""),"ديرب نجم")</f>
        <v>ديرب نجم</v>
      </c>
      <c r="D3325" s="5" t="str">
        <f ca="1">IFERROR(__xludf.DUMMYFUNCTION("""COMPUTED_VALUE"""),"صيدلية")</f>
        <v>صيدلية</v>
      </c>
      <c r="E3325" s="5" t="str">
        <f ca="1">IFERROR(__xludf.DUMMYFUNCTION("""COMPUTED_VALUE"""),"صيدلية")</f>
        <v>صيدلية</v>
      </c>
      <c r="F3325" s="5" t="str">
        <f ca="1">IFERROR(__xludf.DUMMYFUNCTION("""COMPUTED_VALUE"""),"صيدلية (أدوية ومستلزمات طبية)")</f>
        <v>صيدلية (أدوية ومستلزمات طبية)</v>
      </c>
      <c r="G3325" s="5" t="str">
        <f ca="1">IFERROR(__xludf.DUMMYFUNCTION("""COMPUTED_VALUE"""),"صيداية د. محمد ابوالعباس حسين جوده")</f>
        <v>صيداية د. محمد ابوالعباس حسين جوده</v>
      </c>
      <c r="H3325" s="5" t="str">
        <f ca="1">IFERROR(__xludf.DUMMYFUNCTION("""COMPUTED_VALUE"""),"2كفر الحاج حسن مركز ديرب نجم - الشرقية")</f>
        <v>2كفر الحاج حسن مركز ديرب نجم - الشرقية</v>
      </c>
      <c r="I3325" s="6" t="str">
        <f ca="1">IFERROR(__xludf.DUMMYFUNCTION("""COMPUTED_VALUE"""),"01032207204")</f>
        <v>01032207204</v>
      </c>
      <c r="J3325" s="6"/>
      <c r="K3325" s="6" t="str">
        <f ca="1">IFERROR(__xludf.DUMMYFUNCTION("""COMPUTED_VALUE"""),"خصم 14% علي المستورد و 7% علي المحلي")</f>
        <v>خصم 14% علي المستورد و 7% علي المحلي</v>
      </c>
    </row>
    <row r="3326" spans="1:11" x14ac:dyDescent="0.25">
      <c r="A3326" s="4" t="str">
        <f ca="1">IFERROR(__xludf.DUMMYFUNCTION("""COMPUTED_VALUE"""),"107573-B")</f>
        <v>107573-B</v>
      </c>
      <c r="B3326" s="5" t="str">
        <f ca="1">IFERROR(__xludf.DUMMYFUNCTION("""COMPUTED_VALUE"""),"الشرقية")</f>
        <v>الشرقية</v>
      </c>
      <c r="C3326" s="5" t="str">
        <f ca="1">IFERROR(__xludf.DUMMYFUNCTION("""COMPUTED_VALUE"""),"ديرب نجم")</f>
        <v>ديرب نجم</v>
      </c>
      <c r="D3326" s="5" t="str">
        <f ca="1">IFERROR(__xludf.DUMMYFUNCTION("""COMPUTED_VALUE"""),"صيدلية")</f>
        <v>صيدلية</v>
      </c>
      <c r="E3326" s="5" t="str">
        <f ca="1">IFERROR(__xludf.DUMMYFUNCTION("""COMPUTED_VALUE"""),"صيدلية")</f>
        <v>صيدلية</v>
      </c>
      <c r="F3326" s="5" t="str">
        <f ca="1">IFERROR(__xludf.DUMMYFUNCTION("""COMPUTED_VALUE"""),"صيدلية (أدوية ومستلزمات طبية)")</f>
        <v>صيدلية (أدوية ومستلزمات طبية)</v>
      </c>
      <c r="G3326" s="5" t="str">
        <f ca="1">IFERROR(__xludf.DUMMYFUNCTION("""COMPUTED_VALUE"""),"صيداية د. محمد ابوالعباس حسين جوده")</f>
        <v>صيداية د. محمد ابوالعباس حسين جوده</v>
      </c>
      <c r="H3326" s="5" t="str">
        <f ca="1">IFERROR(__xludf.DUMMYFUNCTION("""COMPUTED_VALUE"""),"ش شبكة الكهرباء خلف الضرائب العقارية مركز ديرب نجم - الشرقية")</f>
        <v>ش شبكة الكهرباء خلف الضرائب العقارية مركز ديرب نجم - الشرقية</v>
      </c>
      <c r="I3326" s="6" t="str">
        <f ca="1">IFERROR(__xludf.DUMMYFUNCTION("""COMPUTED_VALUE"""),"01032207204")</f>
        <v>01032207204</v>
      </c>
      <c r="J3326" s="6"/>
      <c r="K3326" s="6" t="str">
        <f ca="1">IFERROR(__xludf.DUMMYFUNCTION("""COMPUTED_VALUE"""),"خصم 14% علي المستورد و 7% علي المحلي")</f>
        <v>خصم 14% علي المستورد و 7% علي المحلي</v>
      </c>
    </row>
    <row r="3327" spans="1:11" x14ac:dyDescent="0.25">
      <c r="A3327" s="4" t="str">
        <f ca="1">IFERROR(__xludf.DUMMYFUNCTION("""COMPUTED_VALUE"""),"107574")</f>
        <v>107574</v>
      </c>
      <c r="B3327" s="5" t="str">
        <f ca="1">IFERROR(__xludf.DUMMYFUNCTION("""COMPUTED_VALUE"""),"الشرقية")</f>
        <v>الشرقية</v>
      </c>
      <c r="C3327" s="5" t="str">
        <f ca="1">IFERROR(__xludf.DUMMYFUNCTION("""COMPUTED_VALUE"""),"منيا القمح")</f>
        <v>منيا القمح</v>
      </c>
      <c r="D3327" s="5" t="str">
        <f ca="1">IFERROR(__xludf.DUMMYFUNCTION("""COMPUTED_VALUE"""),"مستشفى")</f>
        <v>مستشفى</v>
      </c>
      <c r="E3327" s="5" t="str">
        <f ca="1">IFERROR(__xludf.DUMMYFUNCTION("""COMPUTED_VALUE"""),"مستشفي طبي متخصص")</f>
        <v>مستشفي طبي متخصص</v>
      </c>
      <c r="F3327" s="5" t="str">
        <f ca="1">IFERROR(__xludf.DUMMYFUNCTION("""COMPUTED_VALUE"""),"رمد (جراحة عيون)")</f>
        <v>رمد (جراحة عيون)</v>
      </c>
      <c r="G3327" s="5" t="str">
        <f ca="1">IFERROR(__xludf.DUMMYFUNCTION("""COMPUTED_VALUE"""),"محمد سعيد عجاج الطبية (مركز اركان للعيون)")</f>
        <v>محمد سعيد عجاج الطبية (مركز اركان للعيون)</v>
      </c>
      <c r="H3327" s="5" t="str">
        <f ca="1">IFERROR(__xludf.DUMMYFUNCTION("""COMPUTED_VALUE"""),"برج الفتح امتداد ش المحكمة - منيا القمح - الشرقية")</f>
        <v>برج الفتح امتداد ش المحكمة - منيا القمح - الشرقية</v>
      </c>
      <c r="I3327" s="6" t="str">
        <f ca="1">IFERROR(__xludf.DUMMYFUNCTION("""COMPUTED_VALUE"""),"01000523322")</f>
        <v>01000523322</v>
      </c>
      <c r="J3327" s="6"/>
      <c r="K3327" s="6" t="str">
        <f ca="1">IFERROR(__xludf.DUMMYFUNCTION("""COMPUTED_VALUE"""),"خصم 30% علي الاسعار النقدي")</f>
        <v>خصم 30% علي الاسعار النقدي</v>
      </c>
    </row>
    <row r="3328" spans="1:11" x14ac:dyDescent="0.25">
      <c r="A3328" s="4" t="str">
        <f ca="1">IFERROR(__xludf.DUMMYFUNCTION("""COMPUTED_VALUE"""),"107575")</f>
        <v>107575</v>
      </c>
      <c r="B3328" s="5" t="str">
        <f ca="1">IFERROR(__xludf.DUMMYFUNCTION("""COMPUTED_VALUE"""),"القليوبية")</f>
        <v>القليوبية</v>
      </c>
      <c r="C3328" s="5" t="str">
        <f ca="1">IFERROR(__xludf.DUMMYFUNCTION("""COMPUTED_VALUE"""),"بهتيم")</f>
        <v>بهتيم</v>
      </c>
      <c r="D3328" s="5" t="str">
        <f ca="1">IFERROR(__xludf.DUMMYFUNCTION("""COMPUTED_VALUE"""),"صيدلية")</f>
        <v>صيدلية</v>
      </c>
      <c r="E3328" s="5" t="str">
        <f ca="1">IFERROR(__xludf.DUMMYFUNCTION("""COMPUTED_VALUE"""),"صيدلية")</f>
        <v>صيدلية</v>
      </c>
      <c r="F3328" s="5" t="str">
        <f ca="1">IFERROR(__xludf.DUMMYFUNCTION("""COMPUTED_VALUE"""),"صيدلية (أدوية ومستلزمات طبية)")</f>
        <v>صيدلية (أدوية ومستلزمات طبية)</v>
      </c>
      <c r="G3328" s="5" t="str">
        <f ca="1">IFERROR(__xludf.DUMMYFUNCTION("""COMPUTED_VALUE"""),"صيدلية د. راغدة خالد سيد منتصر")</f>
        <v>صيدلية د. راغدة خالد سيد منتصر</v>
      </c>
      <c r="H3328" s="5" t="str">
        <f ca="1">IFERROR(__xludf.DUMMYFUNCTION("""COMPUTED_VALUE"""),"1 امتداد رياض الصالحين- خلف مساكن الخزف و الصيني - بهتيم شبرا الخيمة - القليوبية")</f>
        <v>1 امتداد رياض الصالحين- خلف مساكن الخزف و الصيني - بهتيم شبرا الخيمة - القليوبية</v>
      </c>
      <c r="I3328" s="6" t="str">
        <f ca="1">IFERROR(__xludf.DUMMYFUNCTION("""COMPUTED_VALUE"""),"01120561019")</f>
        <v>01120561019</v>
      </c>
      <c r="J3328" s="6"/>
      <c r="K3328" s="6" t="str">
        <f ca="1">IFERROR(__xludf.DUMMYFUNCTION("""COMPUTED_VALUE"""),"خصم 16% علي المستورد و 8% علي المحلي")</f>
        <v>خصم 16% علي المستورد و 8% علي المحلي</v>
      </c>
    </row>
    <row r="3329" spans="1:11" x14ac:dyDescent="0.25">
      <c r="A3329" s="4" t="str">
        <f ca="1">IFERROR(__xludf.DUMMYFUNCTION("""COMPUTED_VALUE"""),"107576")</f>
        <v>107576</v>
      </c>
      <c r="B3329" s="5" t="str">
        <f ca="1">IFERROR(__xludf.DUMMYFUNCTION("""COMPUTED_VALUE"""),"الاسكندرية")</f>
        <v>الاسكندرية</v>
      </c>
      <c r="C3329" s="5" t="str">
        <f ca="1">IFERROR(__xludf.DUMMYFUNCTION("""COMPUTED_VALUE"""),"المنتزة")</f>
        <v>المنتزة</v>
      </c>
      <c r="D3329" s="5" t="str">
        <f ca="1">IFERROR(__xludf.DUMMYFUNCTION("""COMPUTED_VALUE"""),"مستشفى")</f>
        <v>مستشفى</v>
      </c>
      <c r="E3329" s="5" t="str">
        <f ca="1">IFERROR(__xludf.DUMMYFUNCTION("""COMPUTED_VALUE"""),"جميع التخصصات")</f>
        <v>جميع التخصصات</v>
      </c>
      <c r="F3329" s="5" t="str">
        <f ca="1">IFERROR(__xludf.DUMMYFUNCTION("""COMPUTED_VALUE"""),"جميع التخصصات الطبية")</f>
        <v>جميع التخصصات الطبية</v>
      </c>
      <c r="G3329" s="5" t="str">
        <f ca="1">IFERROR(__xludf.DUMMYFUNCTION("""COMPUTED_VALUE"""),"منال محمد محجوب متولي و شريكتها (مستشفي القصر الملكي)")</f>
        <v>منال محمد محجوب متولي و شريكتها (مستشفي القصر الملكي)</v>
      </c>
      <c r="H3329" s="5" t="str">
        <f ca="1">IFERROR(__xludf.DUMMYFUNCTION("""COMPUTED_VALUE"""),"برج رويال مول بشارع ملك حفني امام حدائق قصر المنتزه - المنتزه - الاسكندرية")</f>
        <v>برج رويال مول بشارع ملك حفني امام حدائق قصر المنتزه - المنتزه - الاسكندرية</v>
      </c>
      <c r="I3329" s="6" t="str">
        <f ca="1">IFERROR(__xludf.DUMMYFUNCTION("""COMPUTED_VALUE"""),"033233280")</f>
        <v>033233280</v>
      </c>
      <c r="J3329" s="6"/>
      <c r="K3329" s="6" t="str">
        <f ca="1">IFERROR(__xludf.DUMMYFUNCTION("""COMPUTED_VALUE"""),"خصم 30% علي الاسعار النقدي")</f>
        <v>خصم 30% علي الاسعار النقدي</v>
      </c>
    </row>
    <row r="3330" spans="1:11" x14ac:dyDescent="0.25">
      <c r="A3330" s="4" t="str">
        <f ca="1">IFERROR(__xludf.DUMMYFUNCTION("""COMPUTED_VALUE"""),"1763-B")</f>
        <v>1763-B</v>
      </c>
      <c r="B3330" s="5" t="str">
        <f ca="1">IFERROR(__xludf.DUMMYFUNCTION("""COMPUTED_VALUE"""),"سوهاج")</f>
        <v>سوهاج</v>
      </c>
      <c r="C3330" s="5" t="str">
        <f ca="1">IFERROR(__xludf.DUMMYFUNCTION("""COMPUTED_VALUE"""),"سوهاج")</f>
        <v>سوهاج</v>
      </c>
      <c r="D3330" s="5" t="str">
        <f ca="1">IFERROR(__xludf.DUMMYFUNCTION("""COMPUTED_VALUE"""),"هيئة الأطباء")</f>
        <v>هيئة الأطباء</v>
      </c>
      <c r="E3330" s="5" t="str">
        <f ca="1">IFERROR(__xludf.DUMMYFUNCTION("""COMPUTED_VALUE"""),"اسنان")</f>
        <v>اسنان</v>
      </c>
      <c r="F3330" s="5" t="str">
        <f ca="1">IFERROR(__xludf.DUMMYFUNCTION("""COMPUTED_VALUE"""),"جراحة الفم والأسنان")</f>
        <v>جراحة الفم والأسنان</v>
      </c>
      <c r="G3330" s="5" t="str">
        <f ca="1">IFERROR(__xludf.DUMMYFUNCTION("""COMPUTED_VALUE"""),"المركز المصري الاول لطب الأسنان ( د/ حسين محمد طاهر)")</f>
        <v>المركز المصري الاول لطب الأسنان ( د/ حسين محمد طاهر)</v>
      </c>
      <c r="H3330" s="5" t="str">
        <f ca="1">IFERROR(__xludf.DUMMYFUNCTION("""COMPUTED_VALUE"""),"محافطة سوهاج - المحطة - شارع المغربل - بجوار بن راندا - عيادة الفضل - بداخلها فرع المركز")</f>
        <v>محافطة سوهاج - المحطة - شارع المغربل - بجوار بن راندا - عيادة الفضل - بداخلها فرع المركز</v>
      </c>
      <c r="I3330" s="6" t="str">
        <f ca="1">IFERROR(__xludf.DUMMYFUNCTION("""COMPUTED_VALUE"""),"0554465003")</f>
        <v>0554465003</v>
      </c>
      <c r="J3330" s="6"/>
      <c r="K3330" s="6" t="str">
        <f ca="1">IFERROR(__xludf.DUMMYFUNCTION("""COMPUTED_VALUE"""),"30% على الكشوفات ,10% على التركيبات ,10% على الإجراءات ,5% على الزراعات")</f>
        <v>30% على الكشوفات ,10% على التركيبات ,10% على الإجراءات ,5% على الزراعات</v>
      </c>
    </row>
    <row r="3331" spans="1:11" x14ac:dyDescent="0.25">
      <c r="A3331" s="4" t="str">
        <f ca="1">IFERROR(__xludf.DUMMYFUNCTION("""COMPUTED_VALUE"""),"107578")</f>
        <v>107578</v>
      </c>
      <c r="B3331" s="5" t="str">
        <f ca="1">IFERROR(__xludf.DUMMYFUNCTION("""COMPUTED_VALUE"""),"القاهرة")</f>
        <v>القاهرة</v>
      </c>
      <c r="C3331" s="5" t="str">
        <f ca="1">IFERROR(__xludf.DUMMYFUNCTION("""COMPUTED_VALUE"""),"مصر القديمة")</f>
        <v>مصر القديمة</v>
      </c>
      <c r="D3331" s="5" t="str">
        <f ca="1">IFERROR(__xludf.DUMMYFUNCTION("""COMPUTED_VALUE"""),"مستشفى")</f>
        <v>مستشفى</v>
      </c>
      <c r="E3331" s="5" t="str">
        <f ca="1">IFERROR(__xludf.DUMMYFUNCTION("""COMPUTED_VALUE"""),"مستشفي طبي متخصص")</f>
        <v>مستشفي طبي متخصص</v>
      </c>
      <c r="F3331" s="5" t="str">
        <f ca="1">IFERROR(__xludf.DUMMYFUNCTION("""COMPUTED_VALUE"""),"مركز أورام")</f>
        <v>مركز أورام</v>
      </c>
      <c r="G3331" s="5" t="str">
        <f ca="1">IFERROR(__xludf.DUMMYFUNCTION("""COMPUTED_VALUE"""),"اليفات برايفت اكويتي (المركز القومي الفرنسي للأورام جوستاف روسي الدولي)")</f>
        <v>اليفات برايفت اكويتي (المركز القومي الفرنسي للأورام جوستاف روسي الدولي)</v>
      </c>
      <c r="H3331" s="5" t="str">
        <f ca="1">IFERROR(__xludf.DUMMYFUNCTION("""COMPUTED_VALUE"""),"987 شارع كورنيش النيل - مصر القديمة - القاهرة")</f>
        <v>987 شارع كورنيش النيل - مصر القديمة - القاهرة</v>
      </c>
      <c r="I3331" s="6" t="str">
        <f ca="1">IFERROR(__xludf.DUMMYFUNCTION("""COMPUTED_VALUE"""),"01066796104")</f>
        <v>01066796104</v>
      </c>
      <c r="J3331" s="6"/>
      <c r="K3331" s="6" t="str">
        <f ca="1">IFERROR(__xludf.DUMMYFUNCTION("""COMPUTED_VALUE"""),"خدمات القسم الداخلي، اللجان الثلاثية، خدمات القسم الخارجي، بما يشمل الكشف و الاسنان و العلاج الطبيعي: 40% خصم ، الاقامات: 50%، تحليل العينات: 25% ،الاتفاقيات الشاملة: 10%، خدمات المعمل و الاشعه، خدمات علاج الالام و الاشعه التداخلية: 15% علي الاسعار النقدي"&amp;" ")</f>
        <v xml:space="preserve">خدمات القسم الداخلي، اللجان الثلاثية، خدمات القسم الخارجي، بما يشمل الكشف و الاسنان و العلاج الطبيعي: 40% خصم ، الاقامات: 50%، تحليل العينات: 25% ،الاتفاقيات الشاملة: 10%، خدمات المعمل و الاشعه، خدمات علاج الالام و الاشعه التداخلية: 15% علي الاسعار النقدي </v>
      </c>
    </row>
    <row r="3332" spans="1:11" x14ac:dyDescent="0.25">
      <c r="A3332" s="4" t="str">
        <f ca="1">IFERROR(__xludf.DUMMYFUNCTION("""COMPUTED_VALUE"""),"107581")</f>
        <v>107581</v>
      </c>
      <c r="B3332" s="5" t="str">
        <f ca="1">IFERROR(__xludf.DUMMYFUNCTION("""COMPUTED_VALUE"""),"الأقصر")</f>
        <v>الأقصر</v>
      </c>
      <c r="C3332" s="5" t="str">
        <f ca="1">IFERROR(__xludf.DUMMYFUNCTION("""COMPUTED_VALUE"""),"الأقصر")</f>
        <v>الأقصر</v>
      </c>
      <c r="D3332" s="5" t="str">
        <f ca="1">IFERROR(__xludf.DUMMYFUNCTION("""COMPUTED_VALUE"""),"صيدلية")</f>
        <v>صيدلية</v>
      </c>
      <c r="E3332" s="5" t="str">
        <f ca="1">IFERROR(__xludf.DUMMYFUNCTION("""COMPUTED_VALUE"""),"صيدلية")</f>
        <v>صيدلية</v>
      </c>
      <c r="F3332" s="5" t="str">
        <f ca="1">IFERROR(__xludf.DUMMYFUNCTION("""COMPUTED_VALUE"""),"صيدلية (أدوية ومستلزمات طبية)")</f>
        <v>صيدلية (أدوية ومستلزمات طبية)</v>
      </c>
      <c r="G3332" s="5" t="str">
        <f ca="1">IFERROR(__xludf.DUMMYFUNCTION("""COMPUTED_VALUE"""),"شركة سمارت كير للرعاية الصحية")</f>
        <v>شركة سمارت كير للرعاية الصحية</v>
      </c>
      <c r="H3332" s="5" t="str">
        <f ca="1">IFERROR(__xludf.DUMMYFUNCTION("""COMPUTED_VALUE"""),"طريق الكباش بجور مستشفي الندي - الاقصر")</f>
        <v>طريق الكباش بجور مستشفي الندي - الاقصر</v>
      </c>
      <c r="I3332" s="6" t="str">
        <f ca="1">IFERROR(__xludf.DUMMYFUNCTION("""COMPUTED_VALUE"""),"01000233677")</f>
        <v>01000233677</v>
      </c>
      <c r="J3332" s="6"/>
      <c r="K3332" s="6" t="str">
        <f ca="1">IFERROR(__xludf.DUMMYFUNCTION("""COMPUTED_VALUE"""),"خصم 13% علي المحلي و 6% علي المستورد")</f>
        <v>خصم 13% علي المحلي و 6% علي المستورد</v>
      </c>
    </row>
    <row r="3333" spans="1:11" x14ac:dyDescent="0.25">
      <c r="A3333" s="4" t="str">
        <f ca="1">IFERROR(__xludf.DUMMYFUNCTION("""COMPUTED_VALUE"""),"107581-B")</f>
        <v>107581-B</v>
      </c>
      <c r="B3333" s="5" t="str">
        <f ca="1">IFERROR(__xludf.DUMMYFUNCTION("""COMPUTED_VALUE"""),"الأقصر")</f>
        <v>الأقصر</v>
      </c>
      <c r="C3333" s="5" t="str">
        <f ca="1">IFERROR(__xludf.DUMMYFUNCTION("""COMPUTED_VALUE"""),"الأقصر")</f>
        <v>الأقصر</v>
      </c>
      <c r="D3333" s="5" t="str">
        <f ca="1">IFERROR(__xludf.DUMMYFUNCTION("""COMPUTED_VALUE"""),"صيدلية")</f>
        <v>صيدلية</v>
      </c>
      <c r="E3333" s="5" t="str">
        <f ca="1">IFERROR(__xludf.DUMMYFUNCTION("""COMPUTED_VALUE"""),"صيدلية")</f>
        <v>صيدلية</v>
      </c>
      <c r="F3333" s="5" t="str">
        <f ca="1">IFERROR(__xludf.DUMMYFUNCTION("""COMPUTED_VALUE"""),"صيدلية (أدوية ومستلزمات طبية)")</f>
        <v>صيدلية (أدوية ومستلزمات طبية)</v>
      </c>
      <c r="G3333" s="5" t="str">
        <f ca="1">IFERROR(__xludf.DUMMYFUNCTION("""COMPUTED_VALUE"""),"شركة سمارت كير للرعاية الصحية")</f>
        <v>شركة سمارت كير للرعاية الصحية</v>
      </c>
      <c r="H3333" s="5" t="str">
        <f ca="1">IFERROR(__xludf.DUMMYFUNCTION("""COMPUTED_VALUE"""),"نجع عطيتو - منشاة العماري - الاقصر")</f>
        <v>نجع عطيتو - منشاة العماري - الاقصر</v>
      </c>
      <c r="I3333" s="6" t="str">
        <f ca="1">IFERROR(__xludf.DUMMYFUNCTION("""COMPUTED_VALUE"""),"01000233677")</f>
        <v>01000233677</v>
      </c>
      <c r="J3333" s="6"/>
      <c r="K3333" s="6" t="str">
        <f ca="1">IFERROR(__xludf.DUMMYFUNCTION("""COMPUTED_VALUE"""),"خصم 13% علي المحلي و 6% علي المستورد")</f>
        <v>خصم 13% علي المحلي و 6% علي المستورد</v>
      </c>
    </row>
    <row r="3334" spans="1:11" x14ac:dyDescent="0.25">
      <c r="A3334" s="4" t="str">
        <f ca="1">IFERROR(__xludf.DUMMYFUNCTION("""COMPUTED_VALUE"""),"107581-B")</f>
        <v>107581-B</v>
      </c>
      <c r="B3334" s="5" t="str">
        <f ca="1">IFERROR(__xludf.DUMMYFUNCTION("""COMPUTED_VALUE"""),"الأقصر")</f>
        <v>الأقصر</v>
      </c>
      <c r="C3334" s="5" t="str">
        <f ca="1">IFERROR(__xludf.DUMMYFUNCTION("""COMPUTED_VALUE"""),"الأقصر")</f>
        <v>الأقصر</v>
      </c>
      <c r="D3334" s="5" t="str">
        <f ca="1">IFERROR(__xludf.DUMMYFUNCTION("""COMPUTED_VALUE"""),"صيدلية")</f>
        <v>صيدلية</v>
      </c>
      <c r="E3334" s="5" t="str">
        <f ca="1">IFERROR(__xludf.DUMMYFUNCTION("""COMPUTED_VALUE"""),"صيدلية")</f>
        <v>صيدلية</v>
      </c>
      <c r="F3334" s="5" t="str">
        <f ca="1">IFERROR(__xludf.DUMMYFUNCTION("""COMPUTED_VALUE"""),"صيدلية (أدوية ومستلزمات طبية)")</f>
        <v>صيدلية (أدوية ومستلزمات طبية)</v>
      </c>
      <c r="G3334" s="5" t="str">
        <f ca="1">IFERROR(__xludf.DUMMYFUNCTION("""COMPUTED_VALUE"""),"شركة سمارت كير للرعاية الصحية")</f>
        <v>شركة سمارت كير للرعاية الصحية</v>
      </c>
      <c r="H3334" s="5" t="str">
        <f ca="1">IFERROR(__xludf.DUMMYFUNCTION("""COMPUTED_VALUE"""),"بجوار مركز شباب العوامية - العوامية - الاقصر")</f>
        <v>بجوار مركز شباب العوامية - العوامية - الاقصر</v>
      </c>
      <c r="I3334" s="6" t="str">
        <f ca="1">IFERROR(__xludf.DUMMYFUNCTION("""COMPUTED_VALUE"""),"01000233677")</f>
        <v>01000233677</v>
      </c>
      <c r="J3334" s="6"/>
      <c r="K3334" s="6" t="str">
        <f ca="1">IFERROR(__xludf.DUMMYFUNCTION("""COMPUTED_VALUE"""),"خصم 13% علي المحلي و 6% علي المستورد")</f>
        <v>خصم 13% علي المحلي و 6% علي المستورد</v>
      </c>
    </row>
    <row r="3335" spans="1:11" x14ac:dyDescent="0.25">
      <c r="A3335" s="4" t="str">
        <f ca="1">IFERROR(__xludf.DUMMYFUNCTION("""COMPUTED_VALUE"""),"107582")</f>
        <v>107582</v>
      </c>
      <c r="B3335" s="5" t="str">
        <f ca="1">IFERROR(__xludf.DUMMYFUNCTION("""COMPUTED_VALUE"""),"الجيزة")</f>
        <v>الجيزة</v>
      </c>
      <c r="C3335" s="5" t="str">
        <f ca="1">IFERROR(__xludf.DUMMYFUNCTION("""COMPUTED_VALUE"""),"الحوامدية")</f>
        <v>الحوامدية</v>
      </c>
      <c r="D3335" s="5" t="str">
        <f ca="1">IFERROR(__xludf.DUMMYFUNCTION("""COMPUTED_VALUE"""),"مستشفى")</f>
        <v>مستشفى</v>
      </c>
      <c r="E3335" s="5" t="str">
        <f ca="1">IFERROR(__xludf.DUMMYFUNCTION("""COMPUTED_VALUE"""),"مستشفي طبي متكامل")</f>
        <v>مستشفي طبي متكامل</v>
      </c>
      <c r="F3335" s="5" t="str">
        <f ca="1">IFERROR(__xludf.DUMMYFUNCTION("""COMPUTED_VALUE"""),"جميع التخصصات الطبية")</f>
        <v>جميع التخصصات الطبية</v>
      </c>
      <c r="G3335" s="5" t="str">
        <f ca="1">IFERROR(__xludf.DUMMYFUNCTION("""COMPUTED_VALUE"""),"محمد عبدالمعطي صالح و شركاه (مركز دار الصفوة الطبي)")</f>
        <v>محمد عبدالمعطي صالح و شركاه (مركز دار الصفوة الطبي)</v>
      </c>
      <c r="H3335" s="5" t="str">
        <f ca="1">IFERROR(__xludf.DUMMYFUNCTION("""COMPUTED_VALUE"""),"6 شارع طراد النيل برج الرضوي - الحوامدية - الجيزة")</f>
        <v>6 شارع طراد النيل برج الرضوي - الحوامدية - الجيزة</v>
      </c>
      <c r="I3335" s="6" t="str">
        <f ca="1">IFERROR(__xludf.DUMMYFUNCTION("""COMPUTED_VALUE"""),"01110507058")</f>
        <v>01110507058</v>
      </c>
      <c r="J3335" s="6"/>
      <c r="K3335" s="6" t="str">
        <f ca="1">IFERROR(__xludf.DUMMYFUNCTION("""COMPUTED_VALUE"""),"خصم 30% علي الاسعار النقدي")</f>
        <v>خصم 30% علي الاسعار النقدي</v>
      </c>
    </row>
    <row r="3336" spans="1:11" x14ac:dyDescent="0.25">
      <c r="A3336" s="4" t="str">
        <f ca="1">IFERROR(__xludf.DUMMYFUNCTION("""COMPUTED_VALUE"""),"107583")</f>
        <v>107583</v>
      </c>
      <c r="B3336" s="5" t="str">
        <f ca="1">IFERROR(__xludf.DUMMYFUNCTION("""COMPUTED_VALUE"""),"الجيزة")</f>
        <v>الجيزة</v>
      </c>
      <c r="C3336" s="5" t="str">
        <f ca="1">IFERROR(__xludf.DUMMYFUNCTION("""COMPUTED_VALUE"""),"السادس من اكتوبر")</f>
        <v>السادس من اكتوبر</v>
      </c>
      <c r="D3336" s="5" t="str">
        <f ca="1">IFERROR(__xludf.DUMMYFUNCTION("""COMPUTED_VALUE"""),"مركز أشعة")</f>
        <v>مركز أشعة</v>
      </c>
      <c r="E3336" s="5" t="str">
        <f ca="1">IFERROR(__xludf.DUMMYFUNCTION("""COMPUTED_VALUE"""),"مركز أشعة")</f>
        <v>مركز أشعة</v>
      </c>
      <c r="F3336" s="5" t="str">
        <f ca="1">IFERROR(__xludf.DUMMYFUNCTION("""COMPUTED_VALUE"""),"أشعة تشخيصية")</f>
        <v>أشعة تشخيصية</v>
      </c>
      <c r="G3336" s="5" t="str">
        <f ca="1">IFERROR(__xludf.DUMMYFUNCTION("""COMPUTED_VALUE"""),"د. باسم احمد حامد احمد (مركز أكتوبر الحديث للاشعه)")</f>
        <v>د. باسم احمد حامد احمد (مركز أكتوبر الحديث للاشعه)</v>
      </c>
      <c r="H3336" s="5" t="str">
        <f ca="1">IFERROR(__xludf.DUMMYFUNCTION("""COMPUTED_VALUE"""),"سنتر الفيروز - الدور الاول- المحور المركزي - مدينة 6 أكتوبر - الجيزة")</f>
        <v>سنتر الفيروز - الدور الاول- المحور المركزي - مدينة 6 أكتوبر - الجيزة</v>
      </c>
      <c r="I3336" s="6" t="str">
        <f ca="1">IFERROR(__xludf.DUMMYFUNCTION("""COMPUTED_VALUE"""),"01553180237")</f>
        <v>01553180237</v>
      </c>
      <c r="J3336" s="6"/>
      <c r="K3336" s="6" t="str">
        <f ca="1">IFERROR(__xludf.DUMMYFUNCTION("""COMPUTED_VALUE"""),"خصم 30% علي الاسعار النقدي")</f>
        <v>خصم 30% علي الاسعار النقدي</v>
      </c>
    </row>
    <row r="3337" spans="1:11" x14ac:dyDescent="0.25">
      <c r="A3337" s="4" t="str">
        <f ca="1">IFERROR(__xludf.DUMMYFUNCTION("""COMPUTED_VALUE"""),"107584")</f>
        <v>107584</v>
      </c>
      <c r="B3337" s="5" t="str">
        <f ca="1">IFERROR(__xludf.DUMMYFUNCTION("""COMPUTED_VALUE"""),"الاسكندرية")</f>
        <v>الاسكندرية</v>
      </c>
      <c r="C3337" s="5" t="str">
        <f ca="1">IFERROR(__xludf.DUMMYFUNCTION("""COMPUTED_VALUE"""),"سيدي جابر")</f>
        <v>سيدي جابر</v>
      </c>
      <c r="D3337" s="5" t="str">
        <f ca="1">IFERROR(__xludf.DUMMYFUNCTION("""COMPUTED_VALUE"""),"مستشفى")</f>
        <v>مستشفى</v>
      </c>
      <c r="E3337" s="5" t="str">
        <f ca="1">IFERROR(__xludf.DUMMYFUNCTION("""COMPUTED_VALUE"""),"رعايه منزليه")</f>
        <v>رعايه منزليه</v>
      </c>
      <c r="F3337" s="5" t="str">
        <f ca="1">IFERROR(__xludf.DUMMYFUNCTION("""COMPUTED_VALUE"""),"رعايه منزليه")</f>
        <v>رعايه منزليه</v>
      </c>
      <c r="G3337" s="5" t="str">
        <f ca="1">IFERROR(__xludf.DUMMYFUNCTION("""COMPUTED_VALUE"""),"كير هب انترناشيونال الطبية ش م م")</f>
        <v>كير هب انترناشيونال الطبية ش م م</v>
      </c>
      <c r="H3337" s="5" t="str">
        <f ca="1">IFERROR(__xludf.DUMMYFUNCTION("""COMPUTED_VALUE"""),"26 ش عبداللطيف الصوفاني - سيدي جابر - الاسكندرية")</f>
        <v>26 ش عبداللطيف الصوفاني - سيدي جابر - الاسكندرية</v>
      </c>
      <c r="I3337" s="6"/>
      <c r="J3337" s="6" t="str">
        <f ca="1">IFERROR(__xludf.DUMMYFUNCTION("""COMPUTED_VALUE"""),"15848")</f>
        <v>15848</v>
      </c>
      <c r="K3337" s="6" t="str">
        <f ca="1">IFERROR(__xludf.DUMMYFUNCTION("""COMPUTED_VALUE"""),"خصم 30% علي الاسعار النقدي")</f>
        <v>خصم 30% علي الاسعار النقدي</v>
      </c>
    </row>
    <row r="3338" spans="1:11" x14ac:dyDescent="0.25">
      <c r="A3338" s="4" t="str">
        <f ca="1">IFERROR(__xludf.DUMMYFUNCTION("""COMPUTED_VALUE"""),"107584-B")</f>
        <v>107584-B</v>
      </c>
      <c r="B3338" s="5" t="str">
        <f ca="1">IFERROR(__xludf.DUMMYFUNCTION("""COMPUTED_VALUE"""),"القاهرة")</f>
        <v>القاهرة</v>
      </c>
      <c r="C3338" s="5" t="str">
        <f ca="1">IFERROR(__xludf.DUMMYFUNCTION("""COMPUTED_VALUE"""),"القاهرة الجديدة")</f>
        <v>القاهرة الجديدة</v>
      </c>
      <c r="D3338" s="5" t="str">
        <f ca="1">IFERROR(__xludf.DUMMYFUNCTION("""COMPUTED_VALUE"""),"مستشفى")</f>
        <v>مستشفى</v>
      </c>
      <c r="E3338" s="5" t="str">
        <f ca="1">IFERROR(__xludf.DUMMYFUNCTION("""COMPUTED_VALUE"""),"رعايه منزليه")</f>
        <v>رعايه منزليه</v>
      </c>
      <c r="F3338" s="5" t="str">
        <f ca="1">IFERROR(__xludf.DUMMYFUNCTION("""COMPUTED_VALUE"""),"رعايه منزليه")</f>
        <v>رعايه منزليه</v>
      </c>
      <c r="G3338" s="5" t="str">
        <f ca="1">IFERROR(__xludf.DUMMYFUNCTION("""COMPUTED_VALUE"""),"كير هب انترناشيونال الطبية ش م م")</f>
        <v>كير هب انترناشيونال الطبية ش م م</v>
      </c>
      <c r="H3338" s="5" t="str">
        <f ca="1">IFERROR(__xludf.DUMMYFUNCTION("""COMPUTED_VALUE"""),"وحدة رقم A3 بالمركز التجاري كور - التجمع الخامس - القاهرة")</f>
        <v>وحدة رقم A3 بالمركز التجاري كور - التجمع الخامس - القاهرة</v>
      </c>
      <c r="I3338" s="6"/>
      <c r="J3338" s="6" t="str">
        <f ca="1">IFERROR(__xludf.DUMMYFUNCTION("""COMPUTED_VALUE"""),"15848")</f>
        <v>15848</v>
      </c>
      <c r="K3338" s="6" t="str">
        <f ca="1">IFERROR(__xludf.DUMMYFUNCTION("""COMPUTED_VALUE"""),"خصم 30% علي الاسعار النقدي")</f>
        <v>خصم 30% علي الاسعار النقدي</v>
      </c>
    </row>
    <row r="3339" spans="1:11" x14ac:dyDescent="0.25">
      <c r="A3339" s="4" t="str">
        <f ca="1">IFERROR(__xludf.DUMMYFUNCTION("""COMPUTED_VALUE"""),"106778-B")</f>
        <v>106778-B</v>
      </c>
      <c r="B3339" s="5" t="str">
        <f ca="1">IFERROR(__xludf.DUMMYFUNCTION("""COMPUTED_VALUE"""),"القاهرة")</f>
        <v>القاهرة</v>
      </c>
      <c r="C3339" s="5" t="str">
        <f ca="1">IFERROR(__xludf.DUMMYFUNCTION("""COMPUTED_VALUE"""),"مصر الجديدة")</f>
        <v>مصر الجديدة</v>
      </c>
      <c r="D3339" s="5" t="str">
        <f ca="1">IFERROR(__xludf.DUMMYFUNCTION("""COMPUTED_VALUE"""),"هيئة الأطباء")</f>
        <v>هيئة الأطباء</v>
      </c>
      <c r="E3339" s="5" t="str">
        <f ca="1">IFERROR(__xludf.DUMMYFUNCTION("""COMPUTED_VALUE"""),"مركز متخصص")</f>
        <v>مركز متخصص</v>
      </c>
      <c r="F3339" s="5" t="str">
        <f ca="1">IFERROR(__xludf.DUMMYFUNCTION("""COMPUTED_VALUE"""),"أورام وعلاج كميائى")</f>
        <v>أورام وعلاج كميائى</v>
      </c>
      <c r="G3339" s="5" t="str">
        <f ca="1">IFERROR(__xludf.DUMMYFUNCTION("""COMPUTED_VALUE"""),"مركز بيتا كير لعلاج الأورام")</f>
        <v>مركز بيتا كير لعلاج الأورام</v>
      </c>
      <c r="H3339" s="5" t="str">
        <f ca="1">IFERROR(__xludf.DUMMYFUNCTION("""COMPUTED_VALUE"""),"60 خليفه المامون - كوين سنتر")</f>
        <v>60 خليفه المامون - كوين سنتر</v>
      </c>
      <c r="I3339" s="6" t="str">
        <f ca="1">IFERROR(__xludf.DUMMYFUNCTION("""COMPUTED_VALUE"""),"0233377732")</f>
        <v>0233377732</v>
      </c>
      <c r="J3339" s="6"/>
      <c r="K3339" s="6" t="str">
        <f ca="1">IFERROR(__xludf.DUMMYFUNCTION("""COMPUTED_VALUE"""),"خصم 30% علي الأسعار النقدي المعلنة")</f>
        <v>خصم 30% علي الأسعار النقدي المعلنة</v>
      </c>
    </row>
    <row r="3340" spans="1:11" x14ac:dyDescent="0.25">
      <c r="A3340" s="4" t="str">
        <f ca="1">IFERROR(__xludf.DUMMYFUNCTION("""COMPUTED_VALUE"""),"106778-B")</f>
        <v>106778-B</v>
      </c>
      <c r="B3340" s="5" t="str">
        <f ca="1">IFERROR(__xludf.DUMMYFUNCTION("""COMPUTED_VALUE"""),"القاهرة")</f>
        <v>القاهرة</v>
      </c>
      <c r="C3340" s="5" t="str">
        <f ca="1">IFERROR(__xludf.DUMMYFUNCTION("""COMPUTED_VALUE"""),"القاهرة الجديدة")</f>
        <v>القاهرة الجديدة</v>
      </c>
      <c r="D3340" s="5" t="str">
        <f ca="1">IFERROR(__xludf.DUMMYFUNCTION("""COMPUTED_VALUE"""),"هيئة الأطباء")</f>
        <v>هيئة الأطباء</v>
      </c>
      <c r="E3340" s="5" t="str">
        <f ca="1">IFERROR(__xludf.DUMMYFUNCTION("""COMPUTED_VALUE"""),"مركز متخصص")</f>
        <v>مركز متخصص</v>
      </c>
      <c r="F3340" s="5" t="str">
        <f ca="1">IFERROR(__xludf.DUMMYFUNCTION("""COMPUTED_VALUE"""),"أورام وعلاج كميائى")</f>
        <v>أورام وعلاج كميائى</v>
      </c>
      <c r="G3340" s="5" t="str">
        <f ca="1">IFERROR(__xludf.DUMMYFUNCTION("""COMPUTED_VALUE"""),"مركز بيتا كير لعلاج الأورام")</f>
        <v>مركز بيتا كير لعلاج الأورام</v>
      </c>
      <c r="H3340" s="5" t="str">
        <f ca="1">IFERROR(__xludf.DUMMYFUNCTION("""COMPUTED_VALUE"""),"الرحاب عياده 212 الدور الثاني - مركز طبي 1")</f>
        <v>الرحاب عياده 212 الدور الثاني - مركز طبي 1</v>
      </c>
      <c r="I3340" s="6" t="str">
        <f ca="1">IFERROR(__xludf.DUMMYFUNCTION("""COMPUTED_VALUE"""),"0233377732")</f>
        <v>0233377732</v>
      </c>
      <c r="J3340" s="6"/>
      <c r="K3340" s="6" t="str">
        <f ca="1">IFERROR(__xludf.DUMMYFUNCTION("""COMPUTED_VALUE"""),"خصم 30% علي الأسعار النقدي المعلنة")</f>
        <v>خصم 30% علي الأسعار النقدي المعلنة</v>
      </c>
    </row>
    <row r="3341" spans="1:11" x14ac:dyDescent="0.25">
      <c r="A3341" s="4" t="str">
        <f ca="1">IFERROR(__xludf.DUMMYFUNCTION("""COMPUTED_VALUE"""),"104296-B")</f>
        <v>104296-B</v>
      </c>
      <c r="B3341" s="5" t="str">
        <f ca="1">IFERROR(__xludf.DUMMYFUNCTION("""COMPUTED_VALUE"""),"القاهرة")</f>
        <v>القاهرة</v>
      </c>
      <c r="C3341" s="5" t="str">
        <f ca="1">IFERROR(__xludf.DUMMYFUNCTION("""COMPUTED_VALUE"""),"مدينة الشروق")</f>
        <v>مدينة الشروق</v>
      </c>
      <c r="D3341" s="5" t="str">
        <f ca="1">IFERROR(__xludf.DUMMYFUNCTION("""COMPUTED_VALUE"""),"مركز علاج طبيعي")</f>
        <v>مركز علاج طبيعي</v>
      </c>
      <c r="E3341" s="5" t="str">
        <f ca="1">IFERROR(__xludf.DUMMYFUNCTION("""COMPUTED_VALUE"""),"علاج طبيعي")</f>
        <v>علاج طبيعي</v>
      </c>
      <c r="F3341" s="5" t="str">
        <f ca="1">IFERROR(__xludf.DUMMYFUNCTION("""COMPUTED_VALUE"""),"جلسات العلاج الطبيعي")</f>
        <v>جلسات العلاج الطبيعي</v>
      </c>
      <c r="G3341" s="5" t="str">
        <f ca="1">IFERROR(__xludf.DUMMYFUNCTION("""COMPUTED_VALUE"""),"مركز ألفا كير للعلاج الطبيعي (د.كريم عبدالقوى عبدالله)")</f>
        <v>مركز ألفا كير للعلاج الطبيعي (د.كريم عبدالقوى عبدالله)</v>
      </c>
      <c r="H3341" s="5" t="str">
        <f ca="1">IFERROR(__xludf.DUMMYFUNCTION("""COMPUTED_VALUE"""),"فرع الشروق قطعة ٨٤ مول ميديكال بوينت - خدمات المدينة ٢ - الشروق - بجوار فاليو مول")</f>
        <v>فرع الشروق قطعة ٨٤ مول ميديكال بوينت - خدمات المدينة ٢ - الشروق - بجوار فاليو مول</v>
      </c>
      <c r="I3341" s="6"/>
      <c r="J3341" s="6" t="str">
        <f ca="1">IFERROR(__xludf.DUMMYFUNCTION("""COMPUTED_VALUE"""),"15662")</f>
        <v>15662</v>
      </c>
      <c r="K3341" s="6" t="str">
        <f ca="1">IFERROR(__xludf.DUMMYFUNCTION("""COMPUTED_VALUE"""),"30% على جميع الخدمات")</f>
        <v>30% على جميع الخدمات</v>
      </c>
    </row>
    <row r="3342" spans="1:11" x14ac:dyDescent="0.25">
      <c r="A3342" s="4" t="str">
        <f ca="1">IFERROR(__xludf.DUMMYFUNCTION("""COMPUTED_VALUE"""),"3151-B")</f>
        <v>3151-B</v>
      </c>
      <c r="B3342" s="5" t="str">
        <f ca="1">IFERROR(__xludf.DUMMYFUNCTION("""COMPUTED_VALUE"""),"الاسكندرية")</f>
        <v>الاسكندرية</v>
      </c>
      <c r="C3342" s="5" t="str">
        <f ca="1">IFERROR(__xludf.DUMMYFUNCTION("""COMPUTED_VALUE"""),"محطة الرمل")</f>
        <v>محطة الرمل</v>
      </c>
      <c r="D3342" s="5" t="str">
        <f ca="1">IFERROR(__xludf.DUMMYFUNCTION("""COMPUTED_VALUE"""),"مركز أشعة و تحاليل")</f>
        <v>مركز أشعة و تحاليل</v>
      </c>
      <c r="E3342" s="5" t="str">
        <f ca="1">IFERROR(__xludf.DUMMYFUNCTION("""COMPUTED_VALUE""")," أشعة و تحاليل")</f>
        <v xml:space="preserve"> أشعة و تحاليل</v>
      </c>
      <c r="F3342" s="5" t="str">
        <f ca="1">IFERROR(__xludf.DUMMYFUNCTION("""COMPUTED_VALUE""")," أشعة و تحاليل")</f>
        <v xml:space="preserve"> أشعة و تحاليل</v>
      </c>
      <c r="G3342" s="5" t="str">
        <f ca="1">IFERROR(__xludf.DUMMYFUNCTION("""COMPUTED_VALUE"""),"مركز دار الاشعة")</f>
        <v>مركز دار الاشعة</v>
      </c>
      <c r="H3342" s="5" t="str">
        <f ca="1">IFERROR(__xludf.DUMMYFUNCTION("""COMPUTED_VALUE"""),"8 شارع ابن الصائغ متفرع من السلطان حسين محطة الرمل")</f>
        <v>8 شارع ابن الصائغ متفرع من السلطان حسين محطة الرمل</v>
      </c>
      <c r="I3342" s="6" t="str">
        <f ca="1">IFERROR(__xludf.DUMMYFUNCTION("""COMPUTED_VALUE"""),"01147633441")</f>
        <v>01147633441</v>
      </c>
      <c r="J3342" s="6" t="str">
        <f ca="1">IFERROR(__xludf.DUMMYFUNCTION("""COMPUTED_VALUE"""),"15866")</f>
        <v>15866</v>
      </c>
      <c r="K3342" s="6" t="str">
        <f ca="1">IFERROR(__xludf.DUMMYFUNCTION("""COMPUTED_VALUE"""),"10%على الاشعة المقطاعية والرنين المغناطيسى ,20% على الموجات الصوتية والاشعة العادية ,20% على التحاليل")</f>
        <v>10%على الاشعة المقطاعية والرنين المغناطيسى ,20% على الموجات الصوتية والاشعة العادية ,20% على التحاليل</v>
      </c>
    </row>
    <row r="3343" spans="1:11" x14ac:dyDescent="0.25">
      <c r="A3343" s="4" t="str">
        <f ca="1">IFERROR(__xludf.DUMMYFUNCTION("""COMPUTED_VALUE"""),"107585")</f>
        <v>107585</v>
      </c>
      <c r="B3343" s="5" t="str">
        <f ca="1">IFERROR(__xludf.DUMMYFUNCTION("""COMPUTED_VALUE"""),"البحيرة")</f>
        <v>البحيرة</v>
      </c>
      <c r="C3343" s="5" t="str">
        <f ca="1">IFERROR(__xludf.DUMMYFUNCTION("""COMPUTED_VALUE"""),"ابو المطامير")</f>
        <v>ابو المطامير</v>
      </c>
      <c r="D3343" s="5" t="str">
        <f ca="1">IFERROR(__xludf.DUMMYFUNCTION("""COMPUTED_VALUE"""),"مركز أشعة")</f>
        <v>مركز أشعة</v>
      </c>
      <c r="E3343" s="5" t="str">
        <f ca="1">IFERROR(__xludf.DUMMYFUNCTION("""COMPUTED_VALUE"""),"مركز أشعة")</f>
        <v>مركز أشعة</v>
      </c>
      <c r="F3343" s="5" t="str">
        <f ca="1">IFERROR(__xludf.DUMMYFUNCTION("""COMPUTED_VALUE"""),"أشعة تشخيصية")</f>
        <v>أشعة تشخيصية</v>
      </c>
      <c r="G3343" s="5" t="str">
        <f ca="1">IFERROR(__xludf.DUMMYFUNCTION("""COMPUTED_VALUE"""),"الحكمة لادارة المراكز الطبية المتخصصة (مركز الحكمة سكان للأشعة)")</f>
        <v>الحكمة لادارة المراكز الطبية المتخصصة (مركز الحكمة سكان للأشعة)</v>
      </c>
      <c r="H3343" s="5" t="str">
        <f ca="1">IFERROR(__xludf.DUMMYFUNCTION("""COMPUTED_VALUE"""),"3 برج نوار الطريق الدائري - أبو المطامير - البحيرة")</f>
        <v>3 برج نوار الطريق الدائري - أبو المطامير - البحيرة</v>
      </c>
      <c r="I3343" s="6" t="str">
        <f ca="1">IFERROR(__xludf.DUMMYFUNCTION("""COMPUTED_VALUE"""),"1009471069")</f>
        <v>1009471069</v>
      </c>
      <c r="J3343" s="6"/>
      <c r="K3343" s="6" t="str">
        <f ca="1">IFERROR(__xludf.DUMMYFUNCTION("""COMPUTED_VALUE"""),"خصم 20% علي الأسعار النقدي المعلنة")</f>
        <v>خصم 20% علي الأسعار النقدي المعلنة</v>
      </c>
    </row>
    <row r="3344" spans="1:11" x14ac:dyDescent="0.25">
      <c r="A3344" s="4" t="str">
        <f ca="1">IFERROR(__xludf.DUMMYFUNCTION("""COMPUTED_VALUE"""),"107585-B")</f>
        <v>107585-B</v>
      </c>
      <c r="B3344" s="5" t="str">
        <f ca="1">IFERROR(__xludf.DUMMYFUNCTION("""COMPUTED_VALUE"""),"الاسكندرية")</f>
        <v>الاسكندرية</v>
      </c>
      <c r="C3344" s="5" t="str">
        <f ca="1">IFERROR(__xludf.DUMMYFUNCTION("""COMPUTED_VALUE"""),"محرم بيك")</f>
        <v>محرم بيك</v>
      </c>
      <c r="D3344" s="5" t="str">
        <f ca="1">IFERROR(__xludf.DUMMYFUNCTION("""COMPUTED_VALUE"""),"مركز أشعة")</f>
        <v>مركز أشعة</v>
      </c>
      <c r="E3344" s="5" t="str">
        <f ca="1">IFERROR(__xludf.DUMMYFUNCTION("""COMPUTED_VALUE"""),"مركز أشعة")</f>
        <v>مركز أشعة</v>
      </c>
      <c r="F3344" s="5" t="str">
        <f ca="1">IFERROR(__xludf.DUMMYFUNCTION("""COMPUTED_VALUE"""),"أشعة تشخيصية")</f>
        <v>أشعة تشخيصية</v>
      </c>
      <c r="G3344" s="5" t="str">
        <f ca="1">IFERROR(__xludf.DUMMYFUNCTION("""COMPUTED_VALUE"""),"الحكمة لادارة المراكز الطبية المتخصصة (مركز الحكمة سكان للأشعة)")</f>
        <v>الحكمة لادارة المراكز الطبية المتخصصة (مركز الحكمة سكان للأشعة)</v>
      </c>
      <c r="H3344" s="5" t="str">
        <f ca="1">IFERROR(__xludf.DUMMYFUNCTION("""COMPUTED_VALUE"""),"16شارع فتح الباب من ش الرصافة (نبيل الوقاد) - محرم بيك - الإسكندرية")</f>
        <v>16شارع فتح الباب من ش الرصافة (نبيل الوقاد) - محرم بيك - الإسكندرية</v>
      </c>
      <c r="I3344" s="6" t="str">
        <f ca="1">IFERROR(__xludf.DUMMYFUNCTION("""COMPUTED_VALUE"""),"1009471069")</f>
        <v>1009471069</v>
      </c>
      <c r="J3344" s="6"/>
      <c r="K3344" s="6" t="str">
        <f ca="1">IFERROR(__xludf.DUMMYFUNCTION("""COMPUTED_VALUE"""),"خصم 20% علي الأسعار النقدي المعلنة")</f>
        <v>خصم 20% علي الأسعار النقدي المعلنة</v>
      </c>
    </row>
    <row r="3345" spans="1:11" x14ac:dyDescent="0.25">
      <c r="A3345" s="4" t="str">
        <f ca="1">IFERROR(__xludf.DUMMYFUNCTION("""COMPUTED_VALUE"""),"107586")</f>
        <v>107586</v>
      </c>
      <c r="B3345" s="5" t="str">
        <f ca="1">IFERROR(__xludf.DUMMYFUNCTION("""COMPUTED_VALUE"""),"المنوفية")</f>
        <v>المنوفية</v>
      </c>
      <c r="C3345" s="5" t="str">
        <f ca="1">IFERROR(__xludf.DUMMYFUNCTION("""COMPUTED_VALUE"""),"الباجور")</f>
        <v>الباجور</v>
      </c>
      <c r="D3345" s="5" t="str">
        <f ca="1">IFERROR(__xludf.DUMMYFUNCTION("""COMPUTED_VALUE"""),"مركز أشعة")</f>
        <v>مركز أشعة</v>
      </c>
      <c r="E3345" s="5" t="str">
        <f ca="1">IFERROR(__xludf.DUMMYFUNCTION("""COMPUTED_VALUE"""),"مركز أشعة")</f>
        <v>مركز أشعة</v>
      </c>
      <c r="F3345" s="5" t="str">
        <f ca="1">IFERROR(__xludf.DUMMYFUNCTION("""COMPUTED_VALUE"""),"أشعة تشخيصية")</f>
        <v>أشعة تشخيصية</v>
      </c>
      <c r="G3345" s="5" t="str">
        <f ca="1">IFERROR(__xludf.DUMMYFUNCTION("""COMPUTED_VALUE"""),"سكان هاوس للمستشفيات (دار الاشعه الجديد)")</f>
        <v>سكان هاوس للمستشفيات (دار الاشعه الجديد)</v>
      </c>
      <c r="H3345" s="5" t="str">
        <f ca="1">IFERROR(__xludf.DUMMYFUNCTION("""COMPUTED_VALUE"""),"ش كمال الشاذلي امام سوبر ماركت خير بلدنا - الباجور - المنوفية")</f>
        <v>ش كمال الشاذلي امام سوبر ماركت خير بلدنا - الباجور - المنوفية</v>
      </c>
      <c r="I3345" s="6" t="str">
        <f ca="1">IFERROR(__xludf.DUMMYFUNCTION("""COMPUTED_VALUE"""),"01000552732")</f>
        <v>01000552732</v>
      </c>
      <c r="J3345" s="6"/>
      <c r="K3345" s="6" t="str">
        <f ca="1">IFERROR(__xludf.DUMMYFUNCTION("""COMPUTED_VALUE"""),"خصم 15% علي الأسعار النقدي المعلنة")</f>
        <v>خصم 15% علي الأسعار النقدي المعلنة</v>
      </c>
    </row>
    <row r="3346" spans="1:11" x14ac:dyDescent="0.25">
      <c r="A3346" s="4" t="str">
        <f ca="1">IFERROR(__xludf.DUMMYFUNCTION("""COMPUTED_VALUE"""),"104892-B")</f>
        <v>104892-B</v>
      </c>
      <c r="B3346" s="5" t="str">
        <f ca="1">IFERROR(__xludf.DUMMYFUNCTION("""COMPUTED_VALUE"""),"القليوبية")</f>
        <v>القليوبية</v>
      </c>
      <c r="C3346" s="5" t="str">
        <f ca="1">IFERROR(__xludf.DUMMYFUNCTION("""COMPUTED_VALUE"""),"مدينة العبور")</f>
        <v>مدينة العبور</v>
      </c>
      <c r="D3346" s="5" t="str">
        <f ca="1">IFERROR(__xludf.DUMMYFUNCTION("""COMPUTED_VALUE"""),"مركز أشعة")</f>
        <v>مركز أشعة</v>
      </c>
      <c r="E3346" s="5" t="str">
        <f ca="1">IFERROR(__xludf.DUMMYFUNCTION("""COMPUTED_VALUE"""),"مركز أشعة")</f>
        <v>مركز أشعة</v>
      </c>
      <c r="F3346" s="5" t="str">
        <f ca="1">IFERROR(__xludf.DUMMYFUNCTION("""COMPUTED_VALUE"""),"مركز الأشعة التشخيصية")</f>
        <v>مركز الأشعة التشخيصية</v>
      </c>
      <c r="G3346" s="5" t="str">
        <f ca="1">IFERROR(__xludf.DUMMYFUNCTION("""COMPUTED_VALUE"""),"مركز دار الاشعة (د/ احمد حسن حسن رزق)")</f>
        <v>مركز دار الاشعة (د/ احمد حسن حسن رزق)</v>
      </c>
      <c r="H3346" s="5" t="str">
        <f ca="1">IFERROR(__xludf.DUMMYFUNCTION("""COMPUTED_VALUE"""),"الحي الاول خلف مول الحجاز بجوار بيت الاسنان")</f>
        <v>الحي الاول خلف مول الحجاز بجوار بيت الاسنان</v>
      </c>
      <c r="I3346" s="6" t="str">
        <f ca="1">IFERROR(__xludf.DUMMYFUNCTION("""COMPUTED_VALUE"""),"01011339795")</f>
        <v>01011339795</v>
      </c>
      <c r="J3346" s="6"/>
      <c r="K3346" s="6" t="str">
        <f ca="1">IFERROR(__xludf.DUMMYFUNCTION("""COMPUTED_VALUE"""),"خصم يصل الي 20%")</f>
        <v>خصم يصل الي 20%</v>
      </c>
    </row>
    <row r="3347" spans="1:11" x14ac:dyDescent="0.25">
      <c r="A3347" s="4" t="str">
        <f ca="1">IFERROR(__xludf.DUMMYFUNCTION("""COMPUTED_VALUE"""),"107587")</f>
        <v>107587</v>
      </c>
      <c r="B3347" s="5" t="str">
        <f ca="1">IFERROR(__xludf.DUMMYFUNCTION("""COMPUTED_VALUE"""),"المنيا")</f>
        <v>المنيا</v>
      </c>
      <c r="C3347" s="5" t="str">
        <f ca="1">IFERROR(__xludf.DUMMYFUNCTION("""COMPUTED_VALUE"""),"المنيا")</f>
        <v>المنيا</v>
      </c>
      <c r="D3347" s="5" t="str">
        <f ca="1">IFERROR(__xludf.DUMMYFUNCTION("""COMPUTED_VALUE"""),"صيدلية")</f>
        <v>صيدلية</v>
      </c>
      <c r="E3347" s="5" t="str">
        <f ca="1">IFERROR(__xludf.DUMMYFUNCTION("""COMPUTED_VALUE"""),"صيدلية")</f>
        <v>صيدلية</v>
      </c>
      <c r="F3347" s="5" t="str">
        <f ca="1">IFERROR(__xludf.DUMMYFUNCTION("""COMPUTED_VALUE"""),"صيدلية (أدوية ومستلزمات طبية)")</f>
        <v>صيدلية (أدوية ومستلزمات طبية)</v>
      </c>
      <c r="G3347" s="5" t="str">
        <f ca="1">IFERROR(__xludf.DUMMYFUNCTION("""COMPUTED_VALUE"""),"نوران النقراشي ابراهيم يوسف (صيدلية نوران النقراشي ""القرطبي"")")</f>
        <v>نوران النقراشي ابراهيم يوسف (صيدلية نوران النقراشي "القرطبي")</v>
      </c>
      <c r="H3347" s="5" t="str">
        <f ca="1">IFERROR(__xludf.DUMMYFUNCTION("""COMPUTED_VALUE"""),"محل رقم 9 برج الرجاء الحبشي - المنيا")</f>
        <v>محل رقم 9 برج الرجاء الحبشي - المنيا</v>
      </c>
      <c r="I3347" s="6" t="str">
        <f ca="1">IFERROR(__xludf.DUMMYFUNCTION("""COMPUTED_VALUE"""),"010119988111")</f>
        <v>010119988111</v>
      </c>
      <c r="J3347" s="6"/>
      <c r="K3347" s="6" t="str">
        <f ca="1">IFERROR(__xludf.DUMMYFUNCTION("""COMPUTED_VALUE"""),"خصم 14% علي المحلي و 7% علي المستورد")</f>
        <v>خصم 14% علي المحلي و 7% علي المستورد</v>
      </c>
    </row>
    <row r="3348" spans="1:11" x14ac:dyDescent="0.25">
      <c r="A3348" s="4" t="str">
        <f ca="1">IFERROR(__xludf.DUMMYFUNCTION("""COMPUTED_VALUE"""),"107487-B")</f>
        <v>107487-B</v>
      </c>
      <c r="B3348" s="5" t="str">
        <f ca="1">IFERROR(__xludf.DUMMYFUNCTION("""COMPUTED_VALUE"""),"السويس")</f>
        <v>السويس</v>
      </c>
      <c r="C3348" s="5" t="str">
        <f ca="1">IFERROR(__xludf.DUMMYFUNCTION("""COMPUTED_VALUE"""),"السويس")</f>
        <v>السويس</v>
      </c>
      <c r="D3348" s="5" t="str">
        <f ca="1">IFERROR(__xludf.DUMMYFUNCTION("""COMPUTED_VALUE"""),"هيئة الأطباء")</f>
        <v>هيئة الأطباء</v>
      </c>
      <c r="E3348" s="5" t="str">
        <f ca="1">IFERROR(__xludf.DUMMYFUNCTION("""COMPUTED_VALUE"""),"اسنان")</f>
        <v>اسنان</v>
      </c>
      <c r="F3348" s="5" t="str">
        <f ca="1">IFERROR(__xludf.DUMMYFUNCTION("""COMPUTED_VALUE"""),"جراحة الفم والأسنان")</f>
        <v>جراحة الفم والأسنان</v>
      </c>
      <c r="G3348" s="5" t="str">
        <f ca="1">IFERROR(__xludf.DUMMYFUNCTION("""COMPUTED_VALUE"""),"كريم مصطفي كمال محمد لطفي (عيادة اورا للاسنان)")</f>
        <v>كريم مصطفي كمال محمد لطفي (عيادة اورا للاسنان)</v>
      </c>
      <c r="H3348" s="5" t="str">
        <f ca="1">IFERROR(__xludf.DUMMYFUNCTION("""COMPUTED_VALUE"""),"64ش امين الحسيني")</f>
        <v>64ش امين الحسيني</v>
      </c>
      <c r="I3348" s="6" t="str">
        <f ca="1">IFERROR(__xludf.DUMMYFUNCTION("""COMPUTED_VALUE"""),"01009124447")</f>
        <v>01009124447</v>
      </c>
      <c r="J3348" s="6"/>
      <c r="K3348" s="6" t="str">
        <f ca="1">IFERROR(__xludf.DUMMYFUNCTION("""COMPUTED_VALUE"""),"خصم 30% علي الاسعار النقدي")</f>
        <v>خصم 30% علي الاسعار النقدي</v>
      </c>
    </row>
    <row r="3349" spans="1:11" x14ac:dyDescent="0.25">
      <c r="A3349" s="4" t="str">
        <f ca="1">IFERROR(__xludf.DUMMYFUNCTION("""COMPUTED_VALUE"""),"107588")</f>
        <v>107588</v>
      </c>
      <c r="B3349" s="5" t="str">
        <f ca="1">IFERROR(__xludf.DUMMYFUNCTION("""COMPUTED_VALUE"""),"البحيرة")</f>
        <v>البحيرة</v>
      </c>
      <c r="C3349" s="5" t="str">
        <f ca="1">IFERROR(__xludf.DUMMYFUNCTION("""COMPUTED_VALUE"""),"كوم حمادة")</f>
        <v>كوم حمادة</v>
      </c>
      <c r="D3349" s="5" t="str">
        <f ca="1">IFERROR(__xludf.DUMMYFUNCTION("""COMPUTED_VALUE"""),"صيدلية")</f>
        <v>صيدلية</v>
      </c>
      <c r="E3349" s="5" t="str">
        <f ca="1">IFERROR(__xludf.DUMMYFUNCTION("""COMPUTED_VALUE"""),"صيدلية")</f>
        <v>صيدلية</v>
      </c>
      <c r="F3349" s="5" t="str">
        <f ca="1">IFERROR(__xludf.DUMMYFUNCTION("""COMPUTED_VALUE"""),"صيدلية (أدوية ومستلزمات طبية)")</f>
        <v>صيدلية (أدوية ومستلزمات طبية)</v>
      </c>
      <c r="G3349" s="5" t="str">
        <f ca="1">IFERROR(__xludf.DUMMYFUNCTION("""COMPUTED_VALUE"""),"محمد بهاء الدين عبداللطيف البري (صيدلية د. محمد البري)")</f>
        <v>محمد بهاء الدين عبداللطيف البري (صيدلية د. محمد البري)</v>
      </c>
      <c r="H3349" s="5" t="str">
        <f ca="1">IFERROR(__xludf.DUMMYFUNCTION("""COMPUTED_VALUE"""),"ش المدارس - كوم حمادة - البحيرة")</f>
        <v>ش المدارس - كوم حمادة - البحيرة</v>
      </c>
      <c r="I3349" s="6" t="str">
        <f ca="1">IFERROR(__xludf.DUMMYFUNCTION("""COMPUTED_VALUE"""),"01010855397")</f>
        <v>01010855397</v>
      </c>
      <c r="J3349" s="6"/>
      <c r="K3349" s="6" t="str">
        <f ca="1">IFERROR(__xludf.DUMMYFUNCTION("""COMPUTED_VALUE"""),"خصم 16% علي المحلي و 9% علي المستورد")</f>
        <v>خصم 16% علي المحلي و 9% علي المستورد</v>
      </c>
    </row>
    <row r="3350" spans="1:11" x14ac:dyDescent="0.25">
      <c r="A3350" s="4" t="str">
        <f ca="1">IFERROR(__xludf.DUMMYFUNCTION("""COMPUTED_VALUE"""),"107591")</f>
        <v>107591</v>
      </c>
      <c r="B3350" s="5" t="str">
        <f ca="1">IFERROR(__xludf.DUMMYFUNCTION("""COMPUTED_VALUE"""),"القاهرة")</f>
        <v>القاهرة</v>
      </c>
      <c r="C3350" s="5" t="str">
        <f ca="1">IFERROR(__xludf.DUMMYFUNCTION("""COMPUTED_VALUE"""),"مدينة بدر")</f>
        <v>مدينة بدر</v>
      </c>
      <c r="D3350" s="5" t="str">
        <f ca="1">IFERROR(__xludf.DUMMYFUNCTION("""COMPUTED_VALUE"""),"مجمع عيادات")</f>
        <v>مجمع عيادات</v>
      </c>
      <c r="E3350" s="5" t="str">
        <f ca="1">IFERROR(__xludf.DUMMYFUNCTION("""COMPUTED_VALUE"""),"جميع التخصصات")</f>
        <v>جميع التخصصات</v>
      </c>
      <c r="F3350" s="5" t="str">
        <f ca="1">IFERROR(__xludf.DUMMYFUNCTION("""COMPUTED_VALUE"""),"جميع التخصصات الطبية")</f>
        <v>جميع التخصصات الطبية</v>
      </c>
      <c r="G3350" s="5" t="str">
        <f ca="1">IFERROR(__xludf.DUMMYFUNCTION("""COMPUTED_VALUE"""),"جيه ام جروب للرعايه الصحيه (عيادات جيه ام كلينيك التخصصية)")</f>
        <v>جيه ام جروب للرعايه الصحيه (عيادات جيه ام كلينيك التخصصية)</v>
      </c>
      <c r="H3350" s="5" t="str">
        <f ca="1">IFERROR(__xludf.DUMMYFUNCTION("""COMPUTED_VALUE"""),"6 شارع الجامعه الروسية - مدينة بدر - القاهرة")</f>
        <v>6 شارع الجامعه الروسية - مدينة بدر - القاهرة</v>
      </c>
      <c r="I3350" s="6" t="str">
        <f ca="1">IFERROR(__xludf.DUMMYFUNCTION("""COMPUTED_VALUE"""),"01025475775")</f>
        <v>01025475775</v>
      </c>
      <c r="J3350" s="6"/>
      <c r="K3350" s="6" t="str">
        <f ca="1">IFERROR(__xludf.DUMMYFUNCTION("""COMPUTED_VALUE"""),"خصم 30% علي الاسعار النقدي")</f>
        <v>خصم 30% علي الاسعار النقدي</v>
      </c>
    </row>
    <row r="3351" spans="1:11" x14ac:dyDescent="0.25">
      <c r="A3351" s="4" t="str">
        <f ca="1">IFERROR(__xludf.DUMMYFUNCTION("""COMPUTED_VALUE"""),"107591-B")</f>
        <v>107591-B</v>
      </c>
      <c r="B3351" s="5" t="str">
        <f ca="1">IFERROR(__xludf.DUMMYFUNCTION("""COMPUTED_VALUE"""),"القاهرة")</f>
        <v>القاهرة</v>
      </c>
      <c r="C3351" s="5" t="str">
        <f ca="1">IFERROR(__xludf.DUMMYFUNCTION("""COMPUTED_VALUE"""),"مدينة الشروق")</f>
        <v>مدينة الشروق</v>
      </c>
      <c r="D3351" s="5" t="str">
        <f ca="1">IFERROR(__xludf.DUMMYFUNCTION("""COMPUTED_VALUE"""),"مجمع عيادات")</f>
        <v>مجمع عيادات</v>
      </c>
      <c r="E3351" s="5" t="str">
        <f ca="1">IFERROR(__xludf.DUMMYFUNCTION("""COMPUTED_VALUE"""),"جميع التخصصات")</f>
        <v>جميع التخصصات</v>
      </c>
      <c r="F3351" s="5" t="str">
        <f ca="1">IFERROR(__xludf.DUMMYFUNCTION("""COMPUTED_VALUE"""),"جميع التخصصات الطبية")</f>
        <v>جميع التخصصات الطبية</v>
      </c>
      <c r="G3351" s="5" t="str">
        <f ca="1">IFERROR(__xludf.DUMMYFUNCTION("""COMPUTED_VALUE"""),"جيه ام جروب للرعايه الصحيه (عيادات جيه ام كلينيك التخصصية)")</f>
        <v>جيه ام جروب للرعايه الصحيه (عيادات جيه ام كلينيك التخصصية)</v>
      </c>
      <c r="H3351" s="5" t="str">
        <f ca="1">IFERROR(__xludf.DUMMYFUNCTION("""COMPUTED_VALUE"""),"1 مول بانوراما شقة 25 الدور الخامس - مدينة الشروق - القاهرة")</f>
        <v>1 مول بانوراما شقة 25 الدور الخامس - مدينة الشروق - القاهرة</v>
      </c>
      <c r="I3351" s="6" t="str">
        <f ca="1">IFERROR(__xludf.DUMMYFUNCTION("""COMPUTED_VALUE"""),"01025475775")</f>
        <v>01025475775</v>
      </c>
      <c r="J3351" s="6"/>
      <c r="K3351" s="6" t="str">
        <f ca="1">IFERROR(__xludf.DUMMYFUNCTION("""COMPUTED_VALUE"""),"خصم 30% علي الاسعار النقدي")</f>
        <v>خصم 30% علي الاسعار النقدي</v>
      </c>
    </row>
    <row r="3352" spans="1:11" x14ac:dyDescent="0.25">
      <c r="A3352" s="4" t="str">
        <f ca="1">IFERROR(__xludf.DUMMYFUNCTION("""COMPUTED_VALUE"""),"107592")</f>
        <v>107592</v>
      </c>
      <c r="B3352" s="5" t="str">
        <f ca="1">IFERROR(__xludf.DUMMYFUNCTION("""COMPUTED_VALUE"""),"القاهرة")</f>
        <v>القاهرة</v>
      </c>
      <c r="C3352" s="5" t="str">
        <f ca="1">IFERROR(__xludf.DUMMYFUNCTION("""COMPUTED_VALUE"""),"القاهرة الجديدة")</f>
        <v>القاهرة الجديدة</v>
      </c>
      <c r="D3352" s="5" t="str">
        <f ca="1">IFERROR(__xludf.DUMMYFUNCTION("""COMPUTED_VALUE"""),"مجمع عيادات")</f>
        <v>مجمع عيادات</v>
      </c>
      <c r="E3352" s="5" t="str">
        <f ca="1">IFERROR(__xludf.DUMMYFUNCTION("""COMPUTED_VALUE"""),"جميع التخصصات")</f>
        <v>جميع التخصصات</v>
      </c>
      <c r="F3352" s="5" t="str">
        <f ca="1">IFERROR(__xludf.DUMMYFUNCTION("""COMPUTED_VALUE"""),"جميع التخصصات الطبية")</f>
        <v>جميع التخصصات الطبية</v>
      </c>
      <c r="G3352" s="5" t="str">
        <f ca="1">IFERROR(__xludf.DUMMYFUNCTION("""COMPUTED_VALUE"""),"ياسر فاروق و شركاه (مركز دبي لندن)")</f>
        <v>ياسر فاروق و شركاه (مركز دبي لندن)</v>
      </c>
      <c r="H3352" s="5" t="str">
        <f ca="1">IFERROR(__xludf.DUMMYFUNCTION("""COMPUTED_VALUE"""),"منطقة المستثمرين الجنوبية مركز خدمات ص التجمع الخامس - القاهرة الجديدة - القاهرة")</f>
        <v>منطقة المستثمرين الجنوبية مركز خدمات ص التجمع الخامس - القاهرة الجديدة - القاهرة</v>
      </c>
      <c r="I3352" s="6" t="str">
        <f ca="1">IFERROR(__xludf.DUMMYFUNCTION("""COMPUTED_VALUE"""),"01033993303")</f>
        <v>01033993303</v>
      </c>
      <c r="J3352" s="6"/>
      <c r="K3352" s="6" t="str">
        <f ca="1">IFERROR(__xludf.DUMMYFUNCTION("""COMPUTED_VALUE"""),"خصم 30% علي الاسعار النقدي")</f>
        <v>خصم 30% علي الاسعار النقدي</v>
      </c>
    </row>
    <row r="3353" spans="1:11" x14ac:dyDescent="0.25">
      <c r="A3353" s="4" t="str">
        <f ca="1">IFERROR(__xludf.DUMMYFUNCTION("""COMPUTED_VALUE"""),"107594")</f>
        <v>107594</v>
      </c>
      <c r="B3353" s="5" t="str">
        <f ca="1">IFERROR(__xludf.DUMMYFUNCTION("""COMPUTED_VALUE"""),"الدقهلية")</f>
        <v>الدقهلية</v>
      </c>
      <c r="C3353" s="5" t="str">
        <f ca="1">IFERROR(__xludf.DUMMYFUNCTION("""COMPUTED_VALUE"""),"دكرنس")</f>
        <v>دكرنس</v>
      </c>
      <c r="D3353" s="5" t="str">
        <f ca="1">IFERROR(__xludf.DUMMYFUNCTION("""COMPUTED_VALUE"""),"مستشفى")</f>
        <v>مستشفى</v>
      </c>
      <c r="E3353" s="5" t="str">
        <f ca="1">IFERROR(__xludf.DUMMYFUNCTION("""COMPUTED_VALUE"""),"جميع التخصصات")</f>
        <v>جميع التخصصات</v>
      </c>
      <c r="F3353" s="5" t="str">
        <f ca="1">IFERROR(__xludf.DUMMYFUNCTION("""COMPUTED_VALUE"""),"جميع التخصصات الطبية")</f>
        <v>جميع التخصصات الطبية</v>
      </c>
      <c r="G3353" s="5" t="str">
        <f ca="1">IFERROR(__xludf.DUMMYFUNCTION("""COMPUTED_VALUE"""),"سلامه محمد عبدالسلام اسماعيل (مستشفي الندي)")</f>
        <v>سلامه محمد عبدالسلام اسماعيل (مستشفي الندي)</v>
      </c>
      <c r="H3353" s="5" t="str">
        <f ca="1">IFERROR(__xludf.DUMMYFUNCTION("""COMPUTED_VALUE"""),"شارع بورسعيد - دكرنس - الدقهلية")</f>
        <v>شارع بورسعيد - دكرنس - الدقهلية</v>
      </c>
      <c r="I3353" s="6" t="str">
        <f ca="1">IFERROR(__xludf.DUMMYFUNCTION("""COMPUTED_VALUE"""),"01080321117")</f>
        <v>01080321117</v>
      </c>
      <c r="J3353" s="6"/>
      <c r="K3353" s="6" t="str">
        <f ca="1">IFERROR(__xludf.DUMMYFUNCTION("""COMPUTED_VALUE"""),"خصم 30% علي الاسعار النقدي")</f>
        <v>خصم 30% علي الاسعار النقدي</v>
      </c>
    </row>
    <row r="3354" spans="1:11" x14ac:dyDescent="0.25">
      <c r="A3354" s="4" t="str">
        <f ca="1">IFERROR(__xludf.DUMMYFUNCTION("""COMPUTED_VALUE"""),"107595")</f>
        <v>107595</v>
      </c>
      <c r="B3354" s="5" t="str">
        <f ca="1">IFERROR(__xludf.DUMMYFUNCTION("""COMPUTED_VALUE"""),"قنا")</f>
        <v>قنا</v>
      </c>
      <c r="C3354" s="5" t="str">
        <f ca="1">IFERROR(__xludf.DUMMYFUNCTION("""COMPUTED_VALUE"""),"فرشوط")</f>
        <v>فرشوط</v>
      </c>
      <c r="D3354" s="5" t="str">
        <f ca="1">IFERROR(__xludf.DUMMYFUNCTION("""COMPUTED_VALUE"""),"هيئة الأطباء")</f>
        <v>هيئة الأطباء</v>
      </c>
      <c r="E3354" s="5" t="str">
        <f ca="1">IFERROR(__xludf.DUMMYFUNCTION("""COMPUTED_VALUE"""),"باطنة")</f>
        <v>باطنة</v>
      </c>
      <c r="F3354" s="5" t="str">
        <f ca="1">IFERROR(__xludf.DUMMYFUNCTION("""COMPUTED_VALUE"""),"كبد وجهاز هضمي")</f>
        <v>كبد وجهاز هضمي</v>
      </c>
      <c r="G3354" s="5" t="str">
        <f ca="1">IFERROR(__xludf.DUMMYFUNCTION("""COMPUTED_VALUE"""),"د. احمد محمد منصور عبدالشافي (د. أحمد سراج)")</f>
        <v>د. احمد محمد منصور عبدالشافي (د. أحمد سراج)</v>
      </c>
      <c r="H3354" s="5" t="str">
        <f ca="1">IFERROR(__xludf.DUMMYFUNCTION("""COMPUTED_VALUE"""),"ش بورسعيد - فرشوط - قنا")</f>
        <v>ش بورسعيد - فرشوط - قنا</v>
      </c>
      <c r="I3354" s="6" t="str">
        <f ca="1">IFERROR(__xludf.DUMMYFUNCTION("""COMPUTED_VALUE"""),"01006168472")</f>
        <v>01006168472</v>
      </c>
      <c r="J3354" s="6"/>
      <c r="K3354" s="6" t="str">
        <f ca="1">IFERROR(__xludf.DUMMYFUNCTION("""COMPUTED_VALUE"""),"خصم 30% علي الاسعار النقدي")</f>
        <v>خصم 30% علي الاسعار النقدي</v>
      </c>
    </row>
    <row r="3355" spans="1:11" x14ac:dyDescent="0.25">
      <c r="A3355" s="4" t="str">
        <f ca="1">IFERROR(__xludf.DUMMYFUNCTION("""COMPUTED_VALUE"""),"107596")</f>
        <v>107596</v>
      </c>
      <c r="B3355" s="5" t="str">
        <f ca="1">IFERROR(__xludf.DUMMYFUNCTION("""COMPUTED_VALUE"""),"القاهرة")</f>
        <v>القاهرة</v>
      </c>
      <c r="C3355" s="5" t="str">
        <f ca="1">IFERROR(__xludf.DUMMYFUNCTION("""COMPUTED_VALUE"""),"حدائق القبة")</f>
        <v>حدائق القبة</v>
      </c>
      <c r="D3355" s="5" t="str">
        <f ca="1">IFERROR(__xludf.DUMMYFUNCTION("""COMPUTED_VALUE"""),"هيئة الأطباء")</f>
        <v>هيئة الأطباء</v>
      </c>
      <c r="E3355" s="5" t="str">
        <f ca="1">IFERROR(__xludf.DUMMYFUNCTION("""COMPUTED_VALUE"""),"باطنة")</f>
        <v>باطنة</v>
      </c>
      <c r="F3355" s="5" t="str">
        <f ca="1">IFERROR(__xludf.DUMMYFUNCTION("""COMPUTED_VALUE"""),"قلب واوعية دموية")</f>
        <v>قلب واوعية دموية</v>
      </c>
      <c r="G3355" s="5" t="str">
        <f ca="1">IFERROR(__xludf.DUMMYFUNCTION("""COMPUTED_VALUE"""),"د. حلمي احمد احمد عبدالرحمن (مركز قلب مصر لفحوصات القلب و الاوعية الدموية)")</f>
        <v>د. حلمي احمد احمد عبدالرحمن (مركز قلب مصر لفحوصات القلب و الاوعية الدموية)</v>
      </c>
      <c r="H3355" s="5" t="str">
        <f ca="1">IFERROR(__xludf.DUMMYFUNCTION("""COMPUTED_VALUE"""),"108 ش امتداد ولي العهد - الدور الخامس - حدائق القبة - القاهرة")</f>
        <v>108 ش امتداد ولي العهد - الدور الخامس - حدائق القبة - القاهرة</v>
      </c>
      <c r="I3355" s="6" t="str">
        <f ca="1">IFERROR(__xludf.DUMMYFUNCTION("""COMPUTED_VALUE"""),"01119844130")</f>
        <v>01119844130</v>
      </c>
      <c r="J3355" s="6"/>
      <c r="K3355" s="6" t="str">
        <f ca="1">IFERROR(__xludf.DUMMYFUNCTION("""COMPUTED_VALUE"""),"خصم 30% علي الاسعار النقدي")</f>
        <v>خصم 30% علي الاسعار النقدي</v>
      </c>
    </row>
    <row r="3356" spans="1:11" x14ac:dyDescent="0.25">
      <c r="A3356" s="4" t="str">
        <f ca="1">IFERROR(__xludf.DUMMYFUNCTION("""COMPUTED_VALUE"""),"107596-B")</f>
        <v>107596-B</v>
      </c>
      <c r="B3356" s="5" t="str">
        <f ca="1">IFERROR(__xludf.DUMMYFUNCTION("""COMPUTED_VALUE"""),"القاهرة")</f>
        <v>القاهرة</v>
      </c>
      <c r="C3356" s="5" t="str">
        <f ca="1">IFERROR(__xludf.DUMMYFUNCTION("""COMPUTED_VALUE"""),"القاهرة الجديدة")</f>
        <v>القاهرة الجديدة</v>
      </c>
      <c r="D3356" s="5" t="str">
        <f ca="1">IFERROR(__xludf.DUMMYFUNCTION("""COMPUTED_VALUE"""),"هيئة الأطباء")</f>
        <v>هيئة الأطباء</v>
      </c>
      <c r="E3356" s="5" t="str">
        <f ca="1">IFERROR(__xludf.DUMMYFUNCTION("""COMPUTED_VALUE"""),"باطنة")</f>
        <v>باطنة</v>
      </c>
      <c r="F3356" s="5" t="str">
        <f ca="1">IFERROR(__xludf.DUMMYFUNCTION("""COMPUTED_VALUE"""),"قلب واوعية دموية")</f>
        <v>قلب واوعية دموية</v>
      </c>
      <c r="G3356" s="5" t="str">
        <f ca="1">IFERROR(__xludf.DUMMYFUNCTION("""COMPUTED_VALUE"""),"د. حلمي احمد احمد عبدالرحمن (مركز قلب مصر لفحوصات القلب و الاوعية الدموية)")</f>
        <v>د. حلمي احمد احمد عبدالرحمن (مركز قلب مصر لفحوصات القلب و الاوعية الدموية)</v>
      </c>
      <c r="H3356" s="5" t="str">
        <f ca="1">IFERROR(__xludf.DUMMYFUNCTION("""COMPUTED_VALUE"""),"المركز التجاري اول سيزون بارك - وحده S067- الدور الثاني - مدينتي")</f>
        <v>المركز التجاري اول سيزون بارك - وحده S067- الدور الثاني - مدينتي</v>
      </c>
      <c r="I3356" s="6" t="str">
        <f ca="1">IFERROR(__xludf.DUMMYFUNCTION("""COMPUTED_VALUE"""),"01119844130")</f>
        <v>01119844130</v>
      </c>
      <c r="J3356" s="6"/>
      <c r="K3356" s="6" t="str">
        <f ca="1">IFERROR(__xludf.DUMMYFUNCTION("""COMPUTED_VALUE"""),"خصم 30% علي الاسعار النقدي")</f>
        <v>خصم 30% علي الاسعار النقدي</v>
      </c>
    </row>
    <row r="3357" spans="1:11" x14ac:dyDescent="0.25">
      <c r="A3357" s="4" t="str">
        <f ca="1">IFERROR(__xludf.DUMMYFUNCTION("""COMPUTED_VALUE"""),"107597")</f>
        <v>107597</v>
      </c>
      <c r="B3357" s="5" t="str">
        <f ca="1">IFERROR(__xludf.DUMMYFUNCTION("""COMPUTED_VALUE"""),"بني سويف")</f>
        <v>بني سويف</v>
      </c>
      <c r="C3357" s="5" t="str">
        <f ca="1">IFERROR(__xludf.DUMMYFUNCTION("""COMPUTED_VALUE"""),"بني سويف")</f>
        <v>بني سويف</v>
      </c>
      <c r="D3357" s="5" t="str">
        <f ca="1">IFERROR(__xludf.DUMMYFUNCTION("""COMPUTED_VALUE"""),"شركة")</f>
        <v>شركة</v>
      </c>
      <c r="E3357" s="5" t="str">
        <f ca="1">IFERROR(__xludf.DUMMYFUNCTION("""COMPUTED_VALUE"""),"شركة اجهزة طبية")</f>
        <v>شركة اجهزة طبية</v>
      </c>
      <c r="F3357" s="5" t="str">
        <f ca="1">IFERROR(__xludf.DUMMYFUNCTION("""COMPUTED_VALUE"""),"مركز بصريات")</f>
        <v>مركز بصريات</v>
      </c>
      <c r="G3357" s="5" t="str">
        <f ca="1">IFERROR(__xludf.DUMMYFUNCTION("""COMPUTED_VALUE"""),"اسلام سيد محمود حسن (فور سيزون للبصريات)")</f>
        <v>اسلام سيد محمود حسن (فور سيزون للبصريات)</v>
      </c>
      <c r="H3357" s="5" t="str">
        <f ca="1">IFERROR(__xludf.DUMMYFUNCTION("""COMPUTED_VALUE"""),"2 شارع اسلام من احمد عرابي - بني سويف")</f>
        <v>2 شارع اسلام من احمد عرابي - بني سويف</v>
      </c>
      <c r="I3357" s="6" t="str">
        <f ca="1">IFERROR(__xludf.DUMMYFUNCTION("""COMPUTED_VALUE"""),"01005807491")</f>
        <v>01005807491</v>
      </c>
      <c r="J3357" s="6"/>
      <c r="K3357" s="6" t="str">
        <f ca="1">IFERROR(__xludf.DUMMYFUNCTION("""COMPUTED_VALUE"""),"خصم 35% علي الاسعار النقدي")</f>
        <v>خصم 35% علي الاسعار النقدي</v>
      </c>
    </row>
    <row r="3358" spans="1:11" x14ac:dyDescent="0.25">
      <c r="A3358" s="4" t="str">
        <f ca="1">IFERROR(__xludf.DUMMYFUNCTION("""COMPUTED_VALUE"""),"107598")</f>
        <v>107598</v>
      </c>
      <c r="B3358" s="5" t="str">
        <f ca="1">IFERROR(__xludf.DUMMYFUNCTION("""COMPUTED_VALUE"""),"الاسكندرية")</f>
        <v>الاسكندرية</v>
      </c>
      <c r="C3358" s="5" t="str">
        <f ca="1">IFERROR(__xludf.DUMMYFUNCTION("""COMPUTED_VALUE"""),"برج العرب")</f>
        <v>برج العرب</v>
      </c>
      <c r="D3358" s="5" t="str">
        <f ca="1">IFERROR(__xludf.DUMMYFUNCTION("""COMPUTED_VALUE"""),"مركز علاج طبيعي")</f>
        <v>مركز علاج طبيعي</v>
      </c>
      <c r="E3358" s="5" t="str">
        <f ca="1">IFERROR(__xludf.DUMMYFUNCTION("""COMPUTED_VALUE"""),"علاج طبيعي")</f>
        <v>علاج طبيعي</v>
      </c>
      <c r="F3358" s="5" t="str">
        <f ca="1">IFERROR(__xludf.DUMMYFUNCTION("""COMPUTED_VALUE"""),"جلسات العلاج الطبيعي")</f>
        <v>جلسات العلاج الطبيعي</v>
      </c>
      <c r="G3358" s="5" t="str">
        <f ca="1">IFERROR(__xludf.DUMMYFUNCTION("""COMPUTED_VALUE"""),"الشركة المصرية للمنتجعات السياحية كنجزرانش Premedion")</f>
        <v>الشركة المصرية للمنتجعات السياحية كنجزرانش Premedion</v>
      </c>
      <c r="H3358" s="5" t="str">
        <f ca="1">IFERROR(__xludf.DUMMYFUNCTION("""COMPUTED_VALUE"""),"جامعه فاروس مبني مجموعه شركات رجب المحمودية")</f>
        <v>جامعه فاروس مبني مجموعه شركات رجب المحمودية</v>
      </c>
      <c r="I3358" s="6" t="str">
        <f ca="1">IFERROR(__xludf.DUMMYFUNCTION("""COMPUTED_VALUE"""),"01112000008")</f>
        <v>01112000008</v>
      </c>
      <c r="J3358" s="6"/>
      <c r="K3358" s="6" t="str">
        <f ca="1">IFERROR(__xludf.DUMMYFUNCTION("""COMPUTED_VALUE"""),"خصم يصل الي 20%")</f>
        <v>خصم يصل الي 20%</v>
      </c>
    </row>
    <row r="3359" spans="1:11" x14ac:dyDescent="0.25">
      <c r="A3359" s="4" t="str">
        <f ca="1">IFERROR(__xludf.DUMMYFUNCTION("""COMPUTED_VALUE"""),"107599")</f>
        <v>107599</v>
      </c>
      <c r="B3359" s="5" t="str">
        <f ca="1">IFERROR(__xludf.DUMMYFUNCTION("""COMPUTED_VALUE"""),"القاهرة")</f>
        <v>القاهرة</v>
      </c>
      <c r="C3359" s="5" t="str">
        <f ca="1">IFERROR(__xludf.DUMMYFUNCTION("""COMPUTED_VALUE"""),"مصر الجديدة")</f>
        <v>مصر الجديدة</v>
      </c>
      <c r="D3359" s="5" t="str">
        <f ca="1">IFERROR(__xludf.DUMMYFUNCTION("""COMPUTED_VALUE"""),"معمل")</f>
        <v>معمل</v>
      </c>
      <c r="E3359" s="5" t="str">
        <f ca="1">IFERROR(__xludf.DUMMYFUNCTION("""COMPUTED_VALUE"""),"معمل")</f>
        <v>معمل</v>
      </c>
      <c r="F3359" s="5" t="str">
        <f ca="1">IFERROR(__xludf.DUMMYFUNCTION("""COMPUTED_VALUE"""),"معمل التحاليل الطبية")</f>
        <v>معمل التحاليل الطبية</v>
      </c>
      <c r="G3359" s="5" t="str">
        <f ca="1">IFERROR(__xludf.DUMMYFUNCTION("""COMPUTED_VALUE"""),"مختبرات العرب الدولية للتحاليل الطبية (معامل مختبرات العرب للتحاليل الطبية)")</f>
        <v>مختبرات العرب الدولية للتحاليل الطبية (معامل مختبرات العرب للتحاليل الطبية)</v>
      </c>
      <c r="H3359" s="5" t="str">
        <f ca="1">IFERROR(__xludf.DUMMYFUNCTION("""COMPUTED_VALUE"""),"7 ش جسر السويس- منشية البكري - مصر الجديدة - القاهرة")</f>
        <v>7 ش جسر السويس- منشية البكري - مصر الجديدة - القاهرة</v>
      </c>
      <c r="I3359" s="6" t="str">
        <f ca="1">IFERROR(__xludf.DUMMYFUNCTION("""COMPUTED_VALUE"""),"01118699288")</f>
        <v>01118699288</v>
      </c>
      <c r="J3359" s="6"/>
      <c r="K3359" s="6" t="str">
        <f ca="1">IFERROR(__xludf.DUMMYFUNCTION("""COMPUTED_VALUE"""),"خصم 30% علي الاسعار النقدي")</f>
        <v>خصم 30% علي الاسعار النقدي</v>
      </c>
    </row>
    <row r="3360" spans="1:11" x14ac:dyDescent="0.25">
      <c r="A3360" s="4" t="str">
        <f ca="1">IFERROR(__xludf.DUMMYFUNCTION("""COMPUTED_VALUE"""),"107599-B")</f>
        <v>107599-B</v>
      </c>
      <c r="B3360" s="5" t="str">
        <f ca="1">IFERROR(__xludf.DUMMYFUNCTION("""COMPUTED_VALUE"""),"القاهرة")</f>
        <v>القاهرة</v>
      </c>
      <c r="C3360" s="5" t="str">
        <f ca="1">IFERROR(__xludf.DUMMYFUNCTION("""COMPUTED_VALUE"""),"عين شمس")</f>
        <v>عين شمس</v>
      </c>
      <c r="D3360" s="5" t="str">
        <f ca="1">IFERROR(__xludf.DUMMYFUNCTION("""COMPUTED_VALUE"""),"معمل")</f>
        <v>معمل</v>
      </c>
      <c r="E3360" s="5" t="str">
        <f ca="1">IFERROR(__xludf.DUMMYFUNCTION("""COMPUTED_VALUE"""),"معمل")</f>
        <v>معمل</v>
      </c>
      <c r="F3360" s="5" t="str">
        <f ca="1">IFERROR(__xludf.DUMMYFUNCTION("""COMPUTED_VALUE"""),"معمل التحاليل الطبية")</f>
        <v>معمل التحاليل الطبية</v>
      </c>
      <c r="G3360" s="5" t="str">
        <f ca="1">IFERROR(__xludf.DUMMYFUNCTION("""COMPUTED_VALUE"""),"مختبرات العرب الدولية للتحاليل الطبية (معامل مختبرات العرب للتحاليل الطبية)")</f>
        <v>مختبرات العرب الدولية للتحاليل الطبية (معامل مختبرات العرب للتحاليل الطبية)</v>
      </c>
      <c r="H3360" s="5" t="str">
        <f ca="1">IFERROR(__xludf.DUMMYFUNCTION("""COMPUTED_VALUE"""),"رقم 87 عين شمس - امام معهد مندوبي الشرطه عين شمس")</f>
        <v>رقم 87 عين شمس - امام معهد مندوبي الشرطه عين شمس</v>
      </c>
      <c r="I3360" s="6" t="str">
        <f ca="1">IFERROR(__xludf.DUMMYFUNCTION("""COMPUTED_VALUE"""),"1149929153")</f>
        <v>1149929153</v>
      </c>
      <c r="J3360" s="6"/>
      <c r="K3360" s="6" t="str">
        <f ca="1">IFERROR(__xludf.DUMMYFUNCTION("""COMPUTED_VALUE"""),"خصم 30% علي الاسعار النقدي")</f>
        <v>خصم 30% علي الاسعار النقدي</v>
      </c>
    </row>
    <row r="3361" spans="1:11" x14ac:dyDescent="0.25">
      <c r="A3361" s="4" t="str">
        <f ca="1">IFERROR(__xludf.DUMMYFUNCTION("""COMPUTED_VALUE"""),"107599-B")</f>
        <v>107599-B</v>
      </c>
      <c r="B3361" s="5" t="str">
        <f ca="1">IFERROR(__xludf.DUMMYFUNCTION("""COMPUTED_VALUE"""),"القاهرة")</f>
        <v>القاهرة</v>
      </c>
      <c r="C3361" s="5" t="str">
        <f ca="1">IFERROR(__xludf.DUMMYFUNCTION("""COMPUTED_VALUE"""),"المعادى")</f>
        <v>المعادى</v>
      </c>
      <c r="D3361" s="5" t="str">
        <f ca="1">IFERROR(__xludf.DUMMYFUNCTION("""COMPUTED_VALUE"""),"معمل")</f>
        <v>معمل</v>
      </c>
      <c r="E3361" s="5" t="str">
        <f ca="1">IFERROR(__xludf.DUMMYFUNCTION("""COMPUTED_VALUE"""),"معمل")</f>
        <v>معمل</v>
      </c>
      <c r="F3361" s="5" t="str">
        <f ca="1">IFERROR(__xludf.DUMMYFUNCTION("""COMPUTED_VALUE"""),"معمل التحاليل الطبية")</f>
        <v>معمل التحاليل الطبية</v>
      </c>
      <c r="G3361" s="5" t="str">
        <f ca="1">IFERROR(__xludf.DUMMYFUNCTION("""COMPUTED_VALUE"""),"مختبرات العرب الدولية للتحاليل الطبية (معامل مختبرات العرب للتحاليل الطبية)")</f>
        <v>مختبرات العرب الدولية للتحاليل الطبية (معامل مختبرات العرب للتحاليل الطبية)</v>
      </c>
      <c r="H3361" s="5" t="str">
        <f ca="1">IFERROR(__xludf.DUMMYFUNCTION("""COMPUTED_VALUE"""),"رقم 70 ش حسنين دسوقي -بجوار موبيليا السراوي - حدائق المعادي")</f>
        <v>رقم 70 ش حسنين دسوقي -بجوار موبيليا السراوي - حدائق المعادي</v>
      </c>
      <c r="I3361" s="6" t="str">
        <f ca="1">IFERROR(__xludf.DUMMYFUNCTION("""COMPUTED_VALUE"""),"1149929165")</f>
        <v>1149929165</v>
      </c>
      <c r="J3361" s="6"/>
      <c r="K3361" s="6" t="str">
        <f ca="1">IFERROR(__xludf.DUMMYFUNCTION("""COMPUTED_VALUE"""),"خصم 30% علي الاسعار النقدي")</f>
        <v>خصم 30% علي الاسعار النقدي</v>
      </c>
    </row>
    <row r="3362" spans="1:11" x14ac:dyDescent="0.25">
      <c r="A3362" s="4" t="str">
        <f ca="1">IFERROR(__xludf.DUMMYFUNCTION("""COMPUTED_VALUE"""),"107599-B")</f>
        <v>107599-B</v>
      </c>
      <c r="B3362" s="5" t="str">
        <f ca="1">IFERROR(__xludf.DUMMYFUNCTION("""COMPUTED_VALUE"""),"القاهرة")</f>
        <v>القاهرة</v>
      </c>
      <c r="C3362" s="5" t="str">
        <f ca="1">IFERROR(__xludf.DUMMYFUNCTION("""COMPUTED_VALUE"""),"حلوان")</f>
        <v>حلوان</v>
      </c>
      <c r="D3362" s="5" t="str">
        <f ca="1">IFERROR(__xludf.DUMMYFUNCTION("""COMPUTED_VALUE"""),"معمل")</f>
        <v>معمل</v>
      </c>
      <c r="E3362" s="5" t="str">
        <f ca="1">IFERROR(__xludf.DUMMYFUNCTION("""COMPUTED_VALUE"""),"معمل")</f>
        <v>معمل</v>
      </c>
      <c r="F3362" s="5" t="str">
        <f ca="1">IFERROR(__xludf.DUMMYFUNCTION("""COMPUTED_VALUE"""),"معمل التحاليل الطبية")</f>
        <v>معمل التحاليل الطبية</v>
      </c>
      <c r="G3362" s="5" t="str">
        <f ca="1">IFERROR(__xludf.DUMMYFUNCTION("""COMPUTED_VALUE"""),"مختبرات العرب الدولية للتحاليل الطبية (معامل مختبرات العرب للتحاليل الطبية)")</f>
        <v>مختبرات العرب الدولية للتحاليل الطبية (معامل مختبرات العرب للتحاليل الطبية)</v>
      </c>
      <c r="H3362" s="5" t="str">
        <f ca="1">IFERROR(__xludf.DUMMYFUNCTION("""COMPUTED_VALUE"""),"عماره سينما ماجده -ميدان المحطه -بجوار محطه مترو حلوان - حلوان")</f>
        <v>عماره سينما ماجده -ميدان المحطه -بجوار محطه مترو حلوان - حلوان</v>
      </c>
      <c r="I3362" s="6" t="str">
        <f ca="1">IFERROR(__xludf.DUMMYFUNCTION("""COMPUTED_VALUE"""),"1149930449")</f>
        <v>1149930449</v>
      </c>
      <c r="J3362" s="6"/>
      <c r="K3362" s="6" t="str">
        <f ca="1">IFERROR(__xludf.DUMMYFUNCTION("""COMPUTED_VALUE"""),"خصم 30% علي الاسعار النقدي")</f>
        <v>خصم 30% علي الاسعار النقدي</v>
      </c>
    </row>
    <row r="3363" spans="1:11" x14ac:dyDescent="0.25">
      <c r="A3363" s="4" t="str">
        <f ca="1">IFERROR(__xludf.DUMMYFUNCTION("""COMPUTED_VALUE"""),"107599-B")</f>
        <v>107599-B</v>
      </c>
      <c r="B3363" s="5" t="str">
        <f ca="1">IFERROR(__xludf.DUMMYFUNCTION("""COMPUTED_VALUE"""),"القليوبية")</f>
        <v>القليوبية</v>
      </c>
      <c r="C3363" s="5" t="str">
        <f ca="1">IFERROR(__xludf.DUMMYFUNCTION("""COMPUTED_VALUE"""),"شبرا الخيمة")</f>
        <v>شبرا الخيمة</v>
      </c>
      <c r="D3363" s="5" t="str">
        <f ca="1">IFERROR(__xludf.DUMMYFUNCTION("""COMPUTED_VALUE"""),"معمل")</f>
        <v>معمل</v>
      </c>
      <c r="E3363" s="5" t="str">
        <f ca="1">IFERROR(__xludf.DUMMYFUNCTION("""COMPUTED_VALUE"""),"معمل")</f>
        <v>معمل</v>
      </c>
      <c r="F3363" s="5" t="str">
        <f ca="1">IFERROR(__xludf.DUMMYFUNCTION("""COMPUTED_VALUE"""),"معمل التحاليل الطبية")</f>
        <v>معمل التحاليل الطبية</v>
      </c>
      <c r="G3363" s="5" t="str">
        <f ca="1">IFERROR(__xludf.DUMMYFUNCTION("""COMPUTED_VALUE"""),"مختبرات العرب الدولية للتحاليل الطبية (معامل مختبرات العرب للتحاليل الطبية)")</f>
        <v>مختبرات العرب الدولية للتحاليل الطبية (معامل مختبرات العرب للتحاليل الطبية)</v>
      </c>
      <c r="H3363" s="5" t="str">
        <f ca="1">IFERROR(__xludf.DUMMYFUNCTION("""COMPUTED_VALUE"""),"رقم 1 ش عرابي - برج الأطباء - اعلى النساجون الشرقيون")</f>
        <v>رقم 1 ش عرابي - برج الأطباء - اعلى النساجون الشرقيون</v>
      </c>
      <c r="I3363" s="6" t="str">
        <f ca="1">IFERROR(__xludf.DUMMYFUNCTION("""COMPUTED_VALUE"""),"1149933594")</f>
        <v>1149933594</v>
      </c>
      <c r="J3363" s="6"/>
      <c r="K3363" s="6" t="str">
        <f ca="1">IFERROR(__xludf.DUMMYFUNCTION("""COMPUTED_VALUE"""),"خصم 30% علي الاسعار النقدي")</f>
        <v>خصم 30% علي الاسعار النقدي</v>
      </c>
    </row>
    <row r="3364" spans="1:11" x14ac:dyDescent="0.25">
      <c r="A3364" s="4" t="str">
        <f ca="1">IFERROR(__xludf.DUMMYFUNCTION("""COMPUTED_VALUE"""),"107599-B")</f>
        <v>107599-B</v>
      </c>
      <c r="B3364" s="5" t="str">
        <f ca="1">IFERROR(__xludf.DUMMYFUNCTION("""COMPUTED_VALUE"""),"القليوبية")</f>
        <v>القليوبية</v>
      </c>
      <c r="C3364" s="5" t="str">
        <f ca="1">IFERROR(__xludf.DUMMYFUNCTION("""COMPUTED_VALUE"""),"بنها")</f>
        <v>بنها</v>
      </c>
      <c r="D3364" s="5" t="str">
        <f ca="1">IFERROR(__xludf.DUMMYFUNCTION("""COMPUTED_VALUE"""),"معمل")</f>
        <v>معمل</v>
      </c>
      <c r="E3364" s="5" t="str">
        <f ca="1">IFERROR(__xludf.DUMMYFUNCTION("""COMPUTED_VALUE"""),"معمل")</f>
        <v>معمل</v>
      </c>
      <c r="F3364" s="5" t="str">
        <f ca="1">IFERROR(__xludf.DUMMYFUNCTION("""COMPUTED_VALUE"""),"معمل التحاليل الطبية")</f>
        <v>معمل التحاليل الطبية</v>
      </c>
      <c r="G3364" s="5" t="str">
        <f ca="1">IFERROR(__xludf.DUMMYFUNCTION("""COMPUTED_VALUE"""),"مختبرات العرب الدولية للتحاليل الطبية (معامل مختبرات العرب للتحاليل الطبية)")</f>
        <v>مختبرات العرب الدولية للتحاليل الطبية (معامل مختبرات العرب للتحاليل الطبية)</v>
      </c>
      <c r="H3364" s="5" t="str">
        <f ca="1">IFERROR(__xludf.DUMMYFUNCTION("""COMPUTED_VALUE"""),"رقم 9 ش الدكتور فؤاد محي الدين - عمارات شرق استاد بنها - بنها")</f>
        <v>رقم 9 ش الدكتور فؤاد محي الدين - عمارات شرق استاد بنها - بنها</v>
      </c>
      <c r="I3364" s="6" t="str">
        <f ca="1">IFERROR(__xludf.DUMMYFUNCTION("""COMPUTED_VALUE"""),"1100987939")</f>
        <v>1100987939</v>
      </c>
      <c r="J3364" s="6"/>
      <c r="K3364" s="6" t="str">
        <f ca="1">IFERROR(__xludf.DUMMYFUNCTION("""COMPUTED_VALUE"""),"خصم 30% علي الاسعار النقدي")</f>
        <v>خصم 30% علي الاسعار النقدي</v>
      </c>
    </row>
    <row r="3365" spans="1:11" x14ac:dyDescent="0.25">
      <c r="A3365" s="4" t="str">
        <f ca="1">IFERROR(__xludf.DUMMYFUNCTION("""COMPUTED_VALUE"""),"107599-B")</f>
        <v>107599-B</v>
      </c>
      <c r="B3365" s="5" t="str">
        <f ca="1">IFERROR(__xludf.DUMMYFUNCTION("""COMPUTED_VALUE"""),"الأقصر")</f>
        <v>الأقصر</v>
      </c>
      <c r="C3365" s="5" t="str">
        <f ca="1">IFERROR(__xludf.DUMMYFUNCTION("""COMPUTED_VALUE"""),"الأقصر")</f>
        <v>الأقصر</v>
      </c>
      <c r="D3365" s="5" t="str">
        <f ca="1">IFERROR(__xludf.DUMMYFUNCTION("""COMPUTED_VALUE"""),"معمل")</f>
        <v>معمل</v>
      </c>
      <c r="E3365" s="5" t="str">
        <f ca="1">IFERROR(__xludf.DUMMYFUNCTION("""COMPUTED_VALUE"""),"معمل")</f>
        <v>معمل</v>
      </c>
      <c r="F3365" s="5" t="str">
        <f ca="1">IFERROR(__xludf.DUMMYFUNCTION("""COMPUTED_VALUE"""),"معمل التحاليل الطبية")</f>
        <v>معمل التحاليل الطبية</v>
      </c>
      <c r="G3365" s="5" t="str">
        <f ca="1">IFERROR(__xludf.DUMMYFUNCTION("""COMPUTED_VALUE"""),"مختبرات العرب الدولية للتحاليل الطبية (معامل مختبرات العرب للتحاليل الطبية)")</f>
        <v>مختبرات العرب الدولية للتحاليل الطبية (معامل مختبرات العرب للتحاليل الطبية)</v>
      </c>
      <c r="H3365" s="5" t="str">
        <f ca="1">IFERROR(__xludf.DUMMYFUNCTION("""COMPUTED_VALUE"""),"ش البحر القديم اعلى فرع اورانج - اسنا")</f>
        <v>ش البحر القديم اعلى فرع اورانج - اسنا</v>
      </c>
      <c r="I3365" s="6" t="str">
        <f ca="1">IFERROR(__xludf.DUMMYFUNCTION("""COMPUTED_VALUE"""),"1128969989")</f>
        <v>1128969989</v>
      </c>
      <c r="J3365" s="6"/>
      <c r="K3365" s="6" t="str">
        <f ca="1">IFERROR(__xludf.DUMMYFUNCTION("""COMPUTED_VALUE"""),"خصم 30% علي الاسعار النقدي")</f>
        <v>خصم 30% علي الاسعار النقدي</v>
      </c>
    </row>
    <row r="3366" spans="1:11" x14ac:dyDescent="0.25">
      <c r="A3366" s="4" t="str">
        <f ca="1">IFERROR(__xludf.DUMMYFUNCTION("""COMPUTED_VALUE"""),"107599-B")</f>
        <v>107599-B</v>
      </c>
      <c r="B3366" s="5" t="str">
        <f ca="1">IFERROR(__xludf.DUMMYFUNCTION("""COMPUTED_VALUE"""),"المنوفية")</f>
        <v>المنوفية</v>
      </c>
      <c r="C3366" s="5" t="str">
        <f ca="1">IFERROR(__xludf.DUMMYFUNCTION("""COMPUTED_VALUE"""),"شبين الكوم")</f>
        <v>شبين الكوم</v>
      </c>
      <c r="D3366" s="5" t="str">
        <f ca="1">IFERROR(__xludf.DUMMYFUNCTION("""COMPUTED_VALUE"""),"معمل")</f>
        <v>معمل</v>
      </c>
      <c r="E3366" s="5" t="str">
        <f ca="1">IFERROR(__xludf.DUMMYFUNCTION("""COMPUTED_VALUE"""),"معمل")</f>
        <v>معمل</v>
      </c>
      <c r="F3366" s="5" t="str">
        <f ca="1">IFERROR(__xludf.DUMMYFUNCTION("""COMPUTED_VALUE"""),"معمل التحاليل الطبية")</f>
        <v>معمل التحاليل الطبية</v>
      </c>
      <c r="G3366" s="5" t="str">
        <f ca="1">IFERROR(__xludf.DUMMYFUNCTION("""COMPUTED_VALUE"""),"مختبرات العرب الدولية للتحاليل الطبية (معامل مختبرات العرب للتحاليل الطبية)")</f>
        <v>مختبرات العرب الدولية للتحاليل الطبية (معامل مختبرات العرب للتحاليل الطبية)</v>
      </c>
      <c r="H3366" s="5" t="str">
        <f ca="1">IFERROR(__xludf.DUMMYFUNCTION("""COMPUTED_VALUE"""),"برج الهلال - امام مستشفى الهلال للتأمين الصحي - شبين الكوم")</f>
        <v>برج الهلال - امام مستشفى الهلال للتأمين الصحي - شبين الكوم</v>
      </c>
      <c r="I3366" s="6" t="str">
        <f ca="1">IFERROR(__xludf.DUMMYFUNCTION("""COMPUTED_VALUE"""),"1004349012")</f>
        <v>1004349012</v>
      </c>
      <c r="J3366" s="6"/>
      <c r="K3366" s="6" t="str">
        <f ca="1">IFERROR(__xludf.DUMMYFUNCTION("""COMPUTED_VALUE"""),"خصم 30% علي الاسعار النقدي")</f>
        <v>خصم 30% علي الاسعار النقدي</v>
      </c>
    </row>
    <row r="3367" spans="1:11" x14ac:dyDescent="0.25">
      <c r="A3367" s="4" t="str">
        <f ca="1">IFERROR(__xludf.DUMMYFUNCTION("""COMPUTED_VALUE"""),"107599-B")</f>
        <v>107599-B</v>
      </c>
      <c r="B3367" s="5" t="str">
        <f ca="1">IFERROR(__xludf.DUMMYFUNCTION("""COMPUTED_VALUE"""),"أسيوط")</f>
        <v>أسيوط</v>
      </c>
      <c r="C3367" s="5" t="str">
        <f ca="1">IFERROR(__xludf.DUMMYFUNCTION("""COMPUTED_VALUE"""),"أسيوط")</f>
        <v>أسيوط</v>
      </c>
      <c r="D3367" s="5" t="str">
        <f ca="1">IFERROR(__xludf.DUMMYFUNCTION("""COMPUTED_VALUE"""),"معمل")</f>
        <v>معمل</v>
      </c>
      <c r="E3367" s="5" t="str">
        <f ca="1">IFERROR(__xludf.DUMMYFUNCTION("""COMPUTED_VALUE"""),"معمل")</f>
        <v>معمل</v>
      </c>
      <c r="F3367" s="5" t="str">
        <f ca="1">IFERROR(__xludf.DUMMYFUNCTION("""COMPUTED_VALUE"""),"معمل التحاليل الطبية")</f>
        <v>معمل التحاليل الطبية</v>
      </c>
      <c r="G3367" s="5" t="str">
        <f ca="1">IFERROR(__xludf.DUMMYFUNCTION("""COMPUTED_VALUE"""),"مختبرات العرب الدولية للتحاليل الطبية (معامل مختبرات العرب للتحاليل الطبية)")</f>
        <v>مختبرات العرب الدولية للتحاليل الطبية (معامل مختبرات العرب للتحاليل الطبية)</v>
      </c>
      <c r="H3367" s="5" t="str">
        <f ca="1">IFERROR(__xludf.DUMMYFUNCTION("""COMPUTED_VALUE"""),"50 يسري راغب -برج الزناتي - الدور الأول بجوار مصرللتأمين")</f>
        <v>50 يسري راغب -برج الزناتي - الدور الأول بجوار مصرللتأمين</v>
      </c>
      <c r="I3367" s="6" t="str">
        <f ca="1">IFERROR(__xludf.DUMMYFUNCTION("""COMPUTED_VALUE"""),"1007787370")</f>
        <v>1007787370</v>
      </c>
      <c r="J3367" s="6"/>
      <c r="K3367" s="6" t="str">
        <f ca="1">IFERROR(__xludf.DUMMYFUNCTION("""COMPUTED_VALUE"""),"خصم 30% علي الاسعار النقدي")</f>
        <v>خصم 30% علي الاسعار النقدي</v>
      </c>
    </row>
    <row r="3368" spans="1:11" x14ac:dyDescent="0.25">
      <c r="A3368" s="4" t="str">
        <f ca="1">IFERROR(__xludf.DUMMYFUNCTION("""COMPUTED_VALUE"""),"107599-B")</f>
        <v>107599-B</v>
      </c>
      <c r="B3368" s="5" t="str">
        <f ca="1">IFERROR(__xludf.DUMMYFUNCTION("""COMPUTED_VALUE"""),"أسيوط")</f>
        <v>أسيوط</v>
      </c>
      <c r="C3368" s="5" t="str">
        <f ca="1">IFERROR(__xludf.DUMMYFUNCTION("""COMPUTED_VALUE"""),"أسيوط")</f>
        <v>أسيوط</v>
      </c>
      <c r="D3368" s="5" t="str">
        <f ca="1">IFERROR(__xludf.DUMMYFUNCTION("""COMPUTED_VALUE"""),"معمل")</f>
        <v>معمل</v>
      </c>
      <c r="E3368" s="5" t="str">
        <f ca="1">IFERROR(__xludf.DUMMYFUNCTION("""COMPUTED_VALUE"""),"معمل")</f>
        <v>معمل</v>
      </c>
      <c r="F3368" s="5" t="str">
        <f ca="1">IFERROR(__xludf.DUMMYFUNCTION("""COMPUTED_VALUE"""),"معمل التحاليل الطبية")</f>
        <v>معمل التحاليل الطبية</v>
      </c>
      <c r="G3368" s="5" t="str">
        <f ca="1">IFERROR(__xludf.DUMMYFUNCTION("""COMPUTED_VALUE"""),"مختبرات العرب الدولية للتحاليل الطبية (معامل مختبرات العرب للتحاليل الطبية)")</f>
        <v>مختبرات العرب الدولية للتحاليل الطبية (معامل مختبرات العرب للتحاليل الطبية)</v>
      </c>
      <c r="H3368" s="5" t="str">
        <f ca="1">IFERROR(__xludf.DUMMYFUNCTION("""COMPUTED_VALUE"""),"برج خالد ابن الوليد برج 1مدخل أ الدور التاني شقه 206")</f>
        <v>برج خالد ابن الوليد برج 1مدخل أ الدور التاني شقه 206</v>
      </c>
      <c r="I3368" s="6" t="str">
        <f ca="1">IFERROR(__xludf.DUMMYFUNCTION("""COMPUTED_VALUE"""),"1007787370")</f>
        <v>1007787370</v>
      </c>
      <c r="J3368" s="6"/>
      <c r="K3368" s="6" t="str">
        <f ca="1">IFERROR(__xludf.DUMMYFUNCTION("""COMPUTED_VALUE"""),"خصم 30% علي الاسعار النقدي")</f>
        <v>خصم 30% علي الاسعار النقدي</v>
      </c>
    </row>
    <row r="3369" spans="1:11" x14ac:dyDescent="0.25">
      <c r="A3369" s="4" t="str">
        <f ca="1">IFERROR(__xludf.DUMMYFUNCTION("""COMPUTED_VALUE"""),"107599-B")</f>
        <v>107599-B</v>
      </c>
      <c r="B3369" s="5" t="str">
        <f ca="1">IFERROR(__xludf.DUMMYFUNCTION("""COMPUTED_VALUE"""),"الإسماعيلية")</f>
        <v>الإسماعيلية</v>
      </c>
      <c r="C3369" s="5" t="str">
        <f ca="1">IFERROR(__xludf.DUMMYFUNCTION("""COMPUTED_VALUE"""),"الإسماعيلية")</f>
        <v>الإسماعيلية</v>
      </c>
      <c r="D3369" s="5" t="str">
        <f ca="1">IFERROR(__xludf.DUMMYFUNCTION("""COMPUTED_VALUE"""),"معمل")</f>
        <v>معمل</v>
      </c>
      <c r="E3369" s="5" t="str">
        <f ca="1">IFERROR(__xludf.DUMMYFUNCTION("""COMPUTED_VALUE"""),"معمل")</f>
        <v>معمل</v>
      </c>
      <c r="F3369" s="5" t="str">
        <f ca="1">IFERROR(__xludf.DUMMYFUNCTION("""COMPUTED_VALUE"""),"معمل التحاليل الطبية")</f>
        <v>معمل التحاليل الطبية</v>
      </c>
      <c r="G3369" s="5" t="str">
        <f ca="1">IFERROR(__xludf.DUMMYFUNCTION("""COMPUTED_VALUE"""),"مختبرات العرب الدولية للتحاليل الطبية (معامل مختبرات العرب للتحاليل الطبية)")</f>
        <v>مختبرات العرب الدولية للتحاليل الطبية (معامل مختبرات العرب للتحاليل الطبية)</v>
      </c>
      <c r="H3369" s="5" t="str">
        <f ca="1">IFERROR(__xludf.DUMMYFUNCTION("""COMPUTED_VALUE"""),"رقم 76 دوران رضا اعلى فرن بتول السفير الاسماعيليه")</f>
        <v>رقم 76 دوران رضا اعلى فرن بتول السفير الاسماعيليه</v>
      </c>
      <c r="I3369" s="6" t="str">
        <f ca="1">IFERROR(__xludf.DUMMYFUNCTION("""COMPUTED_VALUE"""),"1007590500")</f>
        <v>1007590500</v>
      </c>
      <c r="J3369" s="6"/>
      <c r="K3369" s="6" t="str">
        <f ca="1">IFERROR(__xludf.DUMMYFUNCTION("""COMPUTED_VALUE"""),"خصم 30% علي الاسعار النقدي")</f>
        <v>خصم 30% علي الاسعار النقدي</v>
      </c>
    </row>
    <row r="3370" spans="1:11" x14ac:dyDescent="0.25">
      <c r="A3370" s="4" t="str">
        <f ca="1">IFERROR(__xludf.DUMMYFUNCTION("""COMPUTED_VALUE"""),"107599-B")</f>
        <v>107599-B</v>
      </c>
      <c r="B3370" s="5" t="str">
        <f ca="1">IFERROR(__xludf.DUMMYFUNCTION("""COMPUTED_VALUE"""),"الوادى الجديد")</f>
        <v>الوادى الجديد</v>
      </c>
      <c r="C3370" s="5" t="str">
        <f ca="1">IFERROR(__xludf.DUMMYFUNCTION("""COMPUTED_VALUE"""),"الخارجة")</f>
        <v>الخارجة</v>
      </c>
      <c r="D3370" s="5" t="str">
        <f ca="1">IFERROR(__xludf.DUMMYFUNCTION("""COMPUTED_VALUE"""),"معمل")</f>
        <v>معمل</v>
      </c>
      <c r="E3370" s="5" t="str">
        <f ca="1">IFERROR(__xludf.DUMMYFUNCTION("""COMPUTED_VALUE"""),"معمل")</f>
        <v>معمل</v>
      </c>
      <c r="F3370" s="5" t="str">
        <f ca="1">IFERROR(__xludf.DUMMYFUNCTION("""COMPUTED_VALUE"""),"معمل التحاليل الطبية")</f>
        <v>معمل التحاليل الطبية</v>
      </c>
      <c r="G3370" s="5" t="str">
        <f ca="1">IFERROR(__xludf.DUMMYFUNCTION("""COMPUTED_VALUE"""),"مختبرات العرب الدولية للتحاليل الطبية (معامل مختبرات العرب للتحاليل الطبية)")</f>
        <v>مختبرات العرب الدولية للتحاليل الطبية (معامل مختبرات العرب للتحاليل الطبية)</v>
      </c>
      <c r="H3370" s="5" t="str">
        <f ca="1">IFERROR(__xludf.DUMMYFUNCTION("""COMPUTED_VALUE"""),"ميدان البساتين -اعلى نقابه المعلمين -المدخل الاول - الدور الثالث")</f>
        <v>ميدان البساتين -اعلى نقابه المعلمين -المدخل الاول - الدور الثالث</v>
      </c>
      <c r="I3370" s="6" t="str">
        <f ca="1">IFERROR(__xludf.DUMMYFUNCTION("""COMPUTED_VALUE"""),"1114774229")</f>
        <v>1114774229</v>
      </c>
      <c r="J3370" s="6"/>
      <c r="K3370" s="6" t="str">
        <f ca="1">IFERROR(__xludf.DUMMYFUNCTION("""COMPUTED_VALUE"""),"خصم 30% علي الاسعار النقدي")</f>
        <v>خصم 30% علي الاسعار النقدي</v>
      </c>
    </row>
    <row r="3371" spans="1:11" x14ac:dyDescent="0.25">
      <c r="A3371" s="4" t="str">
        <f ca="1">IFERROR(__xludf.DUMMYFUNCTION("""COMPUTED_VALUE"""),"107599-B")</f>
        <v>107599-B</v>
      </c>
      <c r="B3371" s="5" t="str">
        <f ca="1">IFERROR(__xludf.DUMMYFUNCTION("""COMPUTED_VALUE"""),"قنا")</f>
        <v>قنا</v>
      </c>
      <c r="C3371" s="5" t="str">
        <f ca="1">IFERROR(__xludf.DUMMYFUNCTION("""COMPUTED_VALUE"""),"نجع حمادى")</f>
        <v>نجع حمادى</v>
      </c>
      <c r="D3371" s="5" t="str">
        <f ca="1">IFERROR(__xludf.DUMMYFUNCTION("""COMPUTED_VALUE"""),"معمل")</f>
        <v>معمل</v>
      </c>
      <c r="E3371" s="5" t="str">
        <f ca="1">IFERROR(__xludf.DUMMYFUNCTION("""COMPUTED_VALUE"""),"معمل")</f>
        <v>معمل</v>
      </c>
      <c r="F3371" s="5" t="str">
        <f ca="1">IFERROR(__xludf.DUMMYFUNCTION("""COMPUTED_VALUE"""),"معمل التحاليل الطبية")</f>
        <v>معمل التحاليل الطبية</v>
      </c>
      <c r="G3371" s="5" t="str">
        <f ca="1">IFERROR(__xludf.DUMMYFUNCTION("""COMPUTED_VALUE"""),"مختبرات العرب الدولية للتحاليل الطبية (معامل مختبرات العرب للتحاليل الطبية)")</f>
        <v>مختبرات العرب الدولية للتحاليل الطبية (معامل مختبرات العرب للتحاليل الطبية)</v>
      </c>
      <c r="H3371" s="5" t="str">
        <f ca="1">IFERROR(__xludf.DUMMYFUNCTION("""COMPUTED_VALUE"""),"مركز نجع حمادي - بجوار محطه القطار -امام البنك الاهلي -عماره البحراوي")</f>
        <v>مركز نجع حمادي - بجوار محطه القطار -امام البنك الاهلي -عماره البحراوي</v>
      </c>
      <c r="I3371" s="6" t="str">
        <f ca="1">IFERROR(__xludf.DUMMYFUNCTION("""COMPUTED_VALUE"""),"10024070204")</f>
        <v>10024070204</v>
      </c>
      <c r="J3371" s="6"/>
      <c r="K3371" s="6" t="str">
        <f ca="1">IFERROR(__xludf.DUMMYFUNCTION("""COMPUTED_VALUE"""),"خصم 30% علي الاسعار النقدي")</f>
        <v>خصم 30% علي الاسعار النقدي</v>
      </c>
    </row>
    <row r="3372" spans="1:11" x14ac:dyDescent="0.25">
      <c r="A3372" s="4" t="str">
        <f ca="1">IFERROR(__xludf.DUMMYFUNCTION("""COMPUTED_VALUE"""),"107599-B")</f>
        <v>107599-B</v>
      </c>
      <c r="B3372" s="5" t="str">
        <f ca="1">IFERROR(__xludf.DUMMYFUNCTION("""COMPUTED_VALUE"""),"قنا")</f>
        <v>قنا</v>
      </c>
      <c r="C3372" s="5" t="str">
        <f ca="1">IFERROR(__xludf.DUMMYFUNCTION("""COMPUTED_VALUE"""),"قوص")</f>
        <v>قوص</v>
      </c>
      <c r="D3372" s="5" t="str">
        <f ca="1">IFERROR(__xludf.DUMMYFUNCTION("""COMPUTED_VALUE"""),"معمل")</f>
        <v>معمل</v>
      </c>
      <c r="E3372" s="5" t="str">
        <f ca="1">IFERROR(__xludf.DUMMYFUNCTION("""COMPUTED_VALUE"""),"معمل")</f>
        <v>معمل</v>
      </c>
      <c r="F3372" s="5" t="str">
        <f ca="1">IFERROR(__xludf.DUMMYFUNCTION("""COMPUTED_VALUE"""),"معمل التحاليل الطبية")</f>
        <v>معمل التحاليل الطبية</v>
      </c>
      <c r="G3372" s="5" t="str">
        <f ca="1">IFERROR(__xludf.DUMMYFUNCTION("""COMPUTED_VALUE"""),"مختبرات العرب الدولية للتحاليل الطبية (معامل مختبرات العرب للتحاليل الطبية)")</f>
        <v>مختبرات العرب الدولية للتحاليل الطبية (معامل مختبرات العرب للتحاليل الطبية)</v>
      </c>
      <c r="H3372" s="5" t="str">
        <f ca="1">IFERROR(__xludf.DUMMYFUNCTION("""COMPUTED_VALUE"""),"قوص - ش النصر - امام كشري الاسكندراني - اعلى مركز حضانات الرواد")</f>
        <v>قوص - ش النصر - امام كشري الاسكندراني - اعلى مركز حضانات الرواد</v>
      </c>
      <c r="I3372" s="6" t="str">
        <f ca="1">IFERROR(__xludf.DUMMYFUNCTION("""COMPUTED_VALUE"""),"1157000579")</f>
        <v>1157000579</v>
      </c>
      <c r="J3372" s="6"/>
      <c r="K3372" s="6" t="str">
        <f ca="1">IFERROR(__xludf.DUMMYFUNCTION("""COMPUTED_VALUE"""),"خصم 30% علي الاسعار النقدي")</f>
        <v>خصم 30% علي الاسعار النقدي</v>
      </c>
    </row>
    <row r="3373" spans="1:11" x14ac:dyDescent="0.25">
      <c r="A3373" s="4" t="str">
        <f ca="1">IFERROR(__xludf.DUMMYFUNCTION("""COMPUTED_VALUE"""),"107599-B")</f>
        <v>107599-B</v>
      </c>
      <c r="B3373" s="5" t="str">
        <f ca="1">IFERROR(__xludf.DUMMYFUNCTION("""COMPUTED_VALUE"""),"البحيرة")</f>
        <v>البحيرة</v>
      </c>
      <c r="C3373" s="5" t="str">
        <f ca="1">IFERROR(__xludf.DUMMYFUNCTION("""COMPUTED_VALUE"""),"دمنهور")</f>
        <v>دمنهور</v>
      </c>
      <c r="D3373" s="5" t="str">
        <f ca="1">IFERROR(__xludf.DUMMYFUNCTION("""COMPUTED_VALUE"""),"معمل")</f>
        <v>معمل</v>
      </c>
      <c r="E3373" s="5" t="str">
        <f ca="1">IFERROR(__xludf.DUMMYFUNCTION("""COMPUTED_VALUE"""),"معمل")</f>
        <v>معمل</v>
      </c>
      <c r="F3373" s="5" t="str">
        <f ca="1">IFERROR(__xludf.DUMMYFUNCTION("""COMPUTED_VALUE"""),"معمل التحاليل الطبية")</f>
        <v>معمل التحاليل الطبية</v>
      </c>
      <c r="G3373" s="5" t="str">
        <f ca="1">IFERROR(__xludf.DUMMYFUNCTION("""COMPUTED_VALUE"""),"مختبرات العرب الدولية للتحاليل الطبية (معامل مختبرات العرب للتحاليل الطبية)")</f>
        <v>مختبرات العرب الدولية للتحاليل الطبية (معامل مختبرات العرب للتحاليل الطبية)</v>
      </c>
      <c r="H3373" s="5" t="str">
        <f ca="1">IFERROR(__xludf.DUMMYFUNCTION("""COMPUTED_VALUE"""),"ميدان النافورة - ابراج الاندلس -اعلي حلواني الصعيدي -فوق دمنهور للاشعة - الدور التاني علوي")</f>
        <v>ميدان النافورة - ابراج الاندلس -اعلي حلواني الصعيدي -فوق دمنهور للاشعة - الدور التاني علوي</v>
      </c>
      <c r="I3373" s="6" t="str">
        <f ca="1">IFERROR(__xludf.DUMMYFUNCTION("""COMPUTED_VALUE"""),"1025778846")</f>
        <v>1025778846</v>
      </c>
      <c r="J3373" s="6"/>
      <c r="K3373" s="6" t="str">
        <f ca="1">IFERROR(__xludf.DUMMYFUNCTION("""COMPUTED_VALUE"""),"خصم 30% علي الاسعار النقدي")</f>
        <v>خصم 30% علي الاسعار النقدي</v>
      </c>
    </row>
    <row r="3374" spans="1:11" x14ac:dyDescent="0.25">
      <c r="A3374" s="4" t="str">
        <f ca="1">IFERROR(__xludf.DUMMYFUNCTION("""COMPUTED_VALUE"""),"107601")</f>
        <v>107601</v>
      </c>
      <c r="B3374" s="5" t="str">
        <f ca="1">IFERROR(__xludf.DUMMYFUNCTION("""COMPUTED_VALUE"""),"دمياط")</f>
        <v>دمياط</v>
      </c>
      <c r="C3374" s="5" t="str">
        <f ca="1">IFERROR(__xludf.DUMMYFUNCTION("""COMPUTED_VALUE"""),"الزرقا")</f>
        <v>الزرقا</v>
      </c>
      <c r="D3374" s="5" t="str">
        <f ca="1">IFERROR(__xludf.DUMMYFUNCTION("""COMPUTED_VALUE"""),"صيدلية")</f>
        <v>صيدلية</v>
      </c>
      <c r="E3374" s="5" t="str">
        <f ca="1">IFERROR(__xludf.DUMMYFUNCTION("""COMPUTED_VALUE"""),"صيدلية")</f>
        <v>صيدلية</v>
      </c>
      <c r="F3374" s="5" t="str">
        <f ca="1">IFERROR(__xludf.DUMMYFUNCTION("""COMPUTED_VALUE"""),"صيدلية (أدوية ومستلزمات طبية)")</f>
        <v>صيدلية (أدوية ومستلزمات طبية)</v>
      </c>
      <c r="G3374" s="5" t="str">
        <f ca="1">IFERROR(__xludf.DUMMYFUNCTION("""COMPUTED_VALUE"""),"صيدلية د. عمار ابراهيم ابوالحسن محمد ابراهيم")</f>
        <v>صيدلية د. عمار ابراهيم ابوالحسن محمد ابراهيم</v>
      </c>
      <c r="H3374" s="5" t="str">
        <f ca="1">IFERROR(__xludf.DUMMYFUNCTION("""COMPUTED_VALUE"""),"شارع مصطفي كامل خلف مدرسة الجمهورية - الزرقا - دمياط")</f>
        <v>شارع مصطفي كامل خلف مدرسة الجمهورية - الزرقا - دمياط</v>
      </c>
      <c r="I3374" s="6" t="str">
        <f ca="1">IFERROR(__xludf.DUMMYFUNCTION("""COMPUTED_VALUE"""),"01097080600")</f>
        <v>01097080600</v>
      </c>
      <c r="J3374" s="6"/>
      <c r="K3374" s="6" t="str">
        <f ca="1">IFERROR(__xludf.DUMMYFUNCTION("""COMPUTED_VALUE"""),"خصم 13% علي المحلي و6% علي المستورد")</f>
        <v>خصم 13% علي المحلي و6% علي المستورد</v>
      </c>
    </row>
    <row r="3375" spans="1:11" x14ac:dyDescent="0.25">
      <c r="A3375" s="4" t="str">
        <f ca="1">IFERROR(__xludf.DUMMYFUNCTION("""COMPUTED_VALUE"""),"107602")</f>
        <v>107602</v>
      </c>
      <c r="B3375" s="5" t="str">
        <f ca="1">IFERROR(__xludf.DUMMYFUNCTION("""COMPUTED_VALUE"""),"الشرقية")</f>
        <v>الشرقية</v>
      </c>
      <c r="C3375" s="5" t="str">
        <f ca="1">IFERROR(__xludf.DUMMYFUNCTION("""COMPUTED_VALUE"""),"الابراهيمية")</f>
        <v>الابراهيمية</v>
      </c>
      <c r="D3375" s="5" t="str">
        <f ca="1">IFERROR(__xludf.DUMMYFUNCTION("""COMPUTED_VALUE"""),"صيدلية")</f>
        <v>صيدلية</v>
      </c>
      <c r="E3375" s="5" t="str">
        <f ca="1">IFERROR(__xludf.DUMMYFUNCTION("""COMPUTED_VALUE"""),"صيدلية")</f>
        <v>صيدلية</v>
      </c>
      <c r="F3375" s="5" t="str">
        <f ca="1">IFERROR(__xludf.DUMMYFUNCTION("""COMPUTED_VALUE"""),"صيدلية (أدوية ومستلزمات طبية)")</f>
        <v>صيدلية (أدوية ومستلزمات طبية)</v>
      </c>
      <c r="G3375" s="5" t="str">
        <f ca="1">IFERROR(__xludf.DUMMYFUNCTION("""COMPUTED_VALUE"""),"صيدلية د. محمد محمد عبدالنبي محمد فرحات")</f>
        <v>صيدلية د. محمد محمد عبدالنبي محمد فرحات</v>
      </c>
      <c r="H3375" s="5" t="str">
        <f ca="1">IFERROR(__xludf.DUMMYFUNCTION("""COMPUTED_VALUE"""),"ش الحرية بجوار المطافي - الابراهيميه - الشرقية")</f>
        <v>ش الحرية بجوار المطافي - الابراهيميه - الشرقية</v>
      </c>
      <c r="I3375" s="6" t="str">
        <f ca="1">IFERROR(__xludf.DUMMYFUNCTION("""COMPUTED_VALUE"""),"01017170305")</f>
        <v>01017170305</v>
      </c>
      <c r="J3375" s="6"/>
      <c r="K3375" s="6" t="str">
        <f ca="1">IFERROR(__xludf.DUMMYFUNCTION("""COMPUTED_VALUE"""),"خصم 14% علي المحلي و7% علي المستورد")</f>
        <v>خصم 14% علي المحلي و7% علي المستورد</v>
      </c>
    </row>
    <row r="3376" spans="1:11" x14ac:dyDescent="0.25">
      <c r="A3376" s="4" t="str">
        <f ca="1">IFERROR(__xludf.DUMMYFUNCTION("""COMPUTED_VALUE"""),"107603")</f>
        <v>107603</v>
      </c>
      <c r="B3376" s="5" t="str">
        <f ca="1">IFERROR(__xludf.DUMMYFUNCTION("""COMPUTED_VALUE"""),"الشرقية")</f>
        <v>الشرقية</v>
      </c>
      <c r="C3376" s="5" t="str">
        <f ca="1">IFERROR(__xludf.DUMMYFUNCTION("""COMPUTED_VALUE"""),"الابراهيمية")</f>
        <v>الابراهيمية</v>
      </c>
      <c r="D3376" s="5" t="str">
        <f ca="1">IFERROR(__xludf.DUMMYFUNCTION("""COMPUTED_VALUE"""),"صيدلية")</f>
        <v>صيدلية</v>
      </c>
      <c r="E3376" s="5" t="str">
        <f ca="1">IFERROR(__xludf.DUMMYFUNCTION("""COMPUTED_VALUE"""),"صيدلية")</f>
        <v>صيدلية</v>
      </c>
      <c r="F3376" s="5" t="str">
        <f ca="1">IFERROR(__xludf.DUMMYFUNCTION("""COMPUTED_VALUE"""),"صيدلية (أدوية ومستلزمات طبية)")</f>
        <v>صيدلية (أدوية ومستلزمات طبية)</v>
      </c>
      <c r="G3376" s="5" t="str">
        <f ca="1">IFERROR(__xludf.DUMMYFUNCTION("""COMPUTED_VALUE"""),"صيدلية د. الاء ناصر متولي علي عبدالعال")</f>
        <v>صيدلية د. الاء ناصر متولي علي عبدالعال</v>
      </c>
      <c r="H3376" s="5" t="str">
        <f ca="1">IFERROR(__xludf.DUMMYFUNCTION("""COMPUTED_VALUE"""),"الخضارية - الابراهيميه - الشرقيه")</f>
        <v>الخضارية - الابراهيميه - الشرقيه</v>
      </c>
      <c r="I3376" s="6" t="str">
        <f ca="1">IFERROR(__xludf.DUMMYFUNCTION("""COMPUTED_VALUE"""),"01093638487")</f>
        <v>01093638487</v>
      </c>
      <c r="J3376" s="6"/>
      <c r="K3376" s="6" t="str">
        <f ca="1">IFERROR(__xludf.DUMMYFUNCTION("""COMPUTED_VALUE"""),"خصم 16% علي المحلي و8% علي المستورد")</f>
        <v>خصم 16% علي المحلي و8% علي المستورد</v>
      </c>
    </row>
    <row r="3377" spans="1:11" x14ac:dyDescent="0.25">
      <c r="A3377" s="4" t="str">
        <f ca="1">IFERROR(__xludf.DUMMYFUNCTION("""COMPUTED_VALUE"""),"107604")</f>
        <v>107604</v>
      </c>
      <c r="B3377" s="5" t="str">
        <f ca="1">IFERROR(__xludf.DUMMYFUNCTION("""COMPUTED_VALUE"""),"الشرقية")</f>
        <v>الشرقية</v>
      </c>
      <c r="C3377" s="5" t="str">
        <f ca="1">IFERROR(__xludf.DUMMYFUNCTION("""COMPUTED_VALUE"""),"الابراهيمية")</f>
        <v>الابراهيمية</v>
      </c>
      <c r="D3377" s="5" t="str">
        <f ca="1">IFERROR(__xludf.DUMMYFUNCTION("""COMPUTED_VALUE"""),"معمل")</f>
        <v>معمل</v>
      </c>
      <c r="E3377" s="5" t="str">
        <f ca="1">IFERROR(__xludf.DUMMYFUNCTION("""COMPUTED_VALUE"""),"معمل")</f>
        <v>معمل</v>
      </c>
      <c r="F3377" s="5" t="str">
        <f ca="1">IFERROR(__xludf.DUMMYFUNCTION("""COMPUTED_VALUE"""),"معمل التحاليل الطبية")</f>
        <v>معمل التحاليل الطبية</v>
      </c>
      <c r="G3377" s="5" t="str">
        <f ca="1">IFERROR(__xludf.DUMMYFUNCTION("""COMPUTED_VALUE"""),"عطيات فوزي عبدالغفار عبده احمد (معمل العلا)")</f>
        <v>عطيات فوزي عبدالغفار عبده احمد (معمل العلا)</v>
      </c>
      <c r="H3377" s="5" t="str">
        <f ca="1">IFERROR(__xludf.DUMMYFUNCTION("""COMPUTED_VALUE"""),"شارع الجمهورية - الابراهيميه - الشرقيه")</f>
        <v>شارع الجمهورية - الابراهيميه - الشرقيه</v>
      </c>
      <c r="I3377" s="6" t="str">
        <f ca="1">IFERROR(__xludf.DUMMYFUNCTION("""COMPUTED_VALUE"""),"01064670245")</f>
        <v>01064670245</v>
      </c>
      <c r="J3377" s="6"/>
      <c r="K3377" s="6" t="str">
        <f ca="1">IFERROR(__xludf.DUMMYFUNCTION("""COMPUTED_VALUE"""),"خصم 30% علي الاسعار النقدي")</f>
        <v>خصم 30% علي الاسعار النقدي</v>
      </c>
    </row>
    <row r="3378" spans="1:11" x14ac:dyDescent="0.25">
      <c r="A3378" s="4" t="str">
        <f ca="1">IFERROR(__xludf.DUMMYFUNCTION("""COMPUTED_VALUE"""),"2110-B")</f>
        <v>2110-B</v>
      </c>
      <c r="B3378" s="5" t="str">
        <f ca="1">IFERROR(__xludf.DUMMYFUNCTION("""COMPUTED_VALUE"""),"القاهرة")</f>
        <v>القاهرة</v>
      </c>
      <c r="C3378" s="5" t="str">
        <f ca="1">IFERROR(__xludf.DUMMYFUNCTION("""COMPUTED_VALUE"""),"شبرا")</f>
        <v>شبرا</v>
      </c>
      <c r="D3378" s="5" t="str">
        <f ca="1">IFERROR(__xludf.DUMMYFUNCTION("""COMPUTED_VALUE"""),"هيئة الأطباء")</f>
        <v>هيئة الأطباء</v>
      </c>
      <c r="E3378" s="5" t="str">
        <f ca="1">IFERROR(__xludf.DUMMYFUNCTION("""COMPUTED_VALUE"""),"اسنان")</f>
        <v>اسنان</v>
      </c>
      <c r="F3378" s="5" t="str">
        <f ca="1">IFERROR(__xludf.DUMMYFUNCTION("""COMPUTED_VALUE"""),"جراحة الفم والأسنان")</f>
        <v>جراحة الفم والأسنان</v>
      </c>
      <c r="G3378" s="5" t="str">
        <f ca="1">IFERROR(__xludf.DUMMYFUNCTION("""COMPUTED_VALUE"""),"د/ محمد أمين")</f>
        <v>د/ محمد أمين</v>
      </c>
      <c r="H3378" s="5" t="str">
        <f ca="1">IFERROR(__xludf.DUMMYFUNCTION("""COMPUTED_VALUE"""),"170 ش شبرا غرفه بالشقه رقم 3 الدور الاول")</f>
        <v>170 ش شبرا غرفه بالشقه رقم 3 الدور الاول</v>
      </c>
      <c r="I3378" s="6" t="str">
        <f ca="1">IFERROR(__xludf.DUMMYFUNCTION("""COMPUTED_VALUE"""),"01080710696")</f>
        <v>01080710696</v>
      </c>
      <c r="J3378" s="6"/>
      <c r="K3378" s="6" t="str">
        <f ca="1">IFERROR(__xludf.DUMMYFUNCTION("""COMPUTED_VALUE"""),"نسبة خصم 50% للكشف - 30% للخدات الاخرى")</f>
        <v>نسبة خصم 50% للكشف - 30% للخدات الاخرى</v>
      </c>
    </row>
    <row r="3379" spans="1:11" x14ac:dyDescent="0.25">
      <c r="A3379" s="4" t="str">
        <f ca="1">IFERROR(__xludf.DUMMYFUNCTION("""COMPUTED_VALUE"""),"107605")</f>
        <v>107605</v>
      </c>
      <c r="B3379" s="5" t="str">
        <f ca="1">IFERROR(__xludf.DUMMYFUNCTION("""COMPUTED_VALUE"""),"الدقهلية")</f>
        <v>الدقهلية</v>
      </c>
      <c r="C3379" s="5" t="str">
        <f ca="1">IFERROR(__xludf.DUMMYFUNCTION("""COMPUTED_VALUE"""),"السنبلاوين")</f>
        <v>السنبلاوين</v>
      </c>
      <c r="D3379" s="5" t="str">
        <f ca="1">IFERROR(__xludf.DUMMYFUNCTION("""COMPUTED_VALUE"""),"هيئة الأطباء")</f>
        <v>هيئة الأطباء</v>
      </c>
      <c r="E3379" s="5" t="str">
        <f ca="1">IFERROR(__xludf.DUMMYFUNCTION("""COMPUTED_VALUE"""),"جراحة")</f>
        <v>جراحة</v>
      </c>
      <c r="F3379" s="5" t="str">
        <f ca="1">IFERROR(__xludf.DUMMYFUNCTION("""COMPUTED_VALUE"""),"جراحة عظام")</f>
        <v>جراحة عظام</v>
      </c>
      <c r="G3379" s="5" t="str">
        <f ca="1">IFERROR(__xludf.DUMMYFUNCTION("""COMPUTED_VALUE"""),"د. طارق علي حسين ابراهيم البيومي")</f>
        <v>د. طارق علي حسين ابراهيم البيومي</v>
      </c>
      <c r="H3379" s="5" t="str">
        <f ca="1">IFERROR(__xludf.DUMMYFUNCTION("""COMPUTED_VALUE"""),"ارض المحلج - تقسيم الصفوة - برج طيبة السنبلاوين - الدقهلية")</f>
        <v>ارض المحلج - تقسيم الصفوة - برج طيبة السنبلاوين - الدقهلية</v>
      </c>
      <c r="I3379" s="6" t="str">
        <f ca="1">IFERROR(__xludf.DUMMYFUNCTION("""COMPUTED_VALUE"""),"01012511138")</f>
        <v>01012511138</v>
      </c>
      <c r="J3379" s="6"/>
      <c r="K3379" s="6" t="str">
        <f ca="1">IFERROR(__xludf.DUMMYFUNCTION("""COMPUTED_VALUE"""),"خصم 30% علي الاسعار النقدي")</f>
        <v>خصم 30% علي الاسعار النقدي</v>
      </c>
    </row>
    <row r="3380" spans="1:11" x14ac:dyDescent="0.25">
      <c r="A3380" s="4" t="str">
        <f ca="1">IFERROR(__xludf.DUMMYFUNCTION("""COMPUTED_VALUE"""),"105350-B")</f>
        <v>105350-B</v>
      </c>
      <c r="B3380" s="5" t="str">
        <f ca="1">IFERROR(__xludf.DUMMYFUNCTION("""COMPUTED_VALUE"""),"القاهرة")</f>
        <v>القاهرة</v>
      </c>
      <c r="C3380" s="5" t="str">
        <f ca="1">IFERROR(__xludf.DUMMYFUNCTION("""COMPUTED_VALUE"""),"مدينة الشروق")</f>
        <v>مدينة الشروق</v>
      </c>
      <c r="D3380" s="5" t="str">
        <f ca="1">IFERROR(__xludf.DUMMYFUNCTION("""COMPUTED_VALUE"""),"صيدلية")</f>
        <v>صيدلية</v>
      </c>
      <c r="E3380" s="5" t="str">
        <f ca="1">IFERROR(__xludf.DUMMYFUNCTION("""COMPUTED_VALUE"""),"صيدلية")</f>
        <v>صيدلية</v>
      </c>
      <c r="F3380" s="5" t="str">
        <f ca="1">IFERROR(__xludf.DUMMYFUNCTION("""COMPUTED_VALUE"""),"صيدلية (أدوية ومستلزمات طبية)")</f>
        <v>صيدلية (أدوية ومستلزمات طبية)</v>
      </c>
      <c r="G3380" s="5" t="str">
        <f ca="1">IFERROR(__xludf.DUMMYFUNCTION("""COMPUTED_VALUE"""),"صيدليات صحة أهل مصر")</f>
        <v>صيدليات صحة أهل مصر</v>
      </c>
      <c r="H3380" s="5" t="str">
        <f ca="1">IFERROR(__xludf.DUMMYFUNCTION("""COMPUTED_VALUE"""),"محل رقم 7 A - قطعة 27- منطقة مركز المدينة (1) - مدينة الشروق -مول الحمد بالشروق")</f>
        <v>محل رقم 7 A - قطعة 27- منطقة مركز المدينة (1) - مدينة الشروق -مول الحمد بالشروق</v>
      </c>
      <c r="I3380" s="6" t="str">
        <f ca="1">IFERROR(__xludf.DUMMYFUNCTION("""COMPUTED_VALUE"""),"01116666621")</f>
        <v>01116666621</v>
      </c>
      <c r="J3380" s="6"/>
      <c r="K3380" s="6" t="str">
        <f ca="1">IFERROR(__xludf.DUMMYFUNCTION("""COMPUTED_VALUE"""),"10% على المحلى ,5% على المسورد")</f>
        <v>10% على المحلى ,5% على المسورد</v>
      </c>
    </row>
    <row r="3381" spans="1:11" x14ac:dyDescent="0.25">
      <c r="A3381" s="4" t="str">
        <f ca="1">IFERROR(__xludf.DUMMYFUNCTION("""COMPUTED_VALUE"""),"106948-B")</f>
        <v>106948-B</v>
      </c>
      <c r="B3381" s="5" t="str">
        <f ca="1">IFERROR(__xludf.DUMMYFUNCTION("""COMPUTED_VALUE"""),"الجيزة")</f>
        <v>الجيزة</v>
      </c>
      <c r="C3381" s="5" t="str">
        <f ca="1">IFERROR(__xludf.DUMMYFUNCTION("""COMPUTED_VALUE"""),"السادس من اكتوبر")</f>
        <v>السادس من اكتوبر</v>
      </c>
      <c r="D3381" s="5" t="str">
        <f ca="1">IFERROR(__xludf.DUMMYFUNCTION("""COMPUTED_VALUE"""),"صيدلية")</f>
        <v>صيدلية</v>
      </c>
      <c r="E3381" s="5" t="str">
        <f ca="1">IFERROR(__xludf.DUMMYFUNCTION("""COMPUTED_VALUE"""),"صيدلية")</f>
        <v>صيدلية</v>
      </c>
      <c r="F3381" s="5" t="str">
        <f ca="1">IFERROR(__xludf.DUMMYFUNCTION("""COMPUTED_VALUE"""),"صيدلية (أدوية ومستلزمات طبية)")</f>
        <v>صيدلية (أدوية ومستلزمات طبية)</v>
      </c>
      <c r="G3381" s="5" t="str">
        <f ca="1">IFERROR(__xludf.DUMMYFUNCTION("""COMPUTED_VALUE"""),"صيدلية اللوتس ")</f>
        <v xml:space="preserve">صيدلية اللوتس </v>
      </c>
      <c r="H3381" s="5" t="str">
        <f ca="1">IFERROR(__xludf.DUMMYFUNCTION("""COMPUTED_VALUE"""),"قطعة 29 بالمحور الخدمى الاول والثانى - مدينة 6 اكتوبر
")</f>
        <v xml:space="preserve">قطعة 29 بالمحور الخدمى الاول والثانى - مدينة 6 اكتوبر
</v>
      </c>
      <c r="I3381" s="6"/>
      <c r="J3381" s="6" t="str">
        <f ca="1">IFERROR(__xludf.DUMMYFUNCTION("""COMPUTED_VALUE"""),"16310")</f>
        <v>16310</v>
      </c>
      <c r="K3381" s="6" t="str">
        <f ca="1">IFERROR(__xludf.DUMMYFUNCTION("""COMPUTED_VALUE"""),"خصم 10% علي المحلي و 5% علي المستورد ما عدا القائمه المرفقه")</f>
        <v>خصم 10% علي المحلي و 5% علي المستورد ما عدا القائمه المرفقه</v>
      </c>
    </row>
    <row r="3382" spans="1:11" x14ac:dyDescent="0.25">
      <c r="A3382" s="4" t="str">
        <f ca="1">IFERROR(__xludf.DUMMYFUNCTION("""COMPUTED_VALUE"""),"106948-B")</f>
        <v>106948-B</v>
      </c>
      <c r="B3382" s="5" t="str">
        <f ca="1">IFERROR(__xludf.DUMMYFUNCTION("""COMPUTED_VALUE"""),"القاهرة")</f>
        <v>القاهرة</v>
      </c>
      <c r="C3382" s="5" t="str">
        <f ca="1">IFERROR(__xludf.DUMMYFUNCTION("""COMPUTED_VALUE"""),"القاهرة الجديدة")</f>
        <v>القاهرة الجديدة</v>
      </c>
      <c r="D3382" s="5" t="str">
        <f ca="1">IFERROR(__xludf.DUMMYFUNCTION("""COMPUTED_VALUE"""),"صيدلية")</f>
        <v>صيدلية</v>
      </c>
      <c r="E3382" s="5" t="str">
        <f ca="1">IFERROR(__xludf.DUMMYFUNCTION("""COMPUTED_VALUE"""),"صيدلية")</f>
        <v>صيدلية</v>
      </c>
      <c r="F3382" s="5" t="str">
        <f ca="1">IFERROR(__xludf.DUMMYFUNCTION("""COMPUTED_VALUE"""),"صيدلية (أدوية ومستلزمات طبية)")</f>
        <v>صيدلية (أدوية ومستلزمات طبية)</v>
      </c>
      <c r="G3382" s="5" t="str">
        <f ca="1">IFERROR(__xludf.DUMMYFUNCTION("""COMPUTED_VALUE"""),"صيدلية اللوتس ")</f>
        <v xml:space="preserve">صيدلية اللوتس </v>
      </c>
      <c r="H3382" s="5" t="str">
        <f ca="1">IFERROR(__xludf.DUMMYFUNCTION("""COMPUTED_VALUE"""),"محلG3  الدور الارضى مبنى 6 مول THE STRIP  مدينتى القاهرة الجديدة")</f>
        <v>محلG3  الدور الارضى مبنى 6 مول THE STRIP  مدينتى القاهرة الجديدة</v>
      </c>
      <c r="I3382" s="6"/>
      <c r="J3382" s="6" t="str">
        <f ca="1">IFERROR(__xludf.DUMMYFUNCTION("""COMPUTED_VALUE"""),"16310")</f>
        <v>16310</v>
      </c>
      <c r="K3382" s="6" t="str">
        <f ca="1">IFERROR(__xludf.DUMMYFUNCTION("""COMPUTED_VALUE"""),"خصم 10% علي المحلي و 5% علي المستورد ما عدا القائمه المرفقه")</f>
        <v>خصم 10% علي المحلي و 5% علي المستورد ما عدا القائمه المرفقه</v>
      </c>
    </row>
    <row r="3383" spans="1:11" x14ac:dyDescent="0.25">
      <c r="A3383" s="4" t="str">
        <f ca="1">IFERROR(__xludf.DUMMYFUNCTION("""COMPUTED_VALUE"""),"107607")</f>
        <v>107607</v>
      </c>
      <c r="B3383" s="5" t="str">
        <f ca="1">IFERROR(__xludf.DUMMYFUNCTION("""COMPUTED_VALUE"""),"السويس")</f>
        <v>السويس</v>
      </c>
      <c r="C3383" s="5" t="str">
        <f ca="1">IFERROR(__xludf.DUMMYFUNCTION("""COMPUTED_VALUE"""),"السويس")</f>
        <v>السويس</v>
      </c>
      <c r="D3383" s="5" t="str">
        <f ca="1">IFERROR(__xludf.DUMMYFUNCTION("""COMPUTED_VALUE"""),"هيئة الأطباء")</f>
        <v>هيئة الأطباء</v>
      </c>
      <c r="E3383" s="5" t="str">
        <f ca="1">IFERROR(__xludf.DUMMYFUNCTION("""COMPUTED_VALUE"""),"جراحة")</f>
        <v>جراحة</v>
      </c>
      <c r="F3383" s="5" t="str">
        <f ca="1">IFERROR(__xludf.DUMMYFUNCTION("""COMPUTED_VALUE"""),"جراحة عظام")</f>
        <v>جراحة عظام</v>
      </c>
      <c r="G3383" s="5" t="str">
        <f ca="1">IFERROR(__xludf.DUMMYFUNCTION("""COMPUTED_VALUE"""),"د. جون ممتاز عبدالباقي يوسف (د. جون ممتاز)")</f>
        <v>د. جون ممتاز عبدالباقي يوسف (د. جون ممتاز)</v>
      </c>
      <c r="H3383" s="5" t="str">
        <f ca="1">IFERROR(__xludf.DUMMYFUNCTION("""COMPUTED_VALUE"""),"2 حارة الصقلي من شارع احمد عرابي - الاربعين - السويس")</f>
        <v>2 حارة الصقلي من شارع احمد عرابي - الاربعين - السويس</v>
      </c>
      <c r="I3383" s="6" t="str">
        <f ca="1">IFERROR(__xludf.DUMMYFUNCTION("""COMPUTED_VALUE"""),"01221820903")</f>
        <v>01221820903</v>
      </c>
      <c r="J3383" s="6"/>
      <c r="K3383" s="6" t="str">
        <f ca="1">IFERROR(__xludf.DUMMYFUNCTION("""COMPUTED_VALUE"""),"خصم 30% علي الاسعار النقدي")</f>
        <v>خصم 30% علي الاسعار النقدي</v>
      </c>
    </row>
    <row r="3384" spans="1:11" x14ac:dyDescent="0.25">
      <c r="A3384" s="4" t="str">
        <f ca="1">IFERROR(__xludf.DUMMYFUNCTION("""COMPUTED_VALUE"""),"107608")</f>
        <v>107608</v>
      </c>
      <c r="B3384" s="5" t="str">
        <f ca="1">IFERROR(__xludf.DUMMYFUNCTION("""COMPUTED_VALUE"""),"القاهرة")</f>
        <v>القاهرة</v>
      </c>
      <c r="C3384" s="5" t="str">
        <f ca="1">IFERROR(__xludf.DUMMYFUNCTION("""COMPUTED_VALUE"""),"المنيل")</f>
        <v>المنيل</v>
      </c>
      <c r="D3384" s="5" t="str">
        <f ca="1">IFERROR(__xludf.DUMMYFUNCTION("""COMPUTED_VALUE"""),"هيئة الأطباء")</f>
        <v>هيئة الأطباء</v>
      </c>
      <c r="E3384" s="5" t="str">
        <f ca="1">IFERROR(__xludf.DUMMYFUNCTION("""COMPUTED_VALUE"""),"باطنة")</f>
        <v>باطنة</v>
      </c>
      <c r="F3384" s="5" t="str">
        <f ca="1">IFERROR(__xludf.DUMMYFUNCTION("""COMPUTED_VALUE"""),"قلب واوعية دموية")</f>
        <v>قلب واوعية دموية</v>
      </c>
      <c r="G3384" s="5" t="str">
        <f ca="1">IFERROR(__xludf.DUMMYFUNCTION("""COMPUTED_VALUE"""),"د. احمد محمد فهمي الدماطي (د. احمد الدماطي)")</f>
        <v>د. احمد محمد فهمي الدماطي (د. احمد الدماطي)</v>
      </c>
      <c r="H3384" s="5" t="str">
        <f ca="1">IFERROR(__xludf.DUMMYFUNCTION("""COMPUTED_VALUE"""),"127 شارع عبدالعزيز ال سعود - المنيل - القاهرة")</f>
        <v>127 شارع عبدالعزيز ال سعود - المنيل - القاهرة</v>
      </c>
      <c r="I3384" s="6" t="str">
        <f ca="1">IFERROR(__xludf.DUMMYFUNCTION("""COMPUTED_VALUE"""),"01003128277")</f>
        <v>01003128277</v>
      </c>
      <c r="J3384" s="6"/>
      <c r="K3384" s="6" t="str">
        <f ca="1">IFERROR(__xludf.DUMMYFUNCTION("""COMPUTED_VALUE"""),"خصم 30% علي الاسعار النقدي")</f>
        <v>خصم 30% علي الاسعار النقدي</v>
      </c>
    </row>
    <row r="3385" spans="1:11" x14ac:dyDescent="0.25">
      <c r="A3385" s="4" t="str">
        <f ca="1">IFERROR(__xludf.DUMMYFUNCTION("""COMPUTED_VALUE"""),"107609")</f>
        <v>107609</v>
      </c>
      <c r="B3385" s="5" t="str">
        <f ca="1">IFERROR(__xludf.DUMMYFUNCTION("""COMPUTED_VALUE"""),"الفيوم")</f>
        <v>الفيوم</v>
      </c>
      <c r="C3385" s="5" t="str">
        <f ca="1">IFERROR(__xludf.DUMMYFUNCTION("""COMPUTED_VALUE"""),"الفيوم")</f>
        <v>الفيوم</v>
      </c>
      <c r="D3385" s="5" t="str">
        <f ca="1">IFERROR(__xludf.DUMMYFUNCTION("""COMPUTED_VALUE"""),"مستشفى")</f>
        <v>مستشفى</v>
      </c>
      <c r="E3385" s="5" t="str">
        <f ca="1">IFERROR(__xludf.DUMMYFUNCTION("""COMPUTED_VALUE"""),"جميع التخصصات")</f>
        <v>جميع التخصصات</v>
      </c>
      <c r="F3385" s="5" t="str">
        <f ca="1">IFERROR(__xludf.DUMMYFUNCTION("""COMPUTED_VALUE"""),"جميع التخصصات الطبية")</f>
        <v>جميع التخصصات الطبية</v>
      </c>
      <c r="G3385" s="5" t="str">
        <f ca="1">IFERROR(__xludf.DUMMYFUNCTION("""COMPUTED_VALUE"""),"شركة مستشفي الفيوم الدولي للخدمات الطبية (مستشفي الطب التخصصي)")</f>
        <v>شركة مستشفي الفيوم الدولي للخدمات الطبية (مستشفي الطب التخصصي)</v>
      </c>
      <c r="H3385" s="5" t="str">
        <f ca="1">IFERROR(__xludf.DUMMYFUNCTION("""COMPUTED_VALUE"""),"ق 21 بحوض الجبل بكفور النيل  اول طريق دمو - الفيوم")</f>
        <v>ق 21 بحوض الجبل بكفور النيل  اول طريق دمو - الفيوم</v>
      </c>
      <c r="I3385" s="6" t="str">
        <f ca="1">IFERROR(__xludf.DUMMYFUNCTION("""COMPUTED_VALUE"""),"01011558500")</f>
        <v>01011558500</v>
      </c>
      <c r="J3385" s="6"/>
      <c r="K3385" s="6" t="str">
        <f ca="1">IFERROR(__xludf.DUMMYFUNCTION("""COMPUTED_VALUE"""),"خصم 30% علي الاسعار النقدي")</f>
        <v>خصم 30% علي الاسعار النقدي</v>
      </c>
    </row>
    <row r="3386" spans="1:11" x14ac:dyDescent="0.25">
      <c r="A3386" s="4" t="str">
        <f ca="1">IFERROR(__xludf.DUMMYFUNCTION("""COMPUTED_VALUE"""),"107606-B")</f>
        <v>107606-B</v>
      </c>
      <c r="B3386" s="5" t="str">
        <f ca="1">IFERROR(__xludf.DUMMYFUNCTION("""COMPUTED_VALUE"""),"أسيوط")</f>
        <v>أسيوط</v>
      </c>
      <c r="C3386" s="5" t="str">
        <f ca="1">IFERROR(__xludf.DUMMYFUNCTION("""COMPUTED_VALUE"""),"ابنوب")</f>
        <v>ابنوب</v>
      </c>
      <c r="D3386" s="5" t="str">
        <f ca="1">IFERROR(__xludf.DUMMYFUNCTION("""COMPUTED_VALUE"""),"صيدلية")</f>
        <v>صيدلية</v>
      </c>
      <c r="E3386" s="5" t="str">
        <f ca="1">IFERROR(__xludf.DUMMYFUNCTION("""COMPUTED_VALUE"""),"صيدلية")</f>
        <v>صيدلية</v>
      </c>
      <c r="F3386" s="5" t="str">
        <f ca="1">IFERROR(__xludf.DUMMYFUNCTION("""COMPUTED_VALUE"""),"صيدلية (أدوية ومستلزمات طبية)")</f>
        <v>صيدلية (أدوية ومستلزمات طبية)</v>
      </c>
      <c r="G3386" s="5" t="str">
        <f ca="1">IFERROR(__xludf.DUMMYFUNCTION("""COMPUTED_VALUE"""),"صيدلية محمد مصطفي احمد (شركة اورانج لخدمات الصيدليات)")</f>
        <v>صيدلية محمد مصطفي احمد (شركة اورانج لخدمات الصيدليات)</v>
      </c>
      <c r="H3386" s="5" t="str">
        <f ca="1">IFERROR(__xludf.DUMMYFUNCTION("""COMPUTED_VALUE"""),"كوم ابو شبل -بجوار مسجد الهادي -ابنوب -اسيوط")</f>
        <v>كوم ابو شبل -بجوار مسجد الهادي -ابنوب -اسيوط</v>
      </c>
      <c r="I3386" s="6" t="str">
        <f ca="1">IFERROR(__xludf.DUMMYFUNCTION("""COMPUTED_VALUE"""),"1278321084")</f>
        <v>1278321084</v>
      </c>
      <c r="J3386" s="6" t="str">
        <f ca="1">IFERROR(__xludf.DUMMYFUNCTION("""COMPUTED_VALUE"""),"19001")</f>
        <v>19001</v>
      </c>
      <c r="K3386" s="6" t="str">
        <f ca="1">IFERROR(__xludf.DUMMYFUNCTION("""COMPUTED_VALUE"""),"خصم 12% علي المحلي و6% علي المستورد")</f>
        <v>خصم 12% علي المحلي و6% علي المستورد</v>
      </c>
    </row>
    <row r="3387" spans="1:11" x14ac:dyDescent="0.25">
      <c r="A3387" s="4" t="str">
        <f ca="1">IFERROR(__xludf.DUMMYFUNCTION("""COMPUTED_VALUE"""),"107606-B")</f>
        <v>107606-B</v>
      </c>
      <c r="B3387" s="5" t="str">
        <f ca="1">IFERROR(__xludf.DUMMYFUNCTION("""COMPUTED_VALUE"""),"أسيوط")</f>
        <v>أسيوط</v>
      </c>
      <c r="C3387" s="5" t="str">
        <f ca="1">IFERROR(__xludf.DUMMYFUNCTION("""COMPUTED_VALUE"""),"الفتح")</f>
        <v>الفتح</v>
      </c>
      <c r="D3387" s="5" t="str">
        <f ca="1">IFERROR(__xludf.DUMMYFUNCTION("""COMPUTED_VALUE"""),"صيدلية")</f>
        <v>صيدلية</v>
      </c>
      <c r="E3387" s="5" t="str">
        <f ca="1">IFERROR(__xludf.DUMMYFUNCTION("""COMPUTED_VALUE"""),"صيدلية")</f>
        <v>صيدلية</v>
      </c>
      <c r="F3387" s="5" t="str">
        <f ca="1">IFERROR(__xludf.DUMMYFUNCTION("""COMPUTED_VALUE"""),"صيدلية (أدوية ومستلزمات طبية)")</f>
        <v>صيدلية (أدوية ومستلزمات طبية)</v>
      </c>
      <c r="G3387" s="5" t="str">
        <f ca="1">IFERROR(__xludf.DUMMYFUNCTION("""COMPUTED_VALUE"""),"صيدلية صلاح الدين فرج (شركة اورانج لخدمات الصيدليات)")</f>
        <v>صيدلية صلاح الدين فرج (شركة اورانج لخدمات الصيدليات)</v>
      </c>
      <c r="H3387" s="5" t="str">
        <f ca="1">IFERROR(__xludf.DUMMYFUNCTION("""COMPUTED_VALUE"""),"شارع محمود الجهيني -الناصرية-الفتح -اسيوط")</f>
        <v>شارع محمود الجهيني -الناصرية-الفتح -اسيوط</v>
      </c>
      <c r="I3387" s="6" t="str">
        <f ca="1">IFERROR(__xludf.DUMMYFUNCTION("""COMPUTED_VALUE"""),"1115074740")</f>
        <v>1115074740</v>
      </c>
      <c r="J3387" s="6" t="str">
        <f ca="1">IFERROR(__xludf.DUMMYFUNCTION("""COMPUTED_VALUE"""),"19001")</f>
        <v>19001</v>
      </c>
      <c r="K3387" s="6" t="str">
        <f ca="1">IFERROR(__xludf.DUMMYFUNCTION("""COMPUTED_VALUE"""),"خصم 12% علي المحلي و6% علي المستورد")</f>
        <v>خصم 12% علي المحلي و6% علي المستورد</v>
      </c>
    </row>
    <row r="3388" spans="1:11" x14ac:dyDescent="0.25">
      <c r="A3388" s="4" t="str">
        <f ca="1">IFERROR(__xludf.DUMMYFUNCTION("""COMPUTED_VALUE"""),"107606-B")</f>
        <v>107606-B</v>
      </c>
      <c r="B3388" s="5" t="str">
        <f ca="1">IFERROR(__xludf.DUMMYFUNCTION("""COMPUTED_VALUE"""),"أسيوط")</f>
        <v>أسيوط</v>
      </c>
      <c r="C3388" s="5" t="str">
        <f ca="1">IFERROR(__xludf.DUMMYFUNCTION("""COMPUTED_VALUE"""),"الفتح")</f>
        <v>الفتح</v>
      </c>
      <c r="D3388" s="5" t="str">
        <f ca="1">IFERROR(__xludf.DUMMYFUNCTION("""COMPUTED_VALUE"""),"صيدلية")</f>
        <v>صيدلية</v>
      </c>
      <c r="E3388" s="5" t="str">
        <f ca="1">IFERROR(__xludf.DUMMYFUNCTION("""COMPUTED_VALUE"""),"صيدلية")</f>
        <v>صيدلية</v>
      </c>
      <c r="F3388" s="5" t="str">
        <f ca="1">IFERROR(__xludf.DUMMYFUNCTION("""COMPUTED_VALUE"""),"صيدلية (أدوية ومستلزمات طبية)")</f>
        <v>صيدلية (أدوية ومستلزمات طبية)</v>
      </c>
      <c r="G3388" s="5" t="str">
        <f ca="1">IFERROR(__xludf.DUMMYFUNCTION("""COMPUTED_VALUE"""),"صيدلية صلاح الدين فرج (شركة اورانج لخدمات الصيدليات)")</f>
        <v>صيدلية صلاح الدين فرج (شركة اورانج لخدمات الصيدليات)</v>
      </c>
      <c r="H3388" s="5" t="str">
        <f ca="1">IFERROR(__xludf.DUMMYFUNCTION("""COMPUTED_VALUE"""),"اسيوط-مركز الفتح-قريه بنى زيد")</f>
        <v>اسيوط-مركز الفتح-قريه بنى زيد</v>
      </c>
      <c r="I3388" s="6" t="str">
        <f ca="1">IFERROR(__xludf.DUMMYFUNCTION("""COMPUTED_VALUE"""),"1115074740")</f>
        <v>1115074740</v>
      </c>
      <c r="J3388" s="6" t="str">
        <f ca="1">IFERROR(__xludf.DUMMYFUNCTION("""COMPUTED_VALUE"""),"19001")</f>
        <v>19001</v>
      </c>
      <c r="K3388" s="6" t="str">
        <f ca="1">IFERROR(__xludf.DUMMYFUNCTION("""COMPUTED_VALUE"""),"خصم 12% علي المحلي و6% علي المستورد")</f>
        <v>خصم 12% علي المحلي و6% علي المستورد</v>
      </c>
    </row>
    <row r="3389" spans="1:11" x14ac:dyDescent="0.25">
      <c r="A3389" s="4" t="str">
        <f ca="1">IFERROR(__xludf.DUMMYFUNCTION("""COMPUTED_VALUE"""),"107606-B")</f>
        <v>107606-B</v>
      </c>
      <c r="B3389" s="5" t="str">
        <f ca="1">IFERROR(__xludf.DUMMYFUNCTION("""COMPUTED_VALUE"""),"أسيوط")</f>
        <v>أسيوط</v>
      </c>
      <c r="C3389" s="5" t="str">
        <f ca="1">IFERROR(__xludf.DUMMYFUNCTION("""COMPUTED_VALUE"""),"ابنوب")</f>
        <v>ابنوب</v>
      </c>
      <c r="D3389" s="5" t="str">
        <f ca="1">IFERROR(__xludf.DUMMYFUNCTION("""COMPUTED_VALUE"""),"صيدلية")</f>
        <v>صيدلية</v>
      </c>
      <c r="E3389" s="5" t="str">
        <f ca="1">IFERROR(__xludf.DUMMYFUNCTION("""COMPUTED_VALUE"""),"صيدلية")</f>
        <v>صيدلية</v>
      </c>
      <c r="F3389" s="5" t="str">
        <f ca="1">IFERROR(__xludf.DUMMYFUNCTION("""COMPUTED_VALUE"""),"صيدلية (أدوية ومستلزمات طبية)")</f>
        <v>صيدلية (أدوية ومستلزمات طبية)</v>
      </c>
      <c r="G3389" s="5" t="str">
        <f ca="1">IFERROR(__xludf.DUMMYFUNCTION("""COMPUTED_VALUE"""),"صيدلية مجدي عبده مهني (شركة اورانج لخدمات الصيدليات)")</f>
        <v>صيدلية مجدي عبده مهني (شركة اورانج لخدمات الصيدليات)</v>
      </c>
      <c r="H3389" s="5" t="str">
        <f ca="1">IFERROR(__xludf.DUMMYFUNCTION("""COMPUTED_VALUE"""),"ابنوب-عزبة ابو اسحق بجوار مؤسسه مصر الخير-اسيوط")</f>
        <v>ابنوب-عزبة ابو اسحق بجوار مؤسسه مصر الخير-اسيوط</v>
      </c>
      <c r="I3389" s="6" t="str">
        <f ca="1">IFERROR(__xludf.DUMMYFUNCTION("""COMPUTED_VALUE"""),"1208790964")</f>
        <v>1208790964</v>
      </c>
      <c r="J3389" s="6" t="str">
        <f ca="1">IFERROR(__xludf.DUMMYFUNCTION("""COMPUTED_VALUE"""),"19001")</f>
        <v>19001</v>
      </c>
      <c r="K3389" s="6" t="str">
        <f ca="1">IFERROR(__xludf.DUMMYFUNCTION("""COMPUTED_VALUE"""),"خصم 12% علي المحلي و6% علي المستورد")</f>
        <v>خصم 12% علي المحلي و6% علي المستورد</v>
      </c>
    </row>
    <row r="3390" spans="1:11" x14ac:dyDescent="0.25">
      <c r="A3390" s="4" t="str">
        <f ca="1">IFERROR(__xludf.DUMMYFUNCTION("""COMPUTED_VALUE"""),"107606-B")</f>
        <v>107606-B</v>
      </c>
      <c r="B3390" s="5" t="str">
        <f ca="1">IFERROR(__xludf.DUMMYFUNCTION("""COMPUTED_VALUE"""),"أسيوط")</f>
        <v>أسيوط</v>
      </c>
      <c r="C3390" s="5" t="str">
        <f ca="1">IFERROR(__xludf.DUMMYFUNCTION("""COMPUTED_VALUE"""),"منفلوط")</f>
        <v>منفلوط</v>
      </c>
      <c r="D3390" s="5" t="str">
        <f ca="1">IFERROR(__xludf.DUMMYFUNCTION("""COMPUTED_VALUE"""),"صيدلية")</f>
        <v>صيدلية</v>
      </c>
      <c r="E3390" s="5" t="str">
        <f ca="1">IFERROR(__xludf.DUMMYFUNCTION("""COMPUTED_VALUE"""),"صيدلية")</f>
        <v>صيدلية</v>
      </c>
      <c r="F3390" s="5" t="str">
        <f ca="1">IFERROR(__xludf.DUMMYFUNCTION("""COMPUTED_VALUE"""),"صيدلية (أدوية ومستلزمات طبية)")</f>
        <v>صيدلية (أدوية ومستلزمات طبية)</v>
      </c>
      <c r="G3390" s="5" t="str">
        <f ca="1">IFERROR(__xludf.DUMMYFUNCTION("""COMPUTED_VALUE"""),"صيدلية احمد عبد الرحمن عبد الشافي (شركة اورانج لخدمات الصيدليات)")</f>
        <v>صيدلية احمد عبد الرحمن عبد الشافي (شركة اورانج لخدمات الصيدليات)</v>
      </c>
      <c r="H3390" s="5" t="str">
        <f ca="1">IFERROR(__xludf.DUMMYFUNCTION("""COMPUTED_VALUE"""),"شارع تقسيم الصياد -منفلوط-اسيوط")</f>
        <v>شارع تقسيم الصياد -منفلوط-اسيوط</v>
      </c>
      <c r="I3390" s="6" t="str">
        <f ca="1">IFERROR(__xludf.DUMMYFUNCTION("""COMPUTED_VALUE"""),"1005679179")</f>
        <v>1005679179</v>
      </c>
      <c r="J3390" s="6" t="str">
        <f ca="1">IFERROR(__xludf.DUMMYFUNCTION("""COMPUTED_VALUE"""),"19001")</f>
        <v>19001</v>
      </c>
      <c r="K3390" s="6" t="str">
        <f ca="1">IFERROR(__xludf.DUMMYFUNCTION("""COMPUTED_VALUE"""),"خصم 12% علي المحلي و6% علي المستورد")</f>
        <v>خصم 12% علي المحلي و6% علي المستورد</v>
      </c>
    </row>
    <row r="3391" spans="1:11" x14ac:dyDescent="0.25">
      <c r="A3391" s="4" t="str">
        <f ca="1">IFERROR(__xludf.DUMMYFUNCTION("""COMPUTED_VALUE"""),"107606-B")</f>
        <v>107606-B</v>
      </c>
      <c r="B3391" s="5" t="str">
        <f ca="1">IFERROR(__xludf.DUMMYFUNCTION("""COMPUTED_VALUE"""),"أسيوط")</f>
        <v>أسيوط</v>
      </c>
      <c r="C3391" s="5" t="str">
        <f ca="1">IFERROR(__xludf.DUMMYFUNCTION("""COMPUTED_VALUE"""),"ابو تيج")</f>
        <v>ابو تيج</v>
      </c>
      <c r="D3391" s="5" t="str">
        <f ca="1">IFERROR(__xludf.DUMMYFUNCTION("""COMPUTED_VALUE"""),"صيدلية")</f>
        <v>صيدلية</v>
      </c>
      <c r="E3391" s="5" t="str">
        <f ca="1">IFERROR(__xludf.DUMMYFUNCTION("""COMPUTED_VALUE"""),"صيدلية")</f>
        <v>صيدلية</v>
      </c>
      <c r="F3391" s="5" t="str">
        <f ca="1">IFERROR(__xludf.DUMMYFUNCTION("""COMPUTED_VALUE"""),"صيدلية (أدوية ومستلزمات طبية)")</f>
        <v>صيدلية (أدوية ومستلزمات طبية)</v>
      </c>
      <c r="G3391" s="5" t="str">
        <f ca="1">IFERROR(__xludf.DUMMYFUNCTION("""COMPUTED_VALUE"""),"صيدلية الشفاء (شركة اورانج لخدمات الصيدليات)")</f>
        <v>صيدلية الشفاء (شركة اورانج لخدمات الصيدليات)</v>
      </c>
      <c r="H3391" s="5" t="str">
        <f ca="1">IFERROR(__xludf.DUMMYFUNCTION("""COMPUTED_VALUE"""),"البلايزة-مركز ابوتيج-اسيوط")</f>
        <v>البلايزة-مركز ابوتيج-اسيوط</v>
      </c>
      <c r="I3391" s="6" t="str">
        <f ca="1">IFERROR(__xludf.DUMMYFUNCTION("""COMPUTED_VALUE"""),"1063659056")</f>
        <v>1063659056</v>
      </c>
      <c r="J3391" s="6" t="str">
        <f ca="1">IFERROR(__xludf.DUMMYFUNCTION("""COMPUTED_VALUE"""),"19001")</f>
        <v>19001</v>
      </c>
      <c r="K3391" s="6" t="str">
        <f ca="1">IFERROR(__xludf.DUMMYFUNCTION("""COMPUTED_VALUE"""),"خصم 12% علي المحلي و6% علي المستورد")</f>
        <v>خصم 12% علي المحلي و6% علي المستورد</v>
      </c>
    </row>
    <row r="3392" spans="1:11" x14ac:dyDescent="0.25">
      <c r="A3392" s="4" t="str">
        <f ca="1">IFERROR(__xludf.DUMMYFUNCTION("""COMPUTED_VALUE"""),"107606-B")</f>
        <v>107606-B</v>
      </c>
      <c r="B3392" s="5" t="str">
        <f ca="1">IFERROR(__xludf.DUMMYFUNCTION("""COMPUTED_VALUE"""),"أسيوط")</f>
        <v>أسيوط</v>
      </c>
      <c r="C3392" s="5" t="str">
        <f ca="1">IFERROR(__xludf.DUMMYFUNCTION("""COMPUTED_VALUE"""),"الفتح")</f>
        <v>الفتح</v>
      </c>
      <c r="D3392" s="5" t="str">
        <f ca="1">IFERROR(__xludf.DUMMYFUNCTION("""COMPUTED_VALUE"""),"صيدلية")</f>
        <v>صيدلية</v>
      </c>
      <c r="E3392" s="5" t="str">
        <f ca="1">IFERROR(__xludf.DUMMYFUNCTION("""COMPUTED_VALUE"""),"صيدلية")</f>
        <v>صيدلية</v>
      </c>
      <c r="F3392" s="5" t="str">
        <f ca="1">IFERROR(__xludf.DUMMYFUNCTION("""COMPUTED_VALUE"""),"صيدلية (أدوية ومستلزمات طبية)")</f>
        <v>صيدلية (أدوية ومستلزمات طبية)</v>
      </c>
      <c r="G3392" s="5" t="str">
        <f ca="1">IFERROR(__xludf.DUMMYFUNCTION("""COMPUTED_VALUE"""),"صيدلية اسماء جمال لوندي (شركة اورانج لخدمات الصيدليات)")</f>
        <v>صيدلية اسماء جمال لوندي (شركة اورانج لخدمات الصيدليات)</v>
      </c>
      <c r="H3392" s="5" t="str">
        <f ca="1">IFERROR(__xludf.DUMMYFUNCTION("""COMPUTED_VALUE"""),"شارع الترعه -مركز الفتح-اسيوط")</f>
        <v>شارع الترعه -مركز الفتح-اسيوط</v>
      </c>
      <c r="I3392" s="6" t="str">
        <f ca="1">IFERROR(__xludf.DUMMYFUNCTION("""COMPUTED_VALUE"""),"1115074740")</f>
        <v>1115074740</v>
      </c>
      <c r="J3392" s="6" t="str">
        <f ca="1">IFERROR(__xludf.DUMMYFUNCTION("""COMPUTED_VALUE"""),"19001")</f>
        <v>19001</v>
      </c>
      <c r="K3392" s="6" t="str">
        <f ca="1">IFERROR(__xludf.DUMMYFUNCTION("""COMPUTED_VALUE"""),"خصم 12% علي المحلي و6% علي المستورد")</f>
        <v>خصم 12% علي المحلي و6% علي المستورد</v>
      </c>
    </row>
    <row r="3393" spans="1:11" x14ac:dyDescent="0.25">
      <c r="A3393" s="4" t="str">
        <f ca="1">IFERROR(__xludf.DUMMYFUNCTION("""COMPUTED_VALUE"""),"107606-B")</f>
        <v>107606-B</v>
      </c>
      <c r="B3393" s="5" t="str">
        <f ca="1">IFERROR(__xludf.DUMMYFUNCTION("""COMPUTED_VALUE"""),"أسيوط")</f>
        <v>أسيوط</v>
      </c>
      <c r="C3393" s="5" t="str">
        <f ca="1">IFERROR(__xludf.DUMMYFUNCTION("""COMPUTED_VALUE"""),"ابو تيج")</f>
        <v>ابو تيج</v>
      </c>
      <c r="D3393" s="5" t="str">
        <f ca="1">IFERROR(__xludf.DUMMYFUNCTION("""COMPUTED_VALUE"""),"صيدلية")</f>
        <v>صيدلية</v>
      </c>
      <c r="E3393" s="5" t="str">
        <f ca="1">IFERROR(__xludf.DUMMYFUNCTION("""COMPUTED_VALUE"""),"صيدلية")</f>
        <v>صيدلية</v>
      </c>
      <c r="F3393" s="5" t="str">
        <f ca="1">IFERROR(__xludf.DUMMYFUNCTION("""COMPUTED_VALUE"""),"صيدلية (أدوية ومستلزمات طبية)")</f>
        <v>صيدلية (أدوية ومستلزمات طبية)</v>
      </c>
      <c r="G3393" s="5" t="str">
        <f ca="1">IFERROR(__xludf.DUMMYFUNCTION("""COMPUTED_VALUE"""),"صيدلية سري بأسيوط (شركة اورانج لخدمات الصيدليات)")</f>
        <v>صيدلية سري بأسيوط (شركة اورانج لخدمات الصيدليات)</v>
      </c>
      <c r="H3393" s="5" t="str">
        <f ca="1">IFERROR(__xludf.DUMMYFUNCTION("""COMPUTED_VALUE"""),"تقسيم الحقوقيين-اسيوط")</f>
        <v>تقسيم الحقوقيين-اسيوط</v>
      </c>
      <c r="I3393" s="6" t="str">
        <f ca="1">IFERROR(__xludf.DUMMYFUNCTION("""COMPUTED_VALUE"""),"1063659056")</f>
        <v>1063659056</v>
      </c>
      <c r="J3393" s="6" t="str">
        <f ca="1">IFERROR(__xludf.DUMMYFUNCTION("""COMPUTED_VALUE"""),"19001")</f>
        <v>19001</v>
      </c>
      <c r="K3393" s="6" t="str">
        <f ca="1">IFERROR(__xludf.DUMMYFUNCTION("""COMPUTED_VALUE"""),"خصم 12% علي المحلي و6% علي المستورد")</f>
        <v>خصم 12% علي المحلي و6% علي المستورد</v>
      </c>
    </row>
    <row r="3394" spans="1:11" x14ac:dyDescent="0.25">
      <c r="A3394" s="4" t="str">
        <f ca="1">IFERROR(__xludf.DUMMYFUNCTION("""COMPUTED_VALUE"""),"107606-B")</f>
        <v>107606-B</v>
      </c>
      <c r="B3394" s="5" t="str">
        <f ca="1">IFERROR(__xludf.DUMMYFUNCTION("""COMPUTED_VALUE"""),"أسيوط")</f>
        <v>أسيوط</v>
      </c>
      <c r="C3394" s="5" t="str">
        <f ca="1">IFERROR(__xludf.DUMMYFUNCTION("""COMPUTED_VALUE"""),"ابنوب")</f>
        <v>ابنوب</v>
      </c>
      <c r="D3394" s="5" t="str">
        <f ca="1">IFERROR(__xludf.DUMMYFUNCTION("""COMPUTED_VALUE"""),"صيدلية")</f>
        <v>صيدلية</v>
      </c>
      <c r="E3394" s="5" t="str">
        <f ca="1">IFERROR(__xludf.DUMMYFUNCTION("""COMPUTED_VALUE"""),"صيدلية")</f>
        <v>صيدلية</v>
      </c>
      <c r="F3394" s="5" t="str">
        <f ca="1">IFERROR(__xludf.DUMMYFUNCTION("""COMPUTED_VALUE"""),"صيدلية (أدوية ومستلزمات طبية)")</f>
        <v>صيدلية (أدوية ومستلزمات طبية)</v>
      </c>
      <c r="G3394" s="5" t="str">
        <f ca="1">IFERROR(__xludf.DUMMYFUNCTION("""COMPUTED_VALUE"""),"صيدلية عزه عزت حسين شوقي (شركة اورانج لخدمات الصيدليات)")</f>
        <v>صيدلية عزه عزت حسين شوقي (شركة اورانج لخدمات الصيدليات)</v>
      </c>
      <c r="H3394" s="5" t="str">
        <f ca="1">IFERROR(__xludf.DUMMYFUNCTION("""COMPUTED_VALUE"""),"قرية كوم ابو شبل -مركز ابنوب -اسيوط")</f>
        <v>قرية كوم ابو شبل -مركز ابنوب -اسيوط</v>
      </c>
      <c r="I3394" s="6" t="str">
        <f ca="1">IFERROR(__xludf.DUMMYFUNCTION("""COMPUTED_VALUE"""),"1145998904")</f>
        <v>1145998904</v>
      </c>
      <c r="J3394" s="6" t="str">
        <f ca="1">IFERROR(__xludf.DUMMYFUNCTION("""COMPUTED_VALUE"""),"19001")</f>
        <v>19001</v>
      </c>
      <c r="K3394" s="6" t="str">
        <f ca="1">IFERROR(__xludf.DUMMYFUNCTION("""COMPUTED_VALUE"""),"خصم 12% علي المحلي و6% علي المستورد")</f>
        <v>خصم 12% علي المحلي و6% علي المستورد</v>
      </c>
    </row>
    <row r="3395" spans="1:11" x14ac:dyDescent="0.25">
      <c r="A3395" s="4" t="str">
        <f ca="1">IFERROR(__xludf.DUMMYFUNCTION("""COMPUTED_VALUE"""),"107606-B")</f>
        <v>107606-B</v>
      </c>
      <c r="B3395" s="5" t="str">
        <f ca="1">IFERROR(__xludf.DUMMYFUNCTION("""COMPUTED_VALUE"""),"أسيوط")</f>
        <v>أسيوط</v>
      </c>
      <c r="C3395" s="5" t="str">
        <f ca="1">IFERROR(__xludf.DUMMYFUNCTION("""COMPUTED_VALUE"""),"أسيوط")</f>
        <v>أسيوط</v>
      </c>
      <c r="D3395" s="5" t="str">
        <f ca="1">IFERROR(__xludf.DUMMYFUNCTION("""COMPUTED_VALUE"""),"صيدلية")</f>
        <v>صيدلية</v>
      </c>
      <c r="E3395" s="5" t="str">
        <f ca="1">IFERROR(__xludf.DUMMYFUNCTION("""COMPUTED_VALUE"""),"صيدلية")</f>
        <v>صيدلية</v>
      </c>
      <c r="F3395" s="5" t="str">
        <f ca="1">IFERROR(__xludf.DUMMYFUNCTION("""COMPUTED_VALUE"""),"صيدلية (أدوية ومستلزمات طبية)")</f>
        <v>صيدلية (أدوية ومستلزمات طبية)</v>
      </c>
      <c r="G3395" s="5" t="str">
        <f ca="1">IFERROR(__xludf.DUMMYFUNCTION("""COMPUTED_VALUE"""),"صيدلية شارل هاني شاكر (شركة اورانج لخدمات الصيدليات)")</f>
        <v>صيدلية شارل هاني شاكر (شركة اورانج لخدمات الصيدليات)</v>
      </c>
      <c r="H3395" s="5" t="str">
        <f ca="1">IFERROR(__xludf.DUMMYFUNCTION("""COMPUTED_VALUE"""),"1شارع سيدي ابراهيم الدسوقي تقسيم الحكمدار-اسيوط")</f>
        <v>1شارع سيدي ابراهيم الدسوقي تقسيم الحكمدار-اسيوط</v>
      </c>
      <c r="I3395" s="6" t="str">
        <f ca="1">IFERROR(__xludf.DUMMYFUNCTION("""COMPUTED_VALUE"""),"1060303909")</f>
        <v>1060303909</v>
      </c>
      <c r="J3395" s="6" t="str">
        <f ca="1">IFERROR(__xludf.DUMMYFUNCTION("""COMPUTED_VALUE"""),"19001")</f>
        <v>19001</v>
      </c>
      <c r="K3395" s="6" t="str">
        <f ca="1">IFERROR(__xludf.DUMMYFUNCTION("""COMPUTED_VALUE"""),"خصم 12% علي المحلي و6% علي المستورد")</f>
        <v>خصم 12% علي المحلي و6% علي المستورد</v>
      </c>
    </row>
    <row r="3396" spans="1:11" x14ac:dyDescent="0.25">
      <c r="A3396" s="4" t="str">
        <f ca="1">IFERROR(__xludf.DUMMYFUNCTION("""COMPUTED_VALUE"""),"107606-B")</f>
        <v>107606-B</v>
      </c>
      <c r="B3396" s="5" t="str">
        <f ca="1">IFERROR(__xludf.DUMMYFUNCTION("""COMPUTED_VALUE"""),"أسيوط")</f>
        <v>أسيوط</v>
      </c>
      <c r="C3396" s="5" t="str">
        <f ca="1">IFERROR(__xludf.DUMMYFUNCTION("""COMPUTED_VALUE"""),"أسيوط")</f>
        <v>أسيوط</v>
      </c>
      <c r="D3396" s="5" t="str">
        <f ca="1">IFERROR(__xludf.DUMMYFUNCTION("""COMPUTED_VALUE"""),"صيدلية")</f>
        <v>صيدلية</v>
      </c>
      <c r="E3396" s="5" t="str">
        <f ca="1">IFERROR(__xludf.DUMMYFUNCTION("""COMPUTED_VALUE"""),"صيدلية")</f>
        <v>صيدلية</v>
      </c>
      <c r="F3396" s="5" t="str">
        <f ca="1">IFERROR(__xludf.DUMMYFUNCTION("""COMPUTED_VALUE"""),"صيدلية (أدوية ومستلزمات طبية)")</f>
        <v>صيدلية (أدوية ومستلزمات طبية)</v>
      </c>
      <c r="G3396" s="5" t="str">
        <f ca="1">IFERROR(__xludf.DUMMYFUNCTION("""COMPUTED_VALUE"""),"صيدلية عطا توفيق (شركة اورانج لخدمات الصيدليات)")</f>
        <v>صيدلية عطا توفيق (شركة اورانج لخدمات الصيدليات)</v>
      </c>
      <c r="H3396" s="5" t="str">
        <f ca="1">IFERROR(__xludf.DUMMYFUNCTION("""COMPUTED_VALUE"""),"21شارع الرشيدي المتفرع من شارع النميس -اسيوط")</f>
        <v>21شارع الرشيدي المتفرع من شارع النميس -اسيوط</v>
      </c>
      <c r="I3396" s="6" t="str">
        <f ca="1">IFERROR(__xludf.DUMMYFUNCTION("""COMPUTED_VALUE"""),"882063639")</f>
        <v>882063639</v>
      </c>
      <c r="J3396" s="6" t="str">
        <f ca="1">IFERROR(__xludf.DUMMYFUNCTION("""COMPUTED_VALUE"""),"19001")</f>
        <v>19001</v>
      </c>
      <c r="K3396" s="6" t="str">
        <f ca="1">IFERROR(__xludf.DUMMYFUNCTION("""COMPUTED_VALUE"""),"خصم 12% علي المحلي و6% علي المستورد")</f>
        <v>خصم 12% علي المحلي و6% علي المستورد</v>
      </c>
    </row>
    <row r="3397" spans="1:11" x14ac:dyDescent="0.25">
      <c r="A3397" s="4" t="str">
        <f ca="1">IFERROR(__xludf.DUMMYFUNCTION("""COMPUTED_VALUE"""),"107606-B")</f>
        <v>107606-B</v>
      </c>
      <c r="B3397" s="5" t="str">
        <f ca="1">IFERROR(__xludf.DUMMYFUNCTION("""COMPUTED_VALUE"""),"أسيوط")</f>
        <v>أسيوط</v>
      </c>
      <c r="C3397" s="5" t="str">
        <f ca="1">IFERROR(__xludf.DUMMYFUNCTION("""COMPUTED_VALUE"""),"أسيوط")</f>
        <v>أسيوط</v>
      </c>
      <c r="D3397" s="5" t="str">
        <f ca="1">IFERROR(__xludf.DUMMYFUNCTION("""COMPUTED_VALUE"""),"صيدلية")</f>
        <v>صيدلية</v>
      </c>
      <c r="E3397" s="5" t="str">
        <f ca="1">IFERROR(__xludf.DUMMYFUNCTION("""COMPUTED_VALUE"""),"صيدلية")</f>
        <v>صيدلية</v>
      </c>
      <c r="F3397" s="5" t="str">
        <f ca="1">IFERROR(__xludf.DUMMYFUNCTION("""COMPUTED_VALUE"""),"صيدلية (أدوية ومستلزمات طبية)")</f>
        <v>صيدلية (أدوية ومستلزمات طبية)</v>
      </c>
      <c r="G3397" s="5" t="str">
        <f ca="1">IFERROR(__xludf.DUMMYFUNCTION("""COMPUTED_VALUE"""),"صيدلية الغزاوى (شركة اورانج لخدمات الصيدليات)")</f>
        <v>صيدلية الغزاوى (شركة اورانج لخدمات الصيدليات)</v>
      </c>
      <c r="H3397" s="5" t="str">
        <f ca="1">IFERROR(__xludf.DUMMYFUNCTION("""COMPUTED_VALUE"""),"اسيوط شارع السادات")</f>
        <v>اسيوط شارع السادات</v>
      </c>
      <c r="I3397" s="6" t="str">
        <f ca="1">IFERROR(__xludf.DUMMYFUNCTION("""COMPUTED_VALUE"""),"1091689818")</f>
        <v>1091689818</v>
      </c>
      <c r="J3397" s="6" t="str">
        <f ca="1">IFERROR(__xludf.DUMMYFUNCTION("""COMPUTED_VALUE"""),"19001")</f>
        <v>19001</v>
      </c>
      <c r="K3397" s="6" t="str">
        <f ca="1">IFERROR(__xludf.DUMMYFUNCTION("""COMPUTED_VALUE"""),"خصم 12% علي المحلي و6% علي المستورد")</f>
        <v>خصم 12% علي المحلي و6% علي المستورد</v>
      </c>
    </row>
    <row r="3398" spans="1:11" x14ac:dyDescent="0.25">
      <c r="A3398" s="4" t="str">
        <f ca="1">IFERROR(__xludf.DUMMYFUNCTION("""COMPUTED_VALUE"""),"107606-B")</f>
        <v>107606-B</v>
      </c>
      <c r="B3398" s="5" t="str">
        <f ca="1">IFERROR(__xludf.DUMMYFUNCTION("""COMPUTED_VALUE"""),"أسيوط")</f>
        <v>أسيوط</v>
      </c>
      <c r="C3398" s="5" t="str">
        <f ca="1">IFERROR(__xludf.DUMMYFUNCTION("""COMPUTED_VALUE"""),"أسيوط")</f>
        <v>أسيوط</v>
      </c>
      <c r="D3398" s="5" t="str">
        <f ca="1">IFERROR(__xludf.DUMMYFUNCTION("""COMPUTED_VALUE"""),"صيدلية")</f>
        <v>صيدلية</v>
      </c>
      <c r="E3398" s="5" t="str">
        <f ca="1">IFERROR(__xludf.DUMMYFUNCTION("""COMPUTED_VALUE"""),"صيدلية")</f>
        <v>صيدلية</v>
      </c>
      <c r="F3398" s="5" t="str">
        <f ca="1">IFERROR(__xludf.DUMMYFUNCTION("""COMPUTED_VALUE"""),"صيدلية (أدوية ومستلزمات طبية)")</f>
        <v>صيدلية (أدوية ومستلزمات طبية)</v>
      </c>
      <c r="G3398" s="5" t="str">
        <f ca="1">IFERROR(__xludf.DUMMYFUNCTION("""COMPUTED_VALUE"""),"صيدلية د/ روماني عاطف يوسف (شركة اورانج لخدمات الصيدليات)")</f>
        <v>صيدلية د/ روماني عاطف يوسف (شركة اورانج لخدمات الصيدليات)</v>
      </c>
      <c r="H3398" s="5" t="str">
        <f ca="1">IFERROR(__xludf.DUMMYFUNCTION("""COMPUTED_VALUE"""),"طريق العصارة - خلف مصنع الورق - مركز الفتح - عزبة التحرير - شارع رقم 1 - أسيوط")</f>
        <v>طريق العصارة - خلف مصنع الورق - مركز الفتح - عزبة التحرير - شارع رقم 1 - أسيوط</v>
      </c>
      <c r="I3398" s="6" t="str">
        <f ca="1">IFERROR(__xludf.DUMMYFUNCTION("""COMPUTED_VALUE"""),"1557000365")</f>
        <v>1557000365</v>
      </c>
      <c r="J3398" s="6" t="str">
        <f ca="1">IFERROR(__xludf.DUMMYFUNCTION("""COMPUTED_VALUE"""),"19001")</f>
        <v>19001</v>
      </c>
      <c r="K3398" s="6" t="str">
        <f ca="1">IFERROR(__xludf.DUMMYFUNCTION("""COMPUTED_VALUE"""),"خصم 12% علي المحلي و6% علي المستورد")</f>
        <v>خصم 12% علي المحلي و6% علي المستورد</v>
      </c>
    </row>
    <row r="3399" spans="1:11" x14ac:dyDescent="0.25">
      <c r="A3399" s="4" t="str">
        <f ca="1">IFERROR(__xludf.DUMMYFUNCTION("""COMPUTED_VALUE"""),"107606-B")</f>
        <v>107606-B</v>
      </c>
      <c r="B3399" s="5" t="str">
        <f ca="1">IFERROR(__xludf.DUMMYFUNCTION("""COMPUTED_VALUE"""),"أسيوط")</f>
        <v>أسيوط</v>
      </c>
      <c r="C3399" s="5" t="str">
        <f ca="1">IFERROR(__xludf.DUMMYFUNCTION("""COMPUTED_VALUE"""),"أسيوط")</f>
        <v>أسيوط</v>
      </c>
      <c r="D3399" s="5" t="str">
        <f ca="1">IFERROR(__xludf.DUMMYFUNCTION("""COMPUTED_VALUE"""),"صيدلية")</f>
        <v>صيدلية</v>
      </c>
      <c r="E3399" s="5" t="str">
        <f ca="1">IFERROR(__xludf.DUMMYFUNCTION("""COMPUTED_VALUE"""),"صيدلية")</f>
        <v>صيدلية</v>
      </c>
      <c r="F3399" s="5" t="str">
        <f ca="1">IFERROR(__xludf.DUMMYFUNCTION("""COMPUTED_VALUE"""),"صيدلية (أدوية ومستلزمات طبية)")</f>
        <v>صيدلية (أدوية ومستلزمات طبية)</v>
      </c>
      <c r="G3399" s="5" t="str">
        <f ca="1">IFERROR(__xludf.DUMMYFUNCTION("""COMPUTED_VALUE"""),"صيدلية / أم النور (شركة اورانج لخدمات الصيدليات)")</f>
        <v>صيدلية / أم النور (شركة اورانج لخدمات الصيدليات)</v>
      </c>
      <c r="H3399" s="5" t="str">
        <f ca="1">IFERROR(__xludf.DUMMYFUNCTION("""COMPUTED_VALUE"""),"شارع الوحدة القومية (مستجد) - المتفرع من شارع المحافظة - مدينة أسيوط - أسيوط")</f>
        <v>شارع الوحدة القومية (مستجد) - المتفرع من شارع المحافظة - مدينة أسيوط - أسيوط</v>
      </c>
      <c r="I3399" s="6" t="str">
        <f ca="1">IFERROR(__xludf.DUMMYFUNCTION("""COMPUTED_VALUE"""),"1006268740")</f>
        <v>1006268740</v>
      </c>
      <c r="J3399" s="6" t="str">
        <f ca="1">IFERROR(__xludf.DUMMYFUNCTION("""COMPUTED_VALUE"""),"19001")</f>
        <v>19001</v>
      </c>
      <c r="K3399" s="6" t="str">
        <f ca="1">IFERROR(__xludf.DUMMYFUNCTION("""COMPUTED_VALUE"""),"خصم 12% علي المحلي و6% علي المستورد")</f>
        <v>خصم 12% علي المحلي و6% علي المستورد</v>
      </c>
    </row>
    <row r="3400" spans="1:11" x14ac:dyDescent="0.25">
      <c r="A3400" s="4" t="str">
        <f ca="1">IFERROR(__xludf.DUMMYFUNCTION("""COMPUTED_VALUE"""),"107606-B")</f>
        <v>107606-B</v>
      </c>
      <c r="B3400" s="5" t="str">
        <f ca="1">IFERROR(__xludf.DUMMYFUNCTION("""COMPUTED_VALUE"""),"أسيوط")</f>
        <v>أسيوط</v>
      </c>
      <c r="C3400" s="5" t="str">
        <f ca="1">IFERROR(__xludf.DUMMYFUNCTION("""COMPUTED_VALUE"""),"أسيوط")</f>
        <v>أسيوط</v>
      </c>
      <c r="D3400" s="5" t="str">
        <f ca="1">IFERROR(__xludf.DUMMYFUNCTION("""COMPUTED_VALUE"""),"صيدلية")</f>
        <v>صيدلية</v>
      </c>
      <c r="E3400" s="5" t="str">
        <f ca="1">IFERROR(__xludf.DUMMYFUNCTION("""COMPUTED_VALUE"""),"صيدلية")</f>
        <v>صيدلية</v>
      </c>
      <c r="F3400" s="5" t="str">
        <f ca="1">IFERROR(__xludf.DUMMYFUNCTION("""COMPUTED_VALUE"""),"صيدلية (أدوية ومستلزمات طبية)")</f>
        <v>صيدلية (أدوية ومستلزمات طبية)</v>
      </c>
      <c r="G3400" s="5" t="str">
        <f ca="1">IFERROR(__xludf.DUMMYFUNCTION("""COMPUTED_VALUE"""),"صيدلية نادر نبيل (شركة اورانج لخدمات الصيدليات)")</f>
        <v>صيدلية نادر نبيل (شركة اورانج لخدمات الصيدليات)</v>
      </c>
      <c r="H3400" s="5" t="str">
        <f ca="1">IFERROR(__xludf.DUMMYFUNCTION("""COMPUTED_VALUE"""),"شارع الامام علي رقم 23ش عثمان ابن عفان -شركة فريال-اسيوط")</f>
        <v>شارع الامام علي رقم 23ش عثمان ابن عفان -شركة فريال-اسيوط</v>
      </c>
      <c r="I3400" s="6" t="str">
        <f ca="1">IFERROR(__xludf.DUMMYFUNCTION("""COMPUTED_VALUE"""),"2052937088")</f>
        <v>2052937088</v>
      </c>
      <c r="J3400" s="6" t="str">
        <f ca="1">IFERROR(__xludf.DUMMYFUNCTION("""COMPUTED_VALUE"""),"19001")</f>
        <v>19001</v>
      </c>
      <c r="K3400" s="6" t="str">
        <f ca="1">IFERROR(__xludf.DUMMYFUNCTION("""COMPUTED_VALUE"""),"خصم 12% علي المحلي و6% علي المستورد")</f>
        <v>خصم 12% علي المحلي و6% علي المستورد</v>
      </c>
    </row>
    <row r="3401" spans="1:11" x14ac:dyDescent="0.25">
      <c r="A3401" s="4" t="str">
        <f ca="1">IFERROR(__xludf.DUMMYFUNCTION("""COMPUTED_VALUE"""),"107606-B")</f>
        <v>107606-B</v>
      </c>
      <c r="B3401" s="5" t="str">
        <f ca="1">IFERROR(__xludf.DUMMYFUNCTION("""COMPUTED_VALUE"""),"الاسكندرية")</f>
        <v>الاسكندرية</v>
      </c>
      <c r="C3401" s="5" t="str">
        <f ca="1">IFERROR(__xludf.DUMMYFUNCTION("""COMPUTED_VALUE"""),"المنتزة")</f>
        <v>المنتزة</v>
      </c>
      <c r="D3401" s="5" t="str">
        <f ca="1">IFERROR(__xludf.DUMMYFUNCTION("""COMPUTED_VALUE"""),"صيدلية")</f>
        <v>صيدلية</v>
      </c>
      <c r="E3401" s="5" t="str">
        <f ca="1">IFERROR(__xludf.DUMMYFUNCTION("""COMPUTED_VALUE"""),"صيدلية")</f>
        <v>صيدلية</v>
      </c>
      <c r="F3401" s="5" t="str">
        <f ca="1">IFERROR(__xludf.DUMMYFUNCTION("""COMPUTED_VALUE"""),"صيدلية (أدوية ومستلزمات طبية)")</f>
        <v>صيدلية (أدوية ومستلزمات طبية)</v>
      </c>
      <c r="G3401" s="5" t="str">
        <f ca="1">IFERROR(__xludf.DUMMYFUNCTION("""COMPUTED_VALUE"""),"صيدلية / البشارة (شركة اورانج لخدمات الصيدليات)")</f>
        <v>صيدلية / البشارة (شركة اورانج لخدمات الصيدليات)</v>
      </c>
      <c r="H3401" s="5" t="str">
        <f ca="1">IFERROR(__xludf.DUMMYFUNCTION("""COMPUTED_VALUE"""),"شارع إبراهيم بشير - متفرع من ملك حفني - درباله - فيكتوريا - قسم المنتزه أول - الإسكندرية")</f>
        <v>شارع إبراهيم بشير - متفرع من ملك حفني - درباله - فيكتوريا - قسم المنتزه أول - الإسكندرية</v>
      </c>
      <c r="I3401" s="6" t="str">
        <f ca="1">IFERROR(__xludf.DUMMYFUNCTION("""COMPUTED_VALUE"""),"1101175197")</f>
        <v>1101175197</v>
      </c>
      <c r="J3401" s="6" t="str">
        <f ca="1">IFERROR(__xludf.DUMMYFUNCTION("""COMPUTED_VALUE"""),"19001")</f>
        <v>19001</v>
      </c>
      <c r="K3401" s="6" t="str">
        <f ca="1">IFERROR(__xludf.DUMMYFUNCTION("""COMPUTED_VALUE"""),"خصم 12% علي المحلي و6% علي المستورد")</f>
        <v>خصم 12% علي المحلي و6% علي المستورد</v>
      </c>
    </row>
    <row r="3402" spans="1:11" x14ac:dyDescent="0.25">
      <c r="A3402" s="4" t="str">
        <f ca="1">IFERROR(__xludf.DUMMYFUNCTION("""COMPUTED_VALUE"""),"107606-B")</f>
        <v>107606-B</v>
      </c>
      <c r="B3402" s="5" t="str">
        <f ca="1">IFERROR(__xludf.DUMMYFUNCTION("""COMPUTED_VALUE"""),"الاسكندرية")</f>
        <v>الاسكندرية</v>
      </c>
      <c r="C3402" s="5" t="str">
        <f ca="1">IFERROR(__xludf.DUMMYFUNCTION("""COMPUTED_VALUE"""),"كليوباترا")</f>
        <v>كليوباترا</v>
      </c>
      <c r="D3402" s="5" t="str">
        <f ca="1">IFERROR(__xludf.DUMMYFUNCTION("""COMPUTED_VALUE"""),"صيدلية")</f>
        <v>صيدلية</v>
      </c>
      <c r="E3402" s="5" t="str">
        <f ca="1">IFERROR(__xludf.DUMMYFUNCTION("""COMPUTED_VALUE"""),"صيدلية")</f>
        <v>صيدلية</v>
      </c>
      <c r="F3402" s="5" t="str">
        <f ca="1">IFERROR(__xludf.DUMMYFUNCTION("""COMPUTED_VALUE"""),"صيدلية (أدوية ومستلزمات طبية)")</f>
        <v>صيدلية (أدوية ومستلزمات طبية)</v>
      </c>
      <c r="G3402" s="5" t="str">
        <f ca="1">IFERROR(__xludf.DUMMYFUNCTION("""COMPUTED_VALUE"""),"صيدلية د/ مريانة جاب الله (شركة اورانج لخدمات الصيدليات)")</f>
        <v>صيدلية د/ مريانة جاب الله (شركة اورانج لخدمات الصيدليات)</v>
      </c>
      <c r="H3402" s="5" t="str">
        <f ca="1">IFERROR(__xludf.DUMMYFUNCTION("""COMPUTED_VALUE"""),"311طريق الحرية - كليوباترا - الإسكندرية")</f>
        <v>311طريق الحرية - كليوباترا - الإسكندرية</v>
      </c>
      <c r="I3402" s="6" t="str">
        <f ca="1">IFERROR(__xludf.DUMMYFUNCTION("""COMPUTED_VALUE"""),"109732310")</f>
        <v>109732310</v>
      </c>
      <c r="J3402" s="6" t="str">
        <f ca="1">IFERROR(__xludf.DUMMYFUNCTION("""COMPUTED_VALUE"""),"19001")</f>
        <v>19001</v>
      </c>
      <c r="K3402" s="6" t="str">
        <f ca="1">IFERROR(__xludf.DUMMYFUNCTION("""COMPUTED_VALUE"""),"خصم 12% علي المحلي و6% علي المستورد")</f>
        <v>خصم 12% علي المحلي و6% علي المستورد</v>
      </c>
    </row>
    <row r="3403" spans="1:11" x14ac:dyDescent="0.25">
      <c r="A3403" s="4" t="str">
        <f ca="1">IFERROR(__xludf.DUMMYFUNCTION("""COMPUTED_VALUE"""),"107606-B")</f>
        <v>107606-B</v>
      </c>
      <c r="B3403" s="5" t="str">
        <f ca="1">IFERROR(__xludf.DUMMYFUNCTION("""COMPUTED_VALUE"""),"الاسكندرية")</f>
        <v>الاسكندرية</v>
      </c>
      <c r="C3403" s="5" t="str">
        <f ca="1">IFERROR(__xludf.DUMMYFUNCTION("""COMPUTED_VALUE"""),"القباري")</f>
        <v>القباري</v>
      </c>
      <c r="D3403" s="5" t="str">
        <f ca="1">IFERROR(__xludf.DUMMYFUNCTION("""COMPUTED_VALUE"""),"صيدلية")</f>
        <v>صيدلية</v>
      </c>
      <c r="E3403" s="5" t="str">
        <f ca="1">IFERROR(__xludf.DUMMYFUNCTION("""COMPUTED_VALUE"""),"صيدلية")</f>
        <v>صيدلية</v>
      </c>
      <c r="F3403" s="5" t="str">
        <f ca="1">IFERROR(__xludf.DUMMYFUNCTION("""COMPUTED_VALUE"""),"صيدلية (أدوية ومستلزمات طبية)")</f>
        <v>صيدلية (أدوية ومستلزمات طبية)</v>
      </c>
      <c r="G3403" s="5" t="str">
        <f ca="1">IFERROR(__xludf.DUMMYFUNCTION("""COMPUTED_VALUE"""),"صيدلية مهدي جودة (شركة اورانج لخدمات الصيدليات)")</f>
        <v>صيدلية مهدي جودة (شركة اورانج لخدمات الصيدليات)</v>
      </c>
      <c r="H3403" s="5" t="str">
        <f ca="1">IFERROR(__xludf.DUMMYFUNCTION("""COMPUTED_VALUE"""),"13شارع الامان -الورديان-مينا البصل -الاسكندرية")</f>
        <v>13شارع الامان -الورديان-مينا البصل -الاسكندرية</v>
      </c>
      <c r="I3403" s="6" t="str">
        <f ca="1">IFERROR(__xludf.DUMMYFUNCTION("""COMPUTED_VALUE"""),"1281259629")</f>
        <v>1281259629</v>
      </c>
      <c r="J3403" s="6" t="str">
        <f ca="1">IFERROR(__xludf.DUMMYFUNCTION("""COMPUTED_VALUE"""),"19001")</f>
        <v>19001</v>
      </c>
      <c r="K3403" s="6" t="str">
        <f ca="1">IFERROR(__xludf.DUMMYFUNCTION("""COMPUTED_VALUE"""),"خصم 12% علي المحلي و6% علي المستورد")</f>
        <v>خصم 12% علي المحلي و6% علي المستورد</v>
      </c>
    </row>
    <row r="3404" spans="1:11" x14ac:dyDescent="0.25">
      <c r="A3404" s="4" t="str">
        <f ca="1">IFERROR(__xludf.DUMMYFUNCTION("""COMPUTED_VALUE"""),"107606-B")</f>
        <v>107606-B</v>
      </c>
      <c r="B3404" s="5" t="str">
        <f ca="1">IFERROR(__xludf.DUMMYFUNCTION("""COMPUTED_VALUE"""),"الاسكندرية")</f>
        <v>الاسكندرية</v>
      </c>
      <c r="C3404" s="5" t="str">
        <f ca="1">IFERROR(__xludf.DUMMYFUNCTION("""COMPUTED_VALUE"""),"سيدي بشر")</f>
        <v>سيدي بشر</v>
      </c>
      <c r="D3404" s="5" t="str">
        <f ca="1">IFERROR(__xludf.DUMMYFUNCTION("""COMPUTED_VALUE"""),"صيدلية")</f>
        <v>صيدلية</v>
      </c>
      <c r="E3404" s="5" t="str">
        <f ca="1">IFERROR(__xludf.DUMMYFUNCTION("""COMPUTED_VALUE"""),"صيدلية")</f>
        <v>صيدلية</v>
      </c>
      <c r="F3404" s="5" t="str">
        <f ca="1">IFERROR(__xludf.DUMMYFUNCTION("""COMPUTED_VALUE"""),"صيدلية (أدوية ومستلزمات طبية)")</f>
        <v>صيدلية (أدوية ومستلزمات طبية)</v>
      </c>
      <c r="G3404" s="5" t="str">
        <f ca="1">IFERROR(__xludf.DUMMYFUNCTION("""COMPUTED_VALUE"""),"صيدلية ماريو ثروت (شركة اورانج لخدمات الصيدليات)")</f>
        <v>صيدلية ماريو ثروت (شركة اورانج لخدمات الصيدليات)</v>
      </c>
      <c r="H3404" s="5" t="str">
        <f ca="1">IFERROR(__xludf.DUMMYFUNCTION("""COMPUTED_VALUE"""),"62ش سيدي بشر قبلي -الاسكندرية")</f>
        <v>62ش سيدي بشر قبلي -الاسكندرية</v>
      </c>
      <c r="I3404" s="6" t="str">
        <f ca="1">IFERROR(__xludf.DUMMYFUNCTION("""COMPUTED_VALUE"""),"1554231888")</f>
        <v>1554231888</v>
      </c>
      <c r="J3404" s="6" t="str">
        <f ca="1">IFERROR(__xludf.DUMMYFUNCTION("""COMPUTED_VALUE"""),"19001")</f>
        <v>19001</v>
      </c>
      <c r="K3404" s="6" t="str">
        <f ca="1">IFERROR(__xludf.DUMMYFUNCTION("""COMPUTED_VALUE"""),"خصم 12% علي المحلي و6% علي المستورد")</f>
        <v>خصم 12% علي المحلي و6% علي المستورد</v>
      </c>
    </row>
    <row r="3405" spans="1:11" x14ac:dyDescent="0.25">
      <c r="A3405" s="4" t="str">
        <f ca="1">IFERROR(__xludf.DUMMYFUNCTION("""COMPUTED_VALUE"""),"107606-B")</f>
        <v>107606-B</v>
      </c>
      <c r="B3405" s="5" t="str">
        <f ca="1">IFERROR(__xludf.DUMMYFUNCTION("""COMPUTED_VALUE"""),"الاسكندرية")</f>
        <v>الاسكندرية</v>
      </c>
      <c r="C3405" s="5" t="str">
        <f ca="1">IFERROR(__xludf.DUMMYFUNCTION("""COMPUTED_VALUE"""),"ميامي")</f>
        <v>ميامي</v>
      </c>
      <c r="D3405" s="5" t="str">
        <f ca="1">IFERROR(__xludf.DUMMYFUNCTION("""COMPUTED_VALUE"""),"صيدلية")</f>
        <v>صيدلية</v>
      </c>
      <c r="E3405" s="5" t="str">
        <f ca="1">IFERROR(__xludf.DUMMYFUNCTION("""COMPUTED_VALUE"""),"صيدلية")</f>
        <v>صيدلية</v>
      </c>
      <c r="F3405" s="5" t="str">
        <f ca="1">IFERROR(__xludf.DUMMYFUNCTION("""COMPUTED_VALUE"""),"صيدلية (أدوية ومستلزمات طبية)")</f>
        <v>صيدلية (أدوية ومستلزمات طبية)</v>
      </c>
      <c r="G3405" s="5" t="str">
        <f ca="1">IFERROR(__xludf.DUMMYFUNCTION("""COMPUTED_VALUE"""),"صيدلية عبد الحميد (شركة اورانج لخدمات الصيدليات)")</f>
        <v>صيدلية عبد الحميد (شركة اورانج لخدمات الصيدليات)</v>
      </c>
      <c r="H3405" s="5" t="str">
        <f ca="1">IFERROR(__xludf.DUMMYFUNCTION("""COMPUTED_VALUE"""),"21ش مسجد عمر بن عبد العزيز-ميامي-الاسكندرية")</f>
        <v>21ش مسجد عمر بن عبد العزيز-ميامي-الاسكندرية</v>
      </c>
      <c r="I3405" s="6" t="str">
        <f ca="1">IFERROR(__xludf.DUMMYFUNCTION("""COMPUTED_VALUE"""),"1067325449")</f>
        <v>1067325449</v>
      </c>
      <c r="J3405" s="6" t="str">
        <f ca="1">IFERROR(__xludf.DUMMYFUNCTION("""COMPUTED_VALUE"""),"19001")</f>
        <v>19001</v>
      </c>
      <c r="K3405" s="6" t="str">
        <f ca="1">IFERROR(__xludf.DUMMYFUNCTION("""COMPUTED_VALUE"""),"خصم 12% علي المحلي و6% علي المستورد")</f>
        <v>خصم 12% علي المحلي و6% علي المستورد</v>
      </c>
    </row>
    <row r="3406" spans="1:11" x14ac:dyDescent="0.25">
      <c r="A3406" s="4" t="str">
        <f ca="1">IFERROR(__xludf.DUMMYFUNCTION("""COMPUTED_VALUE"""),"107606-B")</f>
        <v>107606-B</v>
      </c>
      <c r="B3406" s="5" t="str">
        <f ca="1">IFERROR(__xludf.DUMMYFUNCTION("""COMPUTED_VALUE"""),"الاسكندرية")</f>
        <v>الاسكندرية</v>
      </c>
      <c r="C3406" s="5" t="str">
        <f ca="1">IFERROR(__xludf.DUMMYFUNCTION("""COMPUTED_VALUE"""),"سيدي بشر")</f>
        <v>سيدي بشر</v>
      </c>
      <c r="D3406" s="5" t="str">
        <f ca="1">IFERROR(__xludf.DUMMYFUNCTION("""COMPUTED_VALUE"""),"صيدلية")</f>
        <v>صيدلية</v>
      </c>
      <c r="E3406" s="5" t="str">
        <f ca="1">IFERROR(__xludf.DUMMYFUNCTION("""COMPUTED_VALUE"""),"صيدلية")</f>
        <v>صيدلية</v>
      </c>
      <c r="F3406" s="5" t="str">
        <f ca="1">IFERROR(__xludf.DUMMYFUNCTION("""COMPUTED_VALUE"""),"صيدلية (أدوية ومستلزمات طبية)")</f>
        <v>صيدلية (أدوية ومستلزمات طبية)</v>
      </c>
      <c r="G3406" s="5" t="str">
        <f ca="1">IFERROR(__xludf.DUMMYFUNCTION("""COMPUTED_VALUE"""),"صيدلية احمد اسماعيل سماط (شركة اورانج لخدمات الصيدليات)")</f>
        <v>صيدلية احمد اسماعيل سماط (شركة اورانج لخدمات الصيدليات)</v>
      </c>
      <c r="H3406" s="5" t="str">
        <f ca="1">IFERROR(__xludf.DUMMYFUNCTION("""COMPUTED_VALUE"""),"5شارع محمود صدقي متفرع من جمال عبد الناصر عند نفق سيدي بشر -الاسكندرية")</f>
        <v>5شارع محمود صدقي متفرع من جمال عبد الناصر عند نفق سيدي بشر -الاسكندرية</v>
      </c>
      <c r="I3406" s="6" t="str">
        <f ca="1">IFERROR(__xludf.DUMMYFUNCTION("""COMPUTED_VALUE"""),"1065240340")</f>
        <v>1065240340</v>
      </c>
      <c r="J3406" s="6" t="str">
        <f ca="1">IFERROR(__xludf.DUMMYFUNCTION("""COMPUTED_VALUE"""),"19001")</f>
        <v>19001</v>
      </c>
      <c r="K3406" s="6" t="str">
        <f ca="1">IFERROR(__xludf.DUMMYFUNCTION("""COMPUTED_VALUE"""),"خصم 12% علي المحلي و6% علي المستورد")</f>
        <v>خصم 12% علي المحلي و6% علي المستورد</v>
      </c>
    </row>
    <row r="3407" spans="1:11" x14ac:dyDescent="0.25">
      <c r="A3407" s="4" t="str">
        <f ca="1">IFERROR(__xludf.DUMMYFUNCTION("""COMPUTED_VALUE"""),"107606-B")</f>
        <v>107606-B</v>
      </c>
      <c r="B3407" s="5" t="str">
        <f ca="1">IFERROR(__xludf.DUMMYFUNCTION("""COMPUTED_VALUE"""),"الاسكندرية")</f>
        <v>الاسكندرية</v>
      </c>
      <c r="C3407" s="5" t="str">
        <f ca="1">IFERROR(__xludf.DUMMYFUNCTION("""COMPUTED_VALUE"""),"محطة الرمل")</f>
        <v>محطة الرمل</v>
      </c>
      <c r="D3407" s="5" t="str">
        <f ca="1">IFERROR(__xludf.DUMMYFUNCTION("""COMPUTED_VALUE"""),"صيدلية")</f>
        <v>صيدلية</v>
      </c>
      <c r="E3407" s="5" t="str">
        <f ca="1">IFERROR(__xludf.DUMMYFUNCTION("""COMPUTED_VALUE"""),"صيدلية")</f>
        <v>صيدلية</v>
      </c>
      <c r="F3407" s="5" t="str">
        <f ca="1">IFERROR(__xludf.DUMMYFUNCTION("""COMPUTED_VALUE"""),"صيدلية (أدوية ومستلزمات طبية)")</f>
        <v>صيدلية (أدوية ومستلزمات طبية)</v>
      </c>
      <c r="G3407" s="5" t="str">
        <f ca="1">IFERROR(__xludf.DUMMYFUNCTION("""COMPUTED_VALUE"""),"صيدلية المعالي (شركة اورانج لخدمات الصيدليات)")</f>
        <v>صيدلية المعالي (شركة اورانج لخدمات الصيدليات)</v>
      </c>
      <c r="H3407" s="5" t="str">
        <f ca="1">IFERROR(__xludf.DUMMYFUNCTION("""COMPUTED_VALUE"""),"77شارع الفتح فلمنج -قسم الرمل اول -اسكندرية")</f>
        <v>77شارع الفتح فلمنج -قسم الرمل اول -اسكندرية</v>
      </c>
      <c r="I3407" s="6" t="str">
        <f ca="1">IFERROR(__xludf.DUMMYFUNCTION("""COMPUTED_VALUE"""),"1004807494")</f>
        <v>1004807494</v>
      </c>
      <c r="J3407" s="6" t="str">
        <f ca="1">IFERROR(__xludf.DUMMYFUNCTION("""COMPUTED_VALUE"""),"19001")</f>
        <v>19001</v>
      </c>
      <c r="K3407" s="6" t="str">
        <f ca="1">IFERROR(__xludf.DUMMYFUNCTION("""COMPUTED_VALUE"""),"خصم 12% علي المحلي و6% علي المستورد")</f>
        <v>خصم 12% علي المحلي و6% علي المستورد</v>
      </c>
    </row>
    <row r="3408" spans="1:11" x14ac:dyDescent="0.25">
      <c r="A3408" s="4" t="str">
        <f ca="1">IFERROR(__xludf.DUMMYFUNCTION("""COMPUTED_VALUE"""),"107606-B")</f>
        <v>107606-B</v>
      </c>
      <c r="B3408" s="5" t="str">
        <f ca="1">IFERROR(__xludf.DUMMYFUNCTION("""COMPUTED_VALUE"""),"الاسكندرية")</f>
        <v>الاسكندرية</v>
      </c>
      <c r="C3408" s="5" t="str">
        <f ca="1">IFERROR(__xludf.DUMMYFUNCTION("""COMPUTED_VALUE"""),"محرم بيك")</f>
        <v>محرم بيك</v>
      </c>
      <c r="D3408" s="5" t="str">
        <f ca="1">IFERROR(__xludf.DUMMYFUNCTION("""COMPUTED_VALUE"""),"صيدلية")</f>
        <v>صيدلية</v>
      </c>
      <c r="E3408" s="5" t="str">
        <f ca="1">IFERROR(__xludf.DUMMYFUNCTION("""COMPUTED_VALUE"""),"صيدلية")</f>
        <v>صيدلية</v>
      </c>
      <c r="F3408" s="5" t="str">
        <f ca="1">IFERROR(__xludf.DUMMYFUNCTION("""COMPUTED_VALUE"""),"صيدلية (أدوية ومستلزمات طبية)")</f>
        <v>صيدلية (أدوية ومستلزمات طبية)</v>
      </c>
      <c r="G3408" s="5" t="str">
        <f ca="1">IFERROR(__xludf.DUMMYFUNCTION("""COMPUTED_VALUE"""),"صيدلية الاسكندراني الجديدة (شركة اورانج لخدمات الصيدليات)")</f>
        <v>صيدلية الاسكندراني الجديدة (شركة اورانج لخدمات الصيدليات)</v>
      </c>
      <c r="H3408" s="5" t="str">
        <f ca="1">IFERROR(__xludf.DUMMYFUNCTION("""COMPUTED_VALUE"""),"82شارع الاسكندراني -محرم بك-الاسكندرية")</f>
        <v>82شارع الاسكندراني -محرم بك-الاسكندرية</v>
      </c>
      <c r="I3408" s="6" t="str">
        <f ca="1">IFERROR(__xludf.DUMMYFUNCTION("""COMPUTED_VALUE"""),"1223338119")</f>
        <v>1223338119</v>
      </c>
      <c r="J3408" s="6" t="str">
        <f ca="1">IFERROR(__xludf.DUMMYFUNCTION("""COMPUTED_VALUE"""),"19001")</f>
        <v>19001</v>
      </c>
      <c r="K3408" s="6" t="str">
        <f ca="1">IFERROR(__xludf.DUMMYFUNCTION("""COMPUTED_VALUE"""),"خصم 12% علي المحلي و6% علي المستورد")</f>
        <v>خصم 12% علي المحلي و6% علي المستورد</v>
      </c>
    </row>
    <row r="3409" spans="1:11" x14ac:dyDescent="0.25">
      <c r="A3409" s="4" t="str">
        <f ca="1">IFERROR(__xludf.DUMMYFUNCTION("""COMPUTED_VALUE"""),"107606-B")</f>
        <v>107606-B</v>
      </c>
      <c r="B3409" s="5" t="str">
        <f ca="1">IFERROR(__xludf.DUMMYFUNCTION("""COMPUTED_VALUE"""),"الاسكندرية")</f>
        <v>الاسكندرية</v>
      </c>
      <c r="C3409" s="5" t="str">
        <f ca="1">IFERROR(__xludf.DUMMYFUNCTION("""COMPUTED_VALUE"""),"المنشية")</f>
        <v>المنشية</v>
      </c>
      <c r="D3409" s="5" t="str">
        <f ca="1">IFERROR(__xludf.DUMMYFUNCTION("""COMPUTED_VALUE"""),"صيدلية")</f>
        <v>صيدلية</v>
      </c>
      <c r="E3409" s="5" t="str">
        <f ca="1">IFERROR(__xludf.DUMMYFUNCTION("""COMPUTED_VALUE"""),"صيدلية")</f>
        <v>صيدلية</v>
      </c>
      <c r="F3409" s="5" t="str">
        <f ca="1">IFERROR(__xludf.DUMMYFUNCTION("""COMPUTED_VALUE"""),"صيدلية (أدوية ومستلزمات طبية)")</f>
        <v>صيدلية (أدوية ومستلزمات طبية)</v>
      </c>
      <c r="G3409" s="5" t="str">
        <f ca="1">IFERROR(__xludf.DUMMYFUNCTION("""COMPUTED_VALUE"""),"صيدلية احمد نيازي (شركة اورانج لخدمات الصيدليات)")</f>
        <v>صيدلية احمد نيازي (شركة اورانج لخدمات الصيدليات)</v>
      </c>
      <c r="H3409" s="5" t="str">
        <f ca="1">IFERROR(__xludf.DUMMYFUNCTION("""COMPUTED_VALUE"""),"12شارع البوستة القديمة -المنشية-الاسكندرية")</f>
        <v>12شارع البوستة القديمة -المنشية-الاسكندرية</v>
      </c>
      <c r="I3409" s="6" t="str">
        <f ca="1">IFERROR(__xludf.DUMMYFUNCTION("""COMPUTED_VALUE"""),"1006226852")</f>
        <v>1006226852</v>
      </c>
      <c r="J3409" s="6" t="str">
        <f ca="1">IFERROR(__xludf.DUMMYFUNCTION("""COMPUTED_VALUE"""),"19001")</f>
        <v>19001</v>
      </c>
      <c r="K3409" s="6" t="str">
        <f ca="1">IFERROR(__xludf.DUMMYFUNCTION("""COMPUTED_VALUE"""),"خصم 12% علي المحلي و6% علي المستورد")</f>
        <v>خصم 12% علي المحلي و6% علي المستورد</v>
      </c>
    </row>
    <row r="3410" spans="1:11" x14ac:dyDescent="0.25">
      <c r="A3410" s="4" t="str">
        <f ca="1">IFERROR(__xludf.DUMMYFUNCTION("""COMPUTED_VALUE"""),"107606-B")</f>
        <v>107606-B</v>
      </c>
      <c r="B3410" s="5" t="str">
        <f ca="1">IFERROR(__xludf.DUMMYFUNCTION("""COMPUTED_VALUE"""),"الاسكندرية")</f>
        <v>الاسكندرية</v>
      </c>
      <c r="C3410" s="5" t="str">
        <f ca="1">IFERROR(__xludf.DUMMYFUNCTION("""COMPUTED_VALUE"""),"سيدي جابر")</f>
        <v>سيدي جابر</v>
      </c>
      <c r="D3410" s="5" t="str">
        <f ca="1">IFERROR(__xludf.DUMMYFUNCTION("""COMPUTED_VALUE"""),"صيدلية")</f>
        <v>صيدلية</v>
      </c>
      <c r="E3410" s="5" t="str">
        <f ca="1">IFERROR(__xludf.DUMMYFUNCTION("""COMPUTED_VALUE"""),"صيدلية")</f>
        <v>صيدلية</v>
      </c>
      <c r="F3410" s="5" t="str">
        <f ca="1">IFERROR(__xludf.DUMMYFUNCTION("""COMPUTED_VALUE"""),"صيدلية (أدوية ومستلزمات طبية)")</f>
        <v>صيدلية (أدوية ومستلزمات طبية)</v>
      </c>
      <c r="G3410" s="5" t="str">
        <f ca="1">IFERROR(__xludf.DUMMYFUNCTION("""COMPUTED_VALUE"""),"صيدلية فارحي/د-جرجس عادل (شركة اورانج لخدمات الصيدليات)")</f>
        <v>صيدلية فارحي/د-جرجس عادل (شركة اورانج لخدمات الصيدليات)</v>
      </c>
      <c r="H3410" s="5" t="str">
        <f ca="1">IFERROR(__xludf.DUMMYFUNCTION("""COMPUTED_VALUE"""),"2 شارع سيدى جابر محطه ترام سبورتنج الكبرى -الاسكندرية")</f>
        <v>2 شارع سيدى جابر محطه ترام سبورتنج الكبرى -الاسكندرية</v>
      </c>
      <c r="I3410" s="6" t="str">
        <f ca="1">IFERROR(__xludf.DUMMYFUNCTION("""COMPUTED_VALUE"""),"5423524")</f>
        <v>5423524</v>
      </c>
      <c r="J3410" s="6" t="str">
        <f ca="1">IFERROR(__xludf.DUMMYFUNCTION("""COMPUTED_VALUE"""),"19001")</f>
        <v>19001</v>
      </c>
      <c r="K3410" s="6" t="str">
        <f ca="1">IFERROR(__xludf.DUMMYFUNCTION("""COMPUTED_VALUE"""),"خصم 12% علي المحلي و6% علي المستورد")</f>
        <v>خصم 12% علي المحلي و6% علي المستورد</v>
      </c>
    </row>
    <row r="3411" spans="1:11" x14ac:dyDescent="0.25">
      <c r="A3411" s="4" t="str">
        <f ca="1">IFERROR(__xludf.DUMMYFUNCTION("""COMPUTED_VALUE"""),"107606-B")</f>
        <v>107606-B</v>
      </c>
      <c r="B3411" s="5" t="str">
        <f ca="1">IFERROR(__xludf.DUMMYFUNCTION("""COMPUTED_VALUE"""),"الاسكندرية")</f>
        <v>الاسكندرية</v>
      </c>
      <c r="C3411" s="5" t="str">
        <f ca="1">IFERROR(__xludf.DUMMYFUNCTION("""COMPUTED_VALUE"""),"المنشية")</f>
        <v>المنشية</v>
      </c>
      <c r="D3411" s="5" t="str">
        <f ca="1">IFERROR(__xludf.DUMMYFUNCTION("""COMPUTED_VALUE"""),"صيدلية")</f>
        <v>صيدلية</v>
      </c>
      <c r="E3411" s="5" t="str">
        <f ca="1">IFERROR(__xludf.DUMMYFUNCTION("""COMPUTED_VALUE"""),"صيدلية")</f>
        <v>صيدلية</v>
      </c>
      <c r="F3411" s="5" t="str">
        <f ca="1">IFERROR(__xludf.DUMMYFUNCTION("""COMPUTED_VALUE"""),"صيدلية (أدوية ومستلزمات طبية)")</f>
        <v>صيدلية (أدوية ومستلزمات طبية)</v>
      </c>
      <c r="G3411" s="5" t="str">
        <f ca="1">IFERROR(__xludf.DUMMYFUNCTION("""COMPUTED_VALUE"""),"صيدلية مصطفي السيد محمد (شركة اورانج لخدمات الصيدليات)")</f>
        <v>صيدلية مصطفي السيد محمد (شركة اورانج لخدمات الصيدليات)</v>
      </c>
      <c r="H3411" s="5" t="str">
        <f ca="1">IFERROR(__xludf.DUMMYFUNCTION("""COMPUTED_VALUE"""),"4امتداد شارع الاهرام من شارع الجيش -المنشية -الاسكندرية")</f>
        <v>4امتداد شارع الاهرام من شارع الجيش -المنشية -الاسكندرية</v>
      </c>
      <c r="I3411" s="6" t="str">
        <f ca="1">IFERROR(__xludf.DUMMYFUNCTION("""COMPUTED_VALUE"""),"1558113755")</f>
        <v>1558113755</v>
      </c>
      <c r="J3411" s="6" t="str">
        <f ca="1">IFERROR(__xludf.DUMMYFUNCTION("""COMPUTED_VALUE"""),"19001")</f>
        <v>19001</v>
      </c>
      <c r="K3411" s="6" t="str">
        <f ca="1">IFERROR(__xludf.DUMMYFUNCTION("""COMPUTED_VALUE"""),"خصم 12% علي المحلي و6% علي المستورد")</f>
        <v>خصم 12% علي المحلي و6% علي المستورد</v>
      </c>
    </row>
    <row r="3412" spans="1:11" x14ac:dyDescent="0.25">
      <c r="A3412" s="4" t="str">
        <f ca="1">IFERROR(__xludf.DUMMYFUNCTION("""COMPUTED_VALUE"""),"107606-B")</f>
        <v>107606-B</v>
      </c>
      <c r="B3412" s="5" t="str">
        <f ca="1">IFERROR(__xludf.DUMMYFUNCTION("""COMPUTED_VALUE"""),"الاسكندرية")</f>
        <v>الاسكندرية</v>
      </c>
      <c r="C3412" s="5" t="str">
        <f ca="1">IFERROR(__xludf.DUMMYFUNCTION("""COMPUTED_VALUE"""),"سيدي جابر")</f>
        <v>سيدي جابر</v>
      </c>
      <c r="D3412" s="5" t="str">
        <f ca="1">IFERROR(__xludf.DUMMYFUNCTION("""COMPUTED_VALUE"""),"صيدلية")</f>
        <v>صيدلية</v>
      </c>
      <c r="E3412" s="5" t="str">
        <f ca="1">IFERROR(__xludf.DUMMYFUNCTION("""COMPUTED_VALUE"""),"صيدلية")</f>
        <v>صيدلية</v>
      </c>
      <c r="F3412" s="5" t="str">
        <f ca="1">IFERROR(__xludf.DUMMYFUNCTION("""COMPUTED_VALUE"""),"صيدلية (أدوية ومستلزمات طبية)")</f>
        <v>صيدلية (أدوية ومستلزمات طبية)</v>
      </c>
      <c r="G3412" s="5" t="str">
        <f ca="1">IFERROR(__xludf.DUMMYFUNCTION("""COMPUTED_VALUE"""),"صيدلية د-جرجس عادل(فارحى 2) (شركة اورانج لخدمات الصيدليات)")</f>
        <v>صيدلية د-جرجس عادل(فارحى 2) (شركة اورانج لخدمات الصيدليات)</v>
      </c>
      <c r="H3412" s="5" t="str">
        <f ca="1">IFERROR(__xludf.DUMMYFUNCTION("""COMPUTED_VALUE"""),"47شارع سيدى جابر محطه ترام كليوباترا حمامات")</f>
        <v>47شارع سيدى جابر محطه ترام كليوباترا حمامات</v>
      </c>
      <c r="I3412" s="6" t="str">
        <f ca="1">IFERROR(__xludf.DUMMYFUNCTION("""COMPUTED_VALUE"""),"5422578")</f>
        <v>5422578</v>
      </c>
      <c r="J3412" s="6" t="str">
        <f ca="1">IFERROR(__xludf.DUMMYFUNCTION("""COMPUTED_VALUE"""),"19001")</f>
        <v>19001</v>
      </c>
      <c r="K3412" s="6" t="str">
        <f ca="1">IFERROR(__xludf.DUMMYFUNCTION("""COMPUTED_VALUE"""),"خصم 12% علي المحلي و6% علي المستورد")</f>
        <v>خصم 12% علي المحلي و6% علي المستورد</v>
      </c>
    </row>
    <row r="3413" spans="1:11" x14ac:dyDescent="0.25">
      <c r="A3413" s="4" t="str">
        <f ca="1">IFERROR(__xludf.DUMMYFUNCTION("""COMPUTED_VALUE"""),"107606-B")</f>
        <v>107606-B</v>
      </c>
      <c r="B3413" s="5" t="str">
        <f ca="1">IFERROR(__xludf.DUMMYFUNCTION("""COMPUTED_VALUE"""),"الاسكندرية")</f>
        <v>الاسكندرية</v>
      </c>
      <c r="C3413" s="5" t="str">
        <f ca="1">IFERROR(__xludf.DUMMYFUNCTION("""COMPUTED_VALUE"""),"محطة الرمل")</f>
        <v>محطة الرمل</v>
      </c>
      <c r="D3413" s="5" t="str">
        <f ca="1">IFERROR(__xludf.DUMMYFUNCTION("""COMPUTED_VALUE"""),"صيدلية")</f>
        <v>صيدلية</v>
      </c>
      <c r="E3413" s="5" t="str">
        <f ca="1">IFERROR(__xludf.DUMMYFUNCTION("""COMPUTED_VALUE"""),"صيدلية")</f>
        <v>صيدلية</v>
      </c>
      <c r="F3413" s="5" t="str">
        <f ca="1">IFERROR(__xludf.DUMMYFUNCTION("""COMPUTED_VALUE"""),"صيدلية (أدوية ومستلزمات طبية)")</f>
        <v>صيدلية (أدوية ومستلزمات طبية)</v>
      </c>
      <c r="G3413" s="5" t="str">
        <f ca="1">IFERROR(__xludf.DUMMYFUNCTION("""COMPUTED_VALUE"""),"صيدلية محمد نور الدين (شركة اورانج لخدمات الصيدليات)")</f>
        <v>صيدلية محمد نور الدين (شركة اورانج لخدمات الصيدليات)</v>
      </c>
      <c r="H3413" s="5" t="str">
        <f ca="1">IFERROR(__xludf.DUMMYFUNCTION("""COMPUTED_VALUE"""),"45ش النبي دانيال-محطة الرمل -الاسكندرية")</f>
        <v>45ش النبي دانيال-محطة الرمل -الاسكندرية</v>
      </c>
      <c r="I3413" s="6" t="str">
        <f ca="1">IFERROR(__xludf.DUMMYFUNCTION("""COMPUTED_VALUE"""),"3148164")</f>
        <v>3148164</v>
      </c>
      <c r="J3413" s="6" t="str">
        <f ca="1">IFERROR(__xludf.DUMMYFUNCTION("""COMPUTED_VALUE"""),"19001")</f>
        <v>19001</v>
      </c>
      <c r="K3413" s="6" t="str">
        <f ca="1">IFERROR(__xludf.DUMMYFUNCTION("""COMPUTED_VALUE"""),"خصم 12% علي المحلي و6% علي المستورد")</f>
        <v>خصم 12% علي المحلي و6% علي المستورد</v>
      </c>
    </row>
    <row r="3414" spans="1:11" x14ac:dyDescent="0.25">
      <c r="A3414" s="4" t="str">
        <f ca="1">IFERROR(__xludf.DUMMYFUNCTION("""COMPUTED_VALUE"""),"107606-B")</f>
        <v>107606-B</v>
      </c>
      <c r="B3414" s="5" t="str">
        <f ca="1">IFERROR(__xludf.DUMMYFUNCTION("""COMPUTED_VALUE"""),"الاسكندرية")</f>
        <v>الاسكندرية</v>
      </c>
      <c r="C3414" s="5" t="str">
        <f ca="1">IFERROR(__xludf.DUMMYFUNCTION("""COMPUTED_VALUE"""),"المنشية")</f>
        <v>المنشية</v>
      </c>
      <c r="D3414" s="5" t="str">
        <f ca="1">IFERROR(__xludf.DUMMYFUNCTION("""COMPUTED_VALUE"""),"صيدلية")</f>
        <v>صيدلية</v>
      </c>
      <c r="E3414" s="5" t="str">
        <f ca="1">IFERROR(__xludf.DUMMYFUNCTION("""COMPUTED_VALUE"""),"صيدلية")</f>
        <v>صيدلية</v>
      </c>
      <c r="F3414" s="5" t="str">
        <f ca="1">IFERROR(__xludf.DUMMYFUNCTION("""COMPUTED_VALUE"""),"صيدلية (أدوية ومستلزمات طبية)")</f>
        <v>صيدلية (أدوية ومستلزمات طبية)</v>
      </c>
      <c r="G3414" s="5" t="str">
        <f ca="1">IFERROR(__xludf.DUMMYFUNCTION("""COMPUTED_VALUE"""),"صيدلية سامر احمد فايز حجازي (شركة اورانج لخدمات الصيدليات)")</f>
        <v>صيدلية سامر احمد فايز حجازي (شركة اورانج لخدمات الصيدليات)</v>
      </c>
      <c r="H3414" s="5" t="str">
        <f ca="1">IFERROR(__xludf.DUMMYFUNCTION("""COMPUTED_VALUE"""),"19شارع الموازيني -الجمرك -الاسكندرية")</f>
        <v>19شارع الموازيني -الجمرك -الاسكندرية</v>
      </c>
      <c r="I3414" s="6" t="str">
        <f ca="1">IFERROR(__xludf.DUMMYFUNCTION("""COMPUTED_VALUE"""),"1011053822")</f>
        <v>1011053822</v>
      </c>
      <c r="J3414" s="6" t="str">
        <f ca="1">IFERROR(__xludf.DUMMYFUNCTION("""COMPUTED_VALUE"""),"19001")</f>
        <v>19001</v>
      </c>
      <c r="K3414" s="6" t="str">
        <f ca="1">IFERROR(__xludf.DUMMYFUNCTION("""COMPUTED_VALUE"""),"خصم 12% علي المحلي و6% علي المستورد")</f>
        <v>خصم 12% علي المحلي و6% علي المستورد</v>
      </c>
    </row>
    <row r="3415" spans="1:11" x14ac:dyDescent="0.25">
      <c r="A3415" s="4" t="str">
        <f ca="1">IFERROR(__xludf.DUMMYFUNCTION("""COMPUTED_VALUE"""),"107606-B")</f>
        <v>107606-B</v>
      </c>
      <c r="B3415" s="5" t="str">
        <f ca="1">IFERROR(__xludf.DUMMYFUNCTION("""COMPUTED_VALUE"""),"الاسكندرية")</f>
        <v>الاسكندرية</v>
      </c>
      <c r="C3415" s="5" t="str">
        <f ca="1">IFERROR(__xludf.DUMMYFUNCTION("""COMPUTED_VALUE"""),"المنتزة")</f>
        <v>المنتزة</v>
      </c>
      <c r="D3415" s="5" t="str">
        <f ca="1">IFERROR(__xludf.DUMMYFUNCTION("""COMPUTED_VALUE"""),"صيدلية")</f>
        <v>صيدلية</v>
      </c>
      <c r="E3415" s="5" t="str">
        <f ca="1">IFERROR(__xludf.DUMMYFUNCTION("""COMPUTED_VALUE"""),"صيدلية")</f>
        <v>صيدلية</v>
      </c>
      <c r="F3415" s="5" t="str">
        <f ca="1">IFERROR(__xludf.DUMMYFUNCTION("""COMPUTED_VALUE"""),"صيدلية (أدوية ومستلزمات طبية)")</f>
        <v>صيدلية (أدوية ومستلزمات طبية)</v>
      </c>
      <c r="G3415" s="5" t="str">
        <f ca="1">IFERROR(__xludf.DUMMYFUNCTION("""COMPUTED_VALUE"""),"صيدلية احمد عبد القادر (شركة اورانج لخدمات الصيدليات)")</f>
        <v>صيدلية احمد عبد القادر (شركة اورانج لخدمات الصيدليات)</v>
      </c>
      <c r="H3415" s="5" t="str">
        <f ca="1">IFERROR(__xludf.DUMMYFUNCTION("""COMPUTED_VALUE"""),"العوايد -عزبة المهاجرين الجديدة -بجوار البيارة -الاسكندرية")</f>
        <v>العوايد -عزبة المهاجرين الجديدة -بجوار البيارة -الاسكندرية</v>
      </c>
      <c r="I3415" s="6" t="str">
        <f ca="1">IFERROR(__xludf.DUMMYFUNCTION("""COMPUTED_VALUE"""),"1142448047")</f>
        <v>1142448047</v>
      </c>
      <c r="J3415" s="6" t="str">
        <f ca="1">IFERROR(__xludf.DUMMYFUNCTION("""COMPUTED_VALUE"""),"19001")</f>
        <v>19001</v>
      </c>
      <c r="K3415" s="6" t="str">
        <f ca="1">IFERROR(__xludf.DUMMYFUNCTION("""COMPUTED_VALUE"""),"خصم 12% علي المحلي و6% علي المستورد")</f>
        <v>خصم 12% علي المحلي و6% علي المستورد</v>
      </c>
    </row>
    <row r="3416" spans="1:11" x14ac:dyDescent="0.25">
      <c r="A3416" s="4" t="str">
        <f ca="1">IFERROR(__xludf.DUMMYFUNCTION("""COMPUTED_VALUE"""),"107606-B")</f>
        <v>107606-B</v>
      </c>
      <c r="B3416" s="5" t="str">
        <f ca="1">IFERROR(__xludf.DUMMYFUNCTION("""COMPUTED_VALUE"""),"الإسماعيلية")</f>
        <v>الإسماعيلية</v>
      </c>
      <c r="C3416" s="5" t="str">
        <f ca="1">IFERROR(__xludf.DUMMYFUNCTION("""COMPUTED_VALUE"""),"الإسماعيلية")</f>
        <v>الإسماعيلية</v>
      </c>
      <c r="D3416" s="5" t="str">
        <f ca="1">IFERROR(__xludf.DUMMYFUNCTION("""COMPUTED_VALUE"""),"صيدلية")</f>
        <v>صيدلية</v>
      </c>
      <c r="E3416" s="5" t="str">
        <f ca="1">IFERROR(__xludf.DUMMYFUNCTION("""COMPUTED_VALUE"""),"صيدلية")</f>
        <v>صيدلية</v>
      </c>
      <c r="F3416" s="5" t="str">
        <f ca="1">IFERROR(__xludf.DUMMYFUNCTION("""COMPUTED_VALUE"""),"صيدلية (أدوية ومستلزمات طبية)")</f>
        <v>صيدلية (أدوية ومستلزمات طبية)</v>
      </c>
      <c r="G3416" s="5" t="str">
        <f ca="1">IFERROR(__xludf.DUMMYFUNCTION("""COMPUTED_VALUE"""),"صيدلية احمد وائل شعبان (شركة اورانج لخدمات الصيدليات)")</f>
        <v>صيدلية احمد وائل شعبان (شركة اورانج لخدمات الصيدليات)</v>
      </c>
      <c r="H3416" s="5" t="str">
        <f ca="1">IFERROR(__xludf.DUMMYFUNCTION("""COMPUTED_VALUE"""),"110ج-الشيخ زايد -الاسماعيلية")</f>
        <v>110ج-الشيخ زايد -الاسماعيلية</v>
      </c>
      <c r="I3416" s="6" t="str">
        <f ca="1">IFERROR(__xludf.DUMMYFUNCTION("""COMPUTED_VALUE"""),"1090255594")</f>
        <v>1090255594</v>
      </c>
      <c r="J3416" s="6" t="str">
        <f ca="1">IFERROR(__xludf.DUMMYFUNCTION("""COMPUTED_VALUE"""),"19001")</f>
        <v>19001</v>
      </c>
      <c r="K3416" s="6" t="str">
        <f ca="1">IFERROR(__xludf.DUMMYFUNCTION("""COMPUTED_VALUE"""),"خصم 12% علي المحلي و6% علي المستورد")</f>
        <v>خصم 12% علي المحلي و6% علي المستورد</v>
      </c>
    </row>
    <row r="3417" spans="1:11" x14ac:dyDescent="0.25">
      <c r="A3417" s="4" t="str">
        <f ca="1">IFERROR(__xludf.DUMMYFUNCTION("""COMPUTED_VALUE"""),"107606-B")</f>
        <v>107606-B</v>
      </c>
      <c r="B3417" s="5" t="str">
        <f ca="1">IFERROR(__xludf.DUMMYFUNCTION("""COMPUTED_VALUE"""),"البحيرة")</f>
        <v>البحيرة</v>
      </c>
      <c r="C3417" s="5" t="str">
        <f ca="1">IFERROR(__xludf.DUMMYFUNCTION("""COMPUTED_VALUE"""),"دمنهور")</f>
        <v>دمنهور</v>
      </c>
      <c r="D3417" s="5" t="str">
        <f ca="1">IFERROR(__xludf.DUMMYFUNCTION("""COMPUTED_VALUE"""),"صيدلية")</f>
        <v>صيدلية</v>
      </c>
      <c r="E3417" s="5" t="str">
        <f ca="1">IFERROR(__xludf.DUMMYFUNCTION("""COMPUTED_VALUE"""),"صيدلية")</f>
        <v>صيدلية</v>
      </c>
      <c r="F3417" s="5" t="str">
        <f ca="1">IFERROR(__xludf.DUMMYFUNCTION("""COMPUTED_VALUE"""),"صيدلية (أدوية ومستلزمات طبية)")</f>
        <v>صيدلية (أدوية ومستلزمات طبية)</v>
      </c>
      <c r="G3417" s="5" t="str">
        <f ca="1">IFERROR(__xludf.DUMMYFUNCTION("""COMPUTED_VALUE"""),"صيدلية مني احمد عبد الله (شركة اورانج لخدمات الصيدليات)")</f>
        <v>صيدلية مني احمد عبد الله (شركة اورانج لخدمات الصيدليات)</v>
      </c>
      <c r="H3417" s="5" t="str">
        <f ca="1">IFERROR(__xludf.DUMMYFUNCTION("""COMPUTED_VALUE"""),"ش مدينة النصر متفرع من ش المعهد الديني-شبرا-بندر دمنهور-البحيرة")</f>
        <v>ش مدينة النصر متفرع من ش المعهد الديني-شبرا-بندر دمنهور-البحيرة</v>
      </c>
      <c r="I3417" s="6" t="str">
        <f ca="1">IFERROR(__xludf.DUMMYFUNCTION("""COMPUTED_VALUE"""),"1031241144")</f>
        <v>1031241144</v>
      </c>
      <c r="J3417" s="6" t="str">
        <f ca="1">IFERROR(__xludf.DUMMYFUNCTION("""COMPUTED_VALUE"""),"19001")</f>
        <v>19001</v>
      </c>
      <c r="K3417" s="6" t="str">
        <f ca="1">IFERROR(__xludf.DUMMYFUNCTION("""COMPUTED_VALUE"""),"خصم 12% علي المحلي و6% علي المستورد")</f>
        <v>خصم 12% علي المحلي و6% علي المستورد</v>
      </c>
    </row>
    <row r="3418" spans="1:11" x14ac:dyDescent="0.25">
      <c r="A3418" s="4" t="str">
        <f ca="1">IFERROR(__xludf.DUMMYFUNCTION("""COMPUTED_VALUE"""),"107606-B")</f>
        <v>107606-B</v>
      </c>
      <c r="B3418" s="5" t="str">
        <f ca="1">IFERROR(__xludf.DUMMYFUNCTION("""COMPUTED_VALUE"""),"البحيرة")</f>
        <v>البحيرة</v>
      </c>
      <c r="C3418" s="5" t="str">
        <f ca="1">IFERROR(__xludf.DUMMYFUNCTION("""COMPUTED_VALUE"""),"ابو المطامير")</f>
        <v>ابو المطامير</v>
      </c>
      <c r="D3418" s="5" t="str">
        <f ca="1">IFERROR(__xludf.DUMMYFUNCTION("""COMPUTED_VALUE"""),"صيدلية")</f>
        <v>صيدلية</v>
      </c>
      <c r="E3418" s="5" t="str">
        <f ca="1">IFERROR(__xludf.DUMMYFUNCTION("""COMPUTED_VALUE"""),"صيدلية")</f>
        <v>صيدلية</v>
      </c>
      <c r="F3418" s="5" t="str">
        <f ca="1">IFERROR(__xludf.DUMMYFUNCTION("""COMPUTED_VALUE"""),"صيدلية (أدوية ومستلزمات طبية)")</f>
        <v>صيدلية (أدوية ومستلزمات طبية)</v>
      </c>
      <c r="G3418" s="5" t="str">
        <f ca="1">IFERROR(__xludf.DUMMYFUNCTION("""COMPUTED_VALUE"""),"صيدلية عماد سامي (شركة اورانج لخدمات الصيدليات)")</f>
        <v>صيدلية عماد سامي (شركة اورانج لخدمات الصيدليات)</v>
      </c>
      <c r="H3418" s="5" t="str">
        <f ca="1">IFERROR(__xludf.DUMMYFUNCTION("""COMPUTED_VALUE"""),"طريق المركب -عزبة عاشور -ابو المطامير -البحيرة")</f>
        <v>طريق المركب -عزبة عاشور -ابو المطامير -البحيرة</v>
      </c>
      <c r="I3418" s="6" t="str">
        <f ca="1">IFERROR(__xludf.DUMMYFUNCTION("""COMPUTED_VALUE"""),"1220766866")</f>
        <v>1220766866</v>
      </c>
      <c r="J3418" s="6" t="str">
        <f ca="1">IFERROR(__xludf.DUMMYFUNCTION("""COMPUTED_VALUE"""),"19001")</f>
        <v>19001</v>
      </c>
      <c r="K3418" s="6" t="str">
        <f ca="1">IFERROR(__xludf.DUMMYFUNCTION("""COMPUTED_VALUE"""),"خصم 12% علي المحلي و6% علي المستورد")</f>
        <v>خصم 12% علي المحلي و6% علي المستورد</v>
      </c>
    </row>
    <row r="3419" spans="1:11" x14ac:dyDescent="0.25">
      <c r="A3419" s="4" t="str">
        <f ca="1">IFERROR(__xludf.DUMMYFUNCTION("""COMPUTED_VALUE"""),"107606-B")</f>
        <v>107606-B</v>
      </c>
      <c r="B3419" s="5" t="str">
        <f ca="1">IFERROR(__xludf.DUMMYFUNCTION("""COMPUTED_VALUE"""),"الجيزة")</f>
        <v>الجيزة</v>
      </c>
      <c r="C3419" s="5" t="str">
        <f ca="1">IFERROR(__xludf.DUMMYFUNCTION("""COMPUTED_VALUE"""),"المهندسين")</f>
        <v>المهندسين</v>
      </c>
      <c r="D3419" s="5" t="str">
        <f ca="1">IFERROR(__xludf.DUMMYFUNCTION("""COMPUTED_VALUE"""),"صيدلية")</f>
        <v>صيدلية</v>
      </c>
      <c r="E3419" s="5" t="str">
        <f ca="1">IFERROR(__xludf.DUMMYFUNCTION("""COMPUTED_VALUE"""),"صيدلية")</f>
        <v>صيدلية</v>
      </c>
      <c r="F3419" s="5" t="str">
        <f ca="1">IFERROR(__xludf.DUMMYFUNCTION("""COMPUTED_VALUE"""),"صيدلية (أدوية ومستلزمات طبية)")</f>
        <v>صيدلية (أدوية ومستلزمات طبية)</v>
      </c>
      <c r="G3419" s="5" t="str">
        <f ca="1">IFERROR(__xludf.DUMMYFUNCTION("""COMPUTED_VALUE"""),"صيدلية / المهندسين (شركة اورانج لخدمات الصيدليات)")</f>
        <v>صيدلية / المهندسين (شركة اورانج لخدمات الصيدليات)</v>
      </c>
      <c r="H3419" s="5" t="str">
        <f ca="1">IFERROR(__xludf.DUMMYFUNCTION("""COMPUTED_VALUE"""),"18ب شارع الحجاز - متفرع من شارع سوريا - المهندسين")</f>
        <v>18ب شارع الحجاز - متفرع من شارع سوريا - المهندسين</v>
      </c>
      <c r="I3419" s="6" t="str">
        <f ca="1">IFERROR(__xludf.DUMMYFUNCTION("""COMPUTED_VALUE"""),"33470162")</f>
        <v>33470162</v>
      </c>
      <c r="J3419" s="6" t="str">
        <f ca="1">IFERROR(__xludf.DUMMYFUNCTION("""COMPUTED_VALUE"""),"19001")</f>
        <v>19001</v>
      </c>
      <c r="K3419" s="6" t="str">
        <f ca="1">IFERROR(__xludf.DUMMYFUNCTION("""COMPUTED_VALUE"""),"خصم 12% علي المحلي و6% علي المستورد")</f>
        <v>خصم 12% علي المحلي و6% علي المستورد</v>
      </c>
    </row>
    <row r="3420" spans="1:11" x14ac:dyDescent="0.25">
      <c r="A3420" s="4" t="str">
        <f ca="1">IFERROR(__xludf.DUMMYFUNCTION("""COMPUTED_VALUE"""),"107606-B")</f>
        <v>107606-B</v>
      </c>
      <c r="B3420" s="5" t="str">
        <f ca="1">IFERROR(__xludf.DUMMYFUNCTION("""COMPUTED_VALUE"""),"الجيزة")</f>
        <v>الجيزة</v>
      </c>
      <c r="C3420" s="5" t="str">
        <f ca="1">IFERROR(__xludf.DUMMYFUNCTION("""COMPUTED_VALUE"""),"السادس من اكتوبر")</f>
        <v>السادس من اكتوبر</v>
      </c>
      <c r="D3420" s="5" t="str">
        <f ca="1">IFERROR(__xludf.DUMMYFUNCTION("""COMPUTED_VALUE"""),"صيدلية")</f>
        <v>صيدلية</v>
      </c>
      <c r="E3420" s="5" t="str">
        <f ca="1">IFERROR(__xludf.DUMMYFUNCTION("""COMPUTED_VALUE"""),"صيدلية")</f>
        <v>صيدلية</v>
      </c>
      <c r="F3420" s="5" t="str">
        <f ca="1">IFERROR(__xludf.DUMMYFUNCTION("""COMPUTED_VALUE"""),"صيدلية (أدوية ومستلزمات طبية)")</f>
        <v>صيدلية (أدوية ومستلزمات طبية)</v>
      </c>
      <c r="G3420" s="5" t="str">
        <f ca="1">IFERROR(__xludf.DUMMYFUNCTION("""COMPUTED_VALUE"""),"صيدلية د/ جون فتحي (شركة اورانج لخدمات الصيدليات)")</f>
        <v>صيدلية د/ جون فتحي (شركة اورانج لخدمات الصيدليات)</v>
      </c>
      <c r="H3420" s="5" t="str">
        <f ca="1">IFERROR(__xludf.DUMMYFUNCTION("""COMPUTED_VALUE"""),"الحي الثامن - مول فايف ستارز - 6أكتوبر - الجيزة")</f>
        <v>الحي الثامن - مول فايف ستارز - 6أكتوبر - الجيزة</v>
      </c>
      <c r="I3420" s="6" t="str">
        <f ca="1">IFERROR(__xludf.DUMMYFUNCTION("""COMPUTED_VALUE"""),"1271477005")</f>
        <v>1271477005</v>
      </c>
      <c r="J3420" s="6" t="str">
        <f ca="1">IFERROR(__xludf.DUMMYFUNCTION("""COMPUTED_VALUE"""),"19001")</f>
        <v>19001</v>
      </c>
      <c r="K3420" s="6" t="str">
        <f ca="1">IFERROR(__xludf.DUMMYFUNCTION("""COMPUTED_VALUE"""),"خصم 12% علي المحلي و6% علي المستورد")</f>
        <v>خصم 12% علي المحلي و6% علي المستورد</v>
      </c>
    </row>
    <row r="3421" spans="1:11" x14ac:dyDescent="0.25">
      <c r="A3421" s="4" t="str">
        <f ca="1">IFERROR(__xludf.DUMMYFUNCTION("""COMPUTED_VALUE"""),"107606-B")</f>
        <v>107606-B</v>
      </c>
      <c r="B3421" s="5" t="str">
        <f ca="1">IFERROR(__xludf.DUMMYFUNCTION("""COMPUTED_VALUE"""),"الجيزة")</f>
        <v>الجيزة</v>
      </c>
      <c r="C3421" s="5" t="str">
        <f ca="1">IFERROR(__xludf.DUMMYFUNCTION("""COMPUTED_VALUE"""),"فيصل")</f>
        <v>فيصل</v>
      </c>
      <c r="D3421" s="5" t="str">
        <f ca="1">IFERROR(__xludf.DUMMYFUNCTION("""COMPUTED_VALUE"""),"صيدلية")</f>
        <v>صيدلية</v>
      </c>
      <c r="E3421" s="5" t="str">
        <f ca="1">IFERROR(__xludf.DUMMYFUNCTION("""COMPUTED_VALUE"""),"صيدلية")</f>
        <v>صيدلية</v>
      </c>
      <c r="F3421" s="5" t="str">
        <f ca="1">IFERROR(__xludf.DUMMYFUNCTION("""COMPUTED_VALUE"""),"صيدلية (أدوية ومستلزمات طبية)")</f>
        <v>صيدلية (أدوية ومستلزمات طبية)</v>
      </c>
      <c r="G3421" s="5" t="str">
        <f ca="1">IFERROR(__xludf.DUMMYFUNCTION("""COMPUTED_VALUE"""),"صيدلية / الشفاء الكبرى / ابرام هانى (شركة اورانج لخدمات الصيدليات)")</f>
        <v>صيدلية / الشفاء الكبرى / ابرام هانى (شركة اورانج لخدمات الصيدليات)</v>
      </c>
      <c r="H3421" s="5" t="str">
        <f ca="1">IFERROR(__xludf.DUMMYFUNCTION("""COMPUTED_VALUE"""),"426ش الملك فيصل - محطة المساحة - فيصل")</f>
        <v>426ش الملك فيصل - محطة المساحة - فيصل</v>
      </c>
      <c r="I3421" s="6" t="str">
        <f ca="1">IFERROR(__xludf.DUMMYFUNCTION("""COMPUTED_VALUE"""),"1225356942")</f>
        <v>1225356942</v>
      </c>
      <c r="J3421" s="6" t="str">
        <f ca="1">IFERROR(__xludf.DUMMYFUNCTION("""COMPUTED_VALUE"""),"19001")</f>
        <v>19001</v>
      </c>
      <c r="K3421" s="6" t="str">
        <f ca="1">IFERROR(__xludf.DUMMYFUNCTION("""COMPUTED_VALUE"""),"خصم 12% علي المحلي و6% علي المستورد")</f>
        <v>خصم 12% علي المحلي و6% علي المستورد</v>
      </c>
    </row>
    <row r="3422" spans="1:11" x14ac:dyDescent="0.25">
      <c r="A3422" s="4" t="str">
        <f ca="1">IFERROR(__xludf.DUMMYFUNCTION("""COMPUTED_VALUE"""),"107606-B")</f>
        <v>107606-B</v>
      </c>
      <c r="B3422" s="5" t="str">
        <f ca="1">IFERROR(__xludf.DUMMYFUNCTION("""COMPUTED_VALUE"""),"الجيزة")</f>
        <v>الجيزة</v>
      </c>
      <c r="C3422" s="5" t="str">
        <f ca="1">IFERROR(__xludf.DUMMYFUNCTION("""COMPUTED_VALUE"""),"بولاق الدكرور")</f>
        <v>بولاق الدكرور</v>
      </c>
      <c r="D3422" s="5" t="str">
        <f ca="1">IFERROR(__xludf.DUMMYFUNCTION("""COMPUTED_VALUE"""),"صيدلية")</f>
        <v>صيدلية</v>
      </c>
      <c r="E3422" s="5" t="str">
        <f ca="1">IFERROR(__xludf.DUMMYFUNCTION("""COMPUTED_VALUE"""),"صيدلية")</f>
        <v>صيدلية</v>
      </c>
      <c r="F3422" s="5" t="str">
        <f ca="1">IFERROR(__xludf.DUMMYFUNCTION("""COMPUTED_VALUE"""),"صيدلية (أدوية ومستلزمات طبية)")</f>
        <v>صيدلية (أدوية ومستلزمات طبية)</v>
      </c>
      <c r="G3422" s="5" t="str">
        <f ca="1">IFERROR(__xludf.DUMMYFUNCTION("""COMPUTED_VALUE"""),"صيدلية د/ أحمد سمير (شركة اورانج لخدمات الصيدليات)")</f>
        <v>صيدلية د/ أحمد سمير (شركة اورانج لخدمات الصيدليات)</v>
      </c>
      <c r="H3422" s="5" t="str">
        <f ca="1">IFERROR(__xludf.DUMMYFUNCTION("""COMPUTED_VALUE"""),"4ش إبراهيم الدسوقي - من شارع ترعة زنين - بولاق الدكرور")</f>
        <v>4ش إبراهيم الدسوقي - من شارع ترعة زنين - بولاق الدكرور</v>
      </c>
      <c r="I3422" s="6" t="str">
        <f ca="1">IFERROR(__xludf.DUMMYFUNCTION("""COMPUTED_VALUE"""),"37068579")</f>
        <v>37068579</v>
      </c>
      <c r="J3422" s="6" t="str">
        <f ca="1">IFERROR(__xludf.DUMMYFUNCTION("""COMPUTED_VALUE"""),"19001")</f>
        <v>19001</v>
      </c>
      <c r="K3422" s="6" t="str">
        <f ca="1">IFERROR(__xludf.DUMMYFUNCTION("""COMPUTED_VALUE"""),"خصم 12% علي المحلي و6% علي المستورد")</f>
        <v>خصم 12% علي المحلي و6% علي المستورد</v>
      </c>
    </row>
    <row r="3423" spans="1:11" x14ac:dyDescent="0.25">
      <c r="A3423" s="4" t="str">
        <f ca="1">IFERROR(__xludf.DUMMYFUNCTION("""COMPUTED_VALUE"""),"107606-B")</f>
        <v>107606-B</v>
      </c>
      <c r="B3423" s="5" t="str">
        <f ca="1">IFERROR(__xludf.DUMMYFUNCTION("""COMPUTED_VALUE"""),"الجيزة")</f>
        <v>الجيزة</v>
      </c>
      <c r="C3423" s="5" t="str">
        <f ca="1">IFERROR(__xludf.DUMMYFUNCTION("""COMPUTED_VALUE"""),"السادس من اكتوبر")</f>
        <v>السادس من اكتوبر</v>
      </c>
      <c r="D3423" s="5" t="str">
        <f ca="1">IFERROR(__xludf.DUMMYFUNCTION("""COMPUTED_VALUE"""),"صيدلية")</f>
        <v>صيدلية</v>
      </c>
      <c r="E3423" s="5" t="str">
        <f ca="1">IFERROR(__xludf.DUMMYFUNCTION("""COMPUTED_VALUE"""),"صيدلية")</f>
        <v>صيدلية</v>
      </c>
      <c r="F3423" s="5" t="str">
        <f ca="1">IFERROR(__xludf.DUMMYFUNCTION("""COMPUTED_VALUE"""),"صيدلية (أدوية ومستلزمات طبية)")</f>
        <v>صيدلية (أدوية ومستلزمات طبية)</v>
      </c>
      <c r="G3423" s="5" t="str">
        <f ca="1">IFERROR(__xludf.DUMMYFUNCTION("""COMPUTED_VALUE"""),"صيدلية د/ رحاب درويش (شركة اورانج لخدمات الصيدليات)")</f>
        <v>صيدلية د/ رحاب درويش (شركة اورانج لخدمات الصيدليات)</v>
      </c>
      <c r="H3423" s="5" t="str">
        <f ca="1">IFERROR(__xludf.DUMMYFUNCTION("""COMPUTED_VALUE"""),"محل 7- السوق التجاري - قطاع 266 - الإسكان الاجتماعي - حدئق أكتوبر")</f>
        <v>محل 7- السوق التجاري - قطاع 266 - الإسكان الاجتماعي - حدئق أكتوبر</v>
      </c>
      <c r="I3423" s="6" t="str">
        <f ca="1">IFERROR(__xludf.DUMMYFUNCTION("""COMPUTED_VALUE"""),"1028504828")</f>
        <v>1028504828</v>
      </c>
      <c r="J3423" s="6" t="str">
        <f ca="1">IFERROR(__xludf.DUMMYFUNCTION("""COMPUTED_VALUE"""),"19001")</f>
        <v>19001</v>
      </c>
      <c r="K3423" s="6" t="str">
        <f ca="1">IFERROR(__xludf.DUMMYFUNCTION("""COMPUTED_VALUE"""),"خصم 12% علي المحلي و6% علي المستورد")</f>
        <v>خصم 12% علي المحلي و6% علي المستورد</v>
      </c>
    </row>
    <row r="3424" spans="1:11" x14ac:dyDescent="0.25">
      <c r="A3424" s="4" t="str">
        <f ca="1">IFERROR(__xludf.DUMMYFUNCTION("""COMPUTED_VALUE"""),"107606-B")</f>
        <v>107606-B</v>
      </c>
      <c r="B3424" s="5" t="str">
        <f ca="1">IFERROR(__xludf.DUMMYFUNCTION("""COMPUTED_VALUE"""),"الجيزة")</f>
        <v>الجيزة</v>
      </c>
      <c r="C3424" s="5" t="str">
        <f ca="1">IFERROR(__xludf.DUMMYFUNCTION("""COMPUTED_VALUE"""),"الهرم")</f>
        <v>الهرم</v>
      </c>
      <c r="D3424" s="5" t="str">
        <f ca="1">IFERROR(__xludf.DUMMYFUNCTION("""COMPUTED_VALUE"""),"صيدلية")</f>
        <v>صيدلية</v>
      </c>
      <c r="E3424" s="5" t="str">
        <f ca="1">IFERROR(__xludf.DUMMYFUNCTION("""COMPUTED_VALUE"""),"صيدلية")</f>
        <v>صيدلية</v>
      </c>
      <c r="F3424" s="5" t="str">
        <f ca="1">IFERROR(__xludf.DUMMYFUNCTION("""COMPUTED_VALUE"""),"صيدلية (أدوية ومستلزمات طبية)")</f>
        <v>صيدلية (أدوية ومستلزمات طبية)</v>
      </c>
      <c r="G3424" s="5" t="str">
        <f ca="1">IFERROR(__xludf.DUMMYFUNCTION("""COMPUTED_VALUE"""),"صيدلية الجبالي (شركة اورانج لخدمات الصيدليات)")</f>
        <v>صيدلية الجبالي (شركة اورانج لخدمات الصيدليات)</v>
      </c>
      <c r="H3424" s="5" t="str">
        <f ca="1">IFERROR(__xludf.DUMMYFUNCTION("""COMPUTED_VALUE"""),"336ش الهرم--الجيزة")</f>
        <v>336ش الهرم--الجيزة</v>
      </c>
      <c r="I3424" s="6" t="str">
        <f ca="1">IFERROR(__xludf.DUMMYFUNCTION("""COMPUTED_VALUE"""),"1032101216")</f>
        <v>1032101216</v>
      </c>
      <c r="J3424" s="6" t="str">
        <f ca="1">IFERROR(__xludf.DUMMYFUNCTION("""COMPUTED_VALUE"""),"19001")</f>
        <v>19001</v>
      </c>
      <c r="K3424" s="6" t="str">
        <f ca="1">IFERROR(__xludf.DUMMYFUNCTION("""COMPUTED_VALUE"""),"خصم 12% علي المحلي و6% علي المستورد")</f>
        <v>خصم 12% علي المحلي و6% علي المستورد</v>
      </c>
    </row>
    <row r="3425" spans="1:11" x14ac:dyDescent="0.25">
      <c r="A3425" s="4" t="str">
        <f ca="1">IFERROR(__xludf.DUMMYFUNCTION("""COMPUTED_VALUE"""),"107606-B")</f>
        <v>107606-B</v>
      </c>
      <c r="B3425" s="5" t="str">
        <f ca="1">IFERROR(__xludf.DUMMYFUNCTION("""COMPUTED_VALUE"""),"الجيزة")</f>
        <v>الجيزة</v>
      </c>
      <c r="C3425" s="5" t="str">
        <f ca="1">IFERROR(__xludf.DUMMYFUNCTION("""COMPUTED_VALUE"""),"امبابة")</f>
        <v>امبابة</v>
      </c>
      <c r="D3425" s="5" t="str">
        <f ca="1">IFERROR(__xludf.DUMMYFUNCTION("""COMPUTED_VALUE"""),"صيدلية")</f>
        <v>صيدلية</v>
      </c>
      <c r="E3425" s="5" t="str">
        <f ca="1">IFERROR(__xludf.DUMMYFUNCTION("""COMPUTED_VALUE"""),"صيدلية")</f>
        <v>صيدلية</v>
      </c>
      <c r="F3425" s="5" t="str">
        <f ca="1">IFERROR(__xludf.DUMMYFUNCTION("""COMPUTED_VALUE"""),"صيدلية (أدوية ومستلزمات طبية)")</f>
        <v>صيدلية (أدوية ومستلزمات طبية)</v>
      </c>
      <c r="G3425" s="5" t="str">
        <f ca="1">IFERROR(__xludf.DUMMYFUNCTION("""COMPUTED_VALUE"""),"صيدلية ابانوب حكيم (شركة اورانج لخدمات الصيدليات)")</f>
        <v>صيدلية ابانوب حكيم (شركة اورانج لخدمات الصيدليات)</v>
      </c>
      <c r="H3425" s="5" t="str">
        <f ca="1">IFERROR(__xludf.DUMMYFUNCTION("""COMPUTED_VALUE"""),"25شارع جمال الاسلامي من شارع حسين مهران- بشتيل")</f>
        <v>25شارع جمال الاسلامي من شارع حسين مهران- بشتيل</v>
      </c>
      <c r="I3425" s="6" t="str">
        <f ca="1">IFERROR(__xludf.DUMMYFUNCTION("""COMPUTED_VALUE"""),"1274422588")</f>
        <v>1274422588</v>
      </c>
      <c r="J3425" s="6" t="str">
        <f ca="1">IFERROR(__xludf.DUMMYFUNCTION("""COMPUTED_VALUE"""),"19001")</f>
        <v>19001</v>
      </c>
      <c r="K3425" s="6" t="str">
        <f ca="1">IFERROR(__xludf.DUMMYFUNCTION("""COMPUTED_VALUE"""),"خصم 12% علي المحلي و6% علي المستورد")</f>
        <v>خصم 12% علي المحلي و6% علي المستورد</v>
      </c>
    </row>
    <row r="3426" spans="1:11" x14ac:dyDescent="0.25">
      <c r="A3426" s="4" t="str">
        <f ca="1">IFERROR(__xludf.DUMMYFUNCTION("""COMPUTED_VALUE"""),"107606-B")</f>
        <v>107606-B</v>
      </c>
      <c r="B3426" s="5" t="str">
        <f ca="1">IFERROR(__xludf.DUMMYFUNCTION("""COMPUTED_VALUE"""),"الجيزة")</f>
        <v>الجيزة</v>
      </c>
      <c r="C3426" s="5" t="str">
        <f ca="1">IFERROR(__xludf.DUMMYFUNCTION("""COMPUTED_VALUE"""),"الهرم")</f>
        <v>الهرم</v>
      </c>
      <c r="D3426" s="5" t="str">
        <f ca="1">IFERROR(__xludf.DUMMYFUNCTION("""COMPUTED_VALUE"""),"صيدلية")</f>
        <v>صيدلية</v>
      </c>
      <c r="E3426" s="5" t="str">
        <f ca="1">IFERROR(__xludf.DUMMYFUNCTION("""COMPUTED_VALUE"""),"صيدلية")</f>
        <v>صيدلية</v>
      </c>
      <c r="F3426" s="5" t="str">
        <f ca="1">IFERROR(__xludf.DUMMYFUNCTION("""COMPUTED_VALUE"""),"صيدلية (أدوية ومستلزمات طبية)")</f>
        <v>صيدلية (أدوية ومستلزمات طبية)</v>
      </c>
      <c r="G3426" s="5" t="str">
        <f ca="1">IFERROR(__xludf.DUMMYFUNCTION("""COMPUTED_VALUE"""),"صيدلية ايهاب (شركة اورانج لخدمات الصيدليات)")</f>
        <v>صيدلية ايهاب (شركة اورانج لخدمات الصيدليات)</v>
      </c>
      <c r="H3426" s="5" t="str">
        <f ca="1">IFERROR(__xludf.DUMMYFUNCTION("""COMPUTED_VALUE"""),"25ش ترسا -الكون الاخضر-الجيزة")</f>
        <v>25ش ترسا -الكون الاخضر-الجيزة</v>
      </c>
      <c r="I3426" s="6" t="str">
        <f ca="1">IFERROR(__xludf.DUMMYFUNCTION("""COMPUTED_VALUE"""),"1002592051")</f>
        <v>1002592051</v>
      </c>
      <c r="J3426" s="6" t="str">
        <f ca="1">IFERROR(__xludf.DUMMYFUNCTION("""COMPUTED_VALUE"""),"19001")</f>
        <v>19001</v>
      </c>
      <c r="K3426" s="6" t="str">
        <f ca="1">IFERROR(__xludf.DUMMYFUNCTION("""COMPUTED_VALUE"""),"خصم 12% علي المحلي و6% علي المستورد")</f>
        <v>خصم 12% علي المحلي و6% علي المستورد</v>
      </c>
    </row>
    <row r="3427" spans="1:11" x14ac:dyDescent="0.25">
      <c r="A3427" s="4" t="str">
        <f ca="1">IFERROR(__xludf.DUMMYFUNCTION("""COMPUTED_VALUE"""),"107606-B")</f>
        <v>107606-B</v>
      </c>
      <c r="B3427" s="5" t="str">
        <f ca="1">IFERROR(__xludf.DUMMYFUNCTION("""COMPUTED_VALUE"""),"الجيزة")</f>
        <v>الجيزة</v>
      </c>
      <c r="C3427" s="5" t="str">
        <f ca="1">IFERROR(__xludf.DUMMYFUNCTION("""COMPUTED_VALUE"""),"كرداسة")</f>
        <v>كرداسة</v>
      </c>
      <c r="D3427" s="5" t="str">
        <f ca="1">IFERROR(__xludf.DUMMYFUNCTION("""COMPUTED_VALUE"""),"صيدلية")</f>
        <v>صيدلية</v>
      </c>
      <c r="E3427" s="5" t="str">
        <f ca="1">IFERROR(__xludf.DUMMYFUNCTION("""COMPUTED_VALUE"""),"صيدلية")</f>
        <v>صيدلية</v>
      </c>
      <c r="F3427" s="5" t="str">
        <f ca="1">IFERROR(__xludf.DUMMYFUNCTION("""COMPUTED_VALUE"""),"صيدلية (أدوية ومستلزمات طبية)")</f>
        <v>صيدلية (أدوية ومستلزمات طبية)</v>
      </c>
      <c r="G3427" s="5" t="str">
        <f ca="1">IFERROR(__xludf.DUMMYFUNCTION("""COMPUTED_VALUE"""),"صيدلية عمرو عمارة (شركة اورانج لخدمات الصيدليات)")</f>
        <v>صيدلية عمرو عمارة (شركة اورانج لخدمات الصيدليات)</v>
      </c>
      <c r="H3427" s="5" t="str">
        <f ca="1">IFERROR(__xludf.DUMMYFUNCTION("""COMPUTED_VALUE"""),"كوبري عابدين-طريق المنصورية -كرداسة-الجيزة")</f>
        <v>كوبري عابدين-طريق المنصورية -كرداسة-الجيزة</v>
      </c>
      <c r="I3427" s="6" t="str">
        <f ca="1">IFERROR(__xludf.DUMMYFUNCTION("""COMPUTED_VALUE"""),"1004454416")</f>
        <v>1004454416</v>
      </c>
      <c r="J3427" s="6" t="str">
        <f ca="1">IFERROR(__xludf.DUMMYFUNCTION("""COMPUTED_VALUE"""),"19001")</f>
        <v>19001</v>
      </c>
      <c r="K3427" s="6" t="str">
        <f ca="1">IFERROR(__xludf.DUMMYFUNCTION("""COMPUTED_VALUE"""),"خصم 12% علي المحلي و6% علي المستورد")</f>
        <v>خصم 12% علي المحلي و6% علي المستورد</v>
      </c>
    </row>
    <row r="3428" spans="1:11" x14ac:dyDescent="0.25">
      <c r="A3428" s="4" t="str">
        <f ca="1">IFERROR(__xludf.DUMMYFUNCTION("""COMPUTED_VALUE"""),"107606-B")</f>
        <v>107606-B</v>
      </c>
      <c r="B3428" s="5" t="str">
        <f ca="1">IFERROR(__xludf.DUMMYFUNCTION("""COMPUTED_VALUE"""),"الجيزة")</f>
        <v>الجيزة</v>
      </c>
      <c r="C3428" s="5" t="str">
        <f ca="1">IFERROR(__xludf.DUMMYFUNCTION("""COMPUTED_VALUE"""),"امبابة")</f>
        <v>امبابة</v>
      </c>
      <c r="D3428" s="5" t="str">
        <f ca="1">IFERROR(__xludf.DUMMYFUNCTION("""COMPUTED_VALUE"""),"صيدلية")</f>
        <v>صيدلية</v>
      </c>
      <c r="E3428" s="5" t="str">
        <f ca="1">IFERROR(__xludf.DUMMYFUNCTION("""COMPUTED_VALUE"""),"صيدلية")</f>
        <v>صيدلية</v>
      </c>
      <c r="F3428" s="5" t="str">
        <f ca="1">IFERROR(__xludf.DUMMYFUNCTION("""COMPUTED_VALUE"""),"صيدلية (أدوية ومستلزمات طبية)")</f>
        <v>صيدلية (أدوية ومستلزمات طبية)</v>
      </c>
      <c r="G3428" s="5" t="str">
        <f ca="1">IFERROR(__xludf.DUMMYFUNCTION("""COMPUTED_VALUE"""),"صيدلية باور (شركة اورانج لخدمات الصيدليات)")</f>
        <v>صيدلية باور (شركة اورانج لخدمات الصيدليات)</v>
      </c>
      <c r="H3428" s="5" t="str">
        <f ca="1">IFERROR(__xludf.DUMMYFUNCTION("""COMPUTED_VALUE"""),"2ش احمد عبد الحليم من ش ذكي مطر -امبابة")</f>
        <v>2ش احمد عبد الحليم من ش ذكي مطر -امبابة</v>
      </c>
      <c r="I3428" s="6" t="str">
        <f ca="1">IFERROR(__xludf.DUMMYFUNCTION("""COMPUTED_VALUE"""),"1125641356")</f>
        <v>1125641356</v>
      </c>
      <c r="J3428" s="6" t="str">
        <f ca="1">IFERROR(__xludf.DUMMYFUNCTION("""COMPUTED_VALUE"""),"19001")</f>
        <v>19001</v>
      </c>
      <c r="K3428" s="6" t="str">
        <f ca="1">IFERROR(__xludf.DUMMYFUNCTION("""COMPUTED_VALUE"""),"خصم 12% علي المحلي و6% علي المستورد")</f>
        <v>خصم 12% علي المحلي و6% علي المستورد</v>
      </c>
    </row>
    <row r="3429" spans="1:11" x14ac:dyDescent="0.25">
      <c r="A3429" s="4" t="str">
        <f ca="1">IFERROR(__xludf.DUMMYFUNCTION("""COMPUTED_VALUE"""),"107606-B")</f>
        <v>107606-B</v>
      </c>
      <c r="B3429" s="5" t="str">
        <f ca="1">IFERROR(__xludf.DUMMYFUNCTION("""COMPUTED_VALUE"""),"الجيزة")</f>
        <v>الجيزة</v>
      </c>
      <c r="C3429" s="5" t="str">
        <f ca="1">IFERROR(__xludf.DUMMYFUNCTION("""COMPUTED_VALUE"""),"الحوامدية")</f>
        <v>الحوامدية</v>
      </c>
      <c r="D3429" s="5" t="str">
        <f ca="1">IFERROR(__xludf.DUMMYFUNCTION("""COMPUTED_VALUE"""),"صيدلية")</f>
        <v>صيدلية</v>
      </c>
      <c r="E3429" s="5" t="str">
        <f ca="1">IFERROR(__xludf.DUMMYFUNCTION("""COMPUTED_VALUE"""),"صيدلية")</f>
        <v>صيدلية</v>
      </c>
      <c r="F3429" s="5" t="str">
        <f ca="1">IFERROR(__xludf.DUMMYFUNCTION("""COMPUTED_VALUE"""),"صيدلية (أدوية ومستلزمات طبية)")</f>
        <v>صيدلية (أدوية ومستلزمات طبية)</v>
      </c>
      <c r="G3429" s="5" t="str">
        <f ca="1">IFERROR(__xludf.DUMMYFUNCTION("""COMPUTED_VALUE"""),"صيدلية فاتن (شركة اورانج لخدمات الصيدليات)")</f>
        <v>صيدلية فاتن (شركة اورانج لخدمات الصيدليات)</v>
      </c>
      <c r="H3429" s="5" t="str">
        <f ca="1">IFERROR(__xludf.DUMMYFUNCTION("""COMPUTED_VALUE"""),"شارع 11 بجوار مسجد احمد بن حنبل -الحوامدية الجيزة")</f>
        <v>شارع 11 بجوار مسجد احمد بن حنبل -الحوامدية الجيزة</v>
      </c>
      <c r="I3429" s="6" t="str">
        <f ca="1">IFERROR(__xludf.DUMMYFUNCTION("""COMPUTED_VALUE"""),"1148730546")</f>
        <v>1148730546</v>
      </c>
      <c r="J3429" s="6" t="str">
        <f ca="1">IFERROR(__xludf.DUMMYFUNCTION("""COMPUTED_VALUE"""),"19001")</f>
        <v>19001</v>
      </c>
      <c r="K3429" s="6" t="str">
        <f ca="1">IFERROR(__xludf.DUMMYFUNCTION("""COMPUTED_VALUE"""),"خصم 12% علي المحلي و6% علي المستورد")</f>
        <v>خصم 12% علي المحلي و6% علي المستورد</v>
      </c>
    </row>
    <row r="3430" spans="1:11" x14ac:dyDescent="0.25">
      <c r="A3430" s="4" t="str">
        <f ca="1">IFERROR(__xludf.DUMMYFUNCTION("""COMPUTED_VALUE"""),"107606-B")</f>
        <v>107606-B</v>
      </c>
      <c r="B3430" s="5" t="str">
        <f ca="1">IFERROR(__xludf.DUMMYFUNCTION("""COMPUTED_VALUE"""),"الجيزة")</f>
        <v>الجيزة</v>
      </c>
      <c r="C3430" s="5" t="str">
        <f ca="1">IFERROR(__xludf.DUMMYFUNCTION("""COMPUTED_VALUE"""),"الطالبية")</f>
        <v>الطالبية</v>
      </c>
      <c r="D3430" s="5" t="str">
        <f ca="1">IFERROR(__xludf.DUMMYFUNCTION("""COMPUTED_VALUE"""),"صيدلية")</f>
        <v>صيدلية</v>
      </c>
      <c r="E3430" s="5" t="str">
        <f ca="1">IFERROR(__xludf.DUMMYFUNCTION("""COMPUTED_VALUE"""),"صيدلية")</f>
        <v>صيدلية</v>
      </c>
      <c r="F3430" s="5" t="str">
        <f ca="1">IFERROR(__xludf.DUMMYFUNCTION("""COMPUTED_VALUE"""),"صيدلية (أدوية ومستلزمات طبية)")</f>
        <v>صيدلية (أدوية ومستلزمات طبية)</v>
      </c>
      <c r="G3430" s="5" t="str">
        <f ca="1">IFERROR(__xludf.DUMMYFUNCTION("""COMPUTED_VALUE"""),"صيدلية بيشوي رؤوف (شركة اورانج لخدمات الصيدليات)")</f>
        <v>صيدلية بيشوي رؤوف (شركة اورانج لخدمات الصيدليات)</v>
      </c>
      <c r="H3430" s="5" t="str">
        <f ca="1">IFERROR(__xludf.DUMMYFUNCTION("""COMPUTED_VALUE"""),"2شارع الخولاني -الطالبية-الهرم")</f>
        <v>2شارع الخولاني -الطالبية-الهرم</v>
      </c>
      <c r="I3430" s="6" t="str">
        <f ca="1">IFERROR(__xludf.DUMMYFUNCTION("""COMPUTED_VALUE"""),"1205459000")</f>
        <v>1205459000</v>
      </c>
      <c r="J3430" s="6" t="str">
        <f ca="1">IFERROR(__xludf.DUMMYFUNCTION("""COMPUTED_VALUE"""),"19001")</f>
        <v>19001</v>
      </c>
      <c r="K3430" s="6" t="str">
        <f ca="1">IFERROR(__xludf.DUMMYFUNCTION("""COMPUTED_VALUE"""),"خصم 12% علي المحلي و6% علي المستورد")</f>
        <v>خصم 12% علي المحلي و6% علي المستورد</v>
      </c>
    </row>
    <row r="3431" spans="1:11" x14ac:dyDescent="0.25">
      <c r="A3431" s="4" t="str">
        <f ca="1">IFERROR(__xludf.DUMMYFUNCTION("""COMPUTED_VALUE"""),"107606-B")</f>
        <v>107606-B</v>
      </c>
      <c r="B3431" s="5" t="str">
        <f ca="1">IFERROR(__xludf.DUMMYFUNCTION("""COMPUTED_VALUE"""),"الجيزة")</f>
        <v>الجيزة</v>
      </c>
      <c r="C3431" s="5" t="str">
        <f ca="1">IFERROR(__xludf.DUMMYFUNCTION("""COMPUTED_VALUE"""),"الجيزة")</f>
        <v>الجيزة</v>
      </c>
      <c r="D3431" s="5" t="str">
        <f ca="1">IFERROR(__xludf.DUMMYFUNCTION("""COMPUTED_VALUE"""),"صيدلية")</f>
        <v>صيدلية</v>
      </c>
      <c r="E3431" s="5" t="str">
        <f ca="1">IFERROR(__xludf.DUMMYFUNCTION("""COMPUTED_VALUE"""),"صيدلية")</f>
        <v>صيدلية</v>
      </c>
      <c r="F3431" s="5" t="str">
        <f ca="1">IFERROR(__xludf.DUMMYFUNCTION("""COMPUTED_VALUE"""),"صيدلية (أدوية ومستلزمات طبية)")</f>
        <v>صيدلية (أدوية ومستلزمات طبية)</v>
      </c>
      <c r="G3431" s="5" t="str">
        <f ca="1">IFERROR(__xludf.DUMMYFUNCTION("""COMPUTED_VALUE"""),"صيدلية احمد محمد حسن (شركة اورانج لخدمات الصيدليات)")</f>
        <v>صيدلية احمد محمد حسن (شركة اورانج لخدمات الصيدليات)</v>
      </c>
      <c r="H3431" s="5" t="str">
        <f ca="1">IFERROR(__xludf.DUMMYFUNCTION("""COMPUTED_VALUE"""),"2شارع السماح من شارع مدرسة المنيب")</f>
        <v>2شارع السماح من شارع مدرسة المنيب</v>
      </c>
      <c r="I3431" s="6" t="str">
        <f ca="1">IFERROR(__xludf.DUMMYFUNCTION("""COMPUTED_VALUE"""),"1140077991")</f>
        <v>1140077991</v>
      </c>
      <c r="J3431" s="6" t="str">
        <f ca="1">IFERROR(__xludf.DUMMYFUNCTION("""COMPUTED_VALUE"""),"19001")</f>
        <v>19001</v>
      </c>
      <c r="K3431" s="6" t="str">
        <f ca="1">IFERROR(__xludf.DUMMYFUNCTION("""COMPUTED_VALUE"""),"خصم 12% علي المحلي و6% علي المستورد")</f>
        <v>خصم 12% علي المحلي و6% علي المستورد</v>
      </c>
    </row>
    <row r="3432" spans="1:11" x14ac:dyDescent="0.25">
      <c r="A3432" s="4" t="str">
        <f ca="1">IFERROR(__xludf.DUMMYFUNCTION("""COMPUTED_VALUE"""),"107606-B")</f>
        <v>107606-B</v>
      </c>
      <c r="B3432" s="5" t="str">
        <f ca="1">IFERROR(__xludf.DUMMYFUNCTION("""COMPUTED_VALUE"""),"الجيزة")</f>
        <v>الجيزة</v>
      </c>
      <c r="C3432" s="5" t="str">
        <f ca="1">IFERROR(__xludf.DUMMYFUNCTION("""COMPUTED_VALUE"""),"العمرانية")</f>
        <v>العمرانية</v>
      </c>
      <c r="D3432" s="5" t="str">
        <f ca="1">IFERROR(__xludf.DUMMYFUNCTION("""COMPUTED_VALUE"""),"صيدلية")</f>
        <v>صيدلية</v>
      </c>
      <c r="E3432" s="5" t="str">
        <f ca="1">IFERROR(__xludf.DUMMYFUNCTION("""COMPUTED_VALUE"""),"صيدلية")</f>
        <v>صيدلية</v>
      </c>
      <c r="F3432" s="5" t="str">
        <f ca="1">IFERROR(__xludf.DUMMYFUNCTION("""COMPUTED_VALUE"""),"صيدلية (أدوية ومستلزمات طبية)")</f>
        <v>صيدلية (أدوية ومستلزمات طبية)</v>
      </c>
      <c r="G3432" s="5" t="str">
        <f ca="1">IFERROR(__xludf.DUMMYFUNCTION("""COMPUTED_VALUE"""),"صيدلية الحسن محمد (شركة اورانج لخدمات الصيدليات)")</f>
        <v>صيدلية الحسن محمد (شركة اورانج لخدمات الصيدليات)</v>
      </c>
      <c r="H3432" s="5" t="str">
        <f ca="1">IFERROR(__xludf.DUMMYFUNCTION("""COMPUTED_VALUE"""),"33 شارع محمد عبد النبي من كوبري العمرانية -بجوار مسجد الحسنية -الجيزة")</f>
        <v>33 شارع محمد عبد النبي من كوبري العمرانية -بجوار مسجد الحسنية -الجيزة</v>
      </c>
      <c r="I3432" s="6" t="str">
        <f ca="1">IFERROR(__xludf.DUMMYFUNCTION("""COMPUTED_VALUE"""),"1223194000")</f>
        <v>1223194000</v>
      </c>
      <c r="J3432" s="6" t="str">
        <f ca="1">IFERROR(__xludf.DUMMYFUNCTION("""COMPUTED_VALUE"""),"19001")</f>
        <v>19001</v>
      </c>
      <c r="K3432" s="6" t="str">
        <f ca="1">IFERROR(__xludf.DUMMYFUNCTION("""COMPUTED_VALUE"""),"خصم 12% علي المحلي و6% علي المستورد")</f>
        <v>خصم 12% علي المحلي و6% علي المستورد</v>
      </c>
    </row>
    <row r="3433" spans="1:11" x14ac:dyDescent="0.25">
      <c r="A3433" s="4" t="str">
        <f ca="1">IFERROR(__xludf.DUMMYFUNCTION("""COMPUTED_VALUE"""),"107606-B")</f>
        <v>107606-B</v>
      </c>
      <c r="B3433" s="5" t="str">
        <f ca="1">IFERROR(__xludf.DUMMYFUNCTION("""COMPUTED_VALUE"""),"الجيزة")</f>
        <v>الجيزة</v>
      </c>
      <c r="C3433" s="5" t="str">
        <f ca="1">IFERROR(__xludf.DUMMYFUNCTION("""COMPUTED_VALUE"""),"أوسيم")</f>
        <v>أوسيم</v>
      </c>
      <c r="D3433" s="5" t="str">
        <f ca="1">IFERROR(__xludf.DUMMYFUNCTION("""COMPUTED_VALUE"""),"صيدلية")</f>
        <v>صيدلية</v>
      </c>
      <c r="E3433" s="5" t="str">
        <f ca="1">IFERROR(__xludf.DUMMYFUNCTION("""COMPUTED_VALUE"""),"صيدلية")</f>
        <v>صيدلية</v>
      </c>
      <c r="F3433" s="5" t="str">
        <f ca="1">IFERROR(__xludf.DUMMYFUNCTION("""COMPUTED_VALUE"""),"صيدلية (أدوية ومستلزمات طبية)")</f>
        <v>صيدلية (أدوية ومستلزمات طبية)</v>
      </c>
      <c r="G3433" s="5" t="str">
        <f ca="1">IFERROR(__xludf.DUMMYFUNCTION("""COMPUTED_VALUE"""),"صيدلية محمد بكر الزيات (شركة اورانج لخدمات الصيدليات)")</f>
        <v>صيدلية محمد بكر الزيات (شركة اورانج لخدمات الصيدليات)</v>
      </c>
      <c r="H3433" s="5" t="str">
        <f ca="1">IFERROR(__xludf.DUMMYFUNCTION("""COMPUTED_VALUE"""),"شارع الجمهورية -اوسيم-الجيزة")</f>
        <v>شارع الجمهورية -اوسيم-الجيزة</v>
      </c>
      <c r="I3433" s="6" t="str">
        <f ca="1">IFERROR(__xludf.DUMMYFUNCTION("""COMPUTED_VALUE"""),"1156989491")</f>
        <v>1156989491</v>
      </c>
      <c r="J3433" s="6" t="str">
        <f ca="1">IFERROR(__xludf.DUMMYFUNCTION("""COMPUTED_VALUE"""),"19001")</f>
        <v>19001</v>
      </c>
      <c r="K3433" s="6" t="str">
        <f ca="1">IFERROR(__xludf.DUMMYFUNCTION("""COMPUTED_VALUE"""),"خصم 12% علي المحلي و6% علي المستورد")</f>
        <v>خصم 12% علي المحلي و6% علي المستورد</v>
      </c>
    </row>
    <row r="3434" spans="1:11" x14ac:dyDescent="0.25">
      <c r="A3434" s="4" t="str">
        <f ca="1">IFERROR(__xludf.DUMMYFUNCTION("""COMPUTED_VALUE"""),"107606-B")</f>
        <v>107606-B</v>
      </c>
      <c r="B3434" s="5" t="str">
        <f ca="1">IFERROR(__xludf.DUMMYFUNCTION("""COMPUTED_VALUE"""),"الجيزة")</f>
        <v>الجيزة</v>
      </c>
      <c r="C3434" s="5" t="str">
        <f ca="1">IFERROR(__xludf.DUMMYFUNCTION("""COMPUTED_VALUE"""),"السادس من اكتوبر")</f>
        <v>السادس من اكتوبر</v>
      </c>
      <c r="D3434" s="5" t="str">
        <f ca="1">IFERROR(__xludf.DUMMYFUNCTION("""COMPUTED_VALUE"""),"صيدلية")</f>
        <v>صيدلية</v>
      </c>
      <c r="E3434" s="5" t="str">
        <f ca="1">IFERROR(__xludf.DUMMYFUNCTION("""COMPUTED_VALUE"""),"صيدلية")</f>
        <v>صيدلية</v>
      </c>
      <c r="F3434" s="5" t="str">
        <f ca="1">IFERROR(__xludf.DUMMYFUNCTION("""COMPUTED_VALUE"""),"صيدلية (أدوية ومستلزمات طبية)")</f>
        <v>صيدلية (أدوية ومستلزمات طبية)</v>
      </c>
      <c r="G3434" s="5" t="str">
        <f ca="1">IFERROR(__xludf.DUMMYFUNCTION("""COMPUTED_VALUE"""),"صيدلية هبه فؤاد (هابي كير) (شركة اورانج لخدمات الصيدليات)")</f>
        <v>صيدلية هبه فؤاد (هابي كير) (شركة اورانج لخدمات الصيدليات)</v>
      </c>
      <c r="H3434" s="5" t="str">
        <f ca="1">IFERROR(__xludf.DUMMYFUNCTION("""COMPUTED_VALUE"""),"6اكتوبر-الحي الثاني المجاورةالسابعة المركز التجاري الحديث-الجيزة")</f>
        <v>6اكتوبر-الحي الثاني المجاورةالسابعة المركز التجاري الحديث-الجيزة</v>
      </c>
      <c r="I3434" s="6" t="str">
        <f ca="1">IFERROR(__xludf.DUMMYFUNCTION("""COMPUTED_VALUE"""),"1027862214")</f>
        <v>1027862214</v>
      </c>
      <c r="J3434" s="6" t="str">
        <f ca="1">IFERROR(__xludf.DUMMYFUNCTION("""COMPUTED_VALUE"""),"19001")</f>
        <v>19001</v>
      </c>
      <c r="K3434" s="6" t="str">
        <f ca="1">IFERROR(__xludf.DUMMYFUNCTION("""COMPUTED_VALUE"""),"خصم 12% علي المحلي و6% علي المستورد")</f>
        <v>خصم 12% علي المحلي و6% علي المستورد</v>
      </c>
    </row>
    <row r="3435" spans="1:11" x14ac:dyDescent="0.25">
      <c r="A3435" s="4" t="str">
        <f ca="1">IFERROR(__xludf.DUMMYFUNCTION("""COMPUTED_VALUE"""),"107606-B")</f>
        <v>107606-B</v>
      </c>
      <c r="B3435" s="5" t="str">
        <f ca="1">IFERROR(__xludf.DUMMYFUNCTION("""COMPUTED_VALUE"""),"الجيزة")</f>
        <v>الجيزة</v>
      </c>
      <c r="C3435" s="5" t="str">
        <f ca="1">IFERROR(__xludf.DUMMYFUNCTION("""COMPUTED_VALUE"""),"السادس من اكتوبر")</f>
        <v>السادس من اكتوبر</v>
      </c>
      <c r="D3435" s="5" t="str">
        <f ca="1">IFERROR(__xludf.DUMMYFUNCTION("""COMPUTED_VALUE"""),"صيدلية")</f>
        <v>صيدلية</v>
      </c>
      <c r="E3435" s="5" t="str">
        <f ca="1">IFERROR(__xludf.DUMMYFUNCTION("""COMPUTED_VALUE"""),"صيدلية")</f>
        <v>صيدلية</v>
      </c>
      <c r="F3435" s="5" t="str">
        <f ca="1">IFERROR(__xludf.DUMMYFUNCTION("""COMPUTED_VALUE"""),"صيدلية (أدوية ومستلزمات طبية)")</f>
        <v>صيدلية (أدوية ومستلزمات طبية)</v>
      </c>
      <c r="G3435" s="5" t="str">
        <f ca="1">IFERROR(__xludf.DUMMYFUNCTION("""COMPUTED_VALUE"""),"صيدلية محمد عاطف (شركة اورانج لخدمات الصيدليات)")</f>
        <v>صيدلية محمد عاطف (شركة اورانج لخدمات الصيدليات)</v>
      </c>
      <c r="H3435" s="5" t="str">
        <f ca="1">IFERROR(__xludf.DUMMYFUNCTION("""COMPUTED_VALUE"""),"437ع اسكان القوات المسلحة امام دريم لاند-اكتوبر")</f>
        <v>437ع اسكان القوات المسلحة امام دريم لاند-اكتوبر</v>
      </c>
      <c r="I3435" s="6" t="str">
        <f ca="1">IFERROR(__xludf.DUMMYFUNCTION("""COMPUTED_VALUE"""),"1140341403")</f>
        <v>1140341403</v>
      </c>
      <c r="J3435" s="6" t="str">
        <f ca="1">IFERROR(__xludf.DUMMYFUNCTION("""COMPUTED_VALUE"""),"19001")</f>
        <v>19001</v>
      </c>
      <c r="K3435" s="6" t="str">
        <f ca="1">IFERROR(__xludf.DUMMYFUNCTION("""COMPUTED_VALUE"""),"خصم 12% علي المحلي و6% علي المستورد")</f>
        <v>خصم 12% علي المحلي و6% علي المستورد</v>
      </c>
    </row>
    <row r="3436" spans="1:11" x14ac:dyDescent="0.25">
      <c r="A3436" s="4" t="str">
        <f ca="1">IFERROR(__xludf.DUMMYFUNCTION("""COMPUTED_VALUE"""),"107606-B")</f>
        <v>107606-B</v>
      </c>
      <c r="B3436" s="5" t="str">
        <f ca="1">IFERROR(__xludf.DUMMYFUNCTION("""COMPUTED_VALUE"""),"الجيزة")</f>
        <v>الجيزة</v>
      </c>
      <c r="C3436" s="5" t="str">
        <f ca="1">IFERROR(__xludf.DUMMYFUNCTION("""COMPUTED_VALUE"""),"الهرم")</f>
        <v>الهرم</v>
      </c>
      <c r="D3436" s="5" t="str">
        <f ca="1">IFERROR(__xludf.DUMMYFUNCTION("""COMPUTED_VALUE"""),"صيدلية")</f>
        <v>صيدلية</v>
      </c>
      <c r="E3436" s="5" t="str">
        <f ca="1">IFERROR(__xludf.DUMMYFUNCTION("""COMPUTED_VALUE"""),"صيدلية")</f>
        <v>صيدلية</v>
      </c>
      <c r="F3436" s="5" t="str">
        <f ca="1">IFERROR(__xludf.DUMMYFUNCTION("""COMPUTED_VALUE"""),"صيدلية (أدوية ومستلزمات طبية)")</f>
        <v>صيدلية (أدوية ومستلزمات طبية)</v>
      </c>
      <c r="G3436" s="5" t="str">
        <f ca="1">IFERROR(__xludf.DUMMYFUNCTION("""COMPUTED_VALUE"""),"صيدلية د/ محمد عبد التواب (شركة اورانج لخدمات الصيدليات)")</f>
        <v>صيدلية د/ محمد عبد التواب (شركة اورانج لخدمات الصيدليات)</v>
      </c>
      <c r="H3436" s="5" t="str">
        <f ca="1">IFERROR(__xludf.DUMMYFUNCTION("""COMPUTED_VALUE"""),"5ش محمود الزكي - من شارع خاتم المرسلين - الهرم - الجيزة")</f>
        <v>5ش محمود الزكي - من شارع خاتم المرسلين - الهرم - الجيزة</v>
      </c>
      <c r="I3436" s="6" t="str">
        <f ca="1">IFERROR(__xludf.DUMMYFUNCTION("""COMPUTED_VALUE"""),"1050840670")</f>
        <v>1050840670</v>
      </c>
      <c r="J3436" s="6" t="str">
        <f ca="1">IFERROR(__xludf.DUMMYFUNCTION("""COMPUTED_VALUE"""),"19001")</f>
        <v>19001</v>
      </c>
      <c r="K3436" s="6" t="str">
        <f ca="1">IFERROR(__xludf.DUMMYFUNCTION("""COMPUTED_VALUE"""),"خصم 12% علي المحلي و6% علي المستورد")</f>
        <v>خصم 12% علي المحلي و6% علي المستورد</v>
      </c>
    </row>
    <row r="3437" spans="1:11" x14ac:dyDescent="0.25">
      <c r="A3437" s="4" t="str">
        <f ca="1">IFERROR(__xludf.DUMMYFUNCTION("""COMPUTED_VALUE"""),"107606-B")</f>
        <v>107606-B</v>
      </c>
      <c r="B3437" s="5" t="str">
        <f ca="1">IFERROR(__xludf.DUMMYFUNCTION("""COMPUTED_VALUE"""),"الجيزة")</f>
        <v>الجيزة</v>
      </c>
      <c r="C3437" s="5" t="str">
        <f ca="1">IFERROR(__xludf.DUMMYFUNCTION("""COMPUTED_VALUE"""),"العمرانية")</f>
        <v>العمرانية</v>
      </c>
      <c r="D3437" s="5" t="str">
        <f ca="1">IFERROR(__xludf.DUMMYFUNCTION("""COMPUTED_VALUE"""),"صيدلية")</f>
        <v>صيدلية</v>
      </c>
      <c r="E3437" s="5" t="str">
        <f ca="1">IFERROR(__xludf.DUMMYFUNCTION("""COMPUTED_VALUE"""),"صيدلية")</f>
        <v>صيدلية</v>
      </c>
      <c r="F3437" s="5" t="str">
        <f ca="1">IFERROR(__xludf.DUMMYFUNCTION("""COMPUTED_VALUE"""),"صيدلية (أدوية ومستلزمات طبية)")</f>
        <v>صيدلية (أدوية ومستلزمات طبية)</v>
      </c>
      <c r="G3437" s="5" t="str">
        <f ca="1">IFERROR(__xludf.DUMMYFUNCTION("""COMPUTED_VALUE"""),"صيدلية د/ أيمن محمد شكري (شركة اورانج لخدمات الصيدليات)")</f>
        <v>صيدلية د/ أيمن محمد شكري (شركة اورانج لخدمات الصيدليات)</v>
      </c>
      <c r="H3437" s="5" t="str">
        <f ca="1">IFERROR(__xludf.DUMMYFUNCTION("""COMPUTED_VALUE"""),"24ش العيد - العمرانية الشرقية - بجوار محطة مترو أم المصريين - العمرانية - الجيزة")</f>
        <v>24ش العيد - العمرانية الشرقية - بجوار محطة مترو أم المصريين - العمرانية - الجيزة</v>
      </c>
      <c r="I3437" s="6" t="str">
        <f ca="1">IFERROR(__xludf.DUMMYFUNCTION("""COMPUTED_VALUE"""),"35705211")</f>
        <v>35705211</v>
      </c>
      <c r="J3437" s="6" t="str">
        <f ca="1">IFERROR(__xludf.DUMMYFUNCTION("""COMPUTED_VALUE"""),"19001")</f>
        <v>19001</v>
      </c>
      <c r="K3437" s="6" t="str">
        <f ca="1">IFERROR(__xludf.DUMMYFUNCTION("""COMPUTED_VALUE"""),"خصم 12% علي المحلي و6% علي المستورد")</f>
        <v>خصم 12% علي المحلي و6% علي المستورد</v>
      </c>
    </row>
    <row r="3438" spans="1:11" x14ac:dyDescent="0.25">
      <c r="A3438" s="4" t="str">
        <f ca="1">IFERROR(__xludf.DUMMYFUNCTION("""COMPUTED_VALUE"""),"107606-B")</f>
        <v>107606-B</v>
      </c>
      <c r="B3438" s="5" t="str">
        <f ca="1">IFERROR(__xludf.DUMMYFUNCTION("""COMPUTED_VALUE"""),"الجيزة")</f>
        <v>الجيزة</v>
      </c>
      <c r="C3438" s="5" t="str">
        <f ca="1">IFERROR(__xludf.DUMMYFUNCTION("""COMPUTED_VALUE"""),"الهرم")</f>
        <v>الهرم</v>
      </c>
      <c r="D3438" s="5" t="str">
        <f ca="1">IFERROR(__xludf.DUMMYFUNCTION("""COMPUTED_VALUE"""),"صيدلية")</f>
        <v>صيدلية</v>
      </c>
      <c r="E3438" s="5" t="str">
        <f ca="1">IFERROR(__xludf.DUMMYFUNCTION("""COMPUTED_VALUE"""),"صيدلية")</f>
        <v>صيدلية</v>
      </c>
      <c r="F3438" s="5" t="str">
        <f ca="1">IFERROR(__xludf.DUMMYFUNCTION("""COMPUTED_VALUE"""),"صيدلية (أدوية ومستلزمات طبية)")</f>
        <v>صيدلية (أدوية ومستلزمات طبية)</v>
      </c>
      <c r="G3438" s="5" t="str">
        <f ca="1">IFERROR(__xludf.DUMMYFUNCTION("""COMPUTED_VALUE"""),"صيدلية ابرام هانى /نصر الدين (شركة اورانج لخدمات الصيدليات)")</f>
        <v>صيدلية ابرام هانى /نصر الدين (شركة اورانج لخدمات الصيدليات)</v>
      </c>
      <c r="H3438" s="5" t="str">
        <f ca="1">IFERROR(__xludf.DUMMYFUNCTION("""COMPUTED_VALUE"""),"محمد غالب، العمرانية الغربية، قسم العمرانية، محافظة الجيزة")</f>
        <v>محمد غالب، العمرانية الغربية، قسم العمرانية، محافظة الجيزة</v>
      </c>
      <c r="I3438" s="6" t="str">
        <f ca="1">IFERROR(__xludf.DUMMYFUNCTION("""COMPUTED_VALUE"""),"235704020")</f>
        <v>235704020</v>
      </c>
      <c r="J3438" s="6" t="str">
        <f ca="1">IFERROR(__xludf.DUMMYFUNCTION("""COMPUTED_VALUE"""),"19001")</f>
        <v>19001</v>
      </c>
      <c r="K3438" s="6" t="str">
        <f ca="1">IFERROR(__xludf.DUMMYFUNCTION("""COMPUTED_VALUE"""),"خصم 12% علي المحلي و6% علي المستورد")</f>
        <v>خصم 12% علي المحلي و6% علي المستورد</v>
      </c>
    </row>
    <row r="3439" spans="1:11" x14ac:dyDescent="0.25">
      <c r="A3439" s="4" t="str">
        <f ca="1">IFERROR(__xludf.DUMMYFUNCTION("""COMPUTED_VALUE"""),"107606-B")</f>
        <v>107606-B</v>
      </c>
      <c r="B3439" s="5" t="str">
        <f ca="1">IFERROR(__xludf.DUMMYFUNCTION("""COMPUTED_VALUE"""),"الدقهلية")</f>
        <v>الدقهلية</v>
      </c>
      <c r="C3439" s="5" t="str">
        <f ca="1">IFERROR(__xludf.DUMMYFUNCTION("""COMPUTED_VALUE"""),"دكرنس")</f>
        <v>دكرنس</v>
      </c>
      <c r="D3439" s="5" t="str">
        <f ca="1">IFERROR(__xludf.DUMMYFUNCTION("""COMPUTED_VALUE"""),"صيدلية")</f>
        <v>صيدلية</v>
      </c>
      <c r="E3439" s="5" t="str">
        <f ca="1">IFERROR(__xludf.DUMMYFUNCTION("""COMPUTED_VALUE"""),"صيدلية")</f>
        <v>صيدلية</v>
      </c>
      <c r="F3439" s="5" t="str">
        <f ca="1">IFERROR(__xludf.DUMMYFUNCTION("""COMPUTED_VALUE"""),"صيدلية (أدوية ومستلزمات طبية)")</f>
        <v>صيدلية (أدوية ومستلزمات طبية)</v>
      </c>
      <c r="G3439" s="5" t="str">
        <f ca="1">IFERROR(__xludf.DUMMYFUNCTION("""COMPUTED_VALUE"""),"صيدلية د/ احمد محمد رخا (شركة اورانج لخدمات الصيدليات)")</f>
        <v>صيدلية د/ احمد محمد رخا (شركة اورانج لخدمات الصيدليات)</v>
      </c>
      <c r="H3439" s="5" t="str">
        <f ca="1">IFERROR(__xludf.DUMMYFUNCTION("""COMPUTED_VALUE"""),"ش النقراشي - أمام بنك مصر - موقف القاهرة - دكرنس - الدقهلية")</f>
        <v>ش النقراشي - أمام بنك مصر - موقف القاهرة - دكرنس - الدقهلية</v>
      </c>
      <c r="I3439" s="6" t="str">
        <f ca="1">IFERROR(__xludf.DUMMYFUNCTION("""COMPUTED_VALUE"""),"1004394904")</f>
        <v>1004394904</v>
      </c>
      <c r="J3439" s="6" t="str">
        <f ca="1">IFERROR(__xludf.DUMMYFUNCTION("""COMPUTED_VALUE"""),"19001")</f>
        <v>19001</v>
      </c>
      <c r="K3439" s="6" t="str">
        <f ca="1">IFERROR(__xludf.DUMMYFUNCTION("""COMPUTED_VALUE"""),"خصم 12% علي المحلي و6% علي المستورد")</f>
        <v>خصم 12% علي المحلي و6% علي المستورد</v>
      </c>
    </row>
    <row r="3440" spans="1:11" x14ac:dyDescent="0.25">
      <c r="A3440" s="4" t="str">
        <f ca="1">IFERROR(__xludf.DUMMYFUNCTION("""COMPUTED_VALUE"""),"107606-B")</f>
        <v>107606-B</v>
      </c>
      <c r="B3440" s="5" t="str">
        <f ca="1">IFERROR(__xludf.DUMMYFUNCTION("""COMPUTED_VALUE"""),"الدقهلية")</f>
        <v>الدقهلية</v>
      </c>
      <c r="C3440" s="5" t="str">
        <f ca="1">IFERROR(__xludf.DUMMYFUNCTION("""COMPUTED_VALUE"""),"دكرنس")</f>
        <v>دكرنس</v>
      </c>
      <c r="D3440" s="5" t="str">
        <f ca="1">IFERROR(__xludf.DUMMYFUNCTION("""COMPUTED_VALUE"""),"صيدلية")</f>
        <v>صيدلية</v>
      </c>
      <c r="E3440" s="5" t="str">
        <f ca="1">IFERROR(__xludf.DUMMYFUNCTION("""COMPUTED_VALUE"""),"صيدلية")</f>
        <v>صيدلية</v>
      </c>
      <c r="F3440" s="5" t="str">
        <f ca="1">IFERROR(__xludf.DUMMYFUNCTION("""COMPUTED_VALUE"""),"صيدلية (أدوية ومستلزمات طبية)")</f>
        <v>صيدلية (أدوية ومستلزمات طبية)</v>
      </c>
      <c r="G3440" s="5" t="str">
        <f ca="1">IFERROR(__xludf.DUMMYFUNCTION("""COMPUTED_VALUE"""),"صيدلية د/ أمنية محمد رخا (شركة اورانج لخدمات الصيدليات)")</f>
        <v>صيدلية د/ أمنية محمد رخا (شركة اورانج لخدمات الصيدليات)</v>
      </c>
      <c r="H3440" s="5" t="str">
        <f ca="1">IFERROR(__xludf.DUMMYFUNCTION("""COMPUTED_VALUE"""),"ش البحر - بجوار الإسعاف - دكرنس - الدقهلية")</f>
        <v>ش البحر - بجوار الإسعاف - دكرنس - الدقهلية</v>
      </c>
      <c r="I3440" s="6" t="str">
        <f ca="1">IFERROR(__xludf.DUMMYFUNCTION("""COMPUTED_VALUE"""),"1004394904")</f>
        <v>1004394904</v>
      </c>
      <c r="J3440" s="6" t="str">
        <f ca="1">IFERROR(__xludf.DUMMYFUNCTION("""COMPUTED_VALUE"""),"19001")</f>
        <v>19001</v>
      </c>
      <c r="K3440" s="6" t="str">
        <f ca="1">IFERROR(__xludf.DUMMYFUNCTION("""COMPUTED_VALUE"""),"خصم 12% علي المحلي و6% علي المستورد")</f>
        <v>خصم 12% علي المحلي و6% علي المستورد</v>
      </c>
    </row>
    <row r="3441" spans="1:11" x14ac:dyDescent="0.25">
      <c r="A3441" s="4" t="str">
        <f ca="1">IFERROR(__xludf.DUMMYFUNCTION("""COMPUTED_VALUE"""),"107606-B")</f>
        <v>107606-B</v>
      </c>
      <c r="B3441" s="5" t="str">
        <f ca="1">IFERROR(__xludf.DUMMYFUNCTION("""COMPUTED_VALUE"""),"الدقهلية")</f>
        <v>الدقهلية</v>
      </c>
      <c r="C3441" s="5" t="str">
        <f ca="1">IFERROR(__xludf.DUMMYFUNCTION("""COMPUTED_VALUE"""),"المنصورة")</f>
        <v>المنصورة</v>
      </c>
      <c r="D3441" s="5" t="str">
        <f ca="1">IFERROR(__xludf.DUMMYFUNCTION("""COMPUTED_VALUE"""),"صيدلية")</f>
        <v>صيدلية</v>
      </c>
      <c r="E3441" s="5" t="str">
        <f ca="1">IFERROR(__xludf.DUMMYFUNCTION("""COMPUTED_VALUE"""),"صيدلية")</f>
        <v>صيدلية</v>
      </c>
      <c r="F3441" s="5" t="str">
        <f ca="1">IFERROR(__xludf.DUMMYFUNCTION("""COMPUTED_VALUE"""),"صيدلية (أدوية ومستلزمات طبية)")</f>
        <v>صيدلية (أدوية ومستلزمات طبية)</v>
      </c>
      <c r="G3441" s="5" t="str">
        <f ca="1">IFERROR(__xludf.DUMMYFUNCTION("""COMPUTED_VALUE"""),"صيدلية د/ طارق محمد فتوح سلامة (شركة اورانج لخدمات الصيدليات)")</f>
        <v>صيدلية د/ طارق محمد فتوح سلامة (شركة اورانج لخدمات الصيدليات)</v>
      </c>
      <c r="H3441" s="5" t="str">
        <f ca="1">IFERROR(__xludf.DUMMYFUNCTION("""COMPUTED_VALUE"""),"70ش قناة السويس - برج الصديق - توريل - المنصورة - الدقهلية")</f>
        <v>70ش قناة السويس - برج الصديق - توريل - المنصورة - الدقهلية</v>
      </c>
      <c r="I3441" s="6" t="str">
        <f ca="1">IFERROR(__xludf.DUMMYFUNCTION("""COMPUTED_VALUE"""),"1004567589")</f>
        <v>1004567589</v>
      </c>
      <c r="J3441" s="6" t="str">
        <f ca="1">IFERROR(__xludf.DUMMYFUNCTION("""COMPUTED_VALUE"""),"19001")</f>
        <v>19001</v>
      </c>
      <c r="K3441" s="6" t="str">
        <f ca="1">IFERROR(__xludf.DUMMYFUNCTION("""COMPUTED_VALUE"""),"خصم 12% علي المحلي و6% علي المستورد")</f>
        <v>خصم 12% علي المحلي و6% علي المستورد</v>
      </c>
    </row>
    <row r="3442" spans="1:11" x14ac:dyDescent="0.25">
      <c r="A3442" s="4" t="str">
        <f ca="1">IFERROR(__xludf.DUMMYFUNCTION("""COMPUTED_VALUE"""),"107606-B")</f>
        <v>107606-B</v>
      </c>
      <c r="B3442" s="5" t="str">
        <f ca="1">IFERROR(__xludf.DUMMYFUNCTION("""COMPUTED_VALUE"""),"الدقهلية")</f>
        <v>الدقهلية</v>
      </c>
      <c r="C3442" s="5" t="str">
        <f ca="1">IFERROR(__xludf.DUMMYFUNCTION("""COMPUTED_VALUE"""),"منيه سمنود")</f>
        <v>منيه سمنود</v>
      </c>
      <c r="D3442" s="5" t="str">
        <f ca="1">IFERROR(__xludf.DUMMYFUNCTION("""COMPUTED_VALUE"""),"صيدلية")</f>
        <v>صيدلية</v>
      </c>
      <c r="E3442" s="5" t="str">
        <f ca="1">IFERROR(__xludf.DUMMYFUNCTION("""COMPUTED_VALUE"""),"صيدلية")</f>
        <v>صيدلية</v>
      </c>
      <c r="F3442" s="5" t="str">
        <f ca="1">IFERROR(__xludf.DUMMYFUNCTION("""COMPUTED_VALUE"""),"صيدلية (أدوية ومستلزمات طبية)")</f>
        <v>صيدلية (أدوية ومستلزمات طبية)</v>
      </c>
      <c r="G3442" s="5" t="str">
        <f ca="1">IFERROR(__xludf.DUMMYFUNCTION("""COMPUTED_VALUE"""),"صيدلية احمد علي الجراحي (شركة اورانج لخدمات الصيدليات)")</f>
        <v>صيدلية احمد علي الجراحي (شركة اورانج لخدمات الصيدليات)</v>
      </c>
      <c r="H3442" s="5" t="str">
        <f ca="1">IFERROR(__xludf.DUMMYFUNCTION("""COMPUTED_VALUE"""),"منية سمنود-مام مسجد النجيلة -الدقهلية")</f>
        <v>منية سمنود-مام مسجد النجيلة -الدقهلية</v>
      </c>
      <c r="I3442" s="6" t="str">
        <f ca="1">IFERROR(__xludf.DUMMYFUNCTION("""COMPUTED_VALUE"""),"1068444681")</f>
        <v>1068444681</v>
      </c>
      <c r="J3442" s="6" t="str">
        <f ca="1">IFERROR(__xludf.DUMMYFUNCTION("""COMPUTED_VALUE"""),"19001")</f>
        <v>19001</v>
      </c>
      <c r="K3442" s="6" t="str">
        <f ca="1">IFERROR(__xludf.DUMMYFUNCTION("""COMPUTED_VALUE"""),"خصم 12% علي المحلي و6% علي المستورد")</f>
        <v>خصم 12% علي المحلي و6% علي المستورد</v>
      </c>
    </row>
    <row r="3443" spans="1:11" x14ac:dyDescent="0.25">
      <c r="A3443" s="4" t="str">
        <f ca="1">IFERROR(__xludf.DUMMYFUNCTION("""COMPUTED_VALUE"""),"107606-B")</f>
        <v>107606-B</v>
      </c>
      <c r="B3443" s="5" t="str">
        <f ca="1">IFERROR(__xludf.DUMMYFUNCTION("""COMPUTED_VALUE"""),"الدقهلية")</f>
        <v>الدقهلية</v>
      </c>
      <c r="C3443" s="5" t="str">
        <f ca="1">IFERROR(__xludf.DUMMYFUNCTION("""COMPUTED_VALUE"""),"المنصورة")</f>
        <v>المنصورة</v>
      </c>
      <c r="D3443" s="5" t="str">
        <f ca="1">IFERROR(__xludf.DUMMYFUNCTION("""COMPUTED_VALUE"""),"صيدلية")</f>
        <v>صيدلية</v>
      </c>
      <c r="E3443" s="5" t="str">
        <f ca="1">IFERROR(__xludf.DUMMYFUNCTION("""COMPUTED_VALUE"""),"صيدلية")</f>
        <v>صيدلية</v>
      </c>
      <c r="F3443" s="5" t="str">
        <f ca="1">IFERROR(__xludf.DUMMYFUNCTION("""COMPUTED_VALUE"""),"صيدلية (أدوية ومستلزمات طبية)")</f>
        <v>صيدلية (أدوية ومستلزمات طبية)</v>
      </c>
      <c r="G3443" s="5" t="str">
        <f ca="1">IFERROR(__xludf.DUMMYFUNCTION("""COMPUTED_VALUE"""),"صيدلية مراد (شركة اورانج لخدمات الصيدليات)")</f>
        <v>صيدلية مراد (شركة اورانج لخدمات الصيدليات)</v>
      </c>
      <c r="H3443" s="5" t="str">
        <f ca="1">IFERROR(__xludf.DUMMYFUNCTION("""COMPUTED_VALUE"""),"3ش جيهان -مدينة المنصورة- الدقهلية")</f>
        <v>3ش جيهان -مدينة المنصورة- الدقهلية</v>
      </c>
      <c r="I3443" s="6" t="str">
        <f ca="1">IFERROR(__xludf.DUMMYFUNCTION("""COMPUTED_VALUE"""),"1040000474")</f>
        <v>1040000474</v>
      </c>
      <c r="J3443" s="6" t="str">
        <f ca="1">IFERROR(__xludf.DUMMYFUNCTION("""COMPUTED_VALUE"""),"19001")</f>
        <v>19001</v>
      </c>
      <c r="K3443" s="6" t="str">
        <f ca="1">IFERROR(__xludf.DUMMYFUNCTION("""COMPUTED_VALUE"""),"خصم 12% علي المحلي و6% علي المستورد")</f>
        <v>خصم 12% علي المحلي و6% علي المستورد</v>
      </c>
    </row>
    <row r="3444" spans="1:11" x14ac:dyDescent="0.25">
      <c r="A3444" s="4" t="str">
        <f ca="1">IFERROR(__xludf.DUMMYFUNCTION("""COMPUTED_VALUE"""),"107606-B")</f>
        <v>107606-B</v>
      </c>
      <c r="B3444" s="5" t="str">
        <f ca="1">IFERROR(__xludf.DUMMYFUNCTION("""COMPUTED_VALUE"""),"الدقهلية")</f>
        <v>الدقهلية</v>
      </c>
      <c r="C3444" s="5" t="str">
        <f ca="1">IFERROR(__xludf.DUMMYFUNCTION("""COMPUTED_VALUE"""),"المنصورة")</f>
        <v>المنصورة</v>
      </c>
      <c r="D3444" s="5" t="str">
        <f ca="1">IFERROR(__xludf.DUMMYFUNCTION("""COMPUTED_VALUE"""),"صيدلية")</f>
        <v>صيدلية</v>
      </c>
      <c r="E3444" s="5" t="str">
        <f ca="1">IFERROR(__xludf.DUMMYFUNCTION("""COMPUTED_VALUE"""),"صيدلية")</f>
        <v>صيدلية</v>
      </c>
      <c r="F3444" s="5" t="str">
        <f ca="1">IFERROR(__xludf.DUMMYFUNCTION("""COMPUTED_VALUE"""),"صيدلية (أدوية ومستلزمات طبية)")</f>
        <v>صيدلية (أدوية ومستلزمات طبية)</v>
      </c>
      <c r="G3444" s="5" t="str">
        <f ca="1">IFERROR(__xludf.DUMMYFUNCTION("""COMPUTED_VALUE"""),"صيدلية السيد التهامي (شركة اورانج لخدمات الصيدليات)")</f>
        <v>صيدلية السيد التهامي (شركة اورانج لخدمات الصيدليات)</v>
      </c>
      <c r="H3444" s="5" t="str">
        <f ca="1">IFERROR(__xludf.DUMMYFUNCTION("""COMPUTED_VALUE"""),"سلكا - المنصورة -الدقهلية")</f>
        <v>سلكا - المنصورة -الدقهلية</v>
      </c>
      <c r="I3444" s="6" t="str">
        <f ca="1">IFERROR(__xludf.DUMMYFUNCTION("""COMPUTED_VALUE"""),"1034011606")</f>
        <v>1034011606</v>
      </c>
      <c r="J3444" s="6" t="str">
        <f ca="1">IFERROR(__xludf.DUMMYFUNCTION("""COMPUTED_VALUE"""),"19001")</f>
        <v>19001</v>
      </c>
      <c r="K3444" s="6" t="str">
        <f ca="1">IFERROR(__xludf.DUMMYFUNCTION("""COMPUTED_VALUE"""),"خصم 12% علي المحلي و6% علي المستورد")</f>
        <v>خصم 12% علي المحلي و6% علي المستورد</v>
      </c>
    </row>
    <row r="3445" spans="1:11" x14ac:dyDescent="0.25">
      <c r="A3445" s="4" t="str">
        <f ca="1">IFERROR(__xludf.DUMMYFUNCTION("""COMPUTED_VALUE"""),"107606-B")</f>
        <v>107606-B</v>
      </c>
      <c r="B3445" s="5" t="str">
        <f ca="1">IFERROR(__xludf.DUMMYFUNCTION("""COMPUTED_VALUE"""),"الدقهلية")</f>
        <v>الدقهلية</v>
      </c>
      <c r="C3445" s="5" t="str">
        <f ca="1">IFERROR(__xludf.DUMMYFUNCTION("""COMPUTED_VALUE"""),"المنصورة")</f>
        <v>المنصورة</v>
      </c>
      <c r="D3445" s="5" t="str">
        <f ca="1">IFERROR(__xludf.DUMMYFUNCTION("""COMPUTED_VALUE"""),"صيدلية")</f>
        <v>صيدلية</v>
      </c>
      <c r="E3445" s="5" t="str">
        <f ca="1">IFERROR(__xludf.DUMMYFUNCTION("""COMPUTED_VALUE"""),"صيدلية")</f>
        <v>صيدلية</v>
      </c>
      <c r="F3445" s="5" t="str">
        <f ca="1">IFERROR(__xludf.DUMMYFUNCTION("""COMPUTED_VALUE"""),"صيدلية (أدوية ومستلزمات طبية)")</f>
        <v>صيدلية (أدوية ومستلزمات طبية)</v>
      </c>
      <c r="G3445" s="5" t="str">
        <f ca="1">IFERROR(__xludf.DUMMYFUNCTION("""COMPUTED_VALUE"""),"صيدلية حسام المتولي عبد الباقي (شركة اورانج لخدمات الصيدليات)")</f>
        <v>صيدلية حسام المتولي عبد الباقي (شركة اورانج لخدمات الصيدليات)</v>
      </c>
      <c r="H3445" s="5" t="str">
        <f ca="1">IFERROR(__xludf.DUMMYFUNCTION("""COMPUTED_VALUE"""),"جديدة الهالة - المنصورة -الدقهلية")</f>
        <v>جديدة الهالة - المنصورة -الدقهلية</v>
      </c>
      <c r="I3445" s="6" t="str">
        <f ca="1">IFERROR(__xludf.DUMMYFUNCTION("""COMPUTED_VALUE"""),"1101844088")</f>
        <v>1101844088</v>
      </c>
      <c r="J3445" s="6" t="str">
        <f ca="1">IFERROR(__xludf.DUMMYFUNCTION("""COMPUTED_VALUE"""),"19001")</f>
        <v>19001</v>
      </c>
      <c r="K3445" s="6" t="str">
        <f ca="1">IFERROR(__xludf.DUMMYFUNCTION("""COMPUTED_VALUE"""),"خصم 12% علي المحلي و6% علي المستورد")</f>
        <v>خصم 12% علي المحلي و6% علي المستورد</v>
      </c>
    </row>
    <row r="3446" spans="1:11" x14ac:dyDescent="0.25">
      <c r="A3446" s="4" t="str">
        <f ca="1">IFERROR(__xludf.DUMMYFUNCTION("""COMPUTED_VALUE"""),"107606-B")</f>
        <v>107606-B</v>
      </c>
      <c r="B3446" s="5" t="str">
        <f ca="1">IFERROR(__xludf.DUMMYFUNCTION("""COMPUTED_VALUE"""),"الدقهلية")</f>
        <v>الدقهلية</v>
      </c>
      <c r="C3446" s="5" t="str">
        <f ca="1">IFERROR(__xludf.DUMMYFUNCTION("""COMPUTED_VALUE"""),"المنصورة")</f>
        <v>المنصورة</v>
      </c>
      <c r="D3446" s="5" t="str">
        <f ca="1">IFERROR(__xludf.DUMMYFUNCTION("""COMPUTED_VALUE"""),"صيدلية")</f>
        <v>صيدلية</v>
      </c>
      <c r="E3446" s="5" t="str">
        <f ca="1">IFERROR(__xludf.DUMMYFUNCTION("""COMPUTED_VALUE"""),"صيدلية")</f>
        <v>صيدلية</v>
      </c>
      <c r="F3446" s="5" t="str">
        <f ca="1">IFERROR(__xludf.DUMMYFUNCTION("""COMPUTED_VALUE"""),"صيدلية (أدوية ومستلزمات طبية)")</f>
        <v>صيدلية (أدوية ومستلزمات طبية)</v>
      </c>
      <c r="G3446" s="5" t="str">
        <f ca="1">IFERROR(__xludf.DUMMYFUNCTION("""COMPUTED_VALUE"""),"صيدلية احمد العزازي (شركة اورانج لخدمات الصيدليات)")</f>
        <v>صيدلية احمد العزازي (شركة اورانج لخدمات الصيدليات)</v>
      </c>
      <c r="H3446" s="5" t="str">
        <f ca="1">IFERROR(__xludf.DUMMYFUNCTION("""COMPUTED_VALUE"""),"ميت ابو حسين -اجا - الدقهلية")</f>
        <v>ميت ابو حسين -اجا - الدقهلية</v>
      </c>
      <c r="I3446" s="6" t="str">
        <f ca="1">IFERROR(__xludf.DUMMYFUNCTION("""COMPUTED_VALUE"""),"1157998245")</f>
        <v>1157998245</v>
      </c>
      <c r="J3446" s="6" t="str">
        <f ca="1">IFERROR(__xludf.DUMMYFUNCTION("""COMPUTED_VALUE"""),"19001")</f>
        <v>19001</v>
      </c>
      <c r="K3446" s="6" t="str">
        <f ca="1">IFERROR(__xludf.DUMMYFUNCTION("""COMPUTED_VALUE"""),"خصم 12% علي المحلي و6% علي المستورد")</f>
        <v>خصم 12% علي المحلي و6% علي المستورد</v>
      </c>
    </row>
    <row r="3447" spans="1:11" x14ac:dyDescent="0.25">
      <c r="A3447" s="4" t="str">
        <f ca="1">IFERROR(__xludf.DUMMYFUNCTION("""COMPUTED_VALUE"""),"107606-B")</f>
        <v>107606-B</v>
      </c>
      <c r="B3447" s="5" t="str">
        <f ca="1">IFERROR(__xludf.DUMMYFUNCTION("""COMPUTED_VALUE"""),"الدقهلية")</f>
        <v>الدقهلية</v>
      </c>
      <c r="C3447" s="5" t="str">
        <f ca="1">IFERROR(__xludf.DUMMYFUNCTION("""COMPUTED_VALUE"""),"المنصورة")</f>
        <v>المنصورة</v>
      </c>
      <c r="D3447" s="5" t="str">
        <f ca="1">IFERROR(__xludf.DUMMYFUNCTION("""COMPUTED_VALUE"""),"صيدلية")</f>
        <v>صيدلية</v>
      </c>
      <c r="E3447" s="5" t="str">
        <f ca="1">IFERROR(__xludf.DUMMYFUNCTION("""COMPUTED_VALUE"""),"صيدلية")</f>
        <v>صيدلية</v>
      </c>
      <c r="F3447" s="5" t="str">
        <f ca="1">IFERROR(__xludf.DUMMYFUNCTION("""COMPUTED_VALUE"""),"صيدلية (أدوية ومستلزمات طبية)")</f>
        <v>صيدلية (أدوية ومستلزمات طبية)</v>
      </c>
      <c r="G3447" s="5" t="str">
        <f ca="1">IFERROR(__xludf.DUMMYFUNCTION("""COMPUTED_VALUE"""),"صيدلية سمر ابراهيم نجم (شركة اورانج لخدمات الصيدليات)")</f>
        <v>صيدلية سمر ابراهيم نجم (شركة اورانج لخدمات الصيدليات)</v>
      </c>
      <c r="H3447" s="5" t="str">
        <f ca="1">IFERROR(__xludf.DUMMYFUNCTION("""COMPUTED_VALUE"""),"تلبانة -المنصورة -الدقهلية")</f>
        <v>تلبانة -المنصورة -الدقهلية</v>
      </c>
      <c r="I3447" s="6" t="str">
        <f ca="1">IFERROR(__xludf.DUMMYFUNCTION("""COMPUTED_VALUE"""),"1157998245")</f>
        <v>1157998245</v>
      </c>
      <c r="J3447" s="6" t="str">
        <f ca="1">IFERROR(__xludf.DUMMYFUNCTION("""COMPUTED_VALUE"""),"19001")</f>
        <v>19001</v>
      </c>
      <c r="K3447" s="6" t="str">
        <f ca="1">IFERROR(__xludf.DUMMYFUNCTION("""COMPUTED_VALUE"""),"خصم 12% علي المحلي و6% علي المستورد")</f>
        <v>خصم 12% علي المحلي و6% علي المستورد</v>
      </c>
    </row>
    <row r="3448" spans="1:11" x14ac:dyDescent="0.25">
      <c r="A3448" s="4" t="str">
        <f ca="1">IFERROR(__xludf.DUMMYFUNCTION("""COMPUTED_VALUE"""),"107606-B")</f>
        <v>107606-B</v>
      </c>
      <c r="B3448" s="5" t="str">
        <f ca="1">IFERROR(__xludf.DUMMYFUNCTION("""COMPUTED_VALUE"""),"السويس")</f>
        <v>السويس</v>
      </c>
      <c r="C3448" s="5" t="str">
        <f ca="1">IFERROR(__xludf.DUMMYFUNCTION("""COMPUTED_VALUE"""),"السويس")</f>
        <v>السويس</v>
      </c>
      <c r="D3448" s="5" t="str">
        <f ca="1">IFERROR(__xludf.DUMMYFUNCTION("""COMPUTED_VALUE"""),"صيدلية")</f>
        <v>صيدلية</v>
      </c>
      <c r="E3448" s="5" t="str">
        <f ca="1">IFERROR(__xludf.DUMMYFUNCTION("""COMPUTED_VALUE"""),"صيدلية")</f>
        <v>صيدلية</v>
      </c>
      <c r="F3448" s="5" t="str">
        <f ca="1">IFERROR(__xludf.DUMMYFUNCTION("""COMPUTED_VALUE"""),"صيدلية (أدوية ومستلزمات طبية)")</f>
        <v>صيدلية (أدوية ومستلزمات طبية)</v>
      </c>
      <c r="G3448" s="5" t="str">
        <f ca="1">IFERROR(__xludf.DUMMYFUNCTION("""COMPUTED_VALUE"""),"صيدلية احمد قنديل (شركة اورانج لخدمات الصيدليات)")</f>
        <v>صيدلية احمد قنديل (شركة اورانج لخدمات الصيدليات)</v>
      </c>
      <c r="H3448" s="5" t="str">
        <f ca="1">IFERROR(__xludf.DUMMYFUNCTION("""COMPUTED_VALUE"""),"قطعة 1046 - ش عمر بن الخطاب (خالد بن الوليد) - السلام 1 - السويس")</f>
        <v>قطعة 1046 - ش عمر بن الخطاب (خالد بن الوليد) - السلام 1 - السويس</v>
      </c>
      <c r="I3448" s="6" t="str">
        <f ca="1">IFERROR(__xludf.DUMMYFUNCTION("""COMPUTED_VALUE"""),"1024871000")</f>
        <v>1024871000</v>
      </c>
      <c r="J3448" s="6" t="str">
        <f ca="1">IFERROR(__xludf.DUMMYFUNCTION("""COMPUTED_VALUE"""),"19001")</f>
        <v>19001</v>
      </c>
      <c r="K3448" s="6" t="str">
        <f ca="1">IFERROR(__xludf.DUMMYFUNCTION("""COMPUTED_VALUE"""),"خصم 12% علي المحلي و6% علي المستورد")</f>
        <v>خصم 12% علي المحلي و6% علي المستورد</v>
      </c>
    </row>
    <row r="3449" spans="1:11" x14ac:dyDescent="0.25">
      <c r="A3449" s="4" t="str">
        <f ca="1">IFERROR(__xludf.DUMMYFUNCTION("""COMPUTED_VALUE"""),"107606-B")</f>
        <v>107606-B</v>
      </c>
      <c r="B3449" s="5" t="str">
        <f ca="1">IFERROR(__xludf.DUMMYFUNCTION("""COMPUTED_VALUE"""),"الشرقية")</f>
        <v>الشرقية</v>
      </c>
      <c r="C3449" s="5" t="str">
        <f ca="1">IFERROR(__xludf.DUMMYFUNCTION("""COMPUTED_VALUE"""),"بلبيس")</f>
        <v>بلبيس</v>
      </c>
      <c r="D3449" s="5" t="str">
        <f ca="1">IFERROR(__xludf.DUMMYFUNCTION("""COMPUTED_VALUE"""),"صيدلية")</f>
        <v>صيدلية</v>
      </c>
      <c r="E3449" s="5" t="str">
        <f ca="1">IFERROR(__xludf.DUMMYFUNCTION("""COMPUTED_VALUE"""),"صيدلية")</f>
        <v>صيدلية</v>
      </c>
      <c r="F3449" s="5" t="str">
        <f ca="1">IFERROR(__xludf.DUMMYFUNCTION("""COMPUTED_VALUE"""),"صيدلية (أدوية ومستلزمات طبية)")</f>
        <v>صيدلية (أدوية ومستلزمات طبية)</v>
      </c>
      <c r="G3449" s="5" t="str">
        <f ca="1">IFERROR(__xludf.DUMMYFUNCTION("""COMPUTED_VALUE"""),"صيدلية د/ محمود عبد الحميد إبراهيم (شركة اورانج لخدمات الصيدليات)")</f>
        <v>صيدلية د/ محمود عبد الحميد إبراهيم (شركة اورانج لخدمات الصيدليات)</v>
      </c>
      <c r="H3449" s="5" t="str">
        <f ca="1">IFERROR(__xludf.DUMMYFUNCTION("""COMPUTED_VALUE"""),"ش المظلوم بجوار ماكينة الاهواني - بلبيس - الشرقية")</f>
        <v>ش المظلوم بجوار ماكينة الاهواني - بلبيس - الشرقية</v>
      </c>
      <c r="I3449" s="6" t="str">
        <f ca="1">IFERROR(__xludf.DUMMYFUNCTION("""COMPUTED_VALUE"""),"1143035358")</f>
        <v>1143035358</v>
      </c>
      <c r="J3449" s="6" t="str">
        <f ca="1">IFERROR(__xludf.DUMMYFUNCTION("""COMPUTED_VALUE"""),"19001")</f>
        <v>19001</v>
      </c>
      <c r="K3449" s="6" t="str">
        <f ca="1">IFERROR(__xludf.DUMMYFUNCTION("""COMPUTED_VALUE"""),"خصم 12% علي المحلي و6% علي المستورد")</f>
        <v>خصم 12% علي المحلي و6% علي المستورد</v>
      </c>
    </row>
    <row r="3450" spans="1:11" x14ac:dyDescent="0.25">
      <c r="A3450" s="4" t="str">
        <f ca="1">IFERROR(__xludf.DUMMYFUNCTION("""COMPUTED_VALUE"""),"107606-B")</f>
        <v>107606-B</v>
      </c>
      <c r="B3450" s="5" t="str">
        <f ca="1">IFERROR(__xludf.DUMMYFUNCTION("""COMPUTED_VALUE"""),"الشرقية")</f>
        <v>الشرقية</v>
      </c>
      <c r="C3450" s="5" t="str">
        <f ca="1">IFERROR(__xludf.DUMMYFUNCTION("""COMPUTED_VALUE"""),"العاشر من رمضان")</f>
        <v>العاشر من رمضان</v>
      </c>
      <c r="D3450" s="5" t="str">
        <f ca="1">IFERROR(__xludf.DUMMYFUNCTION("""COMPUTED_VALUE"""),"صيدلية")</f>
        <v>صيدلية</v>
      </c>
      <c r="E3450" s="5" t="str">
        <f ca="1">IFERROR(__xludf.DUMMYFUNCTION("""COMPUTED_VALUE"""),"صيدلية")</f>
        <v>صيدلية</v>
      </c>
      <c r="F3450" s="5" t="str">
        <f ca="1">IFERROR(__xludf.DUMMYFUNCTION("""COMPUTED_VALUE"""),"صيدلية (أدوية ومستلزمات طبية)")</f>
        <v>صيدلية (أدوية ومستلزمات طبية)</v>
      </c>
      <c r="G3450" s="5" t="str">
        <f ca="1">IFERROR(__xludf.DUMMYFUNCTION("""COMPUTED_VALUE"""),"صيدلية د/ مروة صادق (شركة اورانج لخدمات الصيدليات)")</f>
        <v>صيدلية د/ مروة صادق (شركة اورانج لخدمات الصيدليات)</v>
      </c>
      <c r="H3450" s="5" t="str">
        <f ca="1">IFERROR(__xludf.DUMMYFUNCTION("""COMPUTED_VALUE"""),"قطعة 16 - مجاورة 20 - 2 مول سينكو التجاري - جوار التأمين الصحي - خلف مول الدوحة - العاشر من رمضان")</f>
        <v>قطعة 16 - مجاورة 20 - 2 مول سينكو التجاري - جوار التأمين الصحي - خلف مول الدوحة - العاشر من رمضان</v>
      </c>
      <c r="I3450" s="6" t="str">
        <f ca="1">IFERROR(__xludf.DUMMYFUNCTION("""COMPUTED_VALUE"""),"1092996162")</f>
        <v>1092996162</v>
      </c>
      <c r="J3450" s="6" t="str">
        <f ca="1">IFERROR(__xludf.DUMMYFUNCTION("""COMPUTED_VALUE"""),"19001")</f>
        <v>19001</v>
      </c>
      <c r="K3450" s="6" t="str">
        <f ca="1">IFERROR(__xludf.DUMMYFUNCTION("""COMPUTED_VALUE"""),"خصم 12% علي المحلي و6% علي المستورد")</f>
        <v>خصم 12% علي المحلي و6% علي المستورد</v>
      </c>
    </row>
    <row r="3451" spans="1:11" x14ac:dyDescent="0.25">
      <c r="A3451" s="4" t="str">
        <f ca="1">IFERROR(__xludf.DUMMYFUNCTION("""COMPUTED_VALUE"""),"107606-B")</f>
        <v>107606-B</v>
      </c>
      <c r="B3451" s="5" t="str">
        <f ca="1">IFERROR(__xludf.DUMMYFUNCTION("""COMPUTED_VALUE"""),"الشرقية")</f>
        <v>الشرقية</v>
      </c>
      <c r="C3451" s="5" t="str">
        <f ca="1">IFERROR(__xludf.DUMMYFUNCTION("""COMPUTED_VALUE"""),"منيا القمح")</f>
        <v>منيا القمح</v>
      </c>
      <c r="D3451" s="5" t="str">
        <f ca="1">IFERROR(__xludf.DUMMYFUNCTION("""COMPUTED_VALUE"""),"صيدلية")</f>
        <v>صيدلية</v>
      </c>
      <c r="E3451" s="5" t="str">
        <f ca="1">IFERROR(__xludf.DUMMYFUNCTION("""COMPUTED_VALUE"""),"صيدلية")</f>
        <v>صيدلية</v>
      </c>
      <c r="F3451" s="5" t="str">
        <f ca="1">IFERROR(__xludf.DUMMYFUNCTION("""COMPUTED_VALUE"""),"صيدلية (أدوية ومستلزمات طبية)")</f>
        <v>صيدلية (أدوية ومستلزمات طبية)</v>
      </c>
      <c r="G3451" s="5" t="str">
        <f ca="1">IFERROR(__xludf.DUMMYFUNCTION("""COMPUTED_VALUE"""),"صيدلية د/ أسماء سعيد شهده (شركة اورانج لخدمات الصيدليات)")</f>
        <v>صيدلية د/ أسماء سعيد شهده (شركة اورانج لخدمات الصيدليات)</v>
      </c>
      <c r="H3451" s="5" t="str">
        <f ca="1">IFERROR(__xludf.DUMMYFUNCTION("""COMPUTED_VALUE"""),"عقار (أشرف الحسيني قنديل ) بشارع الترعة النجمية - العزيزية - منيا القمح - الشرقية")</f>
        <v>عقار (أشرف الحسيني قنديل ) بشارع الترعة النجمية - العزيزية - منيا القمح - الشرقية</v>
      </c>
      <c r="I3451" s="6" t="str">
        <f ca="1">IFERROR(__xludf.DUMMYFUNCTION("""COMPUTED_VALUE"""),"1060976949")</f>
        <v>1060976949</v>
      </c>
      <c r="J3451" s="6" t="str">
        <f ca="1">IFERROR(__xludf.DUMMYFUNCTION("""COMPUTED_VALUE"""),"19001")</f>
        <v>19001</v>
      </c>
      <c r="K3451" s="6" t="str">
        <f ca="1">IFERROR(__xludf.DUMMYFUNCTION("""COMPUTED_VALUE"""),"خصم 12% علي المحلي و6% علي المستورد")</f>
        <v>خصم 12% علي المحلي و6% علي المستورد</v>
      </c>
    </row>
    <row r="3452" spans="1:11" x14ac:dyDescent="0.25">
      <c r="A3452" s="4" t="str">
        <f ca="1">IFERROR(__xludf.DUMMYFUNCTION("""COMPUTED_VALUE"""),"107606-B")</f>
        <v>107606-B</v>
      </c>
      <c r="B3452" s="5" t="str">
        <f ca="1">IFERROR(__xludf.DUMMYFUNCTION("""COMPUTED_VALUE"""),"الشرقية")</f>
        <v>الشرقية</v>
      </c>
      <c r="C3452" s="5" t="str">
        <f ca="1">IFERROR(__xludf.DUMMYFUNCTION("""COMPUTED_VALUE"""),"الشرقية")</f>
        <v>الشرقية</v>
      </c>
      <c r="D3452" s="5" t="str">
        <f ca="1">IFERROR(__xludf.DUMMYFUNCTION("""COMPUTED_VALUE"""),"صيدلية")</f>
        <v>صيدلية</v>
      </c>
      <c r="E3452" s="5" t="str">
        <f ca="1">IFERROR(__xludf.DUMMYFUNCTION("""COMPUTED_VALUE"""),"صيدلية")</f>
        <v>صيدلية</v>
      </c>
      <c r="F3452" s="5" t="str">
        <f ca="1">IFERROR(__xludf.DUMMYFUNCTION("""COMPUTED_VALUE"""),"صيدلية (أدوية ومستلزمات طبية)")</f>
        <v>صيدلية (أدوية ومستلزمات طبية)</v>
      </c>
      <c r="G3452" s="5" t="str">
        <f ca="1">IFERROR(__xludf.DUMMYFUNCTION("""COMPUTED_VALUE"""),"صيدلية الصباغ/د-احمد قطب (شركة اورانج لخدمات الصيدليات)")</f>
        <v>صيدلية الصباغ/د-احمد قطب (شركة اورانج لخدمات الصيدليات)</v>
      </c>
      <c r="H3452" s="5" t="str">
        <f ca="1">IFERROR(__xludf.DUMMYFUNCTION("""COMPUTED_VALUE"""),"شارع المدابحه-الشيخه حمده-القرين-الشرقية")</f>
        <v>شارع المدابحه-الشيخه حمده-القرين-الشرقية</v>
      </c>
      <c r="I3452" s="6" t="str">
        <f ca="1">IFERROR(__xludf.DUMMYFUNCTION("""COMPUTED_VALUE"""),"1127207845")</f>
        <v>1127207845</v>
      </c>
      <c r="J3452" s="6" t="str">
        <f ca="1">IFERROR(__xludf.DUMMYFUNCTION("""COMPUTED_VALUE"""),"19001")</f>
        <v>19001</v>
      </c>
      <c r="K3452" s="6" t="str">
        <f ca="1">IFERROR(__xludf.DUMMYFUNCTION("""COMPUTED_VALUE"""),"خصم 12% علي المحلي و6% علي المستورد")</f>
        <v>خصم 12% علي المحلي و6% علي المستورد</v>
      </c>
    </row>
    <row r="3453" spans="1:11" x14ac:dyDescent="0.25">
      <c r="A3453" s="4" t="str">
        <f ca="1">IFERROR(__xludf.DUMMYFUNCTION("""COMPUTED_VALUE"""),"107606-B")</f>
        <v>107606-B</v>
      </c>
      <c r="B3453" s="5" t="str">
        <f ca="1">IFERROR(__xludf.DUMMYFUNCTION("""COMPUTED_VALUE"""),"الشرقية")</f>
        <v>الشرقية</v>
      </c>
      <c r="C3453" s="5" t="str">
        <f ca="1">IFERROR(__xludf.DUMMYFUNCTION("""COMPUTED_VALUE"""),"العاشر من رمضان")</f>
        <v>العاشر من رمضان</v>
      </c>
      <c r="D3453" s="5" t="str">
        <f ca="1">IFERROR(__xludf.DUMMYFUNCTION("""COMPUTED_VALUE"""),"صيدلية")</f>
        <v>صيدلية</v>
      </c>
      <c r="E3453" s="5" t="str">
        <f ca="1">IFERROR(__xludf.DUMMYFUNCTION("""COMPUTED_VALUE"""),"صيدلية")</f>
        <v>صيدلية</v>
      </c>
      <c r="F3453" s="5" t="str">
        <f ca="1">IFERROR(__xludf.DUMMYFUNCTION("""COMPUTED_VALUE"""),"صيدلية (أدوية ومستلزمات طبية)")</f>
        <v>صيدلية (أدوية ومستلزمات طبية)</v>
      </c>
      <c r="G3453" s="5" t="str">
        <f ca="1">IFERROR(__xludf.DUMMYFUNCTION("""COMPUTED_VALUE"""),"صيدلية احمد حمدي (شركة اورانج لخدمات الصيدليات)")</f>
        <v>صيدلية احمد حمدي (شركة اورانج لخدمات الصيدليات)</v>
      </c>
      <c r="H3453" s="5" t="str">
        <f ca="1">IFERROR(__xludf.DUMMYFUNCTION("""COMPUTED_VALUE"""),"محل رقم 1 بالسوق التجاري -مجاورة 42 -العاشر من رمضان")</f>
        <v>محل رقم 1 بالسوق التجاري -مجاورة 42 -العاشر من رمضان</v>
      </c>
      <c r="I3453" s="6" t="str">
        <f ca="1">IFERROR(__xludf.DUMMYFUNCTION("""COMPUTED_VALUE"""),"1276401638")</f>
        <v>1276401638</v>
      </c>
      <c r="J3453" s="6" t="str">
        <f ca="1">IFERROR(__xludf.DUMMYFUNCTION("""COMPUTED_VALUE"""),"19001")</f>
        <v>19001</v>
      </c>
      <c r="K3453" s="6" t="str">
        <f ca="1">IFERROR(__xludf.DUMMYFUNCTION("""COMPUTED_VALUE"""),"خصم 12% علي المحلي و6% علي المستورد")</f>
        <v>خصم 12% علي المحلي و6% علي المستورد</v>
      </c>
    </row>
    <row r="3454" spans="1:11" x14ac:dyDescent="0.25">
      <c r="A3454" s="4" t="str">
        <f ca="1">IFERROR(__xludf.DUMMYFUNCTION("""COMPUTED_VALUE"""),"107606-B")</f>
        <v>107606-B</v>
      </c>
      <c r="B3454" s="5" t="str">
        <f ca="1">IFERROR(__xludf.DUMMYFUNCTION("""COMPUTED_VALUE"""),"الغربية")</f>
        <v>الغربية</v>
      </c>
      <c r="C3454" s="5" t="str">
        <f ca="1">IFERROR(__xludf.DUMMYFUNCTION("""COMPUTED_VALUE"""),"طنطا")</f>
        <v>طنطا</v>
      </c>
      <c r="D3454" s="5" t="str">
        <f ca="1">IFERROR(__xludf.DUMMYFUNCTION("""COMPUTED_VALUE"""),"صيدلية")</f>
        <v>صيدلية</v>
      </c>
      <c r="E3454" s="5" t="str">
        <f ca="1">IFERROR(__xludf.DUMMYFUNCTION("""COMPUTED_VALUE"""),"صيدلية")</f>
        <v>صيدلية</v>
      </c>
      <c r="F3454" s="5" t="str">
        <f ca="1">IFERROR(__xludf.DUMMYFUNCTION("""COMPUTED_VALUE"""),"صيدلية (أدوية ومستلزمات طبية)")</f>
        <v>صيدلية (أدوية ومستلزمات طبية)</v>
      </c>
      <c r="G3454" s="5" t="str">
        <f ca="1">IFERROR(__xludf.DUMMYFUNCTION("""COMPUTED_VALUE"""),"صيدلية السلام (شركة اورانج لخدمات الصيدليات)")</f>
        <v>صيدلية السلام (شركة اورانج لخدمات الصيدليات)</v>
      </c>
      <c r="H3454" s="5" t="str">
        <f ca="1">IFERROR(__xludf.DUMMYFUNCTION("""COMPUTED_VALUE"""),"تقاطع شارع النحاس مع سعد الدين-طنطا -الغربية")</f>
        <v>تقاطع شارع النحاس مع سعد الدين-طنطا -الغربية</v>
      </c>
      <c r="I3454" s="6" t="str">
        <f ca="1">IFERROR(__xludf.DUMMYFUNCTION("""COMPUTED_VALUE"""),"1100822498")</f>
        <v>1100822498</v>
      </c>
      <c r="J3454" s="6" t="str">
        <f ca="1">IFERROR(__xludf.DUMMYFUNCTION("""COMPUTED_VALUE"""),"19001")</f>
        <v>19001</v>
      </c>
      <c r="K3454" s="6" t="str">
        <f ca="1">IFERROR(__xludf.DUMMYFUNCTION("""COMPUTED_VALUE"""),"خصم 12% علي المحلي و6% علي المستورد")</f>
        <v>خصم 12% علي المحلي و6% علي المستورد</v>
      </c>
    </row>
    <row r="3455" spans="1:11" x14ac:dyDescent="0.25">
      <c r="A3455" s="4" t="str">
        <f ca="1">IFERROR(__xludf.DUMMYFUNCTION("""COMPUTED_VALUE"""),"107606-B")</f>
        <v>107606-B</v>
      </c>
      <c r="B3455" s="5" t="str">
        <f ca="1">IFERROR(__xludf.DUMMYFUNCTION("""COMPUTED_VALUE"""),"الغربية")</f>
        <v>الغربية</v>
      </c>
      <c r="C3455" s="5" t="str">
        <f ca="1">IFERROR(__xludf.DUMMYFUNCTION("""COMPUTED_VALUE"""),"طنطا")</f>
        <v>طنطا</v>
      </c>
      <c r="D3455" s="5" t="str">
        <f ca="1">IFERROR(__xludf.DUMMYFUNCTION("""COMPUTED_VALUE"""),"صيدلية")</f>
        <v>صيدلية</v>
      </c>
      <c r="E3455" s="5" t="str">
        <f ca="1">IFERROR(__xludf.DUMMYFUNCTION("""COMPUTED_VALUE"""),"صيدلية")</f>
        <v>صيدلية</v>
      </c>
      <c r="F3455" s="5" t="str">
        <f ca="1">IFERROR(__xludf.DUMMYFUNCTION("""COMPUTED_VALUE"""),"صيدلية (أدوية ومستلزمات طبية)")</f>
        <v>صيدلية (أدوية ومستلزمات طبية)</v>
      </c>
      <c r="G3455" s="5" t="str">
        <f ca="1">IFERROR(__xludf.DUMMYFUNCTION("""COMPUTED_VALUE"""),"صيدلية احمد محمود شكر (شركة اورانج لخدمات الصيدليات)")</f>
        <v>صيدلية احمد محمود شكر (شركة اورانج لخدمات الصيدليات)</v>
      </c>
      <c r="H3455" s="5" t="str">
        <f ca="1">IFERROR(__xludf.DUMMYFUNCTION("""COMPUTED_VALUE"""),"برما -حي الحمرا-طنطا -الغربية")</f>
        <v>برما -حي الحمرا-طنطا -الغربية</v>
      </c>
      <c r="I3455" s="6" t="str">
        <f ca="1">IFERROR(__xludf.DUMMYFUNCTION("""COMPUTED_VALUE"""),"1015257303")</f>
        <v>1015257303</v>
      </c>
      <c r="J3455" s="6" t="str">
        <f ca="1">IFERROR(__xludf.DUMMYFUNCTION("""COMPUTED_VALUE"""),"19001")</f>
        <v>19001</v>
      </c>
      <c r="K3455" s="6" t="str">
        <f ca="1">IFERROR(__xludf.DUMMYFUNCTION("""COMPUTED_VALUE"""),"خصم 12% علي المحلي و6% علي المستورد")</f>
        <v>خصم 12% علي المحلي و6% علي المستورد</v>
      </c>
    </row>
    <row r="3456" spans="1:11" x14ac:dyDescent="0.25">
      <c r="A3456" s="4" t="str">
        <f ca="1">IFERROR(__xludf.DUMMYFUNCTION("""COMPUTED_VALUE"""),"107606-B")</f>
        <v>107606-B</v>
      </c>
      <c r="B3456" s="5" t="str">
        <f ca="1">IFERROR(__xludf.DUMMYFUNCTION("""COMPUTED_VALUE"""),"الغربية")</f>
        <v>الغربية</v>
      </c>
      <c r="C3456" s="5" t="str">
        <f ca="1">IFERROR(__xludf.DUMMYFUNCTION("""COMPUTED_VALUE"""),"المحلة الكبرى")</f>
        <v>المحلة الكبرى</v>
      </c>
      <c r="D3456" s="5" t="str">
        <f ca="1">IFERROR(__xludf.DUMMYFUNCTION("""COMPUTED_VALUE"""),"صيدلية")</f>
        <v>صيدلية</v>
      </c>
      <c r="E3456" s="5" t="str">
        <f ca="1">IFERROR(__xludf.DUMMYFUNCTION("""COMPUTED_VALUE"""),"صيدلية")</f>
        <v>صيدلية</v>
      </c>
      <c r="F3456" s="5" t="str">
        <f ca="1">IFERROR(__xludf.DUMMYFUNCTION("""COMPUTED_VALUE"""),"صيدلية (أدوية ومستلزمات طبية)")</f>
        <v>صيدلية (أدوية ومستلزمات طبية)</v>
      </c>
      <c r="G3456" s="5" t="str">
        <f ca="1">IFERROR(__xludf.DUMMYFUNCTION("""COMPUTED_VALUE"""),"صيدلية مينريت فائق (شركة اورانج لخدمات الصيدليات)")</f>
        <v>صيدلية مينريت فائق (شركة اورانج لخدمات الصيدليات)</v>
      </c>
      <c r="H3456" s="5" t="str">
        <f ca="1">IFERROR(__xludf.DUMMYFUNCTION("""COMPUTED_VALUE"""),"21 شارع كنيسة الاورام خلف مول اخوان خليل")</f>
        <v>21 شارع كنيسة الاورام خلف مول اخوان خليل</v>
      </c>
      <c r="I3456" s="6" t="str">
        <f ca="1">IFERROR(__xludf.DUMMYFUNCTION("""COMPUTED_VALUE"""),"402259890")</f>
        <v>402259890</v>
      </c>
      <c r="J3456" s="6" t="str">
        <f ca="1">IFERROR(__xludf.DUMMYFUNCTION("""COMPUTED_VALUE"""),"19001")</f>
        <v>19001</v>
      </c>
      <c r="K3456" s="6" t="str">
        <f ca="1">IFERROR(__xludf.DUMMYFUNCTION("""COMPUTED_VALUE"""),"خصم 12% علي المحلي و6% علي المستورد")</f>
        <v>خصم 12% علي المحلي و6% علي المستورد</v>
      </c>
    </row>
    <row r="3457" spans="1:11" x14ac:dyDescent="0.25">
      <c r="A3457" s="4" t="str">
        <f ca="1">IFERROR(__xludf.DUMMYFUNCTION("""COMPUTED_VALUE"""),"107606-B")</f>
        <v>107606-B</v>
      </c>
      <c r="B3457" s="5" t="str">
        <f ca="1">IFERROR(__xludf.DUMMYFUNCTION("""COMPUTED_VALUE"""),"الفيوم")</f>
        <v>الفيوم</v>
      </c>
      <c r="C3457" s="5" t="str">
        <f ca="1">IFERROR(__xludf.DUMMYFUNCTION("""COMPUTED_VALUE"""),"الفيوم")</f>
        <v>الفيوم</v>
      </c>
      <c r="D3457" s="5" t="str">
        <f ca="1">IFERROR(__xludf.DUMMYFUNCTION("""COMPUTED_VALUE"""),"صيدلية")</f>
        <v>صيدلية</v>
      </c>
      <c r="E3457" s="5" t="str">
        <f ca="1">IFERROR(__xludf.DUMMYFUNCTION("""COMPUTED_VALUE"""),"صيدلية")</f>
        <v>صيدلية</v>
      </c>
      <c r="F3457" s="5" t="str">
        <f ca="1">IFERROR(__xludf.DUMMYFUNCTION("""COMPUTED_VALUE"""),"صيدلية (أدوية ومستلزمات طبية)")</f>
        <v>صيدلية (أدوية ومستلزمات طبية)</v>
      </c>
      <c r="G3457" s="5" t="str">
        <f ca="1">IFERROR(__xludf.DUMMYFUNCTION("""COMPUTED_VALUE"""),"صيدلية محمود محمد عبد القادر(جيمي) (شركة اورانج لخدمات الصيدليات)")</f>
        <v>صيدلية محمود محمد عبد القادر(جيمي) (شركة اورانج لخدمات الصيدليات)</v>
      </c>
      <c r="H3457" s="5" t="str">
        <f ca="1">IFERROR(__xludf.DUMMYFUNCTION("""COMPUTED_VALUE"""),"ش لطف الله امام فندق المعلمين")</f>
        <v>ش لطف الله امام فندق المعلمين</v>
      </c>
      <c r="I3457" s="6" t="str">
        <f ca="1">IFERROR(__xludf.DUMMYFUNCTION("""COMPUTED_VALUE"""),"1062345694")</f>
        <v>1062345694</v>
      </c>
      <c r="J3457" s="6" t="str">
        <f ca="1">IFERROR(__xludf.DUMMYFUNCTION("""COMPUTED_VALUE"""),"19001")</f>
        <v>19001</v>
      </c>
      <c r="K3457" s="6" t="str">
        <f ca="1">IFERROR(__xludf.DUMMYFUNCTION("""COMPUTED_VALUE"""),"خصم 12% علي المحلي و6% علي المستورد")</f>
        <v>خصم 12% علي المحلي و6% علي المستورد</v>
      </c>
    </row>
    <row r="3458" spans="1:11" x14ac:dyDescent="0.25">
      <c r="A3458" s="4" t="str">
        <f ca="1">IFERROR(__xludf.DUMMYFUNCTION("""COMPUTED_VALUE"""),"107606-B")</f>
        <v>107606-B</v>
      </c>
      <c r="B3458" s="5" t="str">
        <f ca="1">IFERROR(__xludf.DUMMYFUNCTION("""COMPUTED_VALUE"""),"القاهرة")</f>
        <v>القاهرة</v>
      </c>
      <c r="C3458" s="5" t="str">
        <f ca="1">IFERROR(__xludf.DUMMYFUNCTION("""COMPUTED_VALUE"""),"مصر الجديدة")</f>
        <v>مصر الجديدة</v>
      </c>
      <c r="D3458" s="5" t="str">
        <f ca="1">IFERROR(__xludf.DUMMYFUNCTION("""COMPUTED_VALUE"""),"صيدلية")</f>
        <v>صيدلية</v>
      </c>
      <c r="E3458" s="5" t="str">
        <f ca="1">IFERROR(__xludf.DUMMYFUNCTION("""COMPUTED_VALUE"""),"صيدلية")</f>
        <v>صيدلية</v>
      </c>
      <c r="F3458" s="5" t="str">
        <f ca="1">IFERROR(__xludf.DUMMYFUNCTION("""COMPUTED_VALUE"""),"صيدلية (أدوية ومستلزمات طبية)")</f>
        <v>صيدلية (أدوية ومستلزمات طبية)</v>
      </c>
      <c r="G3458" s="5" t="str">
        <f ca="1">IFERROR(__xludf.DUMMYFUNCTION("""COMPUTED_VALUE"""),"صيدلية د/ فيكتور مجدي (شركة اورانج لخدمات الصيدليات)")</f>
        <v>صيدلية د/ فيكتور مجدي (شركة اورانج لخدمات الصيدليات)</v>
      </c>
      <c r="H3458" s="5" t="str">
        <f ca="1">IFERROR(__xludf.DUMMYFUNCTION("""COMPUTED_VALUE"""),"1ش مصر للطيران - مربع 1309 قطعة (1) - أمام السندباد - النزهة الجديدة - القاهرة")</f>
        <v>1ش مصر للطيران - مربع 1309 قطعة (1) - أمام السندباد - النزهة الجديدة - القاهرة</v>
      </c>
      <c r="I3458" s="6" t="str">
        <f ca="1">IFERROR(__xludf.DUMMYFUNCTION("""COMPUTED_VALUE"""),"1227315900")</f>
        <v>1227315900</v>
      </c>
      <c r="J3458" s="6" t="str">
        <f ca="1">IFERROR(__xludf.DUMMYFUNCTION("""COMPUTED_VALUE"""),"19001")</f>
        <v>19001</v>
      </c>
      <c r="K3458" s="6" t="str">
        <f ca="1">IFERROR(__xludf.DUMMYFUNCTION("""COMPUTED_VALUE"""),"خصم 12% علي المحلي و6% علي المستورد")</f>
        <v>خصم 12% علي المحلي و6% علي المستورد</v>
      </c>
    </row>
    <row r="3459" spans="1:11" x14ac:dyDescent="0.25">
      <c r="A3459" s="4" t="str">
        <f ca="1">IFERROR(__xludf.DUMMYFUNCTION("""COMPUTED_VALUE"""),"107606-B")</f>
        <v>107606-B</v>
      </c>
      <c r="B3459" s="5" t="str">
        <f ca="1">IFERROR(__xludf.DUMMYFUNCTION("""COMPUTED_VALUE"""),"القاهرة")</f>
        <v>القاهرة</v>
      </c>
      <c r="C3459" s="5" t="str">
        <f ca="1">IFERROR(__xludf.DUMMYFUNCTION("""COMPUTED_VALUE"""),"مصر الجديدة")</f>
        <v>مصر الجديدة</v>
      </c>
      <c r="D3459" s="5" t="str">
        <f ca="1">IFERROR(__xludf.DUMMYFUNCTION("""COMPUTED_VALUE"""),"صيدلية")</f>
        <v>صيدلية</v>
      </c>
      <c r="E3459" s="5" t="str">
        <f ca="1">IFERROR(__xludf.DUMMYFUNCTION("""COMPUTED_VALUE"""),"صيدلية")</f>
        <v>صيدلية</v>
      </c>
      <c r="F3459" s="5" t="str">
        <f ca="1">IFERROR(__xludf.DUMMYFUNCTION("""COMPUTED_VALUE"""),"صيدلية (أدوية ومستلزمات طبية)")</f>
        <v>صيدلية (أدوية ومستلزمات طبية)</v>
      </c>
      <c r="G3459" s="5" t="str">
        <f ca="1">IFERROR(__xludf.DUMMYFUNCTION("""COMPUTED_VALUE"""),"صيدلية د/ ريموندا طلعت الجديدة (شركة اورانج لخدمات الصيدليات)")</f>
        <v>صيدلية د/ ريموندا طلعت الجديدة (شركة اورانج لخدمات الصيدليات)</v>
      </c>
      <c r="H3459" s="5" t="str">
        <f ca="1">IFERROR(__xludf.DUMMYFUNCTION("""COMPUTED_VALUE"""),"18ش الخمسين -تقسيم أبو رجيلة- تقاطع ش27 أمام عيادات مسجد سيد المرسلين وعيادات الكاروز-النزهة 2")</f>
        <v>18ش الخمسين -تقسيم أبو رجيلة- تقاطع ش27 أمام عيادات مسجد سيد المرسلين وعيادات الكاروز-النزهة 2</v>
      </c>
      <c r="I3459" s="6" t="str">
        <f ca="1">IFERROR(__xludf.DUMMYFUNCTION("""COMPUTED_VALUE"""),"21865427")</f>
        <v>21865427</v>
      </c>
      <c r="J3459" s="6" t="str">
        <f ca="1">IFERROR(__xludf.DUMMYFUNCTION("""COMPUTED_VALUE"""),"19001")</f>
        <v>19001</v>
      </c>
      <c r="K3459" s="6" t="str">
        <f ca="1">IFERROR(__xludf.DUMMYFUNCTION("""COMPUTED_VALUE"""),"خصم 12% علي المحلي و6% علي المستورد")</f>
        <v>خصم 12% علي المحلي و6% علي المستورد</v>
      </c>
    </row>
    <row r="3460" spans="1:11" x14ac:dyDescent="0.25">
      <c r="A3460" s="4" t="str">
        <f ca="1">IFERROR(__xludf.DUMMYFUNCTION("""COMPUTED_VALUE"""),"107606-B")</f>
        <v>107606-B</v>
      </c>
      <c r="B3460" s="5" t="str">
        <f ca="1">IFERROR(__xludf.DUMMYFUNCTION("""COMPUTED_VALUE"""),"القاهرة")</f>
        <v>القاهرة</v>
      </c>
      <c r="C3460" s="5" t="str">
        <f ca="1">IFERROR(__xludf.DUMMYFUNCTION("""COMPUTED_VALUE"""),"مصر الجديدة")</f>
        <v>مصر الجديدة</v>
      </c>
      <c r="D3460" s="5" t="str">
        <f ca="1">IFERROR(__xludf.DUMMYFUNCTION("""COMPUTED_VALUE"""),"صيدلية")</f>
        <v>صيدلية</v>
      </c>
      <c r="E3460" s="5" t="str">
        <f ca="1">IFERROR(__xludf.DUMMYFUNCTION("""COMPUTED_VALUE"""),"صيدلية")</f>
        <v>صيدلية</v>
      </c>
      <c r="F3460" s="5" t="str">
        <f ca="1">IFERROR(__xludf.DUMMYFUNCTION("""COMPUTED_VALUE"""),"صيدلية (أدوية ومستلزمات طبية)")</f>
        <v>صيدلية (أدوية ومستلزمات طبية)</v>
      </c>
      <c r="G3460" s="5" t="str">
        <f ca="1">IFERROR(__xludf.DUMMYFUNCTION("""COMPUTED_VALUE"""),"صيدلية د/ ريموندا طلعت (شركة اورانج لخدمات الصيدليات)")</f>
        <v>صيدلية د/ ريموندا طلعت (شركة اورانج لخدمات الصيدليات)</v>
      </c>
      <c r="H3460" s="5" t="str">
        <f ca="1">IFERROR(__xludf.DUMMYFUNCTION("""COMPUTED_VALUE"""),"قطعة 98ش المعهد الأزهري -امتداد ش الخمسين -تقسيم الخالدي -محل (1) يمين مدخل العقار- النزهة 2")</f>
        <v>قطعة 98ش المعهد الأزهري -امتداد ش الخمسين -تقسيم الخالدي -محل (1) يمين مدخل العقار- النزهة 2</v>
      </c>
      <c r="I3460" s="6" t="str">
        <f ca="1">IFERROR(__xludf.DUMMYFUNCTION("""COMPUTED_VALUE"""),"21937077")</f>
        <v>21937077</v>
      </c>
      <c r="J3460" s="6" t="str">
        <f ca="1">IFERROR(__xludf.DUMMYFUNCTION("""COMPUTED_VALUE"""),"19001")</f>
        <v>19001</v>
      </c>
      <c r="K3460" s="6" t="str">
        <f ca="1">IFERROR(__xludf.DUMMYFUNCTION("""COMPUTED_VALUE"""),"خصم 12% علي المحلي و6% علي المستورد")</f>
        <v>خصم 12% علي المحلي و6% علي المستورد</v>
      </c>
    </row>
    <row r="3461" spans="1:11" x14ac:dyDescent="0.25">
      <c r="A3461" s="4" t="str">
        <f ca="1">IFERROR(__xludf.DUMMYFUNCTION("""COMPUTED_VALUE"""),"107606-B")</f>
        <v>107606-B</v>
      </c>
      <c r="B3461" s="5" t="str">
        <f ca="1">IFERROR(__xludf.DUMMYFUNCTION("""COMPUTED_VALUE"""),"القاهرة")</f>
        <v>القاهرة</v>
      </c>
      <c r="C3461" s="5" t="str">
        <f ca="1">IFERROR(__xludf.DUMMYFUNCTION("""COMPUTED_VALUE"""),"مصر الجديدة")</f>
        <v>مصر الجديدة</v>
      </c>
      <c r="D3461" s="5" t="str">
        <f ca="1">IFERROR(__xludf.DUMMYFUNCTION("""COMPUTED_VALUE"""),"صيدلية")</f>
        <v>صيدلية</v>
      </c>
      <c r="E3461" s="5" t="str">
        <f ca="1">IFERROR(__xludf.DUMMYFUNCTION("""COMPUTED_VALUE"""),"صيدلية")</f>
        <v>صيدلية</v>
      </c>
      <c r="F3461" s="5" t="str">
        <f ca="1">IFERROR(__xludf.DUMMYFUNCTION("""COMPUTED_VALUE"""),"صيدلية (أدوية ومستلزمات طبية)")</f>
        <v>صيدلية (أدوية ومستلزمات طبية)</v>
      </c>
      <c r="G3461" s="5" t="str">
        <f ca="1">IFERROR(__xludf.DUMMYFUNCTION("""COMPUTED_VALUE"""),"صيدلية د/ مرتضى ماهر (شركة اورانج لخدمات الصيدليات)")</f>
        <v>صيدلية د/ مرتضى ماهر (شركة اورانج لخدمات الصيدليات)</v>
      </c>
      <c r="H3461" s="5" t="str">
        <f ca="1">IFERROR(__xludf.DUMMYFUNCTION("""COMPUTED_VALUE"""),"1ش علي الخفيف - متفرع من محمد كامل حسين خلف بنك CIB - النزهة الجديدة")</f>
        <v>1ش علي الخفيف - متفرع من محمد كامل حسين خلف بنك CIB - النزهة الجديدة</v>
      </c>
      <c r="I3461" s="6" t="str">
        <f ca="1">IFERROR(__xludf.DUMMYFUNCTION("""COMPUTED_VALUE"""),"26233344")</f>
        <v>26233344</v>
      </c>
      <c r="J3461" s="6" t="str">
        <f ca="1">IFERROR(__xludf.DUMMYFUNCTION("""COMPUTED_VALUE"""),"19001")</f>
        <v>19001</v>
      </c>
      <c r="K3461" s="6" t="str">
        <f ca="1">IFERROR(__xludf.DUMMYFUNCTION("""COMPUTED_VALUE"""),"خصم 12% علي المحلي و6% علي المستورد")</f>
        <v>خصم 12% علي المحلي و6% علي المستورد</v>
      </c>
    </row>
    <row r="3462" spans="1:11" x14ac:dyDescent="0.25">
      <c r="A3462" s="4" t="str">
        <f ca="1">IFERROR(__xludf.DUMMYFUNCTION("""COMPUTED_VALUE"""),"107606-B")</f>
        <v>107606-B</v>
      </c>
      <c r="B3462" s="5" t="str">
        <f ca="1">IFERROR(__xludf.DUMMYFUNCTION("""COMPUTED_VALUE"""),"القاهرة")</f>
        <v>القاهرة</v>
      </c>
      <c r="C3462" s="5" t="str">
        <f ca="1">IFERROR(__xludf.DUMMYFUNCTION("""COMPUTED_VALUE"""),"مصر الجديدة")</f>
        <v>مصر الجديدة</v>
      </c>
      <c r="D3462" s="5" t="str">
        <f ca="1">IFERROR(__xludf.DUMMYFUNCTION("""COMPUTED_VALUE"""),"صيدلية")</f>
        <v>صيدلية</v>
      </c>
      <c r="E3462" s="5" t="str">
        <f ca="1">IFERROR(__xludf.DUMMYFUNCTION("""COMPUTED_VALUE"""),"صيدلية")</f>
        <v>صيدلية</v>
      </c>
      <c r="F3462" s="5" t="str">
        <f ca="1">IFERROR(__xludf.DUMMYFUNCTION("""COMPUTED_VALUE"""),"صيدلية (أدوية ومستلزمات طبية)")</f>
        <v>صيدلية (أدوية ومستلزمات طبية)</v>
      </c>
      <c r="G3462" s="5" t="str">
        <f ca="1">IFERROR(__xludf.DUMMYFUNCTION("""COMPUTED_VALUE"""),"صيدلية فادي فايز (شركة اورانج لخدمات الصيدليات)")</f>
        <v>صيدلية فادي فايز (شركة اورانج لخدمات الصيدليات)</v>
      </c>
      <c r="H3462" s="5" t="str">
        <f ca="1">IFERROR(__xludf.DUMMYFUNCTION("""COMPUTED_VALUE"""),"2 ش سليمان باشا روكسي")</f>
        <v>2 ش سليمان باشا روكسي</v>
      </c>
      <c r="I3462" s="6" t="str">
        <f ca="1">IFERROR(__xludf.DUMMYFUNCTION("""COMPUTED_VALUE"""),"2456922")</f>
        <v>2456922</v>
      </c>
      <c r="J3462" s="6" t="str">
        <f ca="1">IFERROR(__xludf.DUMMYFUNCTION("""COMPUTED_VALUE"""),"19001")</f>
        <v>19001</v>
      </c>
      <c r="K3462" s="6" t="str">
        <f ca="1">IFERROR(__xludf.DUMMYFUNCTION("""COMPUTED_VALUE"""),"خصم 12% علي المحلي و6% علي المستورد")</f>
        <v>خصم 12% علي المحلي و6% علي المستورد</v>
      </c>
    </row>
    <row r="3463" spans="1:11" x14ac:dyDescent="0.25">
      <c r="A3463" s="4" t="str">
        <f ca="1">IFERROR(__xludf.DUMMYFUNCTION("""COMPUTED_VALUE"""),"107606-B")</f>
        <v>107606-B</v>
      </c>
      <c r="B3463" s="5" t="str">
        <f ca="1">IFERROR(__xludf.DUMMYFUNCTION("""COMPUTED_VALUE"""),"القاهرة")</f>
        <v>القاهرة</v>
      </c>
      <c r="C3463" s="5" t="str">
        <f ca="1">IFERROR(__xludf.DUMMYFUNCTION("""COMPUTED_VALUE"""),"مصر الجديدة")</f>
        <v>مصر الجديدة</v>
      </c>
      <c r="D3463" s="5" t="str">
        <f ca="1">IFERROR(__xludf.DUMMYFUNCTION("""COMPUTED_VALUE"""),"صيدلية")</f>
        <v>صيدلية</v>
      </c>
      <c r="E3463" s="5" t="str">
        <f ca="1">IFERROR(__xludf.DUMMYFUNCTION("""COMPUTED_VALUE"""),"صيدلية")</f>
        <v>صيدلية</v>
      </c>
      <c r="F3463" s="5" t="str">
        <f ca="1">IFERROR(__xludf.DUMMYFUNCTION("""COMPUTED_VALUE"""),"صيدلية (أدوية ومستلزمات طبية)")</f>
        <v>صيدلية (أدوية ومستلزمات طبية)</v>
      </c>
      <c r="G3463" s="5" t="str">
        <f ca="1">IFERROR(__xludf.DUMMYFUNCTION("""COMPUTED_VALUE"""),"صيدلية د/ جون عدلي (شركة اورانج لخدمات الصيدليات)")</f>
        <v>صيدلية د/ جون عدلي (شركة اورانج لخدمات الصيدليات)</v>
      </c>
      <c r="H3463" s="5" t="str">
        <f ca="1">IFERROR(__xludf.DUMMYFUNCTION("""COMPUTED_VALUE"""),"108ش الحجاز- مصر الجديدة")</f>
        <v>108ش الحجاز- مصر الجديدة</v>
      </c>
      <c r="I3463" s="6" t="str">
        <f ca="1">IFERROR(__xludf.DUMMYFUNCTION("""COMPUTED_VALUE"""),"27772551")</f>
        <v>27772551</v>
      </c>
      <c r="J3463" s="6" t="str">
        <f ca="1">IFERROR(__xludf.DUMMYFUNCTION("""COMPUTED_VALUE"""),"19001")</f>
        <v>19001</v>
      </c>
      <c r="K3463" s="6" t="str">
        <f ca="1">IFERROR(__xludf.DUMMYFUNCTION("""COMPUTED_VALUE"""),"خصم 12% علي المحلي و6% علي المستورد")</f>
        <v>خصم 12% علي المحلي و6% علي المستورد</v>
      </c>
    </row>
    <row r="3464" spans="1:11" x14ac:dyDescent="0.25">
      <c r="A3464" s="4" t="str">
        <f ca="1">IFERROR(__xludf.DUMMYFUNCTION("""COMPUTED_VALUE"""),"107606-B")</f>
        <v>107606-B</v>
      </c>
      <c r="B3464" s="5" t="str">
        <f ca="1">IFERROR(__xludf.DUMMYFUNCTION("""COMPUTED_VALUE"""),"القاهرة")</f>
        <v>القاهرة</v>
      </c>
      <c r="C3464" s="5" t="str">
        <f ca="1">IFERROR(__xludf.DUMMYFUNCTION("""COMPUTED_VALUE"""),"مصر الجديدة")</f>
        <v>مصر الجديدة</v>
      </c>
      <c r="D3464" s="5" t="str">
        <f ca="1">IFERROR(__xludf.DUMMYFUNCTION("""COMPUTED_VALUE"""),"صيدلية")</f>
        <v>صيدلية</v>
      </c>
      <c r="E3464" s="5" t="str">
        <f ca="1">IFERROR(__xludf.DUMMYFUNCTION("""COMPUTED_VALUE"""),"صيدلية")</f>
        <v>صيدلية</v>
      </c>
      <c r="F3464" s="5" t="str">
        <f ca="1">IFERROR(__xludf.DUMMYFUNCTION("""COMPUTED_VALUE"""),"صيدلية (أدوية ومستلزمات طبية)")</f>
        <v>صيدلية (أدوية ومستلزمات طبية)</v>
      </c>
      <c r="G3464" s="5" t="str">
        <f ca="1">IFERROR(__xludf.DUMMYFUNCTION("""COMPUTED_VALUE"""),"صيدلية د/ عصام علي عبد الرازق (شركة اورانج لخدمات الصيدليات)")</f>
        <v>صيدلية د/ عصام علي عبد الرازق (شركة اورانج لخدمات الصيدليات)</v>
      </c>
      <c r="H3464" s="5" t="str">
        <f ca="1">IFERROR(__xludf.DUMMYFUNCTION("""COMPUTED_VALUE"""),"23شارع محمد فريد - ميدان جامع الفتح - مصر الجديدة")</f>
        <v>23شارع محمد فريد - ميدان جامع الفتح - مصر الجديدة</v>
      </c>
      <c r="I3464" s="6" t="str">
        <f ca="1">IFERROR(__xludf.DUMMYFUNCTION("""COMPUTED_VALUE"""),"01098733570")</f>
        <v>01098733570</v>
      </c>
      <c r="J3464" s="6" t="str">
        <f ca="1">IFERROR(__xludf.DUMMYFUNCTION("""COMPUTED_VALUE"""),"19001")</f>
        <v>19001</v>
      </c>
      <c r="K3464" s="6" t="str">
        <f ca="1">IFERROR(__xludf.DUMMYFUNCTION("""COMPUTED_VALUE"""),"خصم 12% علي المحلي و6% علي المستورد")</f>
        <v>خصم 12% علي المحلي و6% علي المستورد</v>
      </c>
    </row>
    <row r="3465" spans="1:11" x14ac:dyDescent="0.25">
      <c r="A3465" s="4" t="str">
        <f ca="1">IFERROR(__xludf.DUMMYFUNCTION("""COMPUTED_VALUE"""),"107606-B")</f>
        <v>107606-B</v>
      </c>
      <c r="B3465" s="5" t="str">
        <f ca="1">IFERROR(__xludf.DUMMYFUNCTION("""COMPUTED_VALUE"""),"القاهرة")</f>
        <v>القاهرة</v>
      </c>
      <c r="C3465" s="5" t="str">
        <f ca="1">IFERROR(__xludf.DUMMYFUNCTION("""COMPUTED_VALUE"""),"مصر الجديدة")</f>
        <v>مصر الجديدة</v>
      </c>
      <c r="D3465" s="5" t="str">
        <f ca="1">IFERROR(__xludf.DUMMYFUNCTION("""COMPUTED_VALUE"""),"صيدلية")</f>
        <v>صيدلية</v>
      </c>
      <c r="E3465" s="5" t="str">
        <f ca="1">IFERROR(__xludf.DUMMYFUNCTION("""COMPUTED_VALUE"""),"صيدلية")</f>
        <v>صيدلية</v>
      </c>
      <c r="F3465" s="5" t="str">
        <f ca="1">IFERROR(__xludf.DUMMYFUNCTION("""COMPUTED_VALUE"""),"صيدلية (أدوية ومستلزمات طبية)")</f>
        <v>صيدلية (أدوية ومستلزمات طبية)</v>
      </c>
      <c r="G3465" s="5" t="str">
        <f ca="1">IFERROR(__xludf.DUMMYFUNCTION("""COMPUTED_VALUE"""),"صيدلية بروتكتد/ أيمن (شركة اورانج لخدمات الصيدليات)")</f>
        <v>صيدلية بروتكتد/ أيمن (شركة اورانج لخدمات الصيدليات)</v>
      </c>
      <c r="H3465" s="5" t="str">
        <f ca="1">IFERROR(__xludf.DUMMYFUNCTION("""COMPUTED_VALUE"""),"4شارع محمد بك رمزي - مصر الجديدة - القاهرة")</f>
        <v>4شارع محمد بك رمزي - مصر الجديدة - القاهرة</v>
      </c>
      <c r="I3465" s="6" t="str">
        <f ca="1">IFERROR(__xludf.DUMMYFUNCTION("""COMPUTED_VALUE"""),"27798855")</f>
        <v>27798855</v>
      </c>
      <c r="J3465" s="6" t="str">
        <f ca="1">IFERROR(__xludf.DUMMYFUNCTION("""COMPUTED_VALUE"""),"19001")</f>
        <v>19001</v>
      </c>
      <c r="K3465" s="6" t="str">
        <f ca="1">IFERROR(__xludf.DUMMYFUNCTION("""COMPUTED_VALUE"""),"خصم 12% علي المحلي و6% علي المستورد")</f>
        <v>خصم 12% علي المحلي و6% علي المستورد</v>
      </c>
    </row>
    <row r="3466" spans="1:11" x14ac:dyDescent="0.25">
      <c r="A3466" s="4" t="str">
        <f ca="1">IFERROR(__xludf.DUMMYFUNCTION("""COMPUTED_VALUE"""),"107606-B")</f>
        <v>107606-B</v>
      </c>
      <c r="B3466" s="5" t="str">
        <f ca="1">IFERROR(__xludf.DUMMYFUNCTION("""COMPUTED_VALUE"""),"القاهرة")</f>
        <v>القاهرة</v>
      </c>
      <c r="C3466" s="5" t="str">
        <f ca="1">IFERROR(__xludf.DUMMYFUNCTION("""COMPUTED_VALUE"""),"مصر الجديدة")</f>
        <v>مصر الجديدة</v>
      </c>
      <c r="D3466" s="5" t="str">
        <f ca="1">IFERROR(__xludf.DUMMYFUNCTION("""COMPUTED_VALUE"""),"صيدلية")</f>
        <v>صيدلية</v>
      </c>
      <c r="E3466" s="5" t="str">
        <f ca="1">IFERROR(__xludf.DUMMYFUNCTION("""COMPUTED_VALUE"""),"صيدلية")</f>
        <v>صيدلية</v>
      </c>
      <c r="F3466" s="5" t="str">
        <f ca="1">IFERROR(__xludf.DUMMYFUNCTION("""COMPUTED_VALUE"""),"صيدلية (أدوية ومستلزمات طبية)")</f>
        <v>صيدلية (أدوية ومستلزمات طبية)</v>
      </c>
      <c r="G3466" s="5" t="str">
        <f ca="1">IFERROR(__xludf.DUMMYFUNCTION("""COMPUTED_VALUE"""),"صيدلية ايريني فؤاد/بروتكت (شركة اورانج لخدمات الصيدليات)")</f>
        <v>صيدلية ايريني فؤاد/بروتكت (شركة اورانج لخدمات الصيدليات)</v>
      </c>
      <c r="H3466" s="5" t="str">
        <f ca="1">IFERROR(__xludf.DUMMYFUNCTION("""COMPUTED_VALUE"""),"6 ش عمر بن الخطاب - ميدان الاسماعيليه - مصر الجديده")</f>
        <v>6 ش عمر بن الخطاب - ميدان الاسماعيليه - مصر الجديده</v>
      </c>
      <c r="I3466" s="6" t="str">
        <f ca="1">IFERROR(__xludf.DUMMYFUNCTION("""COMPUTED_VALUE"""),"1224535285")</f>
        <v>1224535285</v>
      </c>
      <c r="J3466" s="6" t="str">
        <f ca="1">IFERROR(__xludf.DUMMYFUNCTION("""COMPUTED_VALUE"""),"19001")</f>
        <v>19001</v>
      </c>
      <c r="K3466" s="6" t="str">
        <f ca="1">IFERROR(__xludf.DUMMYFUNCTION("""COMPUTED_VALUE"""),"خصم 12% علي المحلي و6% علي المستورد")</f>
        <v>خصم 12% علي المحلي و6% علي المستورد</v>
      </c>
    </row>
    <row r="3467" spans="1:11" x14ac:dyDescent="0.25">
      <c r="A3467" s="4" t="str">
        <f ca="1">IFERROR(__xludf.DUMMYFUNCTION("""COMPUTED_VALUE"""),"107606-B")</f>
        <v>107606-B</v>
      </c>
      <c r="B3467" s="5" t="str">
        <f ca="1">IFERROR(__xludf.DUMMYFUNCTION("""COMPUTED_VALUE"""),"القاهرة")</f>
        <v>القاهرة</v>
      </c>
      <c r="C3467" s="5" t="str">
        <f ca="1">IFERROR(__xludf.DUMMYFUNCTION("""COMPUTED_VALUE"""),"مصر الجديدة")</f>
        <v>مصر الجديدة</v>
      </c>
      <c r="D3467" s="5" t="str">
        <f ca="1">IFERROR(__xludf.DUMMYFUNCTION("""COMPUTED_VALUE"""),"صيدلية")</f>
        <v>صيدلية</v>
      </c>
      <c r="E3467" s="5" t="str">
        <f ca="1">IFERROR(__xludf.DUMMYFUNCTION("""COMPUTED_VALUE"""),"صيدلية")</f>
        <v>صيدلية</v>
      </c>
      <c r="F3467" s="5" t="str">
        <f ca="1">IFERROR(__xludf.DUMMYFUNCTION("""COMPUTED_VALUE"""),"صيدلية (أدوية ومستلزمات طبية)")</f>
        <v>صيدلية (أدوية ومستلزمات طبية)</v>
      </c>
      <c r="G3467" s="5" t="str">
        <f ca="1">IFERROR(__xludf.DUMMYFUNCTION("""COMPUTED_VALUE"""),"صيدلية الشريف (شركة اورانج لخدمات الصيدليات)")</f>
        <v>صيدلية الشريف (شركة اورانج لخدمات الصيدليات)</v>
      </c>
      <c r="H3467" s="5" t="str">
        <f ca="1">IFERROR(__xludf.DUMMYFUNCTION("""COMPUTED_VALUE"""),"15أشارع السباق -المريلاند مول -مصر الجديدة")</f>
        <v>15أشارع السباق -المريلاند مول -مصر الجديدة</v>
      </c>
      <c r="I3467" s="6" t="str">
        <f ca="1">IFERROR(__xludf.DUMMYFUNCTION("""COMPUTED_VALUE"""),"26337633")</f>
        <v>26337633</v>
      </c>
      <c r="J3467" s="6" t="str">
        <f ca="1">IFERROR(__xludf.DUMMYFUNCTION("""COMPUTED_VALUE"""),"19001")</f>
        <v>19001</v>
      </c>
      <c r="K3467" s="6" t="str">
        <f ca="1">IFERROR(__xludf.DUMMYFUNCTION("""COMPUTED_VALUE"""),"خصم 12% علي المحلي و6% علي المستورد")</f>
        <v>خصم 12% علي المحلي و6% علي المستورد</v>
      </c>
    </row>
    <row r="3468" spans="1:11" x14ac:dyDescent="0.25">
      <c r="A3468" s="4" t="str">
        <f ca="1">IFERROR(__xludf.DUMMYFUNCTION("""COMPUTED_VALUE"""),"107606-B")</f>
        <v>107606-B</v>
      </c>
      <c r="B3468" s="5" t="str">
        <f ca="1">IFERROR(__xludf.DUMMYFUNCTION("""COMPUTED_VALUE"""),"القاهرة")</f>
        <v>القاهرة</v>
      </c>
      <c r="C3468" s="5" t="str">
        <f ca="1">IFERROR(__xludf.DUMMYFUNCTION("""COMPUTED_VALUE"""),"مدينة نصر")</f>
        <v>مدينة نصر</v>
      </c>
      <c r="D3468" s="5" t="str">
        <f ca="1">IFERROR(__xludf.DUMMYFUNCTION("""COMPUTED_VALUE"""),"صيدلية")</f>
        <v>صيدلية</v>
      </c>
      <c r="E3468" s="5" t="str">
        <f ca="1">IFERROR(__xludf.DUMMYFUNCTION("""COMPUTED_VALUE"""),"صيدلية")</f>
        <v>صيدلية</v>
      </c>
      <c r="F3468" s="5" t="str">
        <f ca="1">IFERROR(__xludf.DUMMYFUNCTION("""COMPUTED_VALUE"""),"صيدلية (أدوية ومستلزمات طبية)")</f>
        <v>صيدلية (أدوية ومستلزمات طبية)</v>
      </c>
      <c r="G3468" s="5" t="str">
        <f ca="1">IFERROR(__xludf.DUMMYFUNCTION("""COMPUTED_VALUE"""),"صيدلية / أيوب (شركة اورانج لخدمات الصيدليات)")</f>
        <v>صيدلية / أيوب (شركة اورانج لخدمات الصيدليات)</v>
      </c>
      <c r="H3468" s="5" t="str">
        <f ca="1">IFERROR(__xludf.DUMMYFUNCTION("""COMPUTED_VALUE"""),"30ش محمد فريد أبو حديد - الحي السابع - مدينة نصر")</f>
        <v>30ش محمد فريد أبو حديد - الحي السابع - مدينة نصر</v>
      </c>
      <c r="I3468" s="6" t="str">
        <f ca="1">IFERROR(__xludf.DUMMYFUNCTION("""COMPUTED_VALUE"""),"1227261149")</f>
        <v>1227261149</v>
      </c>
      <c r="J3468" s="6" t="str">
        <f ca="1">IFERROR(__xludf.DUMMYFUNCTION("""COMPUTED_VALUE"""),"19001")</f>
        <v>19001</v>
      </c>
      <c r="K3468" s="6" t="str">
        <f ca="1">IFERROR(__xludf.DUMMYFUNCTION("""COMPUTED_VALUE"""),"خصم 12% علي المحلي و6% علي المستورد")</f>
        <v>خصم 12% علي المحلي و6% علي المستورد</v>
      </c>
    </row>
    <row r="3469" spans="1:11" x14ac:dyDescent="0.25">
      <c r="A3469" s="4" t="str">
        <f ca="1">IFERROR(__xludf.DUMMYFUNCTION("""COMPUTED_VALUE"""),"107606-B")</f>
        <v>107606-B</v>
      </c>
      <c r="B3469" s="5" t="str">
        <f ca="1">IFERROR(__xludf.DUMMYFUNCTION("""COMPUTED_VALUE"""),"القاهرة")</f>
        <v>القاهرة</v>
      </c>
      <c r="C3469" s="5" t="str">
        <f ca="1">IFERROR(__xludf.DUMMYFUNCTION("""COMPUTED_VALUE"""),"مدينة نصر")</f>
        <v>مدينة نصر</v>
      </c>
      <c r="D3469" s="5" t="str">
        <f ca="1">IFERROR(__xludf.DUMMYFUNCTION("""COMPUTED_VALUE"""),"صيدلية")</f>
        <v>صيدلية</v>
      </c>
      <c r="E3469" s="5" t="str">
        <f ca="1">IFERROR(__xludf.DUMMYFUNCTION("""COMPUTED_VALUE"""),"صيدلية")</f>
        <v>صيدلية</v>
      </c>
      <c r="F3469" s="5" t="str">
        <f ca="1">IFERROR(__xludf.DUMMYFUNCTION("""COMPUTED_VALUE"""),"صيدلية (أدوية ومستلزمات طبية)")</f>
        <v>صيدلية (أدوية ومستلزمات طبية)</v>
      </c>
      <c r="G3469" s="5" t="str">
        <f ca="1">IFERROR(__xludf.DUMMYFUNCTION("""COMPUTED_VALUE"""),"صيدلية د/ محمد عبد الناصر (شركة اورانج لخدمات الصيدليات)")</f>
        <v>صيدلية د/ محمد عبد الناصر (شركة اورانج لخدمات الصيدليات)</v>
      </c>
      <c r="H3469" s="5" t="str">
        <f ca="1">IFERROR(__xludf.DUMMYFUNCTION("""COMPUTED_VALUE"""),"162ش امتداد رمسيس 2 - محل 1 - مدينة نصر")</f>
        <v>162ش امتداد رمسيس 2 - محل 1 - مدينة نصر</v>
      </c>
      <c r="I3469" s="6" t="str">
        <f ca="1">IFERROR(__xludf.DUMMYFUNCTION("""COMPUTED_VALUE"""),"1112097850")</f>
        <v>1112097850</v>
      </c>
      <c r="J3469" s="6" t="str">
        <f ca="1">IFERROR(__xludf.DUMMYFUNCTION("""COMPUTED_VALUE"""),"19001")</f>
        <v>19001</v>
      </c>
      <c r="K3469" s="6" t="str">
        <f ca="1">IFERROR(__xludf.DUMMYFUNCTION("""COMPUTED_VALUE"""),"خصم 12% علي المحلي و6% علي المستورد")</f>
        <v>خصم 12% علي المحلي و6% علي المستورد</v>
      </c>
    </row>
    <row r="3470" spans="1:11" x14ac:dyDescent="0.25">
      <c r="A3470" s="4" t="str">
        <f ca="1">IFERROR(__xludf.DUMMYFUNCTION("""COMPUTED_VALUE"""),"107606-B")</f>
        <v>107606-B</v>
      </c>
      <c r="B3470" s="5" t="str">
        <f ca="1">IFERROR(__xludf.DUMMYFUNCTION("""COMPUTED_VALUE"""),"القاهرة")</f>
        <v>القاهرة</v>
      </c>
      <c r="C3470" s="5" t="str">
        <f ca="1">IFERROR(__xludf.DUMMYFUNCTION("""COMPUTED_VALUE"""),"مدينة نصر")</f>
        <v>مدينة نصر</v>
      </c>
      <c r="D3470" s="5" t="str">
        <f ca="1">IFERROR(__xludf.DUMMYFUNCTION("""COMPUTED_VALUE"""),"صيدلية")</f>
        <v>صيدلية</v>
      </c>
      <c r="E3470" s="5" t="str">
        <f ca="1">IFERROR(__xludf.DUMMYFUNCTION("""COMPUTED_VALUE"""),"صيدلية")</f>
        <v>صيدلية</v>
      </c>
      <c r="F3470" s="5" t="str">
        <f ca="1">IFERROR(__xludf.DUMMYFUNCTION("""COMPUTED_VALUE"""),"صيدلية (أدوية ومستلزمات طبية)")</f>
        <v>صيدلية (أدوية ومستلزمات طبية)</v>
      </c>
      <c r="G3470" s="5" t="str">
        <f ca="1">IFERROR(__xludf.DUMMYFUNCTION("""COMPUTED_VALUE"""),"صيدلية د/ تامر عصام (شركة اورانج لخدمات الصيدليات)")</f>
        <v>صيدلية د/ تامر عصام (شركة اورانج لخدمات الصيدليات)</v>
      </c>
      <c r="H3470" s="5" t="str">
        <f ca="1">IFERROR(__xludf.DUMMYFUNCTION("""COMPUTED_VALUE"""),"مساكن شركة الشمس - عمارة 10 - محل رقم 9 - الحي الثامن - مدينة نصر")</f>
        <v>مساكن شركة الشمس - عمارة 10 - محل رقم 9 - الحي الثامن - مدينة نصر</v>
      </c>
      <c r="I3470" s="6" t="str">
        <f ca="1">IFERROR(__xludf.DUMMYFUNCTION("""COMPUTED_VALUE"""),"24731040")</f>
        <v>24731040</v>
      </c>
      <c r="J3470" s="6" t="str">
        <f ca="1">IFERROR(__xludf.DUMMYFUNCTION("""COMPUTED_VALUE"""),"19001")</f>
        <v>19001</v>
      </c>
      <c r="K3470" s="6" t="str">
        <f ca="1">IFERROR(__xludf.DUMMYFUNCTION("""COMPUTED_VALUE"""),"خصم 12% علي المحلي و6% علي المستورد")</f>
        <v>خصم 12% علي المحلي و6% علي المستورد</v>
      </c>
    </row>
    <row r="3471" spans="1:11" x14ac:dyDescent="0.25">
      <c r="A3471" s="4" t="str">
        <f ca="1">IFERROR(__xludf.DUMMYFUNCTION("""COMPUTED_VALUE"""),"107606-B")</f>
        <v>107606-B</v>
      </c>
      <c r="B3471" s="5" t="str">
        <f ca="1">IFERROR(__xludf.DUMMYFUNCTION("""COMPUTED_VALUE"""),"القاهرة")</f>
        <v>القاهرة</v>
      </c>
      <c r="C3471" s="5" t="str">
        <f ca="1">IFERROR(__xludf.DUMMYFUNCTION("""COMPUTED_VALUE"""),"مدينة نصر")</f>
        <v>مدينة نصر</v>
      </c>
      <c r="D3471" s="5" t="str">
        <f ca="1">IFERROR(__xludf.DUMMYFUNCTION("""COMPUTED_VALUE"""),"صيدلية")</f>
        <v>صيدلية</v>
      </c>
      <c r="E3471" s="5" t="str">
        <f ca="1">IFERROR(__xludf.DUMMYFUNCTION("""COMPUTED_VALUE"""),"صيدلية")</f>
        <v>صيدلية</v>
      </c>
      <c r="F3471" s="5" t="str">
        <f ca="1">IFERROR(__xludf.DUMMYFUNCTION("""COMPUTED_VALUE"""),"صيدلية (أدوية ومستلزمات طبية)")</f>
        <v>صيدلية (أدوية ومستلزمات طبية)</v>
      </c>
      <c r="G3471" s="5" t="str">
        <f ca="1">IFERROR(__xludf.DUMMYFUNCTION("""COMPUTED_VALUE"""),"صيدلية/ لايت / تامر الحسيني (شركة اورانج لخدمات الصيدليات)")</f>
        <v>صيدلية/ لايت / تامر الحسيني (شركة اورانج لخدمات الصيدليات)</v>
      </c>
      <c r="H3471" s="5" t="str">
        <f ca="1">IFERROR(__xludf.DUMMYFUNCTION("""COMPUTED_VALUE"""),"49ش مصطفى النحاس - قطعة 18 - بلوك 1 - المنطقة الثامنة - مدينة نصر")</f>
        <v>49ش مصطفى النحاس - قطعة 18 - بلوك 1 - المنطقة الثامنة - مدينة نصر</v>
      </c>
      <c r="I3471" s="6" t="str">
        <f ca="1">IFERROR(__xludf.DUMMYFUNCTION("""COMPUTED_VALUE"""),"1112201256")</f>
        <v>1112201256</v>
      </c>
      <c r="J3471" s="6" t="str">
        <f ca="1">IFERROR(__xludf.DUMMYFUNCTION("""COMPUTED_VALUE"""),"19001")</f>
        <v>19001</v>
      </c>
      <c r="K3471" s="6" t="str">
        <f ca="1">IFERROR(__xludf.DUMMYFUNCTION("""COMPUTED_VALUE"""),"خصم 12% علي المحلي و6% علي المستورد")</f>
        <v>خصم 12% علي المحلي و6% علي المستورد</v>
      </c>
    </row>
    <row r="3472" spans="1:11" x14ac:dyDescent="0.25">
      <c r="A3472" s="4" t="str">
        <f ca="1">IFERROR(__xludf.DUMMYFUNCTION("""COMPUTED_VALUE"""),"107606-B")</f>
        <v>107606-B</v>
      </c>
      <c r="B3472" s="5" t="str">
        <f ca="1">IFERROR(__xludf.DUMMYFUNCTION("""COMPUTED_VALUE"""),"القاهرة")</f>
        <v>القاهرة</v>
      </c>
      <c r="C3472" s="5" t="str">
        <f ca="1">IFERROR(__xludf.DUMMYFUNCTION("""COMPUTED_VALUE"""),"مدينة نصر")</f>
        <v>مدينة نصر</v>
      </c>
      <c r="D3472" s="5" t="str">
        <f ca="1">IFERROR(__xludf.DUMMYFUNCTION("""COMPUTED_VALUE"""),"صيدلية")</f>
        <v>صيدلية</v>
      </c>
      <c r="E3472" s="5" t="str">
        <f ca="1">IFERROR(__xludf.DUMMYFUNCTION("""COMPUTED_VALUE"""),"صيدلية")</f>
        <v>صيدلية</v>
      </c>
      <c r="F3472" s="5" t="str">
        <f ca="1">IFERROR(__xludf.DUMMYFUNCTION("""COMPUTED_VALUE"""),"صيدلية (أدوية ومستلزمات طبية)")</f>
        <v>صيدلية (أدوية ومستلزمات طبية)</v>
      </c>
      <c r="G3472" s="5" t="str">
        <f ca="1">IFERROR(__xludf.DUMMYFUNCTION("""COMPUTED_VALUE"""),"صيدلية / نرمين (شركة اورانج لخدمات الصيدليات)")</f>
        <v>صيدلية / نرمين (شركة اورانج لخدمات الصيدليات)</v>
      </c>
      <c r="H3472" s="5" t="str">
        <f ca="1">IFERROR(__xludf.DUMMYFUNCTION("""COMPUTED_VALUE"""),"19ش مكرم عبيد - المنطقة السادسة - بجوار السلاب - مدينة نصر")</f>
        <v>19ش مكرم عبيد - المنطقة السادسة - بجوار السلاب - مدينة نصر</v>
      </c>
      <c r="I3472" s="6" t="str">
        <f ca="1">IFERROR(__xludf.DUMMYFUNCTION("""COMPUTED_VALUE"""),"1060555571")</f>
        <v>1060555571</v>
      </c>
      <c r="J3472" s="6" t="str">
        <f ca="1">IFERROR(__xludf.DUMMYFUNCTION("""COMPUTED_VALUE"""),"19001")</f>
        <v>19001</v>
      </c>
      <c r="K3472" s="6" t="str">
        <f ca="1">IFERROR(__xludf.DUMMYFUNCTION("""COMPUTED_VALUE"""),"خصم 12% علي المحلي و6% علي المستورد")</f>
        <v>خصم 12% علي المحلي و6% علي المستورد</v>
      </c>
    </row>
    <row r="3473" spans="1:11" x14ac:dyDescent="0.25">
      <c r="A3473" s="4" t="str">
        <f ca="1">IFERROR(__xludf.DUMMYFUNCTION("""COMPUTED_VALUE"""),"107606-B")</f>
        <v>107606-B</v>
      </c>
      <c r="B3473" s="5" t="str">
        <f ca="1">IFERROR(__xludf.DUMMYFUNCTION("""COMPUTED_VALUE"""),"القاهرة")</f>
        <v>القاهرة</v>
      </c>
      <c r="C3473" s="5" t="str">
        <f ca="1">IFERROR(__xludf.DUMMYFUNCTION("""COMPUTED_VALUE"""),"مدينة نصر")</f>
        <v>مدينة نصر</v>
      </c>
      <c r="D3473" s="5" t="str">
        <f ca="1">IFERROR(__xludf.DUMMYFUNCTION("""COMPUTED_VALUE"""),"صيدلية")</f>
        <v>صيدلية</v>
      </c>
      <c r="E3473" s="5" t="str">
        <f ca="1">IFERROR(__xludf.DUMMYFUNCTION("""COMPUTED_VALUE"""),"صيدلية")</f>
        <v>صيدلية</v>
      </c>
      <c r="F3473" s="5" t="str">
        <f ca="1">IFERROR(__xludf.DUMMYFUNCTION("""COMPUTED_VALUE"""),"صيدلية (أدوية ومستلزمات طبية)")</f>
        <v>صيدلية (أدوية ومستلزمات طبية)</v>
      </c>
      <c r="G3473" s="5" t="str">
        <f ca="1">IFERROR(__xludf.DUMMYFUNCTION("""COMPUTED_VALUE"""),"صيدلية منال فكري (شركة اورانج لخدمات الصيدليات)")</f>
        <v>صيدلية منال فكري (شركة اورانج لخدمات الصيدليات)</v>
      </c>
      <c r="H3473" s="5" t="str">
        <f ca="1">IFERROR(__xludf.DUMMYFUNCTION("""COMPUTED_VALUE"""),"11ش احمد الزمر-الحي العاشر -مدينة نصر")</f>
        <v>11ش احمد الزمر-الحي العاشر -مدينة نصر</v>
      </c>
      <c r="I3473" s="6" t="str">
        <f ca="1">IFERROR(__xludf.DUMMYFUNCTION("""COMPUTED_VALUE"""),"224720116")</f>
        <v>224720116</v>
      </c>
      <c r="J3473" s="6" t="str">
        <f ca="1">IFERROR(__xludf.DUMMYFUNCTION("""COMPUTED_VALUE"""),"19001")</f>
        <v>19001</v>
      </c>
      <c r="K3473" s="6" t="str">
        <f ca="1">IFERROR(__xludf.DUMMYFUNCTION("""COMPUTED_VALUE"""),"خصم 12% علي المحلي و6% علي المستورد")</f>
        <v>خصم 12% علي المحلي و6% علي المستورد</v>
      </c>
    </row>
    <row r="3474" spans="1:11" x14ac:dyDescent="0.25">
      <c r="A3474" s="4" t="str">
        <f ca="1">IFERROR(__xludf.DUMMYFUNCTION("""COMPUTED_VALUE"""),"107606-B")</f>
        <v>107606-B</v>
      </c>
      <c r="B3474" s="5" t="str">
        <f ca="1">IFERROR(__xludf.DUMMYFUNCTION("""COMPUTED_VALUE"""),"القاهرة")</f>
        <v>القاهرة</v>
      </c>
      <c r="C3474" s="5" t="str">
        <f ca="1">IFERROR(__xludf.DUMMYFUNCTION("""COMPUTED_VALUE"""),"مدينة نصر")</f>
        <v>مدينة نصر</v>
      </c>
      <c r="D3474" s="5" t="str">
        <f ca="1">IFERROR(__xludf.DUMMYFUNCTION("""COMPUTED_VALUE"""),"صيدلية")</f>
        <v>صيدلية</v>
      </c>
      <c r="E3474" s="5" t="str">
        <f ca="1">IFERROR(__xludf.DUMMYFUNCTION("""COMPUTED_VALUE"""),"صيدلية")</f>
        <v>صيدلية</v>
      </c>
      <c r="F3474" s="5" t="str">
        <f ca="1">IFERROR(__xludf.DUMMYFUNCTION("""COMPUTED_VALUE"""),"صيدلية (أدوية ومستلزمات طبية)")</f>
        <v>صيدلية (أدوية ومستلزمات طبية)</v>
      </c>
      <c r="G3474" s="5" t="str">
        <f ca="1">IFERROR(__xludf.DUMMYFUNCTION("""COMPUTED_VALUE"""),"صيدلية سمية جابر (شركة اورانج لخدمات الصيدليات)")</f>
        <v>صيدلية سمية جابر (شركة اورانج لخدمات الصيدليات)</v>
      </c>
      <c r="H3474" s="5" t="str">
        <f ca="1">IFERROR(__xludf.DUMMYFUNCTION("""COMPUTED_VALUE"""),"22شارع احمد فهيم متفرع من عبدالله العربي (امتداد الطيران) الحي السابع_مدينة نصر")</f>
        <v>22شارع احمد فهيم متفرع من عبدالله العربي (امتداد الطيران) الحي السابع_مدينة نصر</v>
      </c>
      <c r="I3474" s="6" t="str">
        <f ca="1">IFERROR(__xludf.DUMMYFUNCTION("""COMPUTED_VALUE"""),"1006663464")</f>
        <v>1006663464</v>
      </c>
      <c r="J3474" s="6" t="str">
        <f ca="1">IFERROR(__xludf.DUMMYFUNCTION("""COMPUTED_VALUE"""),"19001")</f>
        <v>19001</v>
      </c>
      <c r="K3474" s="6" t="str">
        <f ca="1">IFERROR(__xludf.DUMMYFUNCTION("""COMPUTED_VALUE"""),"خصم 12% علي المحلي و6% علي المستورد")</f>
        <v>خصم 12% علي المحلي و6% علي المستورد</v>
      </c>
    </row>
    <row r="3475" spans="1:11" x14ac:dyDescent="0.25">
      <c r="A3475" s="4" t="str">
        <f ca="1">IFERROR(__xludf.DUMMYFUNCTION("""COMPUTED_VALUE"""),"107606-B")</f>
        <v>107606-B</v>
      </c>
      <c r="B3475" s="5" t="str">
        <f ca="1">IFERROR(__xludf.DUMMYFUNCTION("""COMPUTED_VALUE"""),"القاهرة")</f>
        <v>القاهرة</v>
      </c>
      <c r="C3475" s="5" t="str">
        <f ca="1">IFERROR(__xludf.DUMMYFUNCTION("""COMPUTED_VALUE"""),"شبرا")</f>
        <v>شبرا</v>
      </c>
      <c r="D3475" s="5" t="str">
        <f ca="1">IFERROR(__xludf.DUMMYFUNCTION("""COMPUTED_VALUE"""),"صيدلية")</f>
        <v>صيدلية</v>
      </c>
      <c r="E3475" s="5" t="str">
        <f ca="1">IFERROR(__xludf.DUMMYFUNCTION("""COMPUTED_VALUE"""),"صيدلية")</f>
        <v>صيدلية</v>
      </c>
      <c r="F3475" s="5" t="str">
        <f ca="1">IFERROR(__xludf.DUMMYFUNCTION("""COMPUTED_VALUE"""),"صيدلية (أدوية ومستلزمات طبية)")</f>
        <v>صيدلية (أدوية ومستلزمات طبية)</v>
      </c>
      <c r="G3475" s="5" t="str">
        <f ca="1">IFERROR(__xludf.DUMMYFUNCTION("""COMPUTED_VALUE"""),"صيدلية ياسر (شركة اورانج لخدمات الصيدليات)")</f>
        <v>صيدلية ياسر (شركة اورانج لخدمات الصيدليات)</v>
      </c>
      <c r="H3475" s="5" t="str">
        <f ca="1">IFERROR(__xludf.DUMMYFUNCTION("""COMPUTED_VALUE"""),"2ش الحايس -سانت تريز -شبرا مصر -القاهرة")</f>
        <v>2ش الحايس -سانت تريز -شبرا مصر -القاهرة</v>
      </c>
      <c r="I3475" s="6" t="str">
        <f ca="1">IFERROR(__xludf.DUMMYFUNCTION("""COMPUTED_VALUE"""),"1224211104")</f>
        <v>1224211104</v>
      </c>
      <c r="J3475" s="6" t="str">
        <f ca="1">IFERROR(__xludf.DUMMYFUNCTION("""COMPUTED_VALUE"""),"19001")</f>
        <v>19001</v>
      </c>
      <c r="K3475" s="6" t="str">
        <f ca="1">IFERROR(__xludf.DUMMYFUNCTION("""COMPUTED_VALUE"""),"خصم 12% علي المحلي و6% علي المستورد")</f>
        <v>خصم 12% علي المحلي و6% علي المستورد</v>
      </c>
    </row>
    <row r="3476" spans="1:11" x14ac:dyDescent="0.25">
      <c r="A3476" s="4" t="str">
        <f ca="1">IFERROR(__xludf.DUMMYFUNCTION("""COMPUTED_VALUE"""),"107606-B")</f>
        <v>107606-B</v>
      </c>
      <c r="B3476" s="5" t="str">
        <f ca="1">IFERROR(__xludf.DUMMYFUNCTION("""COMPUTED_VALUE"""),"القاهرة")</f>
        <v>القاهرة</v>
      </c>
      <c r="C3476" s="5" t="str">
        <f ca="1">IFERROR(__xludf.DUMMYFUNCTION("""COMPUTED_VALUE"""),"شبرا")</f>
        <v>شبرا</v>
      </c>
      <c r="D3476" s="5" t="str">
        <f ca="1">IFERROR(__xludf.DUMMYFUNCTION("""COMPUTED_VALUE"""),"صيدلية")</f>
        <v>صيدلية</v>
      </c>
      <c r="E3476" s="5" t="str">
        <f ca="1">IFERROR(__xludf.DUMMYFUNCTION("""COMPUTED_VALUE"""),"صيدلية")</f>
        <v>صيدلية</v>
      </c>
      <c r="F3476" s="5" t="str">
        <f ca="1">IFERROR(__xludf.DUMMYFUNCTION("""COMPUTED_VALUE"""),"صيدلية (أدوية ومستلزمات طبية)")</f>
        <v>صيدلية (أدوية ومستلزمات طبية)</v>
      </c>
      <c r="G3476" s="5" t="str">
        <f ca="1">IFERROR(__xludf.DUMMYFUNCTION("""COMPUTED_VALUE"""),"صيدلية مادونا نبيه (شركة اورانج لخدمات الصيدليات)")</f>
        <v>صيدلية مادونا نبيه (شركة اورانج لخدمات الصيدليات)</v>
      </c>
      <c r="H3476" s="5" t="str">
        <f ca="1">IFERROR(__xludf.DUMMYFUNCTION("""COMPUTED_VALUE"""),"47شارع طوسون متفرع من شارع شبرا -القاهرة")</f>
        <v>47شارع طوسون متفرع من شارع شبرا -القاهرة</v>
      </c>
      <c r="I3476" s="6" t="str">
        <f ca="1">IFERROR(__xludf.DUMMYFUNCTION("""COMPUTED_VALUE"""),"224605060")</f>
        <v>224605060</v>
      </c>
      <c r="J3476" s="6" t="str">
        <f ca="1">IFERROR(__xludf.DUMMYFUNCTION("""COMPUTED_VALUE"""),"19001")</f>
        <v>19001</v>
      </c>
      <c r="K3476" s="6" t="str">
        <f ca="1">IFERROR(__xludf.DUMMYFUNCTION("""COMPUTED_VALUE"""),"خصم 12% علي المحلي و6% علي المستورد")</f>
        <v>خصم 12% علي المحلي و6% علي المستورد</v>
      </c>
    </row>
    <row r="3477" spans="1:11" x14ac:dyDescent="0.25">
      <c r="A3477" s="4" t="str">
        <f ca="1">IFERROR(__xludf.DUMMYFUNCTION("""COMPUTED_VALUE"""),"107606-B")</f>
        <v>107606-B</v>
      </c>
      <c r="B3477" s="5" t="str">
        <f ca="1">IFERROR(__xludf.DUMMYFUNCTION("""COMPUTED_VALUE"""),"القاهرة")</f>
        <v>القاهرة</v>
      </c>
      <c r="C3477" s="5" t="str">
        <f ca="1">IFERROR(__xludf.DUMMYFUNCTION("""COMPUTED_VALUE"""),"المقطم")</f>
        <v>المقطم</v>
      </c>
      <c r="D3477" s="5" t="str">
        <f ca="1">IFERROR(__xludf.DUMMYFUNCTION("""COMPUTED_VALUE"""),"صيدلية")</f>
        <v>صيدلية</v>
      </c>
      <c r="E3477" s="5" t="str">
        <f ca="1">IFERROR(__xludf.DUMMYFUNCTION("""COMPUTED_VALUE"""),"صيدلية")</f>
        <v>صيدلية</v>
      </c>
      <c r="F3477" s="5" t="str">
        <f ca="1">IFERROR(__xludf.DUMMYFUNCTION("""COMPUTED_VALUE"""),"صيدلية (أدوية ومستلزمات طبية)")</f>
        <v>صيدلية (أدوية ومستلزمات طبية)</v>
      </c>
      <c r="G3477" s="5" t="str">
        <f ca="1">IFERROR(__xludf.DUMMYFUNCTION("""COMPUTED_VALUE"""),"صيدلية د/ عصام علي عبد الرازق (شركة اورانج لخدمات الصيدليات)")</f>
        <v>صيدلية د/ عصام علي عبد الرازق (شركة اورانج لخدمات الصيدليات)</v>
      </c>
      <c r="H3477" s="5" t="str">
        <f ca="1">IFERROR(__xludf.DUMMYFUNCTION("""COMPUTED_VALUE"""),"قطعة 7122 تقسيم المنطقة س - شارع 81 - الهضبة العليا - المقطم")</f>
        <v>قطعة 7122 تقسيم المنطقة س - شارع 81 - الهضبة العليا - المقطم</v>
      </c>
      <c r="I3477" s="6" t="str">
        <f ca="1">IFERROR(__xludf.DUMMYFUNCTION("""COMPUTED_VALUE"""),"1009720725")</f>
        <v>1009720725</v>
      </c>
      <c r="J3477" s="6" t="str">
        <f ca="1">IFERROR(__xludf.DUMMYFUNCTION("""COMPUTED_VALUE"""),"19001")</f>
        <v>19001</v>
      </c>
      <c r="K3477" s="6" t="str">
        <f ca="1">IFERROR(__xludf.DUMMYFUNCTION("""COMPUTED_VALUE"""),"خصم 12% علي المحلي و6% علي المستورد")</f>
        <v>خصم 12% علي المحلي و6% علي المستورد</v>
      </c>
    </row>
    <row r="3478" spans="1:11" x14ac:dyDescent="0.25">
      <c r="A3478" s="4" t="str">
        <f ca="1">IFERROR(__xludf.DUMMYFUNCTION("""COMPUTED_VALUE"""),"107606-B")</f>
        <v>107606-B</v>
      </c>
      <c r="B3478" s="5" t="str">
        <f ca="1">IFERROR(__xludf.DUMMYFUNCTION("""COMPUTED_VALUE"""),"القاهرة")</f>
        <v>القاهرة</v>
      </c>
      <c r="C3478" s="5" t="str">
        <f ca="1">IFERROR(__xludf.DUMMYFUNCTION("""COMPUTED_VALUE"""),"المقطم")</f>
        <v>المقطم</v>
      </c>
      <c r="D3478" s="5" t="str">
        <f ca="1">IFERROR(__xludf.DUMMYFUNCTION("""COMPUTED_VALUE"""),"صيدلية")</f>
        <v>صيدلية</v>
      </c>
      <c r="E3478" s="5" t="str">
        <f ca="1">IFERROR(__xludf.DUMMYFUNCTION("""COMPUTED_VALUE"""),"صيدلية")</f>
        <v>صيدلية</v>
      </c>
      <c r="F3478" s="5" t="str">
        <f ca="1">IFERROR(__xludf.DUMMYFUNCTION("""COMPUTED_VALUE"""),"صيدلية (أدوية ومستلزمات طبية)")</f>
        <v>صيدلية (أدوية ومستلزمات طبية)</v>
      </c>
      <c r="G3478" s="5" t="str">
        <f ca="1">IFERROR(__xludf.DUMMYFUNCTION("""COMPUTED_VALUE"""),"صيدلية د/ نهال الليثي (شركة اورانج لخدمات الصيدليات)")</f>
        <v>صيدلية د/ نهال الليثي (شركة اورانج لخدمات الصيدليات)</v>
      </c>
      <c r="H3478" s="5" t="str">
        <f ca="1">IFERROR(__xludf.DUMMYFUNCTION("""COMPUTED_VALUE"""),"القطعة 5617 - الحي الرابع - الهضبة الوسطى - المقطم")</f>
        <v>القطعة 5617 - الحي الرابع - الهضبة الوسطى - المقطم</v>
      </c>
      <c r="I3478" s="6" t="str">
        <f ca="1">IFERROR(__xludf.DUMMYFUNCTION("""COMPUTED_VALUE"""),"1015975592")</f>
        <v>1015975592</v>
      </c>
      <c r="J3478" s="6" t="str">
        <f ca="1">IFERROR(__xludf.DUMMYFUNCTION("""COMPUTED_VALUE"""),"19001")</f>
        <v>19001</v>
      </c>
      <c r="K3478" s="6" t="str">
        <f ca="1">IFERROR(__xludf.DUMMYFUNCTION("""COMPUTED_VALUE"""),"خصم 12% علي المحلي و6% علي المستورد")</f>
        <v>خصم 12% علي المحلي و6% علي المستورد</v>
      </c>
    </row>
    <row r="3479" spans="1:11" x14ac:dyDescent="0.25">
      <c r="A3479" s="4" t="str">
        <f ca="1">IFERROR(__xludf.DUMMYFUNCTION("""COMPUTED_VALUE"""),"107606-B")</f>
        <v>107606-B</v>
      </c>
      <c r="B3479" s="5" t="str">
        <f ca="1">IFERROR(__xludf.DUMMYFUNCTION("""COMPUTED_VALUE"""),"القاهرة")</f>
        <v>القاهرة</v>
      </c>
      <c r="C3479" s="5" t="str">
        <f ca="1">IFERROR(__xludf.DUMMYFUNCTION("""COMPUTED_VALUE"""),"المقطم")</f>
        <v>المقطم</v>
      </c>
      <c r="D3479" s="5" t="str">
        <f ca="1">IFERROR(__xludf.DUMMYFUNCTION("""COMPUTED_VALUE"""),"صيدلية")</f>
        <v>صيدلية</v>
      </c>
      <c r="E3479" s="5" t="str">
        <f ca="1">IFERROR(__xludf.DUMMYFUNCTION("""COMPUTED_VALUE"""),"صيدلية")</f>
        <v>صيدلية</v>
      </c>
      <c r="F3479" s="5" t="str">
        <f ca="1">IFERROR(__xludf.DUMMYFUNCTION("""COMPUTED_VALUE"""),"صيدلية (أدوية ومستلزمات طبية)")</f>
        <v>صيدلية (أدوية ومستلزمات طبية)</v>
      </c>
      <c r="G3479" s="5" t="str">
        <f ca="1">IFERROR(__xludf.DUMMYFUNCTION("""COMPUTED_VALUE"""),"صيدلية د/ محسن (شركة اورانج لخدمات الصيدليات)")</f>
        <v>صيدلية د/ محسن (شركة اورانج لخدمات الصيدليات)</v>
      </c>
      <c r="H3479" s="5" t="str">
        <f ca="1">IFERROR(__xludf.DUMMYFUNCTION("""COMPUTED_VALUE"""),"قطعة 1092 منطقة هـــــــ - شارع 17 - الهضبة العليا - المقطم")</f>
        <v>قطعة 1092 منطقة هـــــــ - شارع 17 - الهضبة العليا - المقطم</v>
      </c>
      <c r="I3479" s="6" t="str">
        <f ca="1">IFERROR(__xludf.DUMMYFUNCTION("""COMPUTED_VALUE"""),"1003700607")</f>
        <v>1003700607</v>
      </c>
      <c r="J3479" s="6" t="str">
        <f ca="1">IFERROR(__xludf.DUMMYFUNCTION("""COMPUTED_VALUE"""),"19001")</f>
        <v>19001</v>
      </c>
      <c r="K3479" s="6" t="str">
        <f ca="1">IFERROR(__xludf.DUMMYFUNCTION("""COMPUTED_VALUE"""),"خصم 12% علي المحلي و6% علي المستورد")</f>
        <v>خصم 12% علي المحلي و6% علي المستورد</v>
      </c>
    </row>
    <row r="3480" spans="1:11" x14ac:dyDescent="0.25">
      <c r="A3480" s="4" t="str">
        <f ca="1">IFERROR(__xludf.DUMMYFUNCTION("""COMPUTED_VALUE"""),"107606-B")</f>
        <v>107606-B</v>
      </c>
      <c r="B3480" s="5" t="str">
        <f ca="1">IFERROR(__xludf.DUMMYFUNCTION("""COMPUTED_VALUE"""),"القاهرة")</f>
        <v>القاهرة</v>
      </c>
      <c r="C3480" s="5" t="str">
        <f ca="1">IFERROR(__xludf.DUMMYFUNCTION("""COMPUTED_VALUE"""),"المقطم")</f>
        <v>المقطم</v>
      </c>
      <c r="D3480" s="5" t="str">
        <f ca="1">IFERROR(__xludf.DUMMYFUNCTION("""COMPUTED_VALUE"""),"صيدلية")</f>
        <v>صيدلية</v>
      </c>
      <c r="E3480" s="5" t="str">
        <f ca="1">IFERROR(__xludf.DUMMYFUNCTION("""COMPUTED_VALUE"""),"صيدلية")</f>
        <v>صيدلية</v>
      </c>
      <c r="F3480" s="5" t="str">
        <f ca="1">IFERROR(__xludf.DUMMYFUNCTION("""COMPUTED_VALUE"""),"صيدلية (أدوية ومستلزمات طبية)")</f>
        <v>صيدلية (أدوية ومستلزمات طبية)</v>
      </c>
      <c r="G3480" s="5" t="str">
        <f ca="1">IFERROR(__xludf.DUMMYFUNCTION("""COMPUTED_VALUE"""),"صيدليه د.اميره سعيد (شركة اورانج لخدمات الصيدليات)")</f>
        <v>صيدليه د.اميره سعيد (شركة اورانج لخدمات الصيدليات)</v>
      </c>
      <c r="H3480" s="5" t="str">
        <f ca="1">IFERROR(__xludf.DUMMYFUNCTION("""COMPUTED_VALUE"""),"6146 الحى الخامس الهضبة الوسطى المقطم")</f>
        <v>6146 الحى الخامس الهضبة الوسطى المقطم</v>
      </c>
      <c r="I3480" s="6" t="str">
        <f ca="1">IFERROR(__xludf.DUMMYFUNCTION("""COMPUTED_VALUE"""),"27861300")</f>
        <v>27861300</v>
      </c>
      <c r="J3480" s="6" t="str">
        <f ca="1">IFERROR(__xludf.DUMMYFUNCTION("""COMPUTED_VALUE"""),"19001")</f>
        <v>19001</v>
      </c>
      <c r="K3480" s="6" t="str">
        <f ca="1">IFERROR(__xludf.DUMMYFUNCTION("""COMPUTED_VALUE"""),"خصم 12% علي المحلي و6% علي المستورد")</f>
        <v>خصم 12% علي المحلي و6% علي المستورد</v>
      </c>
    </row>
    <row r="3481" spans="1:11" x14ac:dyDescent="0.25">
      <c r="A3481" s="4" t="str">
        <f ca="1">IFERROR(__xludf.DUMMYFUNCTION("""COMPUTED_VALUE"""),"107606-B")</f>
        <v>107606-B</v>
      </c>
      <c r="B3481" s="5" t="str">
        <f ca="1">IFERROR(__xludf.DUMMYFUNCTION("""COMPUTED_VALUE"""),"القاهرة")</f>
        <v>القاهرة</v>
      </c>
      <c r="C3481" s="5" t="str">
        <f ca="1">IFERROR(__xludf.DUMMYFUNCTION("""COMPUTED_VALUE"""),"رمسيس")</f>
        <v>رمسيس</v>
      </c>
      <c r="D3481" s="5" t="str">
        <f ca="1">IFERROR(__xludf.DUMMYFUNCTION("""COMPUTED_VALUE"""),"صيدلية")</f>
        <v>صيدلية</v>
      </c>
      <c r="E3481" s="5" t="str">
        <f ca="1">IFERROR(__xludf.DUMMYFUNCTION("""COMPUTED_VALUE"""),"صيدلية")</f>
        <v>صيدلية</v>
      </c>
      <c r="F3481" s="5" t="str">
        <f ca="1">IFERROR(__xludf.DUMMYFUNCTION("""COMPUTED_VALUE"""),"صيدلية (أدوية ومستلزمات طبية)")</f>
        <v>صيدلية (أدوية ومستلزمات طبية)</v>
      </c>
      <c r="G3481" s="5" t="str">
        <f ca="1">IFERROR(__xludf.DUMMYFUNCTION("""COMPUTED_VALUE"""),"صيدلية / هديل (شركة اورانج لخدمات الصيدليات)")</f>
        <v>صيدلية / هديل (شركة اورانج لخدمات الصيدليات)</v>
      </c>
      <c r="H3481" s="5" t="str">
        <f ca="1">IFERROR(__xludf.DUMMYFUNCTION("""COMPUTED_VALUE"""),"1ش ابن الغنام المتفرع من ش ذهني - بالظاهر")</f>
        <v>1ش ابن الغنام المتفرع من ش ذهني - بالظاهر</v>
      </c>
      <c r="I3481" s="6" t="str">
        <f ca="1">IFERROR(__xludf.DUMMYFUNCTION("""COMPUTED_VALUE"""),"25881020")</f>
        <v>25881020</v>
      </c>
      <c r="J3481" s="6" t="str">
        <f ca="1">IFERROR(__xludf.DUMMYFUNCTION("""COMPUTED_VALUE"""),"19001")</f>
        <v>19001</v>
      </c>
      <c r="K3481" s="6" t="str">
        <f ca="1">IFERROR(__xludf.DUMMYFUNCTION("""COMPUTED_VALUE"""),"خصم 12% علي المحلي و6% علي المستورد")</f>
        <v>خصم 12% علي المحلي و6% علي المستورد</v>
      </c>
    </row>
    <row r="3482" spans="1:11" x14ac:dyDescent="0.25">
      <c r="A3482" s="4" t="str">
        <f ca="1">IFERROR(__xludf.DUMMYFUNCTION("""COMPUTED_VALUE"""),"107606-B")</f>
        <v>107606-B</v>
      </c>
      <c r="B3482" s="5" t="str">
        <f ca="1">IFERROR(__xludf.DUMMYFUNCTION("""COMPUTED_VALUE"""),"القاهرة")</f>
        <v>القاهرة</v>
      </c>
      <c r="C3482" s="5" t="str">
        <f ca="1">IFERROR(__xludf.DUMMYFUNCTION("""COMPUTED_VALUE"""),"رمسيس")</f>
        <v>رمسيس</v>
      </c>
      <c r="D3482" s="5" t="str">
        <f ca="1">IFERROR(__xludf.DUMMYFUNCTION("""COMPUTED_VALUE"""),"صيدلية")</f>
        <v>صيدلية</v>
      </c>
      <c r="E3482" s="5" t="str">
        <f ca="1">IFERROR(__xludf.DUMMYFUNCTION("""COMPUTED_VALUE"""),"صيدلية")</f>
        <v>صيدلية</v>
      </c>
      <c r="F3482" s="5" t="str">
        <f ca="1">IFERROR(__xludf.DUMMYFUNCTION("""COMPUTED_VALUE"""),"صيدلية (أدوية ومستلزمات طبية)")</f>
        <v>صيدلية (أدوية ومستلزمات طبية)</v>
      </c>
      <c r="G3482" s="5" t="str">
        <f ca="1">IFERROR(__xludf.DUMMYFUNCTION("""COMPUTED_VALUE"""),"صيدلية د/ خديجة الحديثة (شركة اورانج لخدمات الصيدليات)")</f>
        <v>صيدلية د/ خديجة الحديثة (شركة اورانج لخدمات الصيدليات)</v>
      </c>
      <c r="H3482" s="5" t="str">
        <f ca="1">IFERROR(__xludf.DUMMYFUNCTION("""COMPUTED_VALUE"""),"615ش بورسعيد - قسم الظاهر -الظاهر")</f>
        <v>615ش بورسعيد - قسم الظاهر -الظاهر</v>
      </c>
      <c r="I3482" s="6" t="str">
        <f ca="1">IFERROR(__xludf.DUMMYFUNCTION("""COMPUTED_VALUE"""),"1112901307")</f>
        <v>1112901307</v>
      </c>
      <c r="J3482" s="6" t="str">
        <f ca="1">IFERROR(__xludf.DUMMYFUNCTION("""COMPUTED_VALUE"""),"19001")</f>
        <v>19001</v>
      </c>
      <c r="K3482" s="6" t="str">
        <f ca="1">IFERROR(__xludf.DUMMYFUNCTION("""COMPUTED_VALUE"""),"خصم 12% علي المحلي و6% علي المستورد")</f>
        <v>خصم 12% علي المحلي و6% علي المستورد</v>
      </c>
    </row>
    <row r="3483" spans="1:11" x14ac:dyDescent="0.25">
      <c r="A3483" s="4" t="str">
        <f ca="1">IFERROR(__xludf.DUMMYFUNCTION("""COMPUTED_VALUE"""),"107606-B")</f>
        <v>107606-B</v>
      </c>
      <c r="B3483" s="5" t="str">
        <f ca="1">IFERROR(__xludf.DUMMYFUNCTION("""COMPUTED_VALUE"""),"القاهرة")</f>
        <v>القاهرة</v>
      </c>
      <c r="C3483" s="5" t="str">
        <f ca="1">IFERROR(__xludf.DUMMYFUNCTION("""COMPUTED_VALUE"""),"الزمالك")</f>
        <v>الزمالك</v>
      </c>
      <c r="D3483" s="5" t="str">
        <f ca="1">IFERROR(__xludf.DUMMYFUNCTION("""COMPUTED_VALUE"""),"صيدلية")</f>
        <v>صيدلية</v>
      </c>
      <c r="E3483" s="5" t="str">
        <f ca="1">IFERROR(__xludf.DUMMYFUNCTION("""COMPUTED_VALUE"""),"صيدلية")</f>
        <v>صيدلية</v>
      </c>
      <c r="F3483" s="5" t="str">
        <f ca="1">IFERROR(__xludf.DUMMYFUNCTION("""COMPUTED_VALUE"""),"صيدلية (أدوية ومستلزمات طبية)")</f>
        <v>صيدلية (أدوية ومستلزمات طبية)</v>
      </c>
      <c r="G3483" s="5" t="str">
        <f ca="1">IFERROR(__xludf.DUMMYFUNCTION("""COMPUTED_VALUE"""),"صيدلية د/ باسم مينا (شركة اورانج لخدمات الصيدليات)")</f>
        <v>صيدلية د/ باسم مينا (شركة اورانج لخدمات الصيدليات)</v>
      </c>
      <c r="H3483" s="5" t="str">
        <f ca="1">IFERROR(__xludf.DUMMYFUNCTION("""COMPUTED_VALUE"""),"51 ش محمد مظهر - الزمالك")</f>
        <v>51 ش محمد مظهر - الزمالك</v>
      </c>
      <c r="I3483" s="6" t="str">
        <f ca="1">IFERROR(__xludf.DUMMYFUNCTION("""COMPUTED_VALUE"""),"1212726688")</f>
        <v>1212726688</v>
      </c>
      <c r="J3483" s="6" t="str">
        <f ca="1">IFERROR(__xludf.DUMMYFUNCTION("""COMPUTED_VALUE"""),"19001")</f>
        <v>19001</v>
      </c>
      <c r="K3483" s="6" t="str">
        <f ca="1">IFERROR(__xludf.DUMMYFUNCTION("""COMPUTED_VALUE"""),"خصم 12% علي المحلي و6% علي المستورد")</f>
        <v>خصم 12% علي المحلي و6% علي المستورد</v>
      </c>
    </row>
    <row r="3484" spans="1:11" x14ac:dyDescent="0.25">
      <c r="A3484" s="4" t="str">
        <f ca="1">IFERROR(__xludf.DUMMYFUNCTION("""COMPUTED_VALUE"""),"107606-B")</f>
        <v>107606-B</v>
      </c>
      <c r="B3484" s="5" t="str">
        <f ca="1">IFERROR(__xludf.DUMMYFUNCTION("""COMPUTED_VALUE"""),"القاهرة")</f>
        <v>القاهرة</v>
      </c>
      <c r="C3484" s="5" t="str">
        <f ca="1">IFERROR(__xludf.DUMMYFUNCTION("""COMPUTED_VALUE"""),"الزمالك")</f>
        <v>الزمالك</v>
      </c>
      <c r="D3484" s="5" t="str">
        <f ca="1">IFERROR(__xludf.DUMMYFUNCTION("""COMPUTED_VALUE"""),"صيدلية")</f>
        <v>صيدلية</v>
      </c>
      <c r="E3484" s="5" t="str">
        <f ca="1">IFERROR(__xludf.DUMMYFUNCTION("""COMPUTED_VALUE"""),"صيدلية")</f>
        <v>صيدلية</v>
      </c>
      <c r="F3484" s="5" t="str">
        <f ca="1">IFERROR(__xludf.DUMMYFUNCTION("""COMPUTED_VALUE"""),"صيدلية (أدوية ومستلزمات طبية)")</f>
        <v>صيدلية (أدوية ومستلزمات طبية)</v>
      </c>
      <c r="G3484" s="5" t="str">
        <f ca="1">IFERROR(__xludf.DUMMYFUNCTION("""COMPUTED_VALUE"""),"صيدلية د/ سامر مينا (شركة اورانج لخدمات الصيدليات)")</f>
        <v>صيدلية د/ سامر مينا (شركة اورانج لخدمات الصيدليات)</v>
      </c>
      <c r="H3484" s="5" t="str">
        <f ca="1">IFERROR(__xludf.DUMMYFUNCTION("""COMPUTED_VALUE"""),"12 ش حسن عاصم - الزمالك")</f>
        <v>12 ش حسن عاصم - الزمالك</v>
      </c>
      <c r="I3484" s="6" t="str">
        <f ca="1">IFERROR(__xludf.DUMMYFUNCTION("""COMPUTED_VALUE"""),"27368236")</f>
        <v>27368236</v>
      </c>
      <c r="J3484" s="6" t="str">
        <f ca="1">IFERROR(__xludf.DUMMYFUNCTION("""COMPUTED_VALUE"""),"19001")</f>
        <v>19001</v>
      </c>
      <c r="K3484" s="6" t="str">
        <f ca="1">IFERROR(__xludf.DUMMYFUNCTION("""COMPUTED_VALUE"""),"خصم 12% علي المحلي و6% علي المستورد")</f>
        <v>خصم 12% علي المحلي و6% علي المستورد</v>
      </c>
    </row>
    <row r="3485" spans="1:11" x14ac:dyDescent="0.25">
      <c r="A3485" s="4" t="str">
        <f ca="1">IFERROR(__xludf.DUMMYFUNCTION("""COMPUTED_VALUE"""),"107606-B")</f>
        <v>107606-B</v>
      </c>
      <c r="B3485" s="5" t="str">
        <f ca="1">IFERROR(__xludf.DUMMYFUNCTION("""COMPUTED_VALUE"""),"القاهرة")</f>
        <v>القاهرة</v>
      </c>
      <c r="C3485" s="5" t="str">
        <f ca="1">IFERROR(__xludf.DUMMYFUNCTION("""COMPUTED_VALUE"""),"المعادى")</f>
        <v>المعادى</v>
      </c>
      <c r="D3485" s="5" t="str">
        <f ca="1">IFERROR(__xludf.DUMMYFUNCTION("""COMPUTED_VALUE"""),"صيدلية")</f>
        <v>صيدلية</v>
      </c>
      <c r="E3485" s="5" t="str">
        <f ca="1">IFERROR(__xludf.DUMMYFUNCTION("""COMPUTED_VALUE"""),"صيدلية")</f>
        <v>صيدلية</v>
      </c>
      <c r="F3485" s="5" t="str">
        <f ca="1">IFERROR(__xludf.DUMMYFUNCTION("""COMPUTED_VALUE"""),"صيدلية (أدوية ومستلزمات طبية)")</f>
        <v>صيدلية (أدوية ومستلزمات طبية)</v>
      </c>
      <c r="G3485" s="5" t="str">
        <f ca="1">IFERROR(__xludf.DUMMYFUNCTION("""COMPUTED_VALUE"""),"صيدلية / الحياة (شركة اورانج لخدمات الصيدليات)")</f>
        <v>صيدلية / الحياة (شركة اورانج لخدمات الصيدليات)</v>
      </c>
      <c r="H3485" s="5" t="str">
        <f ca="1">IFERROR(__xludf.DUMMYFUNCTION("""COMPUTED_VALUE"""),"19ش نادي وادي دجلة - زهراء المعادي")</f>
        <v>19ش نادي وادي دجلة - زهراء المعادي</v>
      </c>
      <c r="I3485" s="6" t="str">
        <f ca="1">IFERROR(__xludf.DUMMYFUNCTION("""COMPUTED_VALUE"""),"27318278")</f>
        <v>27318278</v>
      </c>
      <c r="J3485" s="6" t="str">
        <f ca="1">IFERROR(__xludf.DUMMYFUNCTION("""COMPUTED_VALUE"""),"19001")</f>
        <v>19001</v>
      </c>
      <c r="K3485" s="6" t="str">
        <f ca="1">IFERROR(__xludf.DUMMYFUNCTION("""COMPUTED_VALUE"""),"خصم 12% علي المحلي و6% علي المستورد")</f>
        <v>خصم 12% علي المحلي و6% علي المستورد</v>
      </c>
    </row>
    <row r="3486" spans="1:11" x14ac:dyDescent="0.25">
      <c r="A3486" s="4" t="str">
        <f ca="1">IFERROR(__xludf.DUMMYFUNCTION("""COMPUTED_VALUE"""),"107606-B")</f>
        <v>107606-B</v>
      </c>
      <c r="B3486" s="5" t="str">
        <f ca="1">IFERROR(__xludf.DUMMYFUNCTION("""COMPUTED_VALUE"""),"القاهرة")</f>
        <v>القاهرة</v>
      </c>
      <c r="C3486" s="5" t="str">
        <f ca="1">IFERROR(__xludf.DUMMYFUNCTION("""COMPUTED_VALUE"""),"مدينة السلام")</f>
        <v>مدينة السلام</v>
      </c>
      <c r="D3486" s="5" t="str">
        <f ca="1">IFERROR(__xludf.DUMMYFUNCTION("""COMPUTED_VALUE"""),"صيدلية")</f>
        <v>صيدلية</v>
      </c>
      <c r="E3486" s="5" t="str">
        <f ca="1">IFERROR(__xludf.DUMMYFUNCTION("""COMPUTED_VALUE"""),"صيدلية")</f>
        <v>صيدلية</v>
      </c>
      <c r="F3486" s="5" t="str">
        <f ca="1">IFERROR(__xludf.DUMMYFUNCTION("""COMPUTED_VALUE"""),"صيدلية (أدوية ومستلزمات طبية)")</f>
        <v>صيدلية (أدوية ومستلزمات طبية)</v>
      </c>
      <c r="G3486" s="5" t="str">
        <f ca="1">IFERROR(__xludf.DUMMYFUNCTION("""COMPUTED_VALUE"""),"صيدلية ايهاب سليمانوائل حافظ (شركة اورانج لخدمات الصيدليات)")</f>
        <v>صيدلية ايهاب سليمانوائل حافظ (شركة اورانج لخدمات الصيدليات)</v>
      </c>
      <c r="H3486" s="5" t="str">
        <f ca="1">IFERROR(__xludf.DUMMYFUNCTION("""COMPUTED_VALUE"""),"شارع المطحن - مدينة السلام")</f>
        <v>شارع المطحن - مدينة السلام</v>
      </c>
      <c r="I3486" s="6" t="str">
        <f ca="1">IFERROR(__xludf.DUMMYFUNCTION("""COMPUTED_VALUE"""),"226972500")</f>
        <v>226972500</v>
      </c>
      <c r="J3486" s="6" t="str">
        <f ca="1">IFERROR(__xludf.DUMMYFUNCTION("""COMPUTED_VALUE"""),"19001")</f>
        <v>19001</v>
      </c>
      <c r="K3486" s="6" t="str">
        <f ca="1">IFERROR(__xludf.DUMMYFUNCTION("""COMPUTED_VALUE"""),"خصم 12% علي المحلي و6% علي المستورد")</f>
        <v>خصم 12% علي المحلي و6% علي المستورد</v>
      </c>
    </row>
    <row r="3487" spans="1:11" x14ac:dyDescent="0.25">
      <c r="A3487" s="4" t="str">
        <f ca="1">IFERROR(__xludf.DUMMYFUNCTION("""COMPUTED_VALUE"""),"107606-B")</f>
        <v>107606-B</v>
      </c>
      <c r="B3487" s="5" t="str">
        <f ca="1">IFERROR(__xludf.DUMMYFUNCTION("""COMPUTED_VALUE"""),"القاهرة")</f>
        <v>القاهرة</v>
      </c>
      <c r="C3487" s="5" t="str">
        <f ca="1">IFERROR(__xludf.DUMMYFUNCTION("""COMPUTED_VALUE"""),"حلوان")</f>
        <v>حلوان</v>
      </c>
      <c r="D3487" s="5" t="str">
        <f ca="1">IFERROR(__xludf.DUMMYFUNCTION("""COMPUTED_VALUE"""),"صيدلية")</f>
        <v>صيدلية</v>
      </c>
      <c r="E3487" s="5" t="str">
        <f ca="1">IFERROR(__xludf.DUMMYFUNCTION("""COMPUTED_VALUE"""),"صيدلية")</f>
        <v>صيدلية</v>
      </c>
      <c r="F3487" s="5" t="str">
        <f ca="1">IFERROR(__xludf.DUMMYFUNCTION("""COMPUTED_VALUE"""),"صيدلية (أدوية ومستلزمات طبية)")</f>
        <v>صيدلية (أدوية ومستلزمات طبية)</v>
      </c>
      <c r="G3487" s="5" t="str">
        <f ca="1">IFERROR(__xludf.DUMMYFUNCTION("""COMPUTED_VALUE"""),"صيدلية د/ جون(نجمة الصبح) (شركة اورانج لخدمات الصيدليات)")</f>
        <v>صيدلية د/ جون(نجمة الصبح) (شركة اورانج لخدمات الصيدليات)</v>
      </c>
      <c r="H3487" s="5" t="str">
        <f ca="1">IFERROR(__xludf.DUMMYFUNCTION("""COMPUTED_VALUE"""),"18ش عبد الله مع ش عبد الرحمن - حلوان")</f>
        <v>18ش عبد الله مع ش عبد الرحمن - حلوان</v>
      </c>
      <c r="I3487" s="6" t="str">
        <f ca="1">IFERROR(__xludf.DUMMYFUNCTION("""COMPUTED_VALUE"""),"27120455")</f>
        <v>27120455</v>
      </c>
      <c r="J3487" s="6" t="str">
        <f ca="1">IFERROR(__xludf.DUMMYFUNCTION("""COMPUTED_VALUE"""),"19001")</f>
        <v>19001</v>
      </c>
      <c r="K3487" s="6" t="str">
        <f ca="1">IFERROR(__xludf.DUMMYFUNCTION("""COMPUTED_VALUE"""),"خصم 12% علي المحلي و6% علي المستورد")</f>
        <v>خصم 12% علي المحلي و6% علي المستورد</v>
      </c>
    </row>
    <row r="3488" spans="1:11" x14ac:dyDescent="0.25">
      <c r="A3488" s="4" t="str">
        <f ca="1">IFERROR(__xludf.DUMMYFUNCTION("""COMPUTED_VALUE"""),"107606-B")</f>
        <v>107606-B</v>
      </c>
      <c r="B3488" s="5" t="str">
        <f ca="1">IFERROR(__xludf.DUMMYFUNCTION("""COMPUTED_VALUE"""),"القاهرة")</f>
        <v>القاهرة</v>
      </c>
      <c r="C3488" s="5" t="str">
        <f ca="1">IFERROR(__xludf.DUMMYFUNCTION("""COMPUTED_VALUE"""),"المرج")</f>
        <v>المرج</v>
      </c>
      <c r="D3488" s="5" t="str">
        <f ca="1">IFERROR(__xludf.DUMMYFUNCTION("""COMPUTED_VALUE"""),"صيدلية")</f>
        <v>صيدلية</v>
      </c>
      <c r="E3488" s="5" t="str">
        <f ca="1">IFERROR(__xludf.DUMMYFUNCTION("""COMPUTED_VALUE"""),"صيدلية")</f>
        <v>صيدلية</v>
      </c>
      <c r="F3488" s="5" t="str">
        <f ca="1">IFERROR(__xludf.DUMMYFUNCTION("""COMPUTED_VALUE"""),"صيدلية (أدوية ومستلزمات طبية)")</f>
        <v>صيدلية (أدوية ومستلزمات طبية)</v>
      </c>
      <c r="G3488" s="5" t="str">
        <f ca="1">IFERROR(__xludf.DUMMYFUNCTION("""COMPUTED_VALUE"""),"صيدلية د/ محب الجديدة (شركة اورانج لخدمات الصيدليات)")</f>
        <v>صيدلية د/ محب الجديدة (شركة اورانج لخدمات الصيدليات)</v>
      </c>
      <c r="H3488" s="5" t="str">
        <f ca="1">IFERROR(__xludf.DUMMYFUNCTION("""COMPUTED_VALUE"""),"20مدينة التوحيد - ش الجمهورية - من شارع محمد نجيب - المرج الجديدة")</f>
        <v>20مدينة التوحيد - ش الجمهورية - من شارع محمد نجيب - المرج الجديدة</v>
      </c>
      <c r="I3488" s="6" t="str">
        <f ca="1">IFERROR(__xludf.DUMMYFUNCTION("""COMPUTED_VALUE"""),"01120496946")</f>
        <v>01120496946</v>
      </c>
      <c r="J3488" s="6" t="str">
        <f ca="1">IFERROR(__xludf.DUMMYFUNCTION("""COMPUTED_VALUE"""),"19001")</f>
        <v>19001</v>
      </c>
      <c r="K3488" s="6" t="str">
        <f ca="1">IFERROR(__xludf.DUMMYFUNCTION("""COMPUTED_VALUE"""),"خصم 12% علي المحلي و6% علي المستورد")</f>
        <v>خصم 12% علي المحلي و6% علي المستورد</v>
      </c>
    </row>
    <row r="3489" spans="1:11" x14ac:dyDescent="0.25">
      <c r="A3489" s="4" t="str">
        <f ca="1">IFERROR(__xludf.DUMMYFUNCTION("""COMPUTED_VALUE"""),"107606-B")</f>
        <v>107606-B</v>
      </c>
      <c r="B3489" s="5" t="str">
        <f ca="1">IFERROR(__xludf.DUMMYFUNCTION("""COMPUTED_VALUE"""),"القاهرة")</f>
        <v>القاهرة</v>
      </c>
      <c r="C3489" s="5" t="str">
        <f ca="1">IFERROR(__xludf.DUMMYFUNCTION("""COMPUTED_VALUE"""),"الشرابية")</f>
        <v>الشرابية</v>
      </c>
      <c r="D3489" s="5" t="str">
        <f ca="1">IFERROR(__xludf.DUMMYFUNCTION("""COMPUTED_VALUE"""),"صيدلية")</f>
        <v>صيدلية</v>
      </c>
      <c r="E3489" s="5" t="str">
        <f ca="1">IFERROR(__xludf.DUMMYFUNCTION("""COMPUTED_VALUE"""),"صيدلية")</f>
        <v>صيدلية</v>
      </c>
      <c r="F3489" s="5" t="str">
        <f ca="1">IFERROR(__xludf.DUMMYFUNCTION("""COMPUTED_VALUE"""),"صيدلية (أدوية ومستلزمات طبية)")</f>
        <v>صيدلية (أدوية ومستلزمات طبية)</v>
      </c>
      <c r="G3489" s="5" t="str">
        <f ca="1">IFERROR(__xludf.DUMMYFUNCTION("""COMPUTED_VALUE"""),"صيدلية / ثروت (شركة اورانج لخدمات الصيدليات)")</f>
        <v>صيدلية / ثروت (شركة اورانج لخدمات الصيدليات)</v>
      </c>
      <c r="H3489" s="5" t="str">
        <f ca="1">IFERROR(__xludf.DUMMYFUNCTION("""COMPUTED_VALUE"""),"8 شارع الاتحاد ارض الشركة - الشرابية")</f>
        <v>8 شارع الاتحاد ارض الشركة - الشرابية</v>
      </c>
      <c r="I3489" s="6" t="str">
        <f ca="1">IFERROR(__xludf.DUMMYFUNCTION("""COMPUTED_VALUE"""),"1145748878")</f>
        <v>1145748878</v>
      </c>
      <c r="J3489" s="6" t="str">
        <f ca="1">IFERROR(__xludf.DUMMYFUNCTION("""COMPUTED_VALUE"""),"19001")</f>
        <v>19001</v>
      </c>
      <c r="K3489" s="6" t="str">
        <f ca="1">IFERROR(__xludf.DUMMYFUNCTION("""COMPUTED_VALUE"""),"خصم 12% علي المحلي و6% علي المستورد")</f>
        <v>خصم 12% علي المحلي و6% علي المستورد</v>
      </c>
    </row>
    <row r="3490" spans="1:11" x14ac:dyDescent="0.25">
      <c r="A3490" s="4" t="str">
        <f ca="1">IFERROR(__xludf.DUMMYFUNCTION("""COMPUTED_VALUE"""),"107606-B")</f>
        <v>107606-B</v>
      </c>
      <c r="B3490" s="5" t="str">
        <f ca="1">IFERROR(__xludf.DUMMYFUNCTION("""COMPUTED_VALUE"""),"القاهرة")</f>
        <v>القاهرة</v>
      </c>
      <c r="C3490" s="5" t="str">
        <f ca="1">IFERROR(__xludf.DUMMYFUNCTION("""COMPUTED_VALUE"""),"المطرية")</f>
        <v>المطرية</v>
      </c>
      <c r="D3490" s="5" t="str">
        <f ca="1">IFERROR(__xludf.DUMMYFUNCTION("""COMPUTED_VALUE"""),"صيدلية")</f>
        <v>صيدلية</v>
      </c>
      <c r="E3490" s="5" t="str">
        <f ca="1">IFERROR(__xludf.DUMMYFUNCTION("""COMPUTED_VALUE"""),"صيدلية")</f>
        <v>صيدلية</v>
      </c>
      <c r="F3490" s="5" t="str">
        <f ca="1">IFERROR(__xludf.DUMMYFUNCTION("""COMPUTED_VALUE"""),"صيدلية (أدوية ومستلزمات طبية)")</f>
        <v>صيدلية (أدوية ومستلزمات طبية)</v>
      </c>
      <c r="G3490" s="5" t="str">
        <f ca="1">IFERROR(__xludf.DUMMYFUNCTION("""COMPUTED_VALUE"""),"صيدلية السنترال ( د/إيزابيل ميشيل) (شركة اورانج لخدمات الصيدليات)")</f>
        <v>صيدلية السنترال ( د/إيزابيل ميشيل) (شركة اورانج لخدمات الصيدليات)</v>
      </c>
      <c r="H3490" s="5" t="str">
        <f ca="1">IFERROR(__xludf.DUMMYFUNCTION("""COMPUTED_VALUE"""),"77ش التروللي - المطرية")</f>
        <v>77ش التروللي - المطرية</v>
      </c>
      <c r="I3490" s="6" t="str">
        <f ca="1">IFERROR(__xludf.DUMMYFUNCTION("""COMPUTED_VALUE"""),"1005556352")</f>
        <v>1005556352</v>
      </c>
      <c r="J3490" s="6" t="str">
        <f ca="1">IFERROR(__xludf.DUMMYFUNCTION("""COMPUTED_VALUE"""),"19001")</f>
        <v>19001</v>
      </c>
      <c r="K3490" s="6" t="str">
        <f ca="1">IFERROR(__xludf.DUMMYFUNCTION("""COMPUTED_VALUE"""),"خصم 12% علي المحلي و6% علي المستورد")</f>
        <v>خصم 12% علي المحلي و6% علي المستورد</v>
      </c>
    </row>
    <row r="3491" spans="1:11" x14ac:dyDescent="0.25">
      <c r="A3491" s="4" t="str">
        <f ca="1">IFERROR(__xludf.DUMMYFUNCTION("""COMPUTED_VALUE"""),"107606-B")</f>
        <v>107606-B</v>
      </c>
      <c r="B3491" s="5" t="str">
        <f ca="1">IFERROR(__xludf.DUMMYFUNCTION("""COMPUTED_VALUE"""),"القاهرة")</f>
        <v>القاهرة</v>
      </c>
      <c r="C3491" s="5" t="str">
        <f ca="1">IFERROR(__xludf.DUMMYFUNCTION("""COMPUTED_VALUE"""),"حلمية الزيتون")</f>
        <v>حلمية الزيتون</v>
      </c>
      <c r="D3491" s="5" t="str">
        <f ca="1">IFERROR(__xludf.DUMMYFUNCTION("""COMPUTED_VALUE"""),"صيدلية")</f>
        <v>صيدلية</v>
      </c>
      <c r="E3491" s="5" t="str">
        <f ca="1">IFERROR(__xludf.DUMMYFUNCTION("""COMPUTED_VALUE"""),"صيدلية")</f>
        <v>صيدلية</v>
      </c>
      <c r="F3491" s="5" t="str">
        <f ca="1">IFERROR(__xludf.DUMMYFUNCTION("""COMPUTED_VALUE"""),"صيدلية (أدوية ومستلزمات طبية)")</f>
        <v>صيدلية (أدوية ومستلزمات طبية)</v>
      </c>
      <c r="G3491" s="5" t="str">
        <f ca="1">IFERROR(__xludf.DUMMYFUNCTION("""COMPUTED_VALUE"""),"صيدلية سارة فارس (شركة اورانج لخدمات الصيدليات)")</f>
        <v>صيدلية سارة فارس (شركة اورانج لخدمات الصيدليات)</v>
      </c>
      <c r="H3491" s="5" t="str">
        <f ca="1">IFERROR(__xludf.DUMMYFUNCTION("""COMPUTED_VALUE"""),"89ش المسيري -حلمية الزيتون الغربية-القاهرة")</f>
        <v>89ش المسيري -حلمية الزيتون الغربية-القاهرة</v>
      </c>
      <c r="I3491" s="6" t="str">
        <f ca="1">IFERROR(__xludf.DUMMYFUNCTION("""COMPUTED_VALUE"""),"1125977482")</f>
        <v>1125977482</v>
      </c>
      <c r="J3491" s="6" t="str">
        <f ca="1">IFERROR(__xludf.DUMMYFUNCTION("""COMPUTED_VALUE"""),"19001")</f>
        <v>19001</v>
      </c>
      <c r="K3491" s="6" t="str">
        <f ca="1">IFERROR(__xludf.DUMMYFUNCTION("""COMPUTED_VALUE"""),"خصم 12% علي المحلي و6% علي المستورد")</f>
        <v>خصم 12% علي المحلي و6% علي المستورد</v>
      </c>
    </row>
    <row r="3492" spans="1:11" x14ac:dyDescent="0.25">
      <c r="A3492" s="4" t="str">
        <f ca="1">IFERROR(__xludf.DUMMYFUNCTION("""COMPUTED_VALUE"""),"107606-B")</f>
        <v>107606-B</v>
      </c>
      <c r="B3492" s="5" t="str">
        <f ca="1">IFERROR(__xludf.DUMMYFUNCTION("""COMPUTED_VALUE"""),"القاهرة")</f>
        <v>القاهرة</v>
      </c>
      <c r="C3492" s="5" t="str">
        <f ca="1">IFERROR(__xludf.DUMMYFUNCTION("""COMPUTED_VALUE"""),"حلوان")</f>
        <v>حلوان</v>
      </c>
      <c r="D3492" s="5" t="str">
        <f ca="1">IFERROR(__xludf.DUMMYFUNCTION("""COMPUTED_VALUE"""),"صيدلية")</f>
        <v>صيدلية</v>
      </c>
      <c r="E3492" s="5" t="str">
        <f ca="1">IFERROR(__xludf.DUMMYFUNCTION("""COMPUTED_VALUE"""),"صيدلية")</f>
        <v>صيدلية</v>
      </c>
      <c r="F3492" s="5" t="str">
        <f ca="1">IFERROR(__xludf.DUMMYFUNCTION("""COMPUTED_VALUE"""),"صيدلية (أدوية ومستلزمات طبية)")</f>
        <v>صيدلية (أدوية ومستلزمات طبية)</v>
      </c>
      <c r="G3492" s="5" t="str">
        <f ca="1">IFERROR(__xludf.DUMMYFUNCTION("""COMPUTED_VALUE"""),"صيدلية احمد محمد حسن (شركة اورانج لخدمات الصيدليات)")</f>
        <v>صيدلية احمد محمد حسن (شركة اورانج لخدمات الصيدليات)</v>
      </c>
      <c r="H3492" s="5" t="str">
        <f ca="1">IFERROR(__xludf.DUMMYFUNCTION("""COMPUTED_VALUE"""),"96شارع محمد سيد احمد-حلوان-القاهرة")</f>
        <v>96شارع محمد سيد احمد-حلوان-القاهرة</v>
      </c>
      <c r="I3492" s="6" t="str">
        <f ca="1">IFERROR(__xludf.DUMMYFUNCTION("""COMPUTED_VALUE"""),"1009326079")</f>
        <v>1009326079</v>
      </c>
      <c r="J3492" s="6" t="str">
        <f ca="1">IFERROR(__xludf.DUMMYFUNCTION("""COMPUTED_VALUE"""),"19001")</f>
        <v>19001</v>
      </c>
      <c r="K3492" s="6" t="str">
        <f ca="1">IFERROR(__xludf.DUMMYFUNCTION("""COMPUTED_VALUE"""),"خصم 12% علي المحلي و6% علي المستورد")</f>
        <v>خصم 12% علي المحلي و6% علي المستورد</v>
      </c>
    </row>
    <row r="3493" spans="1:11" x14ac:dyDescent="0.25">
      <c r="A3493" s="4" t="str">
        <f ca="1">IFERROR(__xludf.DUMMYFUNCTION("""COMPUTED_VALUE"""),"107606-B")</f>
        <v>107606-B</v>
      </c>
      <c r="B3493" s="5" t="str">
        <f ca="1">IFERROR(__xludf.DUMMYFUNCTION("""COMPUTED_VALUE"""),"القاهرة")</f>
        <v>القاهرة</v>
      </c>
      <c r="C3493" s="5" t="str">
        <f ca="1">IFERROR(__xludf.DUMMYFUNCTION("""COMPUTED_VALUE"""),"مصر الجديدة")</f>
        <v>مصر الجديدة</v>
      </c>
      <c r="D3493" s="5" t="str">
        <f ca="1">IFERROR(__xludf.DUMMYFUNCTION("""COMPUTED_VALUE"""),"صيدلية")</f>
        <v>صيدلية</v>
      </c>
      <c r="E3493" s="5" t="str">
        <f ca="1">IFERROR(__xludf.DUMMYFUNCTION("""COMPUTED_VALUE"""),"صيدلية")</f>
        <v>صيدلية</v>
      </c>
      <c r="F3493" s="5" t="str">
        <f ca="1">IFERROR(__xludf.DUMMYFUNCTION("""COMPUTED_VALUE"""),"صيدلية (أدوية ومستلزمات طبية)")</f>
        <v>صيدلية (أدوية ومستلزمات طبية)</v>
      </c>
      <c r="G3493" s="5" t="str">
        <f ca="1">IFERROR(__xludf.DUMMYFUNCTION("""COMPUTED_VALUE"""),"صيدلية ديفيد مدحت شنودة (شركة اورانج لخدمات الصيدليات)")</f>
        <v>صيدلية ديفيد مدحت شنودة (شركة اورانج لخدمات الصيدليات)</v>
      </c>
      <c r="H3493" s="5" t="str">
        <f ca="1">IFERROR(__xludf.DUMMYFUNCTION("""COMPUTED_VALUE"""),"25برج المساحة خلف النساجون الشرقيون-شيراتون المطار-القاهرة")</f>
        <v>25برج المساحة خلف النساجون الشرقيون-شيراتون المطار-القاهرة</v>
      </c>
      <c r="I3493" s="6" t="str">
        <f ca="1">IFERROR(__xludf.DUMMYFUNCTION("""COMPUTED_VALUE"""),"1111209476")</f>
        <v>1111209476</v>
      </c>
      <c r="J3493" s="6" t="str">
        <f ca="1">IFERROR(__xludf.DUMMYFUNCTION("""COMPUTED_VALUE"""),"19001")</f>
        <v>19001</v>
      </c>
      <c r="K3493" s="6" t="str">
        <f ca="1">IFERROR(__xludf.DUMMYFUNCTION("""COMPUTED_VALUE"""),"خصم 12% علي المحلي و6% علي المستورد")</f>
        <v>خصم 12% علي المحلي و6% علي المستورد</v>
      </c>
    </row>
    <row r="3494" spans="1:11" x14ac:dyDescent="0.25">
      <c r="A3494" s="4" t="str">
        <f ca="1">IFERROR(__xludf.DUMMYFUNCTION("""COMPUTED_VALUE"""),"107606-B")</f>
        <v>107606-B</v>
      </c>
      <c r="B3494" s="5" t="str">
        <f ca="1">IFERROR(__xludf.DUMMYFUNCTION("""COMPUTED_VALUE"""),"القاهرة")</f>
        <v>القاهرة</v>
      </c>
      <c r="C3494" s="5" t="str">
        <f ca="1">IFERROR(__xludf.DUMMYFUNCTION("""COMPUTED_VALUE"""),"القاهرة الجديدة")</f>
        <v>القاهرة الجديدة</v>
      </c>
      <c r="D3494" s="5" t="str">
        <f ca="1">IFERROR(__xludf.DUMMYFUNCTION("""COMPUTED_VALUE"""),"صيدلية")</f>
        <v>صيدلية</v>
      </c>
      <c r="E3494" s="5" t="str">
        <f ca="1">IFERROR(__xludf.DUMMYFUNCTION("""COMPUTED_VALUE"""),"صيدلية")</f>
        <v>صيدلية</v>
      </c>
      <c r="F3494" s="5" t="str">
        <f ca="1">IFERROR(__xludf.DUMMYFUNCTION("""COMPUTED_VALUE"""),"صيدلية (أدوية ومستلزمات طبية)")</f>
        <v>صيدلية (أدوية ومستلزمات طبية)</v>
      </c>
      <c r="G3494" s="5" t="str">
        <f ca="1">IFERROR(__xludf.DUMMYFUNCTION("""COMPUTED_VALUE"""),"صيدلية احمد مصطفي (شركة اورانج لخدمات الصيدليات)")</f>
        <v>صيدلية احمد مصطفي (شركة اورانج لخدمات الصيدليات)</v>
      </c>
      <c r="H3494" s="5" t="str">
        <f ca="1">IFERROR(__xludf.DUMMYFUNCTION("""COMPUTED_VALUE"""),"محطة وقود شل اوت ميدور التسعين الشمالي -القاهرة الجديدة")</f>
        <v>محطة وقود شل اوت ميدور التسعين الشمالي -القاهرة الجديدة</v>
      </c>
      <c r="I3494" s="6" t="str">
        <f ca="1">IFERROR(__xludf.DUMMYFUNCTION("""COMPUTED_VALUE"""),"1113366805")</f>
        <v>1113366805</v>
      </c>
      <c r="J3494" s="6" t="str">
        <f ca="1">IFERROR(__xludf.DUMMYFUNCTION("""COMPUTED_VALUE"""),"19001")</f>
        <v>19001</v>
      </c>
      <c r="K3494" s="6" t="str">
        <f ca="1">IFERROR(__xludf.DUMMYFUNCTION("""COMPUTED_VALUE"""),"خصم 12% علي المحلي و6% علي المستورد")</f>
        <v>خصم 12% علي المحلي و6% علي المستورد</v>
      </c>
    </row>
    <row r="3495" spans="1:11" x14ac:dyDescent="0.25">
      <c r="A3495" s="4" t="str">
        <f ca="1">IFERROR(__xludf.DUMMYFUNCTION("""COMPUTED_VALUE"""),"107606-B")</f>
        <v>107606-B</v>
      </c>
      <c r="B3495" s="5" t="str">
        <f ca="1">IFERROR(__xludf.DUMMYFUNCTION("""COMPUTED_VALUE"""),"القاهرة")</f>
        <v>القاهرة</v>
      </c>
      <c r="C3495" s="5" t="str">
        <f ca="1">IFERROR(__xludf.DUMMYFUNCTION("""COMPUTED_VALUE"""),"شبرا")</f>
        <v>شبرا</v>
      </c>
      <c r="D3495" s="5" t="str">
        <f ca="1">IFERROR(__xludf.DUMMYFUNCTION("""COMPUTED_VALUE"""),"صيدلية")</f>
        <v>صيدلية</v>
      </c>
      <c r="E3495" s="5" t="str">
        <f ca="1">IFERROR(__xludf.DUMMYFUNCTION("""COMPUTED_VALUE"""),"صيدلية")</f>
        <v>صيدلية</v>
      </c>
      <c r="F3495" s="5" t="str">
        <f ca="1">IFERROR(__xludf.DUMMYFUNCTION("""COMPUTED_VALUE"""),"صيدلية (أدوية ومستلزمات طبية)")</f>
        <v>صيدلية (أدوية ومستلزمات طبية)</v>
      </c>
      <c r="G3495" s="5" t="str">
        <f ca="1">IFERROR(__xludf.DUMMYFUNCTION("""COMPUTED_VALUE"""),"صيدلية امل الفقي (شركة اورانج لخدمات الصيدليات)")</f>
        <v>صيدلية امل الفقي (شركة اورانج لخدمات الصيدليات)</v>
      </c>
      <c r="H3495" s="5" t="str">
        <f ca="1">IFERROR(__xludf.DUMMYFUNCTION("""COMPUTED_VALUE"""),"45شارع الخشاب -روض الفرج- القاهرة")</f>
        <v>45شارع الخشاب -روض الفرج- القاهرة</v>
      </c>
      <c r="I3495" s="6" t="str">
        <f ca="1">IFERROR(__xludf.DUMMYFUNCTION("""COMPUTED_VALUE"""),"1229542911")</f>
        <v>1229542911</v>
      </c>
      <c r="J3495" s="6" t="str">
        <f ca="1">IFERROR(__xludf.DUMMYFUNCTION("""COMPUTED_VALUE"""),"19001")</f>
        <v>19001</v>
      </c>
      <c r="K3495" s="6" t="str">
        <f ca="1">IFERROR(__xludf.DUMMYFUNCTION("""COMPUTED_VALUE"""),"خصم 12% علي المحلي و6% علي المستورد")</f>
        <v>خصم 12% علي المحلي و6% علي المستورد</v>
      </c>
    </row>
    <row r="3496" spans="1:11" x14ac:dyDescent="0.25">
      <c r="A3496" s="4" t="str">
        <f ca="1">IFERROR(__xludf.DUMMYFUNCTION("""COMPUTED_VALUE"""),"107606-B")</f>
        <v>107606-B</v>
      </c>
      <c r="B3496" s="5" t="str">
        <f ca="1">IFERROR(__xludf.DUMMYFUNCTION("""COMPUTED_VALUE"""),"القاهرة")</f>
        <v>القاهرة</v>
      </c>
      <c r="C3496" s="5" t="str">
        <f ca="1">IFERROR(__xludf.DUMMYFUNCTION("""COMPUTED_VALUE"""),"مصر الجديدة")</f>
        <v>مصر الجديدة</v>
      </c>
      <c r="D3496" s="5" t="str">
        <f ca="1">IFERROR(__xludf.DUMMYFUNCTION("""COMPUTED_VALUE"""),"صيدلية")</f>
        <v>صيدلية</v>
      </c>
      <c r="E3496" s="5" t="str">
        <f ca="1">IFERROR(__xludf.DUMMYFUNCTION("""COMPUTED_VALUE"""),"صيدلية")</f>
        <v>صيدلية</v>
      </c>
      <c r="F3496" s="5" t="str">
        <f ca="1">IFERROR(__xludf.DUMMYFUNCTION("""COMPUTED_VALUE"""),"صيدلية (أدوية ومستلزمات طبية)")</f>
        <v>صيدلية (أدوية ومستلزمات طبية)</v>
      </c>
      <c r="G3496" s="5" t="str">
        <f ca="1">IFERROR(__xludf.DUMMYFUNCTION("""COMPUTED_VALUE"""),"صيدلية فادي نادي (شركة اورانج لخدمات الصيدليات)")</f>
        <v>صيدلية فادي نادي (شركة اورانج لخدمات الصيدليات)</v>
      </c>
      <c r="H3496" s="5" t="str">
        <f ca="1">IFERROR(__xludf.DUMMYFUNCTION("""COMPUTED_VALUE"""),"227شارع الحجاز-مصر الجديدة-القاهرة")</f>
        <v>227شارع الحجاز-مصر الجديدة-القاهرة</v>
      </c>
      <c r="I3496" s="6" t="str">
        <f ca="1">IFERROR(__xludf.DUMMYFUNCTION("""COMPUTED_VALUE"""),"226238749")</f>
        <v>226238749</v>
      </c>
      <c r="J3496" s="6" t="str">
        <f ca="1">IFERROR(__xludf.DUMMYFUNCTION("""COMPUTED_VALUE"""),"19001")</f>
        <v>19001</v>
      </c>
      <c r="K3496" s="6" t="str">
        <f ca="1">IFERROR(__xludf.DUMMYFUNCTION("""COMPUTED_VALUE"""),"خصم 12% علي المحلي و6% علي المستورد")</f>
        <v>خصم 12% علي المحلي و6% علي المستورد</v>
      </c>
    </row>
    <row r="3497" spans="1:11" x14ac:dyDescent="0.25">
      <c r="A3497" s="4" t="str">
        <f ca="1">IFERROR(__xludf.DUMMYFUNCTION("""COMPUTED_VALUE"""),"107606-B")</f>
        <v>107606-B</v>
      </c>
      <c r="B3497" s="5" t="str">
        <f ca="1">IFERROR(__xludf.DUMMYFUNCTION("""COMPUTED_VALUE"""),"القاهرة")</f>
        <v>القاهرة</v>
      </c>
      <c r="C3497" s="5" t="str">
        <f ca="1">IFERROR(__xludf.DUMMYFUNCTION("""COMPUTED_VALUE"""),"دار السلام")</f>
        <v>دار السلام</v>
      </c>
      <c r="D3497" s="5" t="str">
        <f ca="1">IFERROR(__xludf.DUMMYFUNCTION("""COMPUTED_VALUE"""),"صيدلية")</f>
        <v>صيدلية</v>
      </c>
      <c r="E3497" s="5" t="str">
        <f ca="1">IFERROR(__xludf.DUMMYFUNCTION("""COMPUTED_VALUE"""),"صيدلية")</f>
        <v>صيدلية</v>
      </c>
      <c r="F3497" s="5" t="str">
        <f ca="1">IFERROR(__xludf.DUMMYFUNCTION("""COMPUTED_VALUE"""),"صيدلية (أدوية ومستلزمات طبية)")</f>
        <v>صيدلية (أدوية ومستلزمات طبية)</v>
      </c>
      <c r="G3497" s="5" t="str">
        <f ca="1">IFERROR(__xludf.DUMMYFUNCTION("""COMPUTED_VALUE"""),"صيدلية هويدا (شركة اورانج لخدمات الصيدليات)")</f>
        <v>صيدلية هويدا (شركة اورانج لخدمات الصيدليات)</v>
      </c>
      <c r="H3497" s="5" t="str">
        <f ca="1">IFERROR(__xludf.DUMMYFUNCTION("""COMPUTED_VALUE"""),"6شارع العروبة خلف ابراج القانونيين-دار السلام")</f>
        <v>6شارع العروبة خلف ابراج القانونيين-دار السلام</v>
      </c>
      <c r="I3497" s="6" t="str">
        <f ca="1">IFERROR(__xludf.DUMMYFUNCTION("""COMPUTED_VALUE"""),"1149466498")</f>
        <v>1149466498</v>
      </c>
      <c r="J3497" s="6" t="str">
        <f ca="1">IFERROR(__xludf.DUMMYFUNCTION("""COMPUTED_VALUE"""),"19001")</f>
        <v>19001</v>
      </c>
      <c r="K3497" s="6" t="str">
        <f ca="1">IFERROR(__xludf.DUMMYFUNCTION("""COMPUTED_VALUE"""),"خصم 12% علي المحلي و6% علي المستورد")</f>
        <v>خصم 12% علي المحلي و6% علي المستورد</v>
      </c>
    </row>
    <row r="3498" spans="1:11" x14ac:dyDescent="0.25">
      <c r="A3498" s="4" t="str">
        <f ca="1">IFERROR(__xludf.DUMMYFUNCTION("""COMPUTED_VALUE"""),"107606-B")</f>
        <v>107606-B</v>
      </c>
      <c r="B3498" s="5" t="str">
        <f ca="1">IFERROR(__xludf.DUMMYFUNCTION("""COMPUTED_VALUE"""),"القاهرة")</f>
        <v>القاهرة</v>
      </c>
      <c r="C3498" s="5" t="str">
        <f ca="1">IFERROR(__xludf.DUMMYFUNCTION("""COMPUTED_VALUE"""),"حلوان")</f>
        <v>حلوان</v>
      </c>
      <c r="D3498" s="5" t="str">
        <f ca="1">IFERROR(__xludf.DUMMYFUNCTION("""COMPUTED_VALUE"""),"صيدلية")</f>
        <v>صيدلية</v>
      </c>
      <c r="E3498" s="5" t="str">
        <f ca="1">IFERROR(__xludf.DUMMYFUNCTION("""COMPUTED_VALUE"""),"صيدلية")</f>
        <v>صيدلية</v>
      </c>
      <c r="F3498" s="5" t="str">
        <f ca="1">IFERROR(__xludf.DUMMYFUNCTION("""COMPUTED_VALUE"""),"صيدلية (أدوية ومستلزمات طبية)")</f>
        <v>صيدلية (أدوية ومستلزمات طبية)</v>
      </c>
      <c r="G3498" s="5" t="str">
        <f ca="1">IFERROR(__xludf.DUMMYFUNCTION("""COMPUTED_VALUE"""),"صيدلية احمد عدلي سيف (شركة اورانج لخدمات الصيدليات)")</f>
        <v>صيدلية احمد عدلي سيف (شركة اورانج لخدمات الصيدليات)</v>
      </c>
      <c r="H3498" s="5" t="str">
        <f ca="1">IFERROR(__xludf.DUMMYFUNCTION("""COMPUTED_VALUE"""),"شارع المطافي -بجوار مطافي التبين -حلوان")</f>
        <v>شارع المطافي -بجوار مطافي التبين -حلوان</v>
      </c>
      <c r="I3498" s="6" t="str">
        <f ca="1">IFERROR(__xludf.DUMMYFUNCTION("""COMPUTED_VALUE"""),"1002009415")</f>
        <v>1002009415</v>
      </c>
      <c r="J3498" s="6" t="str">
        <f ca="1">IFERROR(__xludf.DUMMYFUNCTION("""COMPUTED_VALUE"""),"19001")</f>
        <v>19001</v>
      </c>
      <c r="K3498" s="6" t="str">
        <f ca="1">IFERROR(__xludf.DUMMYFUNCTION("""COMPUTED_VALUE"""),"خصم 12% علي المحلي و6% علي المستورد")</f>
        <v>خصم 12% علي المحلي و6% علي المستورد</v>
      </c>
    </row>
    <row r="3499" spans="1:11" x14ac:dyDescent="0.25">
      <c r="A3499" s="4" t="str">
        <f ca="1">IFERROR(__xludf.DUMMYFUNCTION("""COMPUTED_VALUE"""),"107606-B")</f>
        <v>107606-B</v>
      </c>
      <c r="B3499" s="5" t="str">
        <f ca="1">IFERROR(__xludf.DUMMYFUNCTION("""COMPUTED_VALUE"""),"القاهرة")</f>
        <v>القاهرة</v>
      </c>
      <c r="C3499" s="5" t="str">
        <f ca="1">IFERROR(__xludf.DUMMYFUNCTION("""COMPUTED_VALUE"""),"مدينة نصر")</f>
        <v>مدينة نصر</v>
      </c>
      <c r="D3499" s="5" t="str">
        <f ca="1">IFERROR(__xludf.DUMMYFUNCTION("""COMPUTED_VALUE"""),"صيدلية")</f>
        <v>صيدلية</v>
      </c>
      <c r="E3499" s="5" t="str">
        <f ca="1">IFERROR(__xludf.DUMMYFUNCTION("""COMPUTED_VALUE"""),"صيدلية")</f>
        <v>صيدلية</v>
      </c>
      <c r="F3499" s="5" t="str">
        <f ca="1">IFERROR(__xludf.DUMMYFUNCTION("""COMPUTED_VALUE"""),"صيدلية (أدوية ومستلزمات طبية)")</f>
        <v>صيدلية (أدوية ومستلزمات طبية)</v>
      </c>
      <c r="G3499" s="5" t="str">
        <f ca="1">IFERROR(__xludf.DUMMYFUNCTION("""COMPUTED_VALUE"""),"صيدلية الهامي احمد/د-شريف رافت (شركة اورانج لخدمات الصيدليات)")</f>
        <v>صيدلية الهامي احمد/د-شريف رافت (شركة اورانج لخدمات الصيدليات)</v>
      </c>
      <c r="H3499" s="5" t="str">
        <f ca="1">IFERROR(__xludf.DUMMYFUNCTION("""COMPUTED_VALUE"""),"112شارع مصطفي النحاس -مدينة نصر")</f>
        <v>112شارع مصطفي النحاس -مدينة نصر</v>
      </c>
      <c r="I3499" s="6" t="str">
        <f ca="1">IFERROR(__xludf.DUMMYFUNCTION("""COMPUTED_VALUE"""),"127400032")</f>
        <v>127400032</v>
      </c>
      <c r="J3499" s="6" t="str">
        <f ca="1">IFERROR(__xludf.DUMMYFUNCTION("""COMPUTED_VALUE"""),"19001")</f>
        <v>19001</v>
      </c>
      <c r="K3499" s="6" t="str">
        <f ca="1">IFERROR(__xludf.DUMMYFUNCTION("""COMPUTED_VALUE"""),"خصم 12% علي المحلي و6% علي المستورد")</f>
        <v>خصم 12% علي المحلي و6% علي المستورد</v>
      </c>
    </row>
    <row r="3500" spans="1:11" x14ac:dyDescent="0.25">
      <c r="A3500" s="4" t="str">
        <f ca="1">IFERROR(__xludf.DUMMYFUNCTION("""COMPUTED_VALUE"""),"107606-B")</f>
        <v>107606-B</v>
      </c>
      <c r="B3500" s="5" t="str">
        <f ca="1">IFERROR(__xludf.DUMMYFUNCTION("""COMPUTED_VALUE"""),"القاهرة")</f>
        <v>القاهرة</v>
      </c>
      <c r="C3500" s="5" t="str">
        <f ca="1">IFERROR(__xludf.DUMMYFUNCTION("""COMPUTED_VALUE"""),"دار السلام")</f>
        <v>دار السلام</v>
      </c>
      <c r="D3500" s="5" t="str">
        <f ca="1">IFERROR(__xludf.DUMMYFUNCTION("""COMPUTED_VALUE"""),"صيدلية")</f>
        <v>صيدلية</v>
      </c>
      <c r="E3500" s="5" t="str">
        <f ca="1">IFERROR(__xludf.DUMMYFUNCTION("""COMPUTED_VALUE"""),"صيدلية")</f>
        <v>صيدلية</v>
      </c>
      <c r="F3500" s="5" t="str">
        <f ca="1">IFERROR(__xludf.DUMMYFUNCTION("""COMPUTED_VALUE"""),"صيدلية (أدوية ومستلزمات طبية)")</f>
        <v>صيدلية (أدوية ومستلزمات طبية)</v>
      </c>
      <c r="G3500" s="5" t="str">
        <f ca="1">IFERROR(__xludf.DUMMYFUNCTION("""COMPUTED_VALUE"""),"صيدلية نجلاء هاشم /تابع نهال الليثى (شركة اورانج لخدمات الصيدليات)")</f>
        <v>صيدلية نجلاء هاشم /تابع نهال الليثى (شركة اورانج لخدمات الصيدليات)</v>
      </c>
      <c r="H3500" s="5" t="str">
        <f ca="1">IFERROR(__xludf.DUMMYFUNCTION("""COMPUTED_VALUE"""),"٩٣ شارع المستقبل متفرع من شارع الخمسين أمام مول سريب وان - زهراء المعادى")</f>
        <v>٩٣ شارع المستقبل متفرع من شارع الخمسين أمام مول سريب وان - زهراء المعادى</v>
      </c>
      <c r="I3500" s="6" t="str">
        <f ca="1">IFERROR(__xludf.DUMMYFUNCTION("""COMPUTED_VALUE"""),"1112901307")</f>
        <v>1112901307</v>
      </c>
      <c r="J3500" s="6" t="str">
        <f ca="1">IFERROR(__xludf.DUMMYFUNCTION("""COMPUTED_VALUE"""),"19001")</f>
        <v>19001</v>
      </c>
      <c r="K3500" s="6" t="str">
        <f ca="1">IFERROR(__xludf.DUMMYFUNCTION("""COMPUTED_VALUE"""),"خصم 12% علي المحلي و6% علي المستورد")</f>
        <v>خصم 12% علي المحلي و6% علي المستورد</v>
      </c>
    </row>
    <row r="3501" spans="1:11" x14ac:dyDescent="0.25">
      <c r="A3501" s="4" t="str">
        <f ca="1">IFERROR(__xludf.DUMMYFUNCTION("""COMPUTED_VALUE"""),"107606-B")</f>
        <v>107606-B</v>
      </c>
      <c r="B3501" s="5" t="str">
        <f ca="1">IFERROR(__xludf.DUMMYFUNCTION("""COMPUTED_VALUE"""),"القاهرة")</f>
        <v>القاهرة</v>
      </c>
      <c r="C3501" s="5" t="str">
        <f ca="1">IFERROR(__xludf.DUMMYFUNCTION("""COMPUTED_VALUE"""),"رمسيس")</f>
        <v>رمسيس</v>
      </c>
      <c r="D3501" s="5" t="str">
        <f ca="1">IFERROR(__xludf.DUMMYFUNCTION("""COMPUTED_VALUE"""),"صيدلية")</f>
        <v>صيدلية</v>
      </c>
      <c r="E3501" s="5" t="str">
        <f ca="1">IFERROR(__xludf.DUMMYFUNCTION("""COMPUTED_VALUE"""),"صيدلية")</f>
        <v>صيدلية</v>
      </c>
      <c r="F3501" s="5" t="str">
        <f ca="1">IFERROR(__xludf.DUMMYFUNCTION("""COMPUTED_VALUE"""),"صيدلية (أدوية ومستلزمات طبية)")</f>
        <v>صيدلية (أدوية ومستلزمات طبية)</v>
      </c>
      <c r="G3501" s="5" t="str">
        <f ca="1">IFERROR(__xludf.DUMMYFUNCTION("""COMPUTED_VALUE"""),"صيدلية مجدى حبيب (شركة اورانج لخدمات الصيدليات)")</f>
        <v>صيدلية مجدى حبيب (شركة اورانج لخدمات الصيدليات)</v>
      </c>
      <c r="H3501" s="5" t="str">
        <f ca="1">IFERROR(__xludf.DUMMYFUNCTION("""COMPUTED_VALUE"""),"47 وابو الترجمان – بولاق ابو العلا")</f>
        <v>47 وابو الترجمان – بولاق ابو العلا</v>
      </c>
      <c r="I3501" s="6" t="str">
        <f ca="1">IFERROR(__xludf.DUMMYFUNCTION("""COMPUTED_VALUE"""),"1026722565")</f>
        <v>1026722565</v>
      </c>
      <c r="J3501" s="6" t="str">
        <f ca="1">IFERROR(__xludf.DUMMYFUNCTION("""COMPUTED_VALUE"""),"19001")</f>
        <v>19001</v>
      </c>
      <c r="K3501" s="6" t="str">
        <f ca="1">IFERROR(__xludf.DUMMYFUNCTION("""COMPUTED_VALUE"""),"خصم 12% علي المحلي و6% علي المستورد")</f>
        <v>خصم 12% علي المحلي و6% علي المستورد</v>
      </c>
    </row>
    <row r="3502" spans="1:11" x14ac:dyDescent="0.25">
      <c r="A3502" s="4" t="str">
        <f ca="1">IFERROR(__xludf.DUMMYFUNCTION("""COMPUTED_VALUE"""),"107606-B")</f>
        <v>107606-B</v>
      </c>
      <c r="B3502" s="5" t="str">
        <f ca="1">IFERROR(__xludf.DUMMYFUNCTION("""COMPUTED_VALUE"""),"القاهرة")</f>
        <v>القاهرة</v>
      </c>
      <c r="C3502" s="5" t="str">
        <f ca="1">IFERROR(__xludf.DUMMYFUNCTION("""COMPUTED_VALUE"""),"شبرا")</f>
        <v>شبرا</v>
      </c>
      <c r="D3502" s="5" t="str">
        <f ca="1">IFERROR(__xludf.DUMMYFUNCTION("""COMPUTED_VALUE"""),"صيدلية")</f>
        <v>صيدلية</v>
      </c>
      <c r="E3502" s="5" t="str">
        <f ca="1">IFERROR(__xludf.DUMMYFUNCTION("""COMPUTED_VALUE"""),"صيدلية")</f>
        <v>صيدلية</v>
      </c>
      <c r="F3502" s="5" t="str">
        <f ca="1">IFERROR(__xludf.DUMMYFUNCTION("""COMPUTED_VALUE"""),"صيدلية (أدوية ومستلزمات طبية)")</f>
        <v>صيدلية (أدوية ومستلزمات طبية)</v>
      </c>
      <c r="G3502" s="5" t="str">
        <f ca="1">IFERROR(__xludf.DUMMYFUNCTION("""COMPUTED_VALUE"""),"صيدلية الحكمة (شركة اورانج لخدمات الصيدليات)")</f>
        <v>صيدلية الحكمة (شركة اورانج لخدمات الصيدليات)</v>
      </c>
      <c r="H3502" s="5" t="str">
        <f ca="1">IFERROR(__xludf.DUMMYFUNCTION("""COMPUTED_VALUE"""),"27 شارع ابن الرشيد – مسرة")</f>
        <v>27 شارع ابن الرشيد – مسرة</v>
      </c>
      <c r="I3502" s="6" t="str">
        <f ca="1">IFERROR(__xludf.DUMMYFUNCTION("""COMPUTED_VALUE"""),"10216141057")</f>
        <v>10216141057</v>
      </c>
      <c r="J3502" s="6" t="str">
        <f ca="1">IFERROR(__xludf.DUMMYFUNCTION("""COMPUTED_VALUE"""),"19001")</f>
        <v>19001</v>
      </c>
      <c r="K3502" s="6" t="str">
        <f ca="1">IFERROR(__xludf.DUMMYFUNCTION("""COMPUTED_VALUE"""),"خصم 12% علي المحلي و6% علي المستورد")</f>
        <v>خصم 12% علي المحلي و6% علي المستورد</v>
      </c>
    </row>
    <row r="3503" spans="1:11" x14ac:dyDescent="0.25">
      <c r="A3503" s="4" t="str">
        <f ca="1">IFERROR(__xludf.DUMMYFUNCTION("""COMPUTED_VALUE"""),"107606-B")</f>
        <v>107606-B</v>
      </c>
      <c r="B3503" s="5" t="str">
        <f ca="1">IFERROR(__xludf.DUMMYFUNCTION("""COMPUTED_VALUE"""),"القاهرة")</f>
        <v>القاهرة</v>
      </c>
      <c r="C3503" s="5" t="str">
        <f ca="1">IFERROR(__xludf.DUMMYFUNCTION("""COMPUTED_VALUE"""),"شبرا")</f>
        <v>شبرا</v>
      </c>
      <c r="D3503" s="5" t="str">
        <f ca="1">IFERROR(__xludf.DUMMYFUNCTION("""COMPUTED_VALUE"""),"صيدلية")</f>
        <v>صيدلية</v>
      </c>
      <c r="E3503" s="5" t="str">
        <f ca="1">IFERROR(__xludf.DUMMYFUNCTION("""COMPUTED_VALUE"""),"صيدلية")</f>
        <v>صيدلية</v>
      </c>
      <c r="F3503" s="5" t="str">
        <f ca="1">IFERROR(__xludf.DUMMYFUNCTION("""COMPUTED_VALUE"""),"صيدلية (أدوية ومستلزمات طبية)")</f>
        <v>صيدلية (أدوية ومستلزمات طبية)</v>
      </c>
      <c r="G3503" s="5" t="str">
        <f ca="1">IFERROR(__xludf.DUMMYFUNCTION("""COMPUTED_VALUE"""),"صيدلية ممدوح/بولا بطرس (شركة اورانج لخدمات الصيدليات)")</f>
        <v>صيدلية ممدوح/بولا بطرس (شركة اورانج لخدمات الصيدليات)</v>
      </c>
      <c r="H3503" s="5" t="str">
        <f ca="1">IFERROR(__xludf.DUMMYFUNCTION("""COMPUTED_VALUE"""),"19شارع الشبراوي -دوران شبرا -روض الفرج-القاهرة")</f>
        <v>19شارع الشبراوي -دوران شبرا -روض الفرج-القاهرة</v>
      </c>
      <c r="I3503" s="6" t="str">
        <f ca="1">IFERROR(__xludf.DUMMYFUNCTION("""COMPUTED_VALUE"""),"1275293922")</f>
        <v>1275293922</v>
      </c>
      <c r="J3503" s="6" t="str">
        <f ca="1">IFERROR(__xludf.DUMMYFUNCTION("""COMPUTED_VALUE"""),"19001")</f>
        <v>19001</v>
      </c>
      <c r="K3503" s="6" t="str">
        <f ca="1">IFERROR(__xludf.DUMMYFUNCTION("""COMPUTED_VALUE"""),"خصم 12% علي المحلي و6% علي المستورد")</f>
        <v>خصم 12% علي المحلي و6% علي المستورد</v>
      </c>
    </row>
    <row r="3504" spans="1:11" x14ac:dyDescent="0.25">
      <c r="A3504" s="4" t="str">
        <f ca="1">IFERROR(__xludf.DUMMYFUNCTION("""COMPUTED_VALUE"""),"107606-B")</f>
        <v>107606-B</v>
      </c>
      <c r="B3504" s="5" t="str">
        <f ca="1">IFERROR(__xludf.DUMMYFUNCTION("""COMPUTED_VALUE"""),"القاهرة")</f>
        <v>القاهرة</v>
      </c>
      <c r="C3504" s="5" t="str">
        <f ca="1">IFERROR(__xludf.DUMMYFUNCTION("""COMPUTED_VALUE"""),"مصر الجديدة")</f>
        <v>مصر الجديدة</v>
      </c>
      <c r="D3504" s="5" t="str">
        <f ca="1">IFERROR(__xludf.DUMMYFUNCTION("""COMPUTED_VALUE"""),"صيدلية")</f>
        <v>صيدلية</v>
      </c>
      <c r="E3504" s="5" t="str">
        <f ca="1">IFERROR(__xludf.DUMMYFUNCTION("""COMPUTED_VALUE"""),"صيدلية")</f>
        <v>صيدلية</v>
      </c>
      <c r="F3504" s="5" t="str">
        <f ca="1">IFERROR(__xludf.DUMMYFUNCTION("""COMPUTED_VALUE"""),"صيدلية (أدوية ومستلزمات طبية)")</f>
        <v>صيدلية (أدوية ومستلزمات طبية)</v>
      </c>
      <c r="G3504" s="5" t="str">
        <f ca="1">IFERROR(__xludf.DUMMYFUNCTION("""COMPUTED_VALUE"""),"صيدلية خالد علي المتيم (شركة اورانج لخدمات الصيدليات)")</f>
        <v>صيدلية خالد علي المتيم (شركة اورانج لخدمات الصيدليات)</v>
      </c>
      <c r="H3504" s="5" t="str">
        <f ca="1">IFERROR(__xludf.DUMMYFUNCTION("""COMPUTED_VALUE"""),"37عمارات رابعة العدوية الاستثماري-ارض الجولف")</f>
        <v>37عمارات رابعة العدوية الاستثماري-ارض الجولف</v>
      </c>
      <c r="I3504" s="6" t="str">
        <f ca="1">IFERROR(__xludf.DUMMYFUNCTION("""COMPUTED_VALUE"""),"1557437646")</f>
        <v>1557437646</v>
      </c>
      <c r="J3504" s="6" t="str">
        <f ca="1">IFERROR(__xludf.DUMMYFUNCTION("""COMPUTED_VALUE"""),"19001")</f>
        <v>19001</v>
      </c>
      <c r="K3504" s="6" t="str">
        <f ca="1">IFERROR(__xludf.DUMMYFUNCTION("""COMPUTED_VALUE"""),"خصم 12% علي المحلي و6% علي المستورد")</f>
        <v>خصم 12% علي المحلي و6% علي المستورد</v>
      </c>
    </row>
    <row r="3505" spans="1:11" x14ac:dyDescent="0.25">
      <c r="A3505" s="4" t="str">
        <f ca="1">IFERROR(__xludf.DUMMYFUNCTION("""COMPUTED_VALUE"""),"107606-B")</f>
        <v>107606-B</v>
      </c>
      <c r="B3505" s="5" t="str">
        <f ca="1">IFERROR(__xludf.DUMMYFUNCTION("""COMPUTED_VALUE"""),"القاهرة")</f>
        <v>القاهرة</v>
      </c>
      <c r="C3505" s="5" t="str">
        <f ca="1">IFERROR(__xludf.DUMMYFUNCTION("""COMPUTED_VALUE"""),"مدينة نصر")</f>
        <v>مدينة نصر</v>
      </c>
      <c r="D3505" s="5" t="str">
        <f ca="1">IFERROR(__xludf.DUMMYFUNCTION("""COMPUTED_VALUE"""),"صيدلية")</f>
        <v>صيدلية</v>
      </c>
      <c r="E3505" s="5" t="str">
        <f ca="1">IFERROR(__xludf.DUMMYFUNCTION("""COMPUTED_VALUE"""),"صيدلية")</f>
        <v>صيدلية</v>
      </c>
      <c r="F3505" s="5" t="str">
        <f ca="1">IFERROR(__xludf.DUMMYFUNCTION("""COMPUTED_VALUE"""),"صيدلية (أدوية ومستلزمات طبية)")</f>
        <v>صيدلية (أدوية ومستلزمات طبية)</v>
      </c>
      <c r="G3505" s="5" t="str">
        <f ca="1">IFERROR(__xludf.DUMMYFUNCTION("""COMPUTED_VALUE"""),"صيدلية بيلادونا (شركة اورانج لخدمات الصيدليات)")</f>
        <v>صيدلية بيلادونا (شركة اورانج لخدمات الصيدليات)</v>
      </c>
      <c r="H3505" s="5" t="str">
        <f ca="1">IFERROR(__xludf.DUMMYFUNCTION("""COMPUTED_VALUE"""),"99شارع مصطفي النحاس-مدينة نصر")</f>
        <v>99شارع مصطفي النحاس-مدينة نصر</v>
      </c>
      <c r="I3505" s="6" t="str">
        <f ca="1">IFERROR(__xludf.DUMMYFUNCTION("""COMPUTED_VALUE"""),"1001251114")</f>
        <v>1001251114</v>
      </c>
      <c r="J3505" s="6" t="str">
        <f ca="1">IFERROR(__xludf.DUMMYFUNCTION("""COMPUTED_VALUE"""),"19001")</f>
        <v>19001</v>
      </c>
      <c r="K3505" s="6" t="str">
        <f ca="1">IFERROR(__xludf.DUMMYFUNCTION("""COMPUTED_VALUE"""),"خصم 12% علي المحلي و6% علي المستورد")</f>
        <v>خصم 12% علي المحلي و6% علي المستورد</v>
      </c>
    </row>
    <row r="3506" spans="1:11" x14ac:dyDescent="0.25">
      <c r="A3506" s="4" t="str">
        <f ca="1">IFERROR(__xludf.DUMMYFUNCTION("""COMPUTED_VALUE"""),"107606-B")</f>
        <v>107606-B</v>
      </c>
      <c r="B3506" s="5" t="str">
        <f ca="1">IFERROR(__xludf.DUMMYFUNCTION("""COMPUTED_VALUE"""),"القاهرة")</f>
        <v>القاهرة</v>
      </c>
      <c r="C3506" s="5" t="str">
        <f ca="1">IFERROR(__xludf.DUMMYFUNCTION("""COMPUTED_VALUE"""),"مدينة السلام")</f>
        <v>مدينة السلام</v>
      </c>
      <c r="D3506" s="5" t="str">
        <f ca="1">IFERROR(__xludf.DUMMYFUNCTION("""COMPUTED_VALUE"""),"صيدلية")</f>
        <v>صيدلية</v>
      </c>
      <c r="E3506" s="5" t="str">
        <f ca="1">IFERROR(__xludf.DUMMYFUNCTION("""COMPUTED_VALUE"""),"صيدلية")</f>
        <v>صيدلية</v>
      </c>
      <c r="F3506" s="5" t="str">
        <f ca="1">IFERROR(__xludf.DUMMYFUNCTION("""COMPUTED_VALUE"""),"صيدلية (أدوية ومستلزمات طبية)")</f>
        <v>صيدلية (أدوية ومستلزمات طبية)</v>
      </c>
      <c r="G3506" s="5" t="str">
        <f ca="1">IFERROR(__xludf.DUMMYFUNCTION("""COMPUTED_VALUE"""),"صيدلية ايمان محمد (شركة اورانج لخدمات الصيدليات)")</f>
        <v>صيدلية ايمان محمد (شركة اورانج لخدمات الصيدليات)</v>
      </c>
      <c r="H3506" s="5" t="str">
        <f ca="1">IFERROR(__xludf.DUMMYFUNCTION("""COMPUTED_VALUE"""),"قطعة 5بلوك17جمعية 6اكتوبر منتجع النخيل -السلام ثاني")</f>
        <v>قطعة 5بلوك17جمعية 6اكتوبر منتجع النخيل -السلام ثاني</v>
      </c>
      <c r="I3506" s="6" t="str">
        <f ca="1">IFERROR(__xludf.DUMMYFUNCTION("""COMPUTED_VALUE"""),"1115971110")</f>
        <v>1115971110</v>
      </c>
      <c r="J3506" s="6" t="str">
        <f ca="1">IFERROR(__xludf.DUMMYFUNCTION("""COMPUTED_VALUE"""),"19001")</f>
        <v>19001</v>
      </c>
      <c r="K3506" s="6" t="str">
        <f ca="1">IFERROR(__xludf.DUMMYFUNCTION("""COMPUTED_VALUE"""),"خصم 12% علي المحلي و6% علي المستورد")</f>
        <v>خصم 12% علي المحلي و6% علي المستورد</v>
      </c>
    </row>
    <row r="3507" spans="1:11" x14ac:dyDescent="0.25">
      <c r="A3507" s="4" t="str">
        <f ca="1">IFERROR(__xludf.DUMMYFUNCTION("""COMPUTED_VALUE"""),"107606-B")</f>
        <v>107606-B</v>
      </c>
      <c r="B3507" s="5" t="str">
        <f ca="1">IFERROR(__xludf.DUMMYFUNCTION("""COMPUTED_VALUE"""),"القاهرة")</f>
        <v>القاهرة</v>
      </c>
      <c r="C3507" s="5" t="str">
        <f ca="1">IFERROR(__xludf.DUMMYFUNCTION("""COMPUTED_VALUE"""),"مصر الجديدة")</f>
        <v>مصر الجديدة</v>
      </c>
      <c r="D3507" s="5" t="str">
        <f ca="1">IFERROR(__xludf.DUMMYFUNCTION("""COMPUTED_VALUE"""),"صيدلية")</f>
        <v>صيدلية</v>
      </c>
      <c r="E3507" s="5" t="str">
        <f ca="1">IFERROR(__xludf.DUMMYFUNCTION("""COMPUTED_VALUE"""),"صيدلية")</f>
        <v>صيدلية</v>
      </c>
      <c r="F3507" s="5" t="str">
        <f ca="1">IFERROR(__xludf.DUMMYFUNCTION("""COMPUTED_VALUE"""),"صيدلية (أدوية ومستلزمات طبية)")</f>
        <v>صيدلية (أدوية ومستلزمات طبية)</v>
      </c>
      <c r="G3507" s="5" t="str">
        <f ca="1">IFERROR(__xludf.DUMMYFUNCTION("""COMPUTED_VALUE"""),"صيدلية الامري (شركة اورانج لخدمات الصيدليات)")</f>
        <v>صيدلية الامري (شركة اورانج لخدمات الصيدليات)</v>
      </c>
      <c r="H3507" s="5" t="str">
        <f ca="1">IFERROR(__xludf.DUMMYFUNCTION("""COMPUTED_VALUE"""),"107مساكن شيراتون هليوبلس-جمعية صقر قريش-القاهرة")</f>
        <v>107مساكن شيراتون هليوبلس-جمعية صقر قريش-القاهرة</v>
      </c>
      <c r="I3507" s="6" t="str">
        <f ca="1">IFERROR(__xludf.DUMMYFUNCTION("""COMPUTED_VALUE"""),"1222705011")</f>
        <v>1222705011</v>
      </c>
      <c r="J3507" s="6" t="str">
        <f ca="1">IFERROR(__xludf.DUMMYFUNCTION("""COMPUTED_VALUE"""),"19001")</f>
        <v>19001</v>
      </c>
      <c r="K3507" s="6" t="str">
        <f ca="1">IFERROR(__xludf.DUMMYFUNCTION("""COMPUTED_VALUE"""),"خصم 12% علي المحلي و6% علي المستورد")</f>
        <v>خصم 12% علي المحلي و6% علي المستورد</v>
      </c>
    </row>
    <row r="3508" spans="1:11" x14ac:dyDescent="0.25">
      <c r="A3508" s="4" t="str">
        <f ca="1">IFERROR(__xludf.DUMMYFUNCTION("""COMPUTED_VALUE"""),"107606-B")</f>
        <v>107606-B</v>
      </c>
      <c r="B3508" s="5" t="str">
        <f ca="1">IFERROR(__xludf.DUMMYFUNCTION("""COMPUTED_VALUE"""),"القاهرة")</f>
        <v>القاهرة</v>
      </c>
      <c r="C3508" s="5" t="str">
        <f ca="1">IFERROR(__xludf.DUMMYFUNCTION("""COMPUTED_VALUE"""),"مدينة نصر")</f>
        <v>مدينة نصر</v>
      </c>
      <c r="D3508" s="5" t="str">
        <f ca="1">IFERROR(__xludf.DUMMYFUNCTION("""COMPUTED_VALUE"""),"صيدلية")</f>
        <v>صيدلية</v>
      </c>
      <c r="E3508" s="5" t="str">
        <f ca="1">IFERROR(__xludf.DUMMYFUNCTION("""COMPUTED_VALUE"""),"صيدلية")</f>
        <v>صيدلية</v>
      </c>
      <c r="F3508" s="5" t="str">
        <f ca="1">IFERROR(__xludf.DUMMYFUNCTION("""COMPUTED_VALUE"""),"صيدلية (أدوية ومستلزمات طبية)")</f>
        <v>صيدلية (أدوية ومستلزمات طبية)</v>
      </c>
      <c r="G3508" s="5" t="str">
        <f ca="1">IFERROR(__xludf.DUMMYFUNCTION("""COMPUTED_VALUE"""),"صيدلية احمد ومحمد (هابي كير) (شركة اورانج لخدمات الصيدليات)")</f>
        <v>صيدلية احمد ومحمد (هابي كير) (شركة اورانج لخدمات الصيدليات)</v>
      </c>
      <c r="H3508" s="5" t="str">
        <f ca="1">IFERROR(__xludf.DUMMYFUNCTION("""COMPUTED_VALUE"""),"شارع حموده محمود بلوك89 قطعة 3 المنطقة الثامنة - مدينة نصر")</f>
        <v>شارع حموده محمود بلوك89 قطعة 3 المنطقة الثامنة - مدينة نصر</v>
      </c>
      <c r="I3508" s="6" t="str">
        <f ca="1">IFERROR(__xludf.DUMMYFUNCTION("""COMPUTED_VALUE"""),"1157025108")</f>
        <v>1157025108</v>
      </c>
      <c r="J3508" s="6" t="str">
        <f ca="1">IFERROR(__xludf.DUMMYFUNCTION("""COMPUTED_VALUE"""),"19001")</f>
        <v>19001</v>
      </c>
      <c r="K3508" s="6" t="str">
        <f ca="1">IFERROR(__xludf.DUMMYFUNCTION("""COMPUTED_VALUE"""),"خصم 12% علي المحلي و6% علي المستورد")</f>
        <v>خصم 12% علي المحلي و6% علي المستورد</v>
      </c>
    </row>
    <row r="3509" spans="1:11" x14ac:dyDescent="0.25">
      <c r="A3509" s="4" t="str">
        <f ca="1">IFERROR(__xludf.DUMMYFUNCTION("""COMPUTED_VALUE"""),"107606-B")</f>
        <v>107606-B</v>
      </c>
      <c r="B3509" s="5" t="str">
        <f ca="1">IFERROR(__xludf.DUMMYFUNCTION("""COMPUTED_VALUE"""),"القاهرة")</f>
        <v>القاهرة</v>
      </c>
      <c r="C3509" s="5" t="str">
        <f ca="1">IFERROR(__xludf.DUMMYFUNCTION("""COMPUTED_VALUE"""),"مدينة نصر")</f>
        <v>مدينة نصر</v>
      </c>
      <c r="D3509" s="5" t="str">
        <f ca="1">IFERROR(__xludf.DUMMYFUNCTION("""COMPUTED_VALUE"""),"صيدلية")</f>
        <v>صيدلية</v>
      </c>
      <c r="E3509" s="5" t="str">
        <f ca="1">IFERROR(__xludf.DUMMYFUNCTION("""COMPUTED_VALUE"""),"صيدلية")</f>
        <v>صيدلية</v>
      </c>
      <c r="F3509" s="5" t="str">
        <f ca="1">IFERROR(__xludf.DUMMYFUNCTION("""COMPUTED_VALUE"""),"صيدلية (أدوية ومستلزمات طبية)")</f>
        <v>صيدلية (أدوية ومستلزمات طبية)</v>
      </c>
      <c r="G3509" s="5" t="str">
        <f ca="1">IFERROR(__xludf.DUMMYFUNCTION("""COMPUTED_VALUE"""),"صيدلية العائلة (اسلام عز الدين) (شركة اورانج لخدمات الصيدليات)")</f>
        <v>صيدلية العائلة (اسلام عز الدين) (شركة اورانج لخدمات الصيدليات)</v>
      </c>
      <c r="H3509" s="5" t="str">
        <f ca="1">IFERROR(__xludf.DUMMYFUNCTION("""COMPUTED_VALUE"""),"70مشروع 2064وحدة-مساكن التعاونيات-الحي الثامن -مدينة نصر")</f>
        <v>70مشروع 2064وحدة-مساكن التعاونيات-الحي الثامن -مدينة نصر</v>
      </c>
      <c r="I3509" s="6" t="str">
        <f ca="1">IFERROR(__xludf.DUMMYFUNCTION("""COMPUTED_VALUE"""),"1080075875")</f>
        <v>1080075875</v>
      </c>
      <c r="J3509" s="6" t="str">
        <f ca="1">IFERROR(__xludf.DUMMYFUNCTION("""COMPUTED_VALUE"""),"19001")</f>
        <v>19001</v>
      </c>
      <c r="K3509" s="6" t="str">
        <f ca="1">IFERROR(__xludf.DUMMYFUNCTION("""COMPUTED_VALUE"""),"خصم 12% علي المحلي و6% علي المستورد")</f>
        <v>خصم 12% علي المحلي و6% علي المستورد</v>
      </c>
    </row>
    <row r="3510" spans="1:11" x14ac:dyDescent="0.25">
      <c r="A3510" s="4" t="str">
        <f ca="1">IFERROR(__xludf.DUMMYFUNCTION("""COMPUTED_VALUE"""),"107606-B")</f>
        <v>107606-B</v>
      </c>
      <c r="B3510" s="5" t="str">
        <f ca="1">IFERROR(__xludf.DUMMYFUNCTION("""COMPUTED_VALUE"""),"القاهرة")</f>
        <v>القاهرة</v>
      </c>
      <c r="C3510" s="5" t="str">
        <f ca="1">IFERROR(__xludf.DUMMYFUNCTION("""COMPUTED_VALUE"""),"المعادى")</f>
        <v>المعادى</v>
      </c>
      <c r="D3510" s="5" t="str">
        <f ca="1">IFERROR(__xludf.DUMMYFUNCTION("""COMPUTED_VALUE"""),"صيدلية")</f>
        <v>صيدلية</v>
      </c>
      <c r="E3510" s="5" t="str">
        <f ca="1">IFERROR(__xludf.DUMMYFUNCTION("""COMPUTED_VALUE"""),"صيدلية")</f>
        <v>صيدلية</v>
      </c>
      <c r="F3510" s="5" t="str">
        <f ca="1">IFERROR(__xludf.DUMMYFUNCTION("""COMPUTED_VALUE"""),"صيدلية (أدوية ومستلزمات طبية)")</f>
        <v>صيدلية (أدوية ومستلزمات طبية)</v>
      </c>
      <c r="G3510" s="5" t="str">
        <f ca="1">IFERROR(__xludf.DUMMYFUNCTION("""COMPUTED_VALUE"""),"صيدلية مصطفي ابراهيم (شركة اورانج لخدمات الصيدليات)")</f>
        <v>صيدلية مصطفي ابراهيم (شركة اورانج لخدمات الصيدليات)</v>
      </c>
      <c r="H3510" s="5" t="str">
        <f ca="1">IFERROR(__xludf.DUMMYFUNCTION("""COMPUTED_VALUE"""),"قطعة 26-27بقسم جمعية العاملين بحي البساتين -زهراء المعادي امام وان ستريب مول")</f>
        <v>قطعة 26-27بقسم جمعية العاملين بحي البساتين -زهراء المعادي امام وان ستريب مول</v>
      </c>
      <c r="I3510" s="6" t="str">
        <f ca="1">IFERROR(__xludf.DUMMYFUNCTION("""COMPUTED_VALUE"""),"1024733826")</f>
        <v>1024733826</v>
      </c>
      <c r="J3510" s="6" t="str">
        <f ca="1">IFERROR(__xludf.DUMMYFUNCTION("""COMPUTED_VALUE"""),"19001")</f>
        <v>19001</v>
      </c>
      <c r="K3510" s="6" t="str">
        <f ca="1">IFERROR(__xludf.DUMMYFUNCTION("""COMPUTED_VALUE"""),"خصم 12% علي المحلي و6% علي المستورد")</f>
        <v>خصم 12% علي المحلي و6% علي المستورد</v>
      </c>
    </row>
    <row r="3511" spans="1:11" x14ac:dyDescent="0.25">
      <c r="A3511" s="4" t="str">
        <f ca="1">IFERROR(__xludf.DUMMYFUNCTION("""COMPUTED_VALUE"""),"107606-B")</f>
        <v>107606-B</v>
      </c>
      <c r="B3511" s="5" t="str">
        <f ca="1">IFERROR(__xludf.DUMMYFUNCTION("""COMPUTED_VALUE"""),"القاهرة")</f>
        <v>القاهرة</v>
      </c>
      <c r="C3511" s="5" t="str">
        <f ca="1">IFERROR(__xludf.DUMMYFUNCTION("""COMPUTED_VALUE"""),"مدينة نصر")</f>
        <v>مدينة نصر</v>
      </c>
      <c r="D3511" s="5" t="str">
        <f ca="1">IFERROR(__xludf.DUMMYFUNCTION("""COMPUTED_VALUE"""),"صيدلية")</f>
        <v>صيدلية</v>
      </c>
      <c r="E3511" s="5" t="str">
        <f ca="1">IFERROR(__xludf.DUMMYFUNCTION("""COMPUTED_VALUE"""),"صيدلية")</f>
        <v>صيدلية</v>
      </c>
      <c r="F3511" s="5" t="str">
        <f ca="1">IFERROR(__xludf.DUMMYFUNCTION("""COMPUTED_VALUE"""),"صيدلية (أدوية ومستلزمات طبية)")</f>
        <v>صيدلية (أدوية ومستلزمات طبية)</v>
      </c>
      <c r="G3511" s="5" t="str">
        <f ca="1">IFERROR(__xludf.DUMMYFUNCTION("""COMPUTED_VALUE"""),"صيدلية عمر فوده (شركة اورانج لخدمات الصيدليات)")</f>
        <v>صيدلية عمر فوده (شركة اورانج لخدمات الصيدليات)</v>
      </c>
      <c r="H3511" s="5" t="str">
        <f ca="1">IFERROR(__xludf.DUMMYFUNCTION("""COMPUTED_VALUE"""),"محل 1 -عمارة 10 مشروع 27 عمارة من شارع الطاقة الحي الثامن م11 م.نصر")</f>
        <v>محل 1 -عمارة 10 مشروع 27 عمارة من شارع الطاقة الحي الثامن م11 م.نصر</v>
      </c>
      <c r="I3511" s="6" t="str">
        <f ca="1">IFERROR(__xludf.DUMMYFUNCTION("""COMPUTED_VALUE"""),"1112991499")</f>
        <v>1112991499</v>
      </c>
      <c r="J3511" s="6" t="str">
        <f ca="1">IFERROR(__xludf.DUMMYFUNCTION("""COMPUTED_VALUE"""),"19001")</f>
        <v>19001</v>
      </c>
      <c r="K3511" s="6" t="str">
        <f ca="1">IFERROR(__xludf.DUMMYFUNCTION("""COMPUTED_VALUE"""),"خصم 12% علي المحلي و6% علي المستورد")</f>
        <v>خصم 12% علي المحلي و6% علي المستورد</v>
      </c>
    </row>
    <row r="3512" spans="1:11" x14ac:dyDescent="0.25">
      <c r="A3512" s="4" t="str">
        <f ca="1">IFERROR(__xludf.DUMMYFUNCTION("""COMPUTED_VALUE"""),"107606-B")</f>
        <v>107606-B</v>
      </c>
      <c r="B3512" s="5" t="str">
        <f ca="1">IFERROR(__xludf.DUMMYFUNCTION("""COMPUTED_VALUE"""),"القاهرة")</f>
        <v>القاهرة</v>
      </c>
      <c r="C3512" s="5" t="str">
        <f ca="1">IFERROR(__xludf.DUMMYFUNCTION("""COMPUTED_VALUE"""),"القاهرة الجديدة")</f>
        <v>القاهرة الجديدة</v>
      </c>
      <c r="D3512" s="5" t="str">
        <f ca="1">IFERROR(__xludf.DUMMYFUNCTION("""COMPUTED_VALUE"""),"صيدلية")</f>
        <v>صيدلية</v>
      </c>
      <c r="E3512" s="5" t="str">
        <f ca="1">IFERROR(__xludf.DUMMYFUNCTION("""COMPUTED_VALUE"""),"صيدلية")</f>
        <v>صيدلية</v>
      </c>
      <c r="F3512" s="5" t="str">
        <f ca="1">IFERROR(__xludf.DUMMYFUNCTION("""COMPUTED_VALUE"""),"صيدلية (أدوية ومستلزمات طبية)")</f>
        <v>صيدلية (أدوية ومستلزمات طبية)</v>
      </c>
      <c r="G3512" s="5" t="str">
        <f ca="1">IFERROR(__xludf.DUMMYFUNCTION("""COMPUTED_VALUE"""),"صيدلية احمد ابو القاسم (شركة اورانج لخدمات الصيدليات)")</f>
        <v>صيدلية احمد ابو القاسم (شركة اورانج لخدمات الصيدليات)</v>
      </c>
      <c r="H3512" s="5" t="str">
        <f ca="1">IFERROR(__xludf.DUMMYFUNCTION("""COMPUTED_VALUE"""),"مول53محل رقم7خدمات التجمع الخامس الحي الاول منطقة اولي خلف المحكمه")</f>
        <v>مول53محل رقم7خدمات التجمع الخامس الحي الاول منطقة اولي خلف المحكمه</v>
      </c>
      <c r="I3512" s="6" t="str">
        <f ca="1">IFERROR(__xludf.DUMMYFUNCTION("""COMPUTED_VALUE"""),"1223334388")</f>
        <v>1223334388</v>
      </c>
      <c r="J3512" s="6" t="str">
        <f ca="1">IFERROR(__xludf.DUMMYFUNCTION("""COMPUTED_VALUE"""),"19001")</f>
        <v>19001</v>
      </c>
      <c r="K3512" s="6" t="str">
        <f ca="1">IFERROR(__xludf.DUMMYFUNCTION("""COMPUTED_VALUE"""),"خصم 12% علي المحلي و6% علي المستورد")</f>
        <v>خصم 12% علي المحلي و6% علي المستورد</v>
      </c>
    </row>
    <row r="3513" spans="1:11" x14ac:dyDescent="0.25">
      <c r="A3513" s="4" t="str">
        <f ca="1">IFERROR(__xludf.DUMMYFUNCTION("""COMPUTED_VALUE"""),"107606-B")</f>
        <v>107606-B</v>
      </c>
      <c r="B3513" s="5" t="str">
        <f ca="1">IFERROR(__xludf.DUMMYFUNCTION("""COMPUTED_VALUE"""),"القاهرة")</f>
        <v>القاهرة</v>
      </c>
      <c r="C3513" s="5" t="str">
        <f ca="1">IFERROR(__xludf.DUMMYFUNCTION("""COMPUTED_VALUE"""),"مدينة نصر")</f>
        <v>مدينة نصر</v>
      </c>
      <c r="D3513" s="5" t="str">
        <f ca="1">IFERROR(__xludf.DUMMYFUNCTION("""COMPUTED_VALUE"""),"صيدلية")</f>
        <v>صيدلية</v>
      </c>
      <c r="E3513" s="5" t="str">
        <f ca="1">IFERROR(__xludf.DUMMYFUNCTION("""COMPUTED_VALUE"""),"صيدلية")</f>
        <v>صيدلية</v>
      </c>
      <c r="F3513" s="5" t="str">
        <f ca="1">IFERROR(__xludf.DUMMYFUNCTION("""COMPUTED_VALUE"""),"صيدلية (أدوية ومستلزمات طبية)")</f>
        <v>صيدلية (أدوية ومستلزمات طبية)</v>
      </c>
      <c r="G3513" s="5" t="str">
        <f ca="1">IFERROR(__xludf.DUMMYFUNCTION("""COMPUTED_VALUE"""),"صيدلية جورج منير فؤاد (شركة اورانج لخدمات الصيدليات)")</f>
        <v>صيدلية جورج منير فؤاد (شركة اورانج لخدمات الصيدليات)</v>
      </c>
      <c r="H3513" s="5" t="str">
        <f ca="1">IFERROR(__xludf.DUMMYFUNCTION("""COMPUTED_VALUE"""),"52شارع أحمد الزمر -مدينة نصر -القاهرة")</f>
        <v>52شارع أحمد الزمر -مدينة نصر -القاهرة</v>
      </c>
      <c r="I3513" s="6" t="str">
        <f ca="1">IFERROR(__xludf.DUMMYFUNCTION("""COMPUTED_VALUE"""),"1156942225")</f>
        <v>1156942225</v>
      </c>
      <c r="J3513" s="6" t="str">
        <f ca="1">IFERROR(__xludf.DUMMYFUNCTION("""COMPUTED_VALUE"""),"19001")</f>
        <v>19001</v>
      </c>
      <c r="K3513" s="6" t="str">
        <f ca="1">IFERROR(__xludf.DUMMYFUNCTION("""COMPUTED_VALUE"""),"خصم 12% علي المحلي و6% علي المستورد")</f>
        <v>خصم 12% علي المحلي و6% علي المستورد</v>
      </c>
    </row>
    <row r="3514" spans="1:11" x14ac:dyDescent="0.25">
      <c r="A3514" s="4" t="str">
        <f ca="1">IFERROR(__xludf.DUMMYFUNCTION("""COMPUTED_VALUE"""),"107606-B")</f>
        <v>107606-B</v>
      </c>
      <c r="B3514" s="5" t="str">
        <f ca="1">IFERROR(__xludf.DUMMYFUNCTION("""COMPUTED_VALUE"""),"القاهرة")</f>
        <v>القاهرة</v>
      </c>
      <c r="C3514" s="5" t="str">
        <f ca="1">IFERROR(__xludf.DUMMYFUNCTION("""COMPUTED_VALUE"""),"الازبكية")</f>
        <v>الازبكية</v>
      </c>
      <c r="D3514" s="5" t="str">
        <f ca="1">IFERROR(__xludf.DUMMYFUNCTION("""COMPUTED_VALUE"""),"صيدلية")</f>
        <v>صيدلية</v>
      </c>
      <c r="E3514" s="5" t="str">
        <f ca="1">IFERROR(__xludf.DUMMYFUNCTION("""COMPUTED_VALUE"""),"صيدلية")</f>
        <v>صيدلية</v>
      </c>
      <c r="F3514" s="5" t="str">
        <f ca="1">IFERROR(__xludf.DUMMYFUNCTION("""COMPUTED_VALUE"""),"صيدلية (أدوية ومستلزمات طبية)")</f>
        <v>صيدلية (أدوية ومستلزمات طبية)</v>
      </c>
      <c r="G3514" s="5" t="str">
        <f ca="1">IFERROR(__xludf.DUMMYFUNCTION("""COMPUTED_VALUE"""),"صيدلية الحياة الجديدة (شركة اورانج لخدمات الصيدليات)")</f>
        <v>صيدلية الحياة الجديدة (شركة اورانج لخدمات الصيدليات)</v>
      </c>
      <c r="H3514" s="5" t="str">
        <f ca="1">IFERROR(__xludf.DUMMYFUNCTION("""COMPUTED_VALUE"""),"4ميدان عرابي-الاذبكية-القاهرة")</f>
        <v>4ميدان عرابي-الاذبكية-القاهرة</v>
      </c>
      <c r="I3514" s="6" t="str">
        <f ca="1">IFERROR(__xludf.DUMMYFUNCTION("""COMPUTED_VALUE"""),"1222414218")</f>
        <v>1222414218</v>
      </c>
      <c r="J3514" s="6" t="str">
        <f ca="1">IFERROR(__xludf.DUMMYFUNCTION("""COMPUTED_VALUE"""),"19001")</f>
        <v>19001</v>
      </c>
      <c r="K3514" s="6" t="str">
        <f ca="1">IFERROR(__xludf.DUMMYFUNCTION("""COMPUTED_VALUE"""),"خصم 12% علي المحلي و6% علي المستورد")</f>
        <v>خصم 12% علي المحلي و6% علي المستورد</v>
      </c>
    </row>
    <row r="3515" spans="1:11" x14ac:dyDescent="0.25">
      <c r="A3515" s="4" t="str">
        <f ca="1">IFERROR(__xludf.DUMMYFUNCTION("""COMPUTED_VALUE"""),"107606-B")</f>
        <v>107606-B</v>
      </c>
      <c r="B3515" s="5" t="str">
        <f ca="1">IFERROR(__xludf.DUMMYFUNCTION("""COMPUTED_VALUE"""),"القاهرة")</f>
        <v>القاهرة</v>
      </c>
      <c r="C3515" s="5" t="str">
        <f ca="1">IFERROR(__xludf.DUMMYFUNCTION("""COMPUTED_VALUE"""),"مدينة نصر")</f>
        <v>مدينة نصر</v>
      </c>
      <c r="D3515" s="5" t="str">
        <f ca="1">IFERROR(__xludf.DUMMYFUNCTION("""COMPUTED_VALUE"""),"صيدلية")</f>
        <v>صيدلية</v>
      </c>
      <c r="E3515" s="5" t="str">
        <f ca="1">IFERROR(__xludf.DUMMYFUNCTION("""COMPUTED_VALUE"""),"صيدلية")</f>
        <v>صيدلية</v>
      </c>
      <c r="F3515" s="5" t="str">
        <f ca="1">IFERROR(__xludf.DUMMYFUNCTION("""COMPUTED_VALUE"""),"صيدلية (أدوية ومستلزمات طبية)")</f>
        <v>صيدلية (أدوية ومستلزمات طبية)</v>
      </c>
      <c r="G3515" s="5" t="str">
        <f ca="1">IFERROR(__xludf.DUMMYFUNCTION("""COMPUTED_VALUE"""),"صيدلية محمد اكرم (شركة اورانج لخدمات الصيدليات)")</f>
        <v>صيدلية محمد اكرم (شركة اورانج لخدمات الصيدليات)</v>
      </c>
      <c r="H3515" s="5" t="str">
        <f ca="1">IFERROR(__xludf.DUMMYFUNCTION("""COMPUTED_VALUE"""),"8 ش الغنام معوض –مدينه نصر")</f>
        <v>8 ش الغنام معوض –مدينه نصر</v>
      </c>
      <c r="I3515" s="6" t="str">
        <f ca="1">IFERROR(__xludf.DUMMYFUNCTION("""COMPUTED_VALUE"""),"107277272")</f>
        <v>107277272</v>
      </c>
      <c r="J3515" s="6" t="str">
        <f ca="1">IFERROR(__xludf.DUMMYFUNCTION("""COMPUTED_VALUE"""),"19001")</f>
        <v>19001</v>
      </c>
      <c r="K3515" s="6" t="str">
        <f ca="1">IFERROR(__xludf.DUMMYFUNCTION("""COMPUTED_VALUE"""),"خصم 12% علي المحلي و6% علي المستورد")</f>
        <v>خصم 12% علي المحلي و6% علي المستورد</v>
      </c>
    </row>
    <row r="3516" spans="1:11" x14ac:dyDescent="0.25">
      <c r="A3516" s="4" t="str">
        <f ca="1">IFERROR(__xludf.DUMMYFUNCTION("""COMPUTED_VALUE"""),"107606-B")</f>
        <v>107606-B</v>
      </c>
      <c r="B3516" s="5" t="str">
        <f ca="1">IFERROR(__xludf.DUMMYFUNCTION("""COMPUTED_VALUE"""),"القليوبية")</f>
        <v>القليوبية</v>
      </c>
      <c r="C3516" s="5" t="str">
        <f ca="1">IFERROR(__xludf.DUMMYFUNCTION("""COMPUTED_VALUE"""),"شبرا الخيمة")</f>
        <v>شبرا الخيمة</v>
      </c>
      <c r="D3516" s="5" t="str">
        <f ca="1">IFERROR(__xludf.DUMMYFUNCTION("""COMPUTED_VALUE"""),"صيدلية")</f>
        <v>صيدلية</v>
      </c>
      <c r="E3516" s="5" t="str">
        <f ca="1">IFERROR(__xludf.DUMMYFUNCTION("""COMPUTED_VALUE"""),"صيدلية")</f>
        <v>صيدلية</v>
      </c>
      <c r="F3516" s="5" t="str">
        <f ca="1">IFERROR(__xludf.DUMMYFUNCTION("""COMPUTED_VALUE"""),"صيدلية (أدوية ومستلزمات طبية)")</f>
        <v>صيدلية (أدوية ومستلزمات طبية)</v>
      </c>
      <c r="G3516" s="5" t="str">
        <f ca="1">IFERROR(__xludf.DUMMYFUNCTION("""COMPUTED_VALUE"""),"صيدلية جورج شوقي (شركة اورانج لخدمات الصيدليات)")</f>
        <v>صيدلية جورج شوقي (شركة اورانج لخدمات الصيدليات)</v>
      </c>
      <c r="H3516" s="5" t="str">
        <f ca="1">IFERROR(__xludf.DUMMYFUNCTION("""COMPUTED_VALUE"""),"برج الصفا شارع ترعة الاسماعلية -مسطرد-شبرا الخيمة")</f>
        <v>برج الصفا شارع ترعة الاسماعلية -مسطرد-شبرا الخيمة</v>
      </c>
      <c r="I3516" s="6" t="str">
        <f ca="1">IFERROR(__xludf.DUMMYFUNCTION("""COMPUTED_VALUE"""),"1556995099")</f>
        <v>1556995099</v>
      </c>
      <c r="J3516" s="6" t="str">
        <f ca="1">IFERROR(__xludf.DUMMYFUNCTION("""COMPUTED_VALUE"""),"19001")</f>
        <v>19001</v>
      </c>
      <c r="K3516" s="6" t="str">
        <f ca="1">IFERROR(__xludf.DUMMYFUNCTION("""COMPUTED_VALUE"""),"خصم 12% علي المحلي و6% علي المستورد")</f>
        <v>خصم 12% علي المحلي و6% علي المستورد</v>
      </c>
    </row>
    <row r="3517" spans="1:11" x14ac:dyDescent="0.25">
      <c r="A3517" s="4" t="str">
        <f ca="1">IFERROR(__xludf.DUMMYFUNCTION("""COMPUTED_VALUE"""),"107606-B")</f>
        <v>107606-B</v>
      </c>
      <c r="B3517" s="5" t="str">
        <f ca="1">IFERROR(__xludf.DUMMYFUNCTION("""COMPUTED_VALUE"""),"القليوبية")</f>
        <v>القليوبية</v>
      </c>
      <c r="C3517" s="5" t="str">
        <f ca="1">IFERROR(__xludf.DUMMYFUNCTION("""COMPUTED_VALUE"""),"شبرا الخيمة")</f>
        <v>شبرا الخيمة</v>
      </c>
      <c r="D3517" s="5" t="str">
        <f ca="1">IFERROR(__xludf.DUMMYFUNCTION("""COMPUTED_VALUE"""),"صيدلية")</f>
        <v>صيدلية</v>
      </c>
      <c r="E3517" s="5" t="str">
        <f ca="1">IFERROR(__xludf.DUMMYFUNCTION("""COMPUTED_VALUE"""),"صيدلية")</f>
        <v>صيدلية</v>
      </c>
      <c r="F3517" s="5" t="str">
        <f ca="1">IFERROR(__xludf.DUMMYFUNCTION("""COMPUTED_VALUE"""),"صيدلية (أدوية ومستلزمات طبية)")</f>
        <v>صيدلية (أدوية ومستلزمات طبية)</v>
      </c>
      <c r="G3517" s="5" t="str">
        <f ca="1">IFERROR(__xludf.DUMMYFUNCTION("""COMPUTED_VALUE"""),"صيدلية د/ محمد علي سعد الجديدة (شركة اورانج لخدمات الصيدليات)")</f>
        <v>صيدلية د/ محمد علي سعد الجديدة (شركة اورانج لخدمات الصيدليات)</v>
      </c>
      <c r="H3517" s="5" t="str">
        <f ca="1">IFERROR(__xludf.DUMMYFUNCTION("""COMPUTED_VALUE"""),"14ش الشعب - من ش أحمد عرابي - عزبة عثمان - شبرا الخيمة")</f>
        <v>14ش الشعب - من ش أحمد عرابي - عزبة عثمان - شبرا الخيمة</v>
      </c>
      <c r="I3517" s="6" t="str">
        <f ca="1">IFERROR(__xludf.DUMMYFUNCTION("""COMPUTED_VALUE"""),"46014253")</f>
        <v>46014253</v>
      </c>
      <c r="J3517" s="6" t="str">
        <f ca="1">IFERROR(__xludf.DUMMYFUNCTION("""COMPUTED_VALUE"""),"19001")</f>
        <v>19001</v>
      </c>
      <c r="K3517" s="6" t="str">
        <f ca="1">IFERROR(__xludf.DUMMYFUNCTION("""COMPUTED_VALUE"""),"خصم 12% علي المحلي و6% علي المستورد")</f>
        <v>خصم 12% علي المحلي و6% علي المستورد</v>
      </c>
    </row>
    <row r="3518" spans="1:11" x14ac:dyDescent="0.25">
      <c r="A3518" s="4" t="str">
        <f ca="1">IFERROR(__xludf.DUMMYFUNCTION("""COMPUTED_VALUE"""),"107606-B")</f>
        <v>107606-B</v>
      </c>
      <c r="B3518" s="5" t="str">
        <f ca="1">IFERROR(__xludf.DUMMYFUNCTION("""COMPUTED_VALUE"""),"القليوبية")</f>
        <v>القليوبية</v>
      </c>
      <c r="C3518" s="5" t="str">
        <f ca="1">IFERROR(__xludf.DUMMYFUNCTION("""COMPUTED_VALUE"""),"الخانكة")</f>
        <v>الخانكة</v>
      </c>
      <c r="D3518" s="5" t="str">
        <f ca="1">IFERROR(__xludf.DUMMYFUNCTION("""COMPUTED_VALUE"""),"صيدلية")</f>
        <v>صيدلية</v>
      </c>
      <c r="E3518" s="5" t="str">
        <f ca="1">IFERROR(__xludf.DUMMYFUNCTION("""COMPUTED_VALUE"""),"صيدلية")</f>
        <v>صيدلية</v>
      </c>
      <c r="F3518" s="5" t="str">
        <f ca="1">IFERROR(__xludf.DUMMYFUNCTION("""COMPUTED_VALUE"""),"صيدلية (أدوية ومستلزمات طبية)")</f>
        <v>صيدلية (أدوية ومستلزمات طبية)</v>
      </c>
      <c r="G3518" s="5" t="str">
        <f ca="1">IFERROR(__xludf.DUMMYFUNCTION("""COMPUTED_VALUE"""),"صيدلية احمد الصياد (شركة اورانج لخدمات الصيدليات)")</f>
        <v>صيدلية احمد الصياد (شركة اورانج لخدمات الصيدليات)</v>
      </c>
      <c r="H3518" s="5" t="str">
        <f ca="1">IFERROR(__xludf.DUMMYFUNCTION("""COMPUTED_VALUE"""),"ش علي الضلع من شارع البترول امتداد الخلفاء الراشدين-الخصوص-الخانكة")</f>
        <v>ش علي الضلع من شارع البترول امتداد الخلفاء الراشدين-الخصوص-الخانكة</v>
      </c>
      <c r="I3518" s="6" t="str">
        <f ca="1">IFERROR(__xludf.DUMMYFUNCTION("""COMPUTED_VALUE"""),"1024227080")</f>
        <v>1024227080</v>
      </c>
      <c r="J3518" s="6" t="str">
        <f ca="1">IFERROR(__xludf.DUMMYFUNCTION("""COMPUTED_VALUE"""),"19001")</f>
        <v>19001</v>
      </c>
      <c r="K3518" s="6" t="str">
        <f ca="1">IFERROR(__xludf.DUMMYFUNCTION("""COMPUTED_VALUE"""),"خصم 12% علي المحلي و6% علي المستورد")</f>
        <v>خصم 12% علي المحلي و6% علي المستورد</v>
      </c>
    </row>
    <row r="3519" spans="1:11" x14ac:dyDescent="0.25">
      <c r="A3519" s="4" t="str">
        <f ca="1">IFERROR(__xludf.DUMMYFUNCTION("""COMPUTED_VALUE"""),"107606-B")</f>
        <v>107606-B</v>
      </c>
      <c r="B3519" s="5" t="str">
        <f ca="1">IFERROR(__xludf.DUMMYFUNCTION("""COMPUTED_VALUE"""),"القليوبية")</f>
        <v>القليوبية</v>
      </c>
      <c r="C3519" s="5" t="str">
        <f ca="1">IFERROR(__xludf.DUMMYFUNCTION("""COMPUTED_VALUE"""),"طوخ")</f>
        <v>طوخ</v>
      </c>
      <c r="D3519" s="5" t="str">
        <f ca="1">IFERROR(__xludf.DUMMYFUNCTION("""COMPUTED_VALUE"""),"صيدلية")</f>
        <v>صيدلية</v>
      </c>
      <c r="E3519" s="5" t="str">
        <f ca="1">IFERROR(__xludf.DUMMYFUNCTION("""COMPUTED_VALUE"""),"صيدلية")</f>
        <v>صيدلية</v>
      </c>
      <c r="F3519" s="5" t="str">
        <f ca="1">IFERROR(__xludf.DUMMYFUNCTION("""COMPUTED_VALUE"""),"صيدلية (أدوية ومستلزمات طبية)")</f>
        <v>صيدلية (أدوية ومستلزمات طبية)</v>
      </c>
      <c r="G3519" s="5" t="str">
        <f ca="1">IFERROR(__xludf.DUMMYFUNCTION("""COMPUTED_VALUE"""),"صيدلية فرجانى (شركة اورانج لخدمات الصيدليات)")</f>
        <v>صيدلية فرجانى (شركة اورانج لخدمات الصيدليات)</v>
      </c>
      <c r="H3519" s="5" t="str">
        <f ca="1">IFERROR(__xludf.DUMMYFUNCTION("""COMPUTED_VALUE"""),"شارع النقراشي-برج المختار-طوخ-القليوبيه")</f>
        <v>شارع النقراشي-برج المختار-طوخ-القليوبيه</v>
      </c>
      <c r="I3519" s="6" t="str">
        <f ca="1">IFERROR(__xludf.DUMMYFUNCTION("""COMPUTED_VALUE"""),"01020509967")</f>
        <v>01020509967</v>
      </c>
      <c r="J3519" s="6" t="str">
        <f ca="1">IFERROR(__xludf.DUMMYFUNCTION("""COMPUTED_VALUE"""),"19001")</f>
        <v>19001</v>
      </c>
      <c r="K3519" s="6" t="str">
        <f ca="1">IFERROR(__xludf.DUMMYFUNCTION("""COMPUTED_VALUE"""),"خصم 12% علي المحلي و6% علي المستورد")</f>
        <v>خصم 12% علي المحلي و6% علي المستورد</v>
      </c>
    </row>
    <row r="3520" spans="1:11" x14ac:dyDescent="0.25">
      <c r="A3520" s="4" t="str">
        <f ca="1">IFERROR(__xludf.DUMMYFUNCTION("""COMPUTED_VALUE"""),"107606-B")</f>
        <v>107606-B</v>
      </c>
      <c r="B3520" s="5" t="str">
        <f ca="1">IFERROR(__xludf.DUMMYFUNCTION("""COMPUTED_VALUE"""),"المنوفية")</f>
        <v>المنوفية</v>
      </c>
      <c r="C3520" s="5" t="str">
        <f ca="1">IFERROR(__xludf.DUMMYFUNCTION("""COMPUTED_VALUE"""),"شبين الكوم")</f>
        <v>شبين الكوم</v>
      </c>
      <c r="D3520" s="5" t="str">
        <f ca="1">IFERROR(__xludf.DUMMYFUNCTION("""COMPUTED_VALUE"""),"صيدلية")</f>
        <v>صيدلية</v>
      </c>
      <c r="E3520" s="5" t="str">
        <f ca="1">IFERROR(__xludf.DUMMYFUNCTION("""COMPUTED_VALUE"""),"صيدلية")</f>
        <v>صيدلية</v>
      </c>
      <c r="F3520" s="5" t="str">
        <f ca="1">IFERROR(__xludf.DUMMYFUNCTION("""COMPUTED_VALUE"""),"صيدلية (أدوية ومستلزمات طبية)")</f>
        <v>صيدلية (أدوية ومستلزمات طبية)</v>
      </c>
      <c r="G3520" s="5" t="str">
        <f ca="1">IFERROR(__xludf.DUMMYFUNCTION("""COMPUTED_VALUE"""),"صيدلية الشافعي الجديدة (شركة اورانج لخدمات الصيدليات)")</f>
        <v>صيدلية الشافعي الجديدة (شركة اورانج لخدمات الصيدليات)</v>
      </c>
      <c r="H3520" s="5" t="str">
        <f ca="1">IFERROR(__xludf.DUMMYFUNCTION("""COMPUTED_VALUE"""),"شارع راشد عبدالله. شبين الكوم. المنوفية")</f>
        <v>شارع راشد عبدالله. شبين الكوم. المنوفية</v>
      </c>
      <c r="I3520" s="6" t="str">
        <f ca="1">IFERROR(__xludf.DUMMYFUNCTION("""COMPUTED_VALUE"""),"1061680988")</f>
        <v>1061680988</v>
      </c>
      <c r="J3520" s="6" t="str">
        <f ca="1">IFERROR(__xludf.DUMMYFUNCTION("""COMPUTED_VALUE"""),"19001")</f>
        <v>19001</v>
      </c>
      <c r="K3520" s="6" t="str">
        <f ca="1">IFERROR(__xludf.DUMMYFUNCTION("""COMPUTED_VALUE"""),"خصم 12% علي المحلي و6% علي المستورد")</f>
        <v>خصم 12% علي المحلي و6% علي المستورد</v>
      </c>
    </row>
    <row r="3521" spans="1:11" x14ac:dyDescent="0.25">
      <c r="A3521" s="4" t="str">
        <f ca="1">IFERROR(__xludf.DUMMYFUNCTION("""COMPUTED_VALUE"""),"107606-B")</f>
        <v>107606-B</v>
      </c>
      <c r="B3521" s="5" t="str">
        <f ca="1">IFERROR(__xludf.DUMMYFUNCTION("""COMPUTED_VALUE"""),"المنوفية")</f>
        <v>المنوفية</v>
      </c>
      <c r="C3521" s="5" t="str">
        <f ca="1">IFERROR(__xludf.DUMMYFUNCTION("""COMPUTED_VALUE"""),"مدينه السادات")</f>
        <v>مدينه السادات</v>
      </c>
      <c r="D3521" s="5" t="str">
        <f ca="1">IFERROR(__xludf.DUMMYFUNCTION("""COMPUTED_VALUE"""),"صيدلية")</f>
        <v>صيدلية</v>
      </c>
      <c r="E3521" s="5" t="str">
        <f ca="1">IFERROR(__xludf.DUMMYFUNCTION("""COMPUTED_VALUE"""),"صيدلية")</f>
        <v>صيدلية</v>
      </c>
      <c r="F3521" s="5" t="str">
        <f ca="1">IFERROR(__xludf.DUMMYFUNCTION("""COMPUTED_VALUE"""),"صيدلية (أدوية ومستلزمات طبية)")</f>
        <v>صيدلية (أدوية ومستلزمات طبية)</v>
      </c>
      <c r="G3521" s="5" t="str">
        <f ca="1">IFERROR(__xludf.DUMMYFUNCTION("""COMPUTED_VALUE"""),"صيدلية د/ طلعت أبو ريا (شركة اورانج لخدمات الصيدليات)")</f>
        <v>صيدلية د/ طلعت أبو ريا (شركة اورانج لخدمات الصيدليات)</v>
      </c>
      <c r="H3521" s="5" t="str">
        <f ca="1">IFERROR(__xludf.DUMMYFUNCTION("""COMPUTED_VALUE"""),"محل رقم 11 - السوق التجاري - بالمنطقة السكنية - السادسة عشر - المرحلة الأولى - السادات - المنوفية")</f>
        <v>محل رقم 11 - السوق التجاري - بالمنطقة السكنية - السادسة عشر - المرحلة الأولى - السادات - المنوفية</v>
      </c>
      <c r="I3521" s="6" t="str">
        <f ca="1">IFERROR(__xludf.DUMMYFUNCTION("""COMPUTED_VALUE"""),"048 2657997")</f>
        <v>048 2657997</v>
      </c>
      <c r="J3521" s="6" t="str">
        <f ca="1">IFERROR(__xludf.DUMMYFUNCTION("""COMPUTED_VALUE"""),"19001")</f>
        <v>19001</v>
      </c>
      <c r="K3521" s="6" t="str">
        <f ca="1">IFERROR(__xludf.DUMMYFUNCTION("""COMPUTED_VALUE"""),"خصم 12% علي المحلي و6% علي المستورد")</f>
        <v>خصم 12% علي المحلي و6% علي المستورد</v>
      </c>
    </row>
    <row r="3522" spans="1:11" x14ac:dyDescent="0.25">
      <c r="A3522" s="4" t="str">
        <f ca="1">IFERROR(__xludf.DUMMYFUNCTION("""COMPUTED_VALUE"""),"107606-B")</f>
        <v>107606-B</v>
      </c>
      <c r="B3522" s="5" t="str">
        <f ca="1">IFERROR(__xludf.DUMMYFUNCTION("""COMPUTED_VALUE"""),"المنوفية")</f>
        <v>المنوفية</v>
      </c>
      <c r="C3522" s="5" t="str">
        <f ca="1">IFERROR(__xludf.DUMMYFUNCTION("""COMPUTED_VALUE"""),"قويسنا")</f>
        <v>قويسنا</v>
      </c>
      <c r="D3522" s="5" t="str">
        <f ca="1">IFERROR(__xludf.DUMMYFUNCTION("""COMPUTED_VALUE"""),"صيدلية")</f>
        <v>صيدلية</v>
      </c>
      <c r="E3522" s="5" t="str">
        <f ca="1">IFERROR(__xludf.DUMMYFUNCTION("""COMPUTED_VALUE"""),"صيدلية")</f>
        <v>صيدلية</v>
      </c>
      <c r="F3522" s="5" t="str">
        <f ca="1">IFERROR(__xludf.DUMMYFUNCTION("""COMPUTED_VALUE"""),"صيدلية (أدوية ومستلزمات طبية)")</f>
        <v>صيدلية (أدوية ومستلزمات طبية)</v>
      </c>
      <c r="G3522" s="5" t="str">
        <f ca="1">IFERROR(__xludf.DUMMYFUNCTION("""COMPUTED_VALUE"""),"صيدلية د/ خالد فوزي (شركة اورانج لخدمات الصيدليات)")</f>
        <v>صيدلية د/ خالد فوزي (شركة اورانج لخدمات الصيدليات)</v>
      </c>
      <c r="H3522" s="5" t="str">
        <f ca="1">IFERROR(__xludf.DUMMYFUNCTION("""COMPUTED_VALUE"""),"شارع العهد الجديد - قويسنا - المنوفية")</f>
        <v>شارع العهد الجديد - قويسنا - المنوفية</v>
      </c>
      <c r="I3522" s="6" t="str">
        <f ca="1">IFERROR(__xludf.DUMMYFUNCTION("""COMPUTED_VALUE"""),"1003866299")</f>
        <v>1003866299</v>
      </c>
      <c r="J3522" s="6" t="str">
        <f ca="1">IFERROR(__xludf.DUMMYFUNCTION("""COMPUTED_VALUE"""),"19001")</f>
        <v>19001</v>
      </c>
      <c r="K3522" s="6" t="str">
        <f ca="1">IFERROR(__xludf.DUMMYFUNCTION("""COMPUTED_VALUE"""),"خصم 12% علي المحلي و6% علي المستورد")</f>
        <v>خصم 12% علي المحلي و6% علي المستورد</v>
      </c>
    </row>
    <row r="3523" spans="1:11" x14ac:dyDescent="0.25">
      <c r="A3523" s="4" t="str">
        <f ca="1">IFERROR(__xludf.DUMMYFUNCTION("""COMPUTED_VALUE"""),"107606-B")</f>
        <v>107606-B</v>
      </c>
      <c r="B3523" s="5" t="str">
        <f ca="1">IFERROR(__xludf.DUMMYFUNCTION("""COMPUTED_VALUE"""),"المنوفية")</f>
        <v>المنوفية</v>
      </c>
      <c r="C3523" s="5" t="str">
        <f ca="1">IFERROR(__xludf.DUMMYFUNCTION("""COMPUTED_VALUE"""),"اشمون")</f>
        <v>اشمون</v>
      </c>
      <c r="D3523" s="5" t="str">
        <f ca="1">IFERROR(__xludf.DUMMYFUNCTION("""COMPUTED_VALUE"""),"صيدلية")</f>
        <v>صيدلية</v>
      </c>
      <c r="E3523" s="5" t="str">
        <f ca="1">IFERROR(__xludf.DUMMYFUNCTION("""COMPUTED_VALUE"""),"صيدلية")</f>
        <v>صيدلية</v>
      </c>
      <c r="F3523" s="5" t="str">
        <f ca="1">IFERROR(__xludf.DUMMYFUNCTION("""COMPUTED_VALUE"""),"صيدلية (أدوية ومستلزمات طبية)")</f>
        <v>صيدلية (أدوية ومستلزمات طبية)</v>
      </c>
      <c r="G3523" s="5" t="str">
        <f ca="1">IFERROR(__xludf.DUMMYFUNCTION("""COMPUTED_VALUE"""),"صيدلية د/ مصطفي أحمد كمال (شركة اورانج لخدمات الصيدليات)")</f>
        <v>صيدلية د/ مصطفي أحمد كمال (شركة اورانج لخدمات الصيدليات)</v>
      </c>
      <c r="H3523" s="5" t="str">
        <f ca="1">IFERROR(__xludf.DUMMYFUNCTION("""COMPUTED_VALUE"""),"طهواي - أشمون - المنوفية")</f>
        <v>طهواي - أشمون - المنوفية</v>
      </c>
      <c r="I3523" s="6" t="str">
        <f ca="1">IFERROR(__xludf.DUMMYFUNCTION("""COMPUTED_VALUE"""),"1003623212")</f>
        <v>1003623212</v>
      </c>
      <c r="J3523" s="6" t="str">
        <f ca="1">IFERROR(__xludf.DUMMYFUNCTION("""COMPUTED_VALUE"""),"19001")</f>
        <v>19001</v>
      </c>
      <c r="K3523" s="6" t="str">
        <f ca="1">IFERROR(__xludf.DUMMYFUNCTION("""COMPUTED_VALUE"""),"خصم 12% علي المحلي و6% علي المستورد")</f>
        <v>خصم 12% علي المحلي و6% علي المستورد</v>
      </c>
    </row>
    <row r="3524" spans="1:11" x14ac:dyDescent="0.25">
      <c r="A3524" s="4" t="str">
        <f ca="1">IFERROR(__xludf.DUMMYFUNCTION("""COMPUTED_VALUE"""),"107606-B")</f>
        <v>107606-B</v>
      </c>
      <c r="B3524" s="5" t="str">
        <f ca="1">IFERROR(__xludf.DUMMYFUNCTION("""COMPUTED_VALUE"""),"المنوفية")</f>
        <v>المنوفية</v>
      </c>
      <c r="C3524" s="5" t="str">
        <f ca="1">IFERROR(__xludf.DUMMYFUNCTION("""COMPUTED_VALUE"""),"اشمون")</f>
        <v>اشمون</v>
      </c>
      <c r="D3524" s="5" t="str">
        <f ca="1">IFERROR(__xludf.DUMMYFUNCTION("""COMPUTED_VALUE"""),"صيدلية")</f>
        <v>صيدلية</v>
      </c>
      <c r="E3524" s="5" t="str">
        <f ca="1">IFERROR(__xludf.DUMMYFUNCTION("""COMPUTED_VALUE"""),"صيدلية")</f>
        <v>صيدلية</v>
      </c>
      <c r="F3524" s="5" t="str">
        <f ca="1">IFERROR(__xludf.DUMMYFUNCTION("""COMPUTED_VALUE"""),"صيدلية (أدوية ومستلزمات طبية)")</f>
        <v>صيدلية (أدوية ومستلزمات طبية)</v>
      </c>
      <c r="G3524" s="5" t="str">
        <f ca="1">IFERROR(__xludf.DUMMYFUNCTION("""COMPUTED_VALUE"""),"صيدلية امل عبد المنعم درويش (شركة اورانج لخدمات الصيدليات)")</f>
        <v>صيدلية امل عبد المنعم درويش (شركة اورانج لخدمات الصيدليات)</v>
      </c>
      <c r="H3524" s="5" t="str">
        <f ca="1">IFERROR(__xludf.DUMMYFUNCTION("""COMPUTED_VALUE"""),"طهواي-اشمون-المنوفية")</f>
        <v>طهواي-اشمون-المنوفية</v>
      </c>
      <c r="I3524" s="6" t="str">
        <f ca="1">IFERROR(__xludf.DUMMYFUNCTION("""COMPUTED_VALUE"""),"1285488663")</f>
        <v>1285488663</v>
      </c>
      <c r="J3524" s="6" t="str">
        <f ca="1">IFERROR(__xludf.DUMMYFUNCTION("""COMPUTED_VALUE"""),"19001")</f>
        <v>19001</v>
      </c>
      <c r="K3524" s="6" t="str">
        <f ca="1">IFERROR(__xludf.DUMMYFUNCTION("""COMPUTED_VALUE"""),"خصم 12% علي المحلي و6% علي المستورد")</f>
        <v>خصم 12% علي المحلي و6% علي المستورد</v>
      </c>
    </row>
    <row r="3525" spans="1:11" x14ac:dyDescent="0.25">
      <c r="A3525" s="4" t="str">
        <f ca="1">IFERROR(__xludf.DUMMYFUNCTION("""COMPUTED_VALUE"""),"107606-B")</f>
        <v>107606-B</v>
      </c>
      <c r="B3525" s="5" t="str">
        <f ca="1">IFERROR(__xludf.DUMMYFUNCTION("""COMPUTED_VALUE"""),"المنوفية")</f>
        <v>المنوفية</v>
      </c>
      <c r="C3525" s="5" t="str">
        <f ca="1">IFERROR(__xludf.DUMMYFUNCTION("""COMPUTED_VALUE"""),"مدينه السادات")</f>
        <v>مدينه السادات</v>
      </c>
      <c r="D3525" s="5" t="str">
        <f ca="1">IFERROR(__xludf.DUMMYFUNCTION("""COMPUTED_VALUE"""),"صيدلية")</f>
        <v>صيدلية</v>
      </c>
      <c r="E3525" s="5" t="str">
        <f ca="1">IFERROR(__xludf.DUMMYFUNCTION("""COMPUTED_VALUE"""),"صيدلية")</f>
        <v>صيدلية</v>
      </c>
      <c r="F3525" s="5" t="str">
        <f ca="1">IFERROR(__xludf.DUMMYFUNCTION("""COMPUTED_VALUE"""),"صيدلية (أدوية ومستلزمات طبية)")</f>
        <v>صيدلية (أدوية ومستلزمات طبية)</v>
      </c>
      <c r="G3525" s="5" t="str">
        <f ca="1">IFERROR(__xludf.DUMMYFUNCTION("""COMPUTED_VALUE"""),"صيدلية مصطفي احمد خلف (شركة اورانج لخدمات الصيدليات)")</f>
        <v>صيدلية مصطفي احمد خلف (شركة اورانج لخدمات الصيدليات)</v>
      </c>
      <c r="H3525" s="5" t="str">
        <f ca="1">IFERROR(__xludf.DUMMYFUNCTION("""COMPUTED_VALUE"""),"جزيرة ابو نشابة -السادات-المنوفية")</f>
        <v>جزيرة ابو نشابة -السادات-المنوفية</v>
      </c>
      <c r="I3525" s="6" t="str">
        <f ca="1">IFERROR(__xludf.DUMMYFUNCTION("""COMPUTED_VALUE"""),"1027966403")</f>
        <v>1027966403</v>
      </c>
      <c r="J3525" s="6" t="str">
        <f ca="1">IFERROR(__xludf.DUMMYFUNCTION("""COMPUTED_VALUE"""),"19001")</f>
        <v>19001</v>
      </c>
      <c r="K3525" s="6" t="str">
        <f ca="1">IFERROR(__xludf.DUMMYFUNCTION("""COMPUTED_VALUE"""),"خصم 12% علي المحلي و6% علي المستورد")</f>
        <v>خصم 12% علي المحلي و6% علي المستورد</v>
      </c>
    </row>
    <row r="3526" spans="1:11" x14ac:dyDescent="0.25">
      <c r="A3526" s="4" t="str">
        <f ca="1">IFERROR(__xludf.DUMMYFUNCTION("""COMPUTED_VALUE"""),"107606-B")</f>
        <v>107606-B</v>
      </c>
      <c r="B3526" s="5" t="str">
        <f ca="1">IFERROR(__xludf.DUMMYFUNCTION("""COMPUTED_VALUE"""),"المنوفية")</f>
        <v>المنوفية</v>
      </c>
      <c r="C3526" s="5" t="str">
        <f ca="1">IFERROR(__xludf.DUMMYFUNCTION("""COMPUTED_VALUE"""),"مدينه السادات")</f>
        <v>مدينه السادات</v>
      </c>
      <c r="D3526" s="5" t="str">
        <f ca="1">IFERROR(__xludf.DUMMYFUNCTION("""COMPUTED_VALUE"""),"صيدلية")</f>
        <v>صيدلية</v>
      </c>
      <c r="E3526" s="5" t="str">
        <f ca="1">IFERROR(__xludf.DUMMYFUNCTION("""COMPUTED_VALUE"""),"صيدلية")</f>
        <v>صيدلية</v>
      </c>
      <c r="F3526" s="5" t="str">
        <f ca="1">IFERROR(__xludf.DUMMYFUNCTION("""COMPUTED_VALUE"""),"صيدلية (أدوية ومستلزمات طبية)")</f>
        <v>صيدلية (أدوية ومستلزمات طبية)</v>
      </c>
      <c r="G3526" s="5" t="str">
        <f ca="1">IFERROR(__xludf.DUMMYFUNCTION("""COMPUTED_VALUE"""),"صيدلية ذكريا ابو شادي (شركة اورانج لخدمات الصيدليات)")</f>
        <v>صيدلية ذكريا ابو شادي (شركة اورانج لخدمات الصيدليات)</v>
      </c>
      <c r="H3526" s="5" t="str">
        <f ca="1">IFERROR(__xludf.DUMMYFUNCTION("""COMPUTED_VALUE"""),"قرية اصطباري-شبين الكوم -المنوفية")</f>
        <v>قرية اصطباري-شبين الكوم -المنوفية</v>
      </c>
      <c r="I3526" s="6" t="str">
        <f ca="1">IFERROR(__xludf.DUMMYFUNCTION("""COMPUTED_VALUE"""),"1091843956")</f>
        <v>1091843956</v>
      </c>
      <c r="J3526" s="6" t="str">
        <f ca="1">IFERROR(__xludf.DUMMYFUNCTION("""COMPUTED_VALUE"""),"19001")</f>
        <v>19001</v>
      </c>
      <c r="K3526" s="6" t="str">
        <f ca="1">IFERROR(__xludf.DUMMYFUNCTION("""COMPUTED_VALUE"""),"خصم 12% علي المحلي و6% علي المستورد")</f>
        <v>خصم 12% علي المحلي و6% علي المستورد</v>
      </c>
    </row>
    <row r="3527" spans="1:11" x14ac:dyDescent="0.25">
      <c r="A3527" s="4" t="str">
        <f ca="1">IFERROR(__xludf.DUMMYFUNCTION("""COMPUTED_VALUE"""),"107606-B")</f>
        <v>107606-B</v>
      </c>
      <c r="B3527" s="5" t="str">
        <f ca="1">IFERROR(__xludf.DUMMYFUNCTION("""COMPUTED_VALUE"""),"المنوفية")</f>
        <v>المنوفية</v>
      </c>
      <c r="C3527" s="5" t="str">
        <f ca="1">IFERROR(__xludf.DUMMYFUNCTION("""COMPUTED_VALUE"""),"مدينه السادات")</f>
        <v>مدينه السادات</v>
      </c>
      <c r="D3527" s="5" t="str">
        <f ca="1">IFERROR(__xludf.DUMMYFUNCTION("""COMPUTED_VALUE"""),"صيدلية")</f>
        <v>صيدلية</v>
      </c>
      <c r="E3527" s="5" t="str">
        <f ca="1">IFERROR(__xludf.DUMMYFUNCTION("""COMPUTED_VALUE"""),"صيدلية")</f>
        <v>صيدلية</v>
      </c>
      <c r="F3527" s="5" t="str">
        <f ca="1">IFERROR(__xludf.DUMMYFUNCTION("""COMPUTED_VALUE"""),"صيدلية (أدوية ومستلزمات طبية)")</f>
        <v>صيدلية (أدوية ومستلزمات طبية)</v>
      </c>
      <c r="G3527" s="5" t="str">
        <f ca="1">IFERROR(__xludf.DUMMYFUNCTION("""COMPUTED_VALUE"""),"صيدلية عبد الرحمن علي محمد (شركة اورانج لخدمات الصيدليات)")</f>
        <v>صيدلية عبد الرحمن علي محمد (شركة اورانج لخدمات الصيدليات)</v>
      </c>
      <c r="H3527" s="5" t="str">
        <f ca="1">IFERROR(__xludf.DUMMYFUNCTION("""COMPUTED_VALUE"""),"محور خدمات الي السابع - قطعة رقم 7 محل رقم 9 مركز السادات")</f>
        <v>محور خدمات الي السابع - قطعة رقم 7 محل رقم 9 مركز السادات</v>
      </c>
      <c r="I3527" s="6" t="str">
        <f ca="1">IFERROR(__xludf.DUMMYFUNCTION("""COMPUTED_VALUE"""),"1558014831")</f>
        <v>1558014831</v>
      </c>
      <c r="J3527" s="6" t="str">
        <f ca="1">IFERROR(__xludf.DUMMYFUNCTION("""COMPUTED_VALUE"""),"19001")</f>
        <v>19001</v>
      </c>
      <c r="K3527" s="6" t="str">
        <f ca="1">IFERROR(__xludf.DUMMYFUNCTION("""COMPUTED_VALUE"""),"خصم 12% علي المحلي و6% علي المستورد")</f>
        <v>خصم 12% علي المحلي و6% علي المستورد</v>
      </c>
    </row>
    <row r="3528" spans="1:11" x14ac:dyDescent="0.25">
      <c r="A3528" s="4" t="str">
        <f ca="1">IFERROR(__xludf.DUMMYFUNCTION("""COMPUTED_VALUE"""),"107606-B")</f>
        <v>107606-B</v>
      </c>
      <c r="B3528" s="5" t="str">
        <f ca="1">IFERROR(__xludf.DUMMYFUNCTION("""COMPUTED_VALUE"""),"المنيا")</f>
        <v>المنيا</v>
      </c>
      <c r="C3528" s="5" t="str">
        <f ca="1">IFERROR(__xludf.DUMMYFUNCTION("""COMPUTED_VALUE"""),"المنيا")</f>
        <v>المنيا</v>
      </c>
      <c r="D3528" s="5" t="str">
        <f ca="1">IFERROR(__xludf.DUMMYFUNCTION("""COMPUTED_VALUE"""),"صيدلية")</f>
        <v>صيدلية</v>
      </c>
      <c r="E3528" s="5" t="str">
        <f ca="1">IFERROR(__xludf.DUMMYFUNCTION("""COMPUTED_VALUE"""),"صيدلية")</f>
        <v>صيدلية</v>
      </c>
      <c r="F3528" s="5" t="str">
        <f ca="1">IFERROR(__xludf.DUMMYFUNCTION("""COMPUTED_VALUE"""),"صيدلية (أدوية ومستلزمات طبية)")</f>
        <v>صيدلية (أدوية ومستلزمات طبية)</v>
      </c>
      <c r="G3528" s="5" t="str">
        <f ca="1">IFERROR(__xludf.DUMMYFUNCTION("""COMPUTED_VALUE"""),"صيدلية د/ مينا ناجي (شركة اورانج لخدمات الصيدليات)")</f>
        <v>صيدلية د/ مينا ناجي (شركة اورانج لخدمات الصيدليات)</v>
      </c>
      <c r="H3528" s="5" t="str">
        <f ca="1">IFERROR(__xludf.DUMMYFUNCTION("""COMPUTED_VALUE"""),"16تقسيم ثابت زكي - بندر المنيا - المنيا")</f>
        <v>16تقسيم ثابت زكي - بندر المنيا - المنيا</v>
      </c>
      <c r="I3528" s="6" t="str">
        <f ca="1">IFERROR(__xludf.DUMMYFUNCTION("""COMPUTED_VALUE"""),"1223793052")</f>
        <v>1223793052</v>
      </c>
      <c r="J3528" s="6" t="str">
        <f ca="1">IFERROR(__xludf.DUMMYFUNCTION("""COMPUTED_VALUE"""),"19001")</f>
        <v>19001</v>
      </c>
      <c r="K3528" s="6" t="str">
        <f ca="1">IFERROR(__xludf.DUMMYFUNCTION("""COMPUTED_VALUE"""),"خصم 12% علي المحلي و6% علي المستورد")</f>
        <v>خصم 12% علي المحلي و6% علي المستورد</v>
      </c>
    </row>
    <row r="3529" spans="1:11" x14ac:dyDescent="0.25">
      <c r="A3529" s="4" t="str">
        <f ca="1">IFERROR(__xludf.DUMMYFUNCTION("""COMPUTED_VALUE"""),"107606-B")</f>
        <v>107606-B</v>
      </c>
      <c r="B3529" s="5" t="str">
        <f ca="1">IFERROR(__xludf.DUMMYFUNCTION("""COMPUTED_VALUE"""),"المنيا")</f>
        <v>المنيا</v>
      </c>
      <c r="C3529" s="5" t="str">
        <f ca="1">IFERROR(__xludf.DUMMYFUNCTION("""COMPUTED_VALUE"""),"المنيا")</f>
        <v>المنيا</v>
      </c>
      <c r="D3529" s="5" t="str">
        <f ca="1">IFERROR(__xludf.DUMMYFUNCTION("""COMPUTED_VALUE"""),"صيدلية")</f>
        <v>صيدلية</v>
      </c>
      <c r="E3529" s="5" t="str">
        <f ca="1">IFERROR(__xludf.DUMMYFUNCTION("""COMPUTED_VALUE"""),"صيدلية")</f>
        <v>صيدلية</v>
      </c>
      <c r="F3529" s="5" t="str">
        <f ca="1">IFERROR(__xludf.DUMMYFUNCTION("""COMPUTED_VALUE"""),"صيدلية (أدوية ومستلزمات طبية)")</f>
        <v>صيدلية (أدوية ومستلزمات طبية)</v>
      </c>
      <c r="G3529" s="5" t="str">
        <f ca="1">IFERROR(__xludf.DUMMYFUNCTION("""COMPUTED_VALUE"""),"صيدلية د/ أيمن عبد العظيم شحاته (شركة اورانج لخدمات الصيدليات)")</f>
        <v>صيدلية د/ أيمن عبد العظيم شحاته (شركة اورانج لخدمات الصيدليات)</v>
      </c>
      <c r="H3529" s="5" t="str">
        <f ca="1">IFERROR(__xludf.DUMMYFUNCTION("""COMPUTED_VALUE"""),"19ش الترعة الدماريسيه - حي الأخصاص - خلف مدينة الطالبات - المنيا")</f>
        <v>19ش الترعة الدماريسيه - حي الأخصاص - خلف مدينة الطالبات - المنيا</v>
      </c>
      <c r="I3529" s="6" t="str">
        <f ca="1">IFERROR(__xludf.DUMMYFUNCTION("""COMPUTED_VALUE"""),"1277360348")</f>
        <v>1277360348</v>
      </c>
      <c r="J3529" s="6" t="str">
        <f ca="1">IFERROR(__xludf.DUMMYFUNCTION("""COMPUTED_VALUE"""),"19001")</f>
        <v>19001</v>
      </c>
      <c r="K3529" s="6" t="str">
        <f ca="1">IFERROR(__xludf.DUMMYFUNCTION("""COMPUTED_VALUE"""),"خصم 12% علي المحلي و6% علي المستورد")</f>
        <v>خصم 12% علي المحلي و6% علي المستورد</v>
      </c>
    </row>
    <row r="3530" spans="1:11" x14ac:dyDescent="0.25">
      <c r="A3530" s="4" t="str">
        <f ca="1">IFERROR(__xludf.DUMMYFUNCTION("""COMPUTED_VALUE"""),"107606-B")</f>
        <v>107606-B</v>
      </c>
      <c r="B3530" s="5" t="str">
        <f ca="1">IFERROR(__xludf.DUMMYFUNCTION("""COMPUTED_VALUE"""),"المنيا")</f>
        <v>المنيا</v>
      </c>
      <c r="C3530" s="5" t="str">
        <f ca="1">IFERROR(__xludf.DUMMYFUNCTION("""COMPUTED_VALUE"""),"المنيا")</f>
        <v>المنيا</v>
      </c>
      <c r="D3530" s="5" t="str">
        <f ca="1">IFERROR(__xludf.DUMMYFUNCTION("""COMPUTED_VALUE"""),"صيدلية")</f>
        <v>صيدلية</v>
      </c>
      <c r="E3530" s="5" t="str">
        <f ca="1">IFERROR(__xludf.DUMMYFUNCTION("""COMPUTED_VALUE"""),"صيدلية")</f>
        <v>صيدلية</v>
      </c>
      <c r="F3530" s="5" t="str">
        <f ca="1">IFERROR(__xludf.DUMMYFUNCTION("""COMPUTED_VALUE"""),"صيدلية (أدوية ومستلزمات طبية)")</f>
        <v>صيدلية (أدوية ومستلزمات طبية)</v>
      </c>
      <c r="G3530" s="5" t="str">
        <f ca="1">IFERROR(__xludf.DUMMYFUNCTION("""COMPUTED_VALUE"""),"صيدلية د/ مايكل إدوارد طيبة (شركة اورانج لخدمات الصيدليات)")</f>
        <v>صيدلية د/ مايكل إدوارد طيبة (شركة اورانج لخدمات الصيدليات)</v>
      </c>
      <c r="H3530" s="5" t="str">
        <f ca="1">IFERROR(__xludf.DUMMYFUNCTION("""COMPUTED_VALUE"""),"قطعة 103- تقسيم شلبي - صاروفيم - المنيا")</f>
        <v>قطعة 103- تقسيم شلبي - صاروفيم - المنيا</v>
      </c>
      <c r="I3530" s="6" t="str">
        <f ca="1">IFERROR(__xludf.DUMMYFUNCTION("""COMPUTED_VALUE"""),"01211610046")</f>
        <v>01211610046</v>
      </c>
      <c r="J3530" s="6" t="str">
        <f ca="1">IFERROR(__xludf.DUMMYFUNCTION("""COMPUTED_VALUE"""),"19001")</f>
        <v>19001</v>
      </c>
      <c r="K3530" s="6" t="str">
        <f ca="1">IFERROR(__xludf.DUMMYFUNCTION("""COMPUTED_VALUE"""),"خصم 12% علي المحلي و6% علي المستورد")</f>
        <v>خصم 12% علي المحلي و6% علي المستورد</v>
      </c>
    </row>
    <row r="3531" spans="1:11" x14ac:dyDescent="0.25">
      <c r="A3531" s="4" t="str">
        <f ca="1">IFERROR(__xludf.DUMMYFUNCTION("""COMPUTED_VALUE"""),"107606-B")</f>
        <v>107606-B</v>
      </c>
      <c r="B3531" s="5" t="str">
        <f ca="1">IFERROR(__xludf.DUMMYFUNCTION("""COMPUTED_VALUE"""),"المنيا")</f>
        <v>المنيا</v>
      </c>
      <c r="C3531" s="5" t="str">
        <f ca="1">IFERROR(__xludf.DUMMYFUNCTION("""COMPUTED_VALUE"""),"المنيا")</f>
        <v>المنيا</v>
      </c>
      <c r="D3531" s="5" t="str">
        <f ca="1">IFERROR(__xludf.DUMMYFUNCTION("""COMPUTED_VALUE"""),"صيدلية")</f>
        <v>صيدلية</v>
      </c>
      <c r="E3531" s="5" t="str">
        <f ca="1">IFERROR(__xludf.DUMMYFUNCTION("""COMPUTED_VALUE"""),"صيدلية")</f>
        <v>صيدلية</v>
      </c>
      <c r="F3531" s="5" t="str">
        <f ca="1">IFERROR(__xludf.DUMMYFUNCTION("""COMPUTED_VALUE"""),"صيدلية (أدوية ومستلزمات طبية)")</f>
        <v>صيدلية (أدوية ومستلزمات طبية)</v>
      </c>
      <c r="G3531" s="5" t="str">
        <f ca="1">IFERROR(__xludf.DUMMYFUNCTION("""COMPUTED_VALUE"""),"صيدلية رائد (شركة اورانج لخدمات الصيدليات)")</f>
        <v>صيدلية رائد (شركة اورانج لخدمات الصيدليات)</v>
      </c>
      <c r="H3531" s="5" t="str">
        <f ca="1">IFERROR(__xludf.DUMMYFUNCTION("""COMPUTED_VALUE"""),"25شارع مصطفى فهمي باشا - خلف مستشفى المبرة - المنيا")</f>
        <v>25شارع مصطفى فهمي باشا - خلف مستشفى المبرة - المنيا</v>
      </c>
      <c r="I3531" s="6" t="str">
        <f ca="1">IFERROR(__xludf.DUMMYFUNCTION("""COMPUTED_VALUE"""),"086 2345793")</f>
        <v>086 2345793</v>
      </c>
      <c r="J3531" s="6" t="str">
        <f ca="1">IFERROR(__xludf.DUMMYFUNCTION("""COMPUTED_VALUE"""),"19001")</f>
        <v>19001</v>
      </c>
      <c r="K3531" s="6" t="str">
        <f ca="1">IFERROR(__xludf.DUMMYFUNCTION("""COMPUTED_VALUE"""),"خصم 12% علي المحلي و6% علي المستورد")</f>
        <v>خصم 12% علي المحلي و6% علي المستورد</v>
      </c>
    </row>
    <row r="3532" spans="1:11" x14ac:dyDescent="0.25">
      <c r="A3532" s="4" t="str">
        <f ca="1">IFERROR(__xludf.DUMMYFUNCTION("""COMPUTED_VALUE"""),"107606-B")</f>
        <v>107606-B</v>
      </c>
      <c r="B3532" s="5" t="str">
        <f ca="1">IFERROR(__xludf.DUMMYFUNCTION("""COMPUTED_VALUE"""),"المنيا")</f>
        <v>المنيا</v>
      </c>
      <c r="C3532" s="5" t="str">
        <f ca="1">IFERROR(__xludf.DUMMYFUNCTION("""COMPUTED_VALUE"""),"المنيا")</f>
        <v>المنيا</v>
      </c>
      <c r="D3532" s="5" t="str">
        <f ca="1">IFERROR(__xludf.DUMMYFUNCTION("""COMPUTED_VALUE"""),"صيدلية")</f>
        <v>صيدلية</v>
      </c>
      <c r="E3532" s="5" t="str">
        <f ca="1">IFERROR(__xludf.DUMMYFUNCTION("""COMPUTED_VALUE"""),"صيدلية")</f>
        <v>صيدلية</v>
      </c>
      <c r="F3532" s="5" t="str">
        <f ca="1">IFERROR(__xludf.DUMMYFUNCTION("""COMPUTED_VALUE"""),"صيدلية (أدوية ومستلزمات طبية)")</f>
        <v>صيدلية (أدوية ومستلزمات طبية)</v>
      </c>
      <c r="G3532" s="5" t="str">
        <f ca="1">IFERROR(__xludf.DUMMYFUNCTION("""COMPUTED_VALUE"""),"صيدلية د/ بيتر فوزي (شركة اورانج لخدمات الصيدليات)")</f>
        <v>صيدلية د/ بيتر فوزي (شركة اورانج لخدمات الصيدليات)</v>
      </c>
      <c r="H3532" s="5" t="str">
        <f ca="1">IFERROR(__xludf.DUMMYFUNCTION("""COMPUTED_VALUE"""),"شارع رقم 4 - متفرع من طريق البحر - تقسيم القصبي - خلف مستشفى حنا فهيم شرق المحطة - بني مزار - المنيا")</f>
        <v>شارع رقم 4 - متفرع من طريق البحر - تقسيم القصبي - خلف مستشفى حنا فهيم شرق المحطة - بني مزار - المنيا</v>
      </c>
      <c r="I3532" s="6" t="str">
        <f ca="1">IFERROR(__xludf.DUMMYFUNCTION("""COMPUTED_VALUE"""),"863849449")</f>
        <v>863849449</v>
      </c>
      <c r="J3532" s="6" t="str">
        <f ca="1">IFERROR(__xludf.DUMMYFUNCTION("""COMPUTED_VALUE"""),"19001")</f>
        <v>19001</v>
      </c>
      <c r="K3532" s="6" t="str">
        <f ca="1">IFERROR(__xludf.DUMMYFUNCTION("""COMPUTED_VALUE"""),"خصم 12% علي المحلي و6% علي المستورد")</f>
        <v>خصم 12% علي المحلي و6% علي المستورد</v>
      </c>
    </row>
    <row r="3533" spans="1:11" x14ac:dyDescent="0.25">
      <c r="A3533" s="4" t="str">
        <f ca="1">IFERROR(__xludf.DUMMYFUNCTION("""COMPUTED_VALUE"""),"107606-B")</f>
        <v>107606-B</v>
      </c>
      <c r="B3533" s="5" t="str">
        <f ca="1">IFERROR(__xludf.DUMMYFUNCTION("""COMPUTED_VALUE"""),"المنيا")</f>
        <v>المنيا</v>
      </c>
      <c r="C3533" s="5" t="str">
        <f ca="1">IFERROR(__xludf.DUMMYFUNCTION("""COMPUTED_VALUE"""),"المنيا")</f>
        <v>المنيا</v>
      </c>
      <c r="D3533" s="5" t="str">
        <f ca="1">IFERROR(__xludf.DUMMYFUNCTION("""COMPUTED_VALUE"""),"صيدلية")</f>
        <v>صيدلية</v>
      </c>
      <c r="E3533" s="5" t="str">
        <f ca="1">IFERROR(__xludf.DUMMYFUNCTION("""COMPUTED_VALUE"""),"صيدلية")</f>
        <v>صيدلية</v>
      </c>
      <c r="F3533" s="5" t="str">
        <f ca="1">IFERROR(__xludf.DUMMYFUNCTION("""COMPUTED_VALUE"""),"صيدلية (أدوية ومستلزمات طبية)")</f>
        <v>صيدلية (أدوية ومستلزمات طبية)</v>
      </c>
      <c r="G3533" s="5" t="str">
        <f ca="1">IFERROR(__xludf.DUMMYFUNCTION("""COMPUTED_VALUE"""),"صيدلية د/ ماجد  (شركة اورانج لخدمات الصيدليات)")</f>
        <v>صيدلية د/ ماجد  (شركة اورانج لخدمات الصيدليات)</v>
      </c>
      <c r="H3533" s="5" t="str">
        <f ca="1">IFERROR(__xludf.DUMMYFUNCTION("""COMPUTED_VALUE"""),"قطعة 117 ش كلية الآداب - تقسيم شلبي - صاروفيم - المنيا")</f>
        <v>قطعة 117 ش كلية الآداب - تقسيم شلبي - صاروفيم - المنيا</v>
      </c>
      <c r="I3533" s="6" t="str">
        <f ca="1">IFERROR(__xludf.DUMMYFUNCTION("""COMPUTED_VALUE"""),"1224576919")</f>
        <v>1224576919</v>
      </c>
      <c r="J3533" s="6" t="str">
        <f ca="1">IFERROR(__xludf.DUMMYFUNCTION("""COMPUTED_VALUE"""),"19001")</f>
        <v>19001</v>
      </c>
      <c r="K3533" s="6" t="str">
        <f ca="1">IFERROR(__xludf.DUMMYFUNCTION("""COMPUTED_VALUE"""),"خصم 12% علي المحلي و6% علي المستورد")</f>
        <v>خصم 12% علي المحلي و6% علي المستورد</v>
      </c>
    </row>
    <row r="3534" spans="1:11" x14ac:dyDescent="0.25">
      <c r="A3534" s="4" t="str">
        <f ca="1">IFERROR(__xludf.DUMMYFUNCTION("""COMPUTED_VALUE"""),"107606-B")</f>
        <v>107606-B</v>
      </c>
      <c r="B3534" s="5" t="str">
        <f ca="1">IFERROR(__xludf.DUMMYFUNCTION("""COMPUTED_VALUE"""),"المنيا")</f>
        <v>المنيا</v>
      </c>
      <c r="C3534" s="5" t="str">
        <f ca="1">IFERROR(__xludf.DUMMYFUNCTION("""COMPUTED_VALUE"""),"المنيا")</f>
        <v>المنيا</v>
      </c>
      <c r="D3534" s="5" t="str">
        <f ca="1">IFERROR(__xludf.DUMMYFUNCTION("""COMPUTED_VALUE"""),"صيدلية")</f>
        <v>صيدلية</v>
      </c>
      <c r="E3534" s="5" t="str">
        <f ca="1">IFERROR(__xludf.DUMMYFUNCTION("""COMPUTED_VALUE"""),"صيدلية")</f>
        <v>صيدلية</v>
      </c>
      <c r="F3534" s="5" t="str">
        <f ca="1">IFERROR(__xludf.DUMMYFUNCTION("""COMPUTED_VALUE"""),"صيدلية (أدوية ومستلزمات طبية)")</f>
        <v>صيدلية (أدوية ومستلزمات طبية)</v>
      </c>
      <c r="G3534" s="5" t="str">
        <f ca="1">IFERROR(__xludf.DUMMYFUNCTION("""COMPUTED_VALUE"""),"صيدلية د/ بيير نادي (شركة اورانج لخدمات الصيدليات)")</f>
        <v>صيدلية د/ بيير نادي (شركة اورانج لخدمات الصيدليات)</v>
      </c>
      <c r="H3534" s="5" t="str">
        <f ca="1">IFERROR(__xludf.DUMMYFUNCTION("""COMPUTED_VALUE"""),"109ش رمسيس - أرض سلطان - مركز المنيا - المنيا")</f>
        <v>109ش رمسيس - أرض سلطان - مركز المنيا - المنيا</v>
      </c>
      <c r="I3534" s="6" t="str">
        <f ca="1">IFERROR(__xludf.DUMMYFUNCTION("""COMPUTED_VALUE"""),"1096882024")</f>
        <v>1096882024</v>
      </c>
      <c r="J3534" s="6" t="str">
        <f ca="1">IFERROR(__xludf.DUMMYFUNCTION("""COMPUTED_VALUE"""),"19001")</f>
        <v>19001</v>
      </c>
      <c r="K3534" s="6" t="str">
        <f ca="1">IFERROR(__xludf.DUMMYFUNCTION("""COMPUTED_VALUE"""),"خصم 12% علي المحلي و6% علي المستورد")</f>
        <v>خصم 12% علي المحلي و6% علي المستورد</v>
      </c>
    </row>
    <row r="3535" spans="1:11" x14ac:dyDescent="0.25">
      <c r="A3535" s="4" t="str">
        <f ca="1">IFERROR(__xludf.DUMMYFUNCTION("""COMPUTED_VALUE"""),"107606-B")</f>
        <v>107606-B</v>
      </c>
      <c r="B3535" s="5" t="str">
        <f ca="1">IFERROR(__xludf.DUMMYFUNCTION("""COMPUTED_VALUE"""),"المنيا")</f>
        <v>المنيا</v>
      </c>
      <c r="C3535" s="5" t="str">
        <f ca="1">IFERROR(__xludf.DUMMYFUNCTION("""COMPUTED_VALUE"""),"المنيا")</f>
        <v>المنيا</v>
      </c>
      <c r="D3535" s="5" t="str">
        <f ca="1">IFERROR(__xludf.DUMMYFUNCTION("""COMPUTED_VALUE"""),"صيدلية")</f>
        <v>صيدلية</v>
      </c>
      <c r="E3535" s="5" t="str">
        <f ca="1">IFERROR(__xludf.DUMMYFUNCTION("""COMPUTED_VALUE"""),"صيدلية")</f>
        <v>صيدلية</v>
      </c>
      <c r="F3535" s="5" t="str">
        <f ca="1">IFERROR(__xludf.DUMMYFUNCTION("""COMPUTED_VALUE"""),"صيدلية (أدوية ومستلزمات طبية)")</f>
        <v>صيدلية (أدوية ومستلزمات طبية)</v>
      </c>
      <c r="G3535" s="5" t="str">
        <f ca="1">IFERROR(__xludf.DUMMYFUNCTION("""COMPUTED_VALUE"""),"صيدلية الجامعه (شركة اورانج لخدمات الصيدليات)")</f>
        <v>صيدلية الجامعه (شركة اورانج لخدمات الصيدليات)</v>
      </c>
      <c r="H3535" s="5" t="str">
        <f ca="1">IFERROR(__xludf.DUMMYFUNCTION("""COMPUTED_VALUE"""),"شارع طه حسين - ارض سلطان - المنيا")</f>
        <v>شارع طه حسين - ارض سلطان - المنيا</v>
      </c>
      <c r="I3535" s="6" t="str">
        <f ca="1">IFERROR(__xludf.DUMMYFUNCTION("""COMPUTED_VALUE"""),"1200006169")</f>
        <v>1200006169</v>
      </c>
      <c r="J3535" s="6" t="str">
        <f ca="1">IFERROR(__xludf.DUMMYFUNCTION("""COMPUTED_VALUE"""),"19001")</f>
        <v>19001</v>
      </c>
      <c r="K3535" s="6" t="str">
        <f ca="1">IFERROR(__xludf.DUMMYFUNCTION("""COMPUTED_VALUE"""),"خصم 12% علي المحلي و6% علي المستورد")</f>
        <v>خصم 12% علي المحلي و6% علي المستورد</v>
      </c>
    </row>
    <row r="3536" spans="1:11" x14ac:dyDescent="0.25">
      <c r="A3536" s="4" t="str">
        <f ca="1">IFERROR(__xludf.DUMMYFUNCTION("""COMPUTED_VALUE"""),"107606-B")</f>
        <v>107606-B</v>
      </c>
      <c r="B3536" s="5" t="str">
        <f ca="1">IFERROR(__xludf.DUMMYFUNCTION("""COMPUTED_VALUE"""),"المنيا")</f>
        <v>المنيا</v>
      </c>
      <c r="C3536" s="5" t="str">
        <f ca="1">IFERROR(__xludf.DUMMYFUNCTION("""COMPUTED_VALUE"""),"المنيا")</f>
        <v>المنيا</v>
      </c>
      <c r="D3536" s="5" t="str">
        <f ca="1">IFERROR(__xludf.DUMMYFUNCTION("""COMPUTED_VALUE"""),"صيدلية")</f>
        <v>صيدلية</v>
      </c>
      <c r="E3536" s="5" t="str">
        <f ca="1">IFERROR(__xludf.DUMMYFUNCTION("""COMPUTED_VALUE"""),"صيدلية")</f>
        <v>صيدلية</v>
      </c>
      <c r="F3536" s="5" t="str">
        <f ca="1">IFERROR(__xludf.DUMMYFUNCTION("""COMPUTED_VALUE"""),"صيدلية (أدوية ومستلزمات طبية)")</f>
        <v>صيدلية (أدوية ومستلزمات طبية)</v>
      </c>
      <c r="G3536" s="5" t="str">
        <f ca="1">IFERROR(__xludf.DUMMYFUNCTION("""COMPUTED_VALUE"""),"صيدلية مينا فتحي (شركة اورانج لخدمات الصيدليات)")</f>
        <v>صيدلية مينا فتحي (شركة اورانج لخدمات الصيدليات)</v>
      </c>
      <c r="H3536" s="5" t="str">
        <f ca="1">IFERROR(__xludf.DUMMYFUNCTION("""COMPUTED_VALUE"""),"20ش الخلفاء-ارض سلطان -المنيا")</f>
        <v>20ش الخلفاء-ارض سلطان -المنيا</v>
      </c>
      <c r="I3536" s="6" t="str">
        <f ca="1">IFERROR(__xludf.DUMMYFUNCTION("""COMPUTED_VALUE"""),"1006816587")</f>
        <v>1006816587</v>
      </c>
      <c r="J3536" s="6" t="str">
        <f ca="1">IFERROR(__xludf.DUMMYFUNCTION("""COMPUTED_VALUE"""),"19001")</f>
        <v>19001</v>
      </c>
      <c r="K3536" s="6" t="str">
        <f ca="1">IFERROR(__xludf.DUMMYFUNCTION("""COMPUTED_VALUE"""),"خصم 12% علي المحلي و6% علي المستورد")</f>
        <v>خصم 12% علي المحلي و6% علي المستورد</v>
      </c>
    </row>
    <row r="3537" spans="1:11" x14ac:dyDescent="0.25">
      <c r="A3537" s="4" t="str">
        <f ca="1">IFERROR(__xludf.DUMMYFUNCTION("""COMPUTED_VALUE"""),"107606-B")</f>
        <v>107606-B</v>
      </c>
      <c r="B3537" s="5" t="str">
        <f ca="1">IFERROR(__xludf.DUMMYFUNCTION("""COMPUTED_VALUE"""),"المنيا")</f>
        <v>المنيا</v>
      </c>
      <c r="C3537" s="5" t="str">
        <f ca="1">IFERROR(__xludf.DUMMYFUNCTION("""COMPUTED_VALUE"""),"المنيا")</f>
        <v>المنيا</v>
      </c>
      <c r="D3537" s="5" t="str">
        <f ca="1">IFERROR(__xludf.DUMMYFUNCTION("""COMPUTED_VALUE"""),"صيدلية")</f>
        <v>صيدلية</v>
      </c>
      <c r="E3537" s="5" t="str">
        <f ca="1">IFERROR(__xludf.DUMMYFUNCTION("""COMPUTED_VALUE"""),"صيدلية")</f>
        <v>صيدلية</v>
      </c>
      <c r="F3537" s="5" t="str">
        <f ca="1">IFERROR(__xludf.DUMMYFUNCTION("""COMPUTED_VALUE"""),"صيدلية (أدوية ومستلزمات طبية)")</f>
        <v>صيدلية (أدوية ومستلزمات طبية)</v>
      </c>
      <c r="G3537" s="5" t="str">
        <f ca="1">IFERROR(__xludf.DUMMYFUNCTION("""COMPUTED_VALUE"""),"صيدلية جان زكريا (شركة اورانج لخدمات الصيدليات)")</f>
        <v>صيدلية جان زكريا (شركة اورانج لخدمات الصيدليات)</v>
      </c>
      <c r="H3537" s="5" t="str">
        <f ca="1">IFERROR(__xludf.DUMMYFUNCTION("""COMPUTED_VALUE"""),"53شارع مصطفي فهمي-المنيا")</f>
        <v>53شارع مصطفي فهمي-المنيا</v>
      </c>
      <c r="I3537" s="6" t="str">
        <f ca="1">IFERROR(__xludf.DUMMYFUNCTION("""COMPUTED_VALUE"""),"1061331232")</f>
        <v>1061331232</v>
      </c>
      <c r="J3537" s="6" t="str">
        <f ca="1">IFERROR(__xludf.DUMMYFUNCTION("""COMPUTED_VALUE"""),"19001")</f>
        <v>19001</v>
      </c>
      <c r="K3537" s="6" t="str">
        <f ca="1">IFERROR(__xludf.DUMMYFUNCTION("""COMPUTED_VALUE"""),"خصم 12% علي المحلي و6% علي المستورد")</f>
        <v>خصم 12% علي المحلي و6% علي المستورد</v>
      </c>
    </row>
    <row r="3538" spans="1:11" x14ac:dyDescent="0.25">
      <c r="A3538" s="4" t="str">
        <f ca="1">IFERROR(__xludf.DUMMYFUNCTION("""COMPUTED_VALUE"""),"107606-B")</f>
        <v>107606-B</v>
      </c>
      <c r="B3538" s="5" t="str">
        <f ca="1">IFERROR(__xludf.DUMMYFUNCTION("""COMPUTED_VALUE"""),"المنيا")</f>
        <v>المنيا</v>
      </c>
      <c r="C3538" s="5" t="str">
        <f ca="1">IFERROR(__xludf.DUMMYFUNCTION("""COMPUTED_VALUE"""),"المنيا")</f>
        <v>المنيا</v>
      </c>
      <c r="D3538" s="5" t="str">
        <f ca="1">IFERROR(__xludf.DUMMYFUNCTION("""COMPUTED_VALUE"""),"صيدلية")</f>
        <v>صيدلية</v>
      </c>
      <c r="E3538" s="5" t="str">
        <f ca="1">IFERROR(__xludf.DUMMYFUNCTION("""COMPUTED_VALUE"""),"صيدلية")</f>
        <v>صيدلية</v>
      </c>
      <c r="F3538" s="5" t="str">
        <f ca="1">IFERROR(__xludf.DUMMYFUNCTION("""COMPUTED_VALUE"""),"صيدلية (أدوية ومستلزمات طبية)")</f>
        <v>صيدلية (أدوية ومستلزمات طبية)</v>
      </c>
      <c r="G3538" s="5" t="str">
        <f ca="1">IFERROR(__xludf.DUMMYFUNCTION("""COMPUTED_VALUE"""),"صيدلية نجوي بولس الجديدة (شركة اورانج لخدمات الصيدليات)")</f>
        <v>صيدلية نجوي بولس الجديدة (شركة اورانج لخدمات الصيدليات)</v>
      </c>
      <c r="H3538" s="5" t="str">
        <f ca="1">IFERROR(__xludf.DUMMYFUNCTION("""COMPUTED_VALUE"""),"مول سيتي سكيب -المنيا الجديدة")</f>
        <v>مول سيتي سكيب -المنيا الجديدة</v>
      </c>
      <c r="I3538" s="6" t="str">
        <f ca="1">IFERROR(__xludf.DUMMYFUNCTION("""COMPUTED_VALUE"""),"1270112360")</f>
        <v>1270112360</v>
      </c>
      <c r="J3538" s="6" t="str">
        <f ca="1">IFERROR(__xludf.DUMMYFUNCTION("""COMPUTED_VALUE"""),"19001")</f>
        <v>19001</v>
      </c>
      <c r="K3538" s="6" t="str">
        <f ca="1">IFERROR(__xludf.DUMMYFUNCTION("""COMPUTED_VALUE"""),"خصم 12% علي المحلي و6% علي المستورد")</f>
        <v>خصم 12% علي المحلي و6% علي المستورد</v>
      </c>
    </row>
    <row r="3539" spans="1:11" x14ac:dyDescent="0.25">
      <c r="A3539" s="4" t="str">
        <f ca="1">IFERROR(__xludf.DUMMYFUNCTION("""COMPUTED_VALUE"""),"107606-B")</f>
        <v>107606-B</v>
      </c>
      <c r="B3539" s="5" t="str">
        <f ca="1">IFERROR(__xludf.DUMMYFUNCTION("""COMPUTED_VALUE"""),"المنيا")</f>
        <v>المنيا</v>
      </c>
      <c r="C3539" s="5" t="str">
        <f ca="1">IFERROR(__xludf.DUMMYFUNCTION("""COMPUTED_VALUE"""),"مغاغة")</f>
        <v>مغاغة</v>
      </c>
      <c r="D3539" s="5" t="str">
        <f ca="1">IFERROR(__xludf.DUMMYFUNCTION("""COMPUTED_VALUE"""),"صيدلية")</f>
        <v>صيدلية</v>
      </c>
      <c r="E3539" s="5" t="str">
        <f ca="1">IFERROR(__xludf.DUMMYFUNCTION("""COMPUTED_VALUE"""),"صيدلية")</f>
        <v>صيدلية</v>
      </c>
      <c r="F3539" s="5" t="str">
        <f ca="1">IFERROR(__xludf.DUMMYFUNCTION("""COMPUTED_VALUE"""),"صيدلية (أدوية ومستلزمات طبية)")</f>
        <v>صيدلية (أدوية ومستلزمات طبية)</v>
      </c>
      <c r="G3539" s="5" t="str">
        <f ca="1">IFERROR(__xludf.DUMMYFUNCTION("""COMPUTED_VALUE"""),"صيدلية أمل (شركة اورانج لخدمات الصيدليات)")</f>
        <v>صيدلية أمل (شركة اورانج لخدمات الصيدليات)</v>
      </c>
      <c r="H3539" s="5" t="str">
        <f ca="1">IFERROR(__xludf.DUMMYFUNCTION("""COMPUTED_VALUE"""),"شارع المستشارين متفرع شارع السلام منطقة العبور-مغاغه")</f>
        <v>شارع المستشارين متفرع شارع السلام منطقة العبور-مغاغه</v>
      </c>
      <c r="I3539" s="6" t="str">
        <f ca="1">IFERROR(__xludf.DUMMYFUNCTION("""COMPUTED_VALUE"""),"1281101792")</f>
        <v>1281101792</v>
      </c>
      <c r="J3539" s="6" t="str">
        <f ca="1">IFERROR(__xludf.DUMMYFUNCTION("""COMPUTED_VALUE"""),"19001")</f>
        <v>19001</v>
      </c>
      <c r="K3539" s="6" t="str">
        <f ca="1">IFERROR(__xludf.DUMMYFUNCTION("""COMPUTED_VALUE"""),"خصم 12% علي المحلي و6% علي المستورد")</f>
        <v>خصم 12% علي المحلي و6% علي المستورد</v>
      </c>
    </row>
    <row r="3540" spans="1:11" x14ac:dyDescent="0.25">
      <c r="A3540" s="4" t="str">
        <f ca="1">IFERROR(__xludf.DUMMYFUNCTION("""COMPUTED_VALUE"""),"107606-B")</f>
        <v>107606-B</v>
      </c>
      <c r="B3540" s="5" t="str">
        <f ca="1">IFERROR(__xludf.DUMMYFUNCTION("""COMPUTED_VALUE"""),"الجيزة")</f>
        <v>الجيزة</v>
      </c>
      <c r="C3540" s="5" t="str">
        <f ca="1">IFERROR(__xludf.DUMMYFUNCTION("""COMPUTED_VALUE"""),"امبابة")</f>
        <v>امبابة</v>
      </c>
      <c r="D3540" s="5" t="str">
        <f ca="1">IFERROR(__xludf.DUMMYFUNCTION("""COMPUTED_VALUE"""),"صيدلية")</f>
        <v>صيدلية</v>
      </c>
      <c r="E3540" s="5" t="str">
        <f ca="1">IFERROR(__xludf.DUMMYFUNCTION("""COMPUTED_VALUE"""),"صيدلية")</f>
        <v>صيدلية</v>
      </c>
      <c r="F3540" s="5" t="str">
        <f ca="1">IFERROR(__xludf.DUMMYFUNCTION("""COMPUTED_VALUE"""),"صيدلية (أدوية ومستلزمات طبية)")</f>
        <v>صيدلية (أدوية ومستلزمات طبية)</v>
      </c>
      <c r="G3540" s="5" t="str">
        <f ca="1">IFERROR(__xludf.DUMMYFUNCTION("""COMPUTED_VALUE"""),"صيدلية مجدي كرمي (شركة اورانج لخدمات الصيدليات)")</f>
        <v>صيدلية مجدي كرمي (شركة اورانج لخدمات الصيدليات)</v>
      </c>
      <c r="H3540" s="5" t="str">
        <f ca="1">IFERROR(__xludf.DUMMYFUNCTION("""COMPUTED_VALUE"""),"المنيرة الغربية -شارع المشروع -امبابة -الجيزة")</f>
        <v>المنيرة الغربية -شارع المشروع -امبابة -الجيزة</v>
      </c>
      <c r="I3540" s="6" t="str">
        <f ca="1">IFERROR(__xludf.DUMMYFUNCTION("""COMPUTED_VALUE"""),"233518522")</f>
        <v>233518522</v>
      </c>
      <c r="J3540" s="6" t="str">
        <f ca="1">IFERROR(__xludf.DUMMYFUNCTION("""COMPUTED_VALUE"""),"19001")</f>
        <v>19001</v>
      </c>
      <c r="K3540" s="6" t="str">
        <f ca="1">IFERROR(__xludf.DUMMYFUNCTION("""COMPUTED_VALUE"""),"خصم 12% علي المحلي و6% علي المستورد")</f>
        <v>خصم 12% علي المحلي و6% علي المستورد</v>
      </c>
    </row>
    <row r="3541" spans="1:11" x14ac:dyDescent="0.25">
      <c r="A3541" s="4" t="str">
        <f ca="1">IFERROR(__xludf.DUMMYFUNCTION("""COMPUTED_VALUE"""),"107606-B")</f>
        <v>107606-B</v>
      </c>
      <c r="B3541" s="5" t="str">
        <f ca="1">IFERROR(__xludf.DUMMYFUNCTION("""COMPUTED_VALUE"""),"البحيرة")</f>
        <v>البحيرة</v>
      </c>
      <c r="C3541" s="5" t="str">
        <f ca="1">IFERROR(__xludf.DUMMYFUNCTION("""COMPUTED_VALUE"""),"ابو المطامير")</f>
        <v>ابو المطامير</v>
      </c>
      <c r="D3541" s="5" t="str">
        <f ca="1">IFERROR(__xludf.DUMMYFUNCTION("""COMPUTED_VALUE"""),"صيدلية")</f>
        <v>صيدلية</v>
      </c>
      <c r="E3541" s="5" t="str">
        <f ca="1">IFERROR(__xludf.DUMMYFUNCTION("""COMPUTED_VALUE"""),"صيدلية")</f>
        <v>صيدلية</v>
      </c>
      <c r="F3541" s="5" t="str">
        <f ca="1">IFERROR(__xludf.DUMMYFUNCTION("""COMPUTED_VALUE"""),"صيدلية (أدوية ومستلزمات طبية)")</f>
        <v>صيدلية (أدوية ومستلزمات طبية)</v>
      </c>
      <c r="G3541" s="5" t="str">
        <f ca="1">IFERROR(__xludf.DUMMYFUNCTION("""COMPUTED_VALUE"""),"صيدلية ناردين ماهر (شركة اورانج لخدمات الصيدليات)")</f>
        <v>صيدلية ناردين ماهر (شركة اورانج لخدمات الصيدليات)</v>
      </c>
      <c r="H3541" s="5" t="str">
        <f ca="1">IFERROR(__xludf.DUMMYFUNCTION("""COMPUTED_VALUE"""),"ش عبد القادر طه ابو المطامير بحيره")</f>
        <v>ش عبد القادر طه ابو المطامير بحيره</v>
      </c>
      <c r="I3541" s="6" t="str">
        <f ca="1">IFERROR(__xludf.DUMMYFUNCTION("""COMPUTED_VALUE"""),"1061606502")</f>
        <v>1061606502</v>
      </c>
      <c r="J3541" s="6" t="str">
        <f ca="1">IFERROR(__xludf.DUMMYFUNCTION("""COMPUTED_VALUE"""),"19001")</f>
        <v>19001</v>
      </c>
      <c r="K3541" s="6" t="str">
        <f ca="1">IFERROR(__xludf.DUMMYFUNCTION("""COMPUTED_VALUE"""),"خصم 12% علي المحلي و6% علي المستورد")</f>
        <v>خصم 12% علي المحلي و6% علي المستورد</v>
      </c>
    </row>
    <row r="3542" spans="1:11" x14ac:dyDescent="0.25">
      <c r="A3542" s="4" t="str">
        <f ca="1">IFERROR(__xludf.DUMMYFUNCTION("""COMPUTED_VALUE"""),"107606-B")</f>
        <v>107606-B</v>
      </c>
      <c r="B3542" s="5" t="str">
        <f ca="1">IFERROR(__xludf.DUMMYFUNCTION("""COMPUTED_VALUE"""),"دمياط")</f>
        <v>دمياط</v>
      </c>
      <c r="C3542" s="5" t="str">
        <f ca="1">IFERROR(__xludf.DUMMYFUNCTION("""COMPUTED_VALUE"""),"دمياط")</f>
        <v>دمياط</v>
      </c>
      <c r="D3542" s="5" t="str">
        <f ca="1">IFERROR(__xludf.DUMMYFUNCTION("""COMPUTED_VALUE"""),"صيدلية")</f>
        <v>صيدلية</v>
      </c>
      <c r="E3542" s="5" t="str">
        <f ca="1">IFERROR(__xludf.DUMMYFUNCTION("""COMPUTED_VALUE"""),"صيدلية")</f>
        <v>صيدلية</v>
      </c>
      <c r="F3542" s="5" t="str">
        <f ca="1">IFERROR(__xludf.DUMMYFUNCTION("""COMPUTED_VALUE"""),"صيدلية (أدوية ومستلزمات طبية)")</f>
        <v>صيدلية (أدوية ومستلزمات طبية)</v>
      </c>
      <c r="G3542" s="5" t="str">
        <f ca="1">IFERROR(__xludf.DUMMYFUNCTION("""COMPUTED_VALUE"""),"صيدلية د/ حسام الدين (شركة اورانج لخدمات الصيدليات)")</f>
        <v>صيدلية د/ حسام الدين (شركة اورانج لخدمات الصيدليات)</v>
      </c>
      <c r="H3542" s="5" t="str">
        <f ca="1">IFERROR(__xludf.DUMMYFUNCTION("""COMPUTED_VALUE"""),"الحوراني - فراسكور - بجوار المسجد الكبير - دمياط")</f>
        <v>الحوراني - فراسكور - بجوار المسجد الكبير - دمياط</v>
      </c>
      <c r="I3542" s="6" t="str">
        <f ca="1">IFERROR(__xludf.DUMMYFUNCTION("""COMPUTED_VALUE"""),"573418666")</f>
        <v>573418666</v>
      </c>
      <c r="J3542" s="6" t="str">
        <f ca="1">IFERROR(__xludf.DUMMYFUNCTION("""COMPUTED_VALUE"""),"19001")</f>
        <v>19001</v>
      </c>
      <c r="K3542" s="6" t="str">
        <f ca="1">IFERROR(__xludf.DUMMYFUNCTION("""COMPUTED_VALUE"""),"خصم 12% علي المحلي و6% علي المستورد")</f>
        <v>خصم 12% علي المحلي و6% علي المستورد</v>
      </c>
    </row>
    <row r="3543" spans="1:11" x14ac:dyDescent="0.25">
      <c r="A3543" s="4" t="str">
        <f ca="1">IFERROR(__xludf.DUMMYFUNCTION("""COMPUTED_VALUE"""),"107606-B")</f>
        <v>107606-B</v>
      </c>
      <c r="B3543" s="5" t="str">
        <f ca="1">IFERROR(__xludf.DUMMYFUNCTION("""COMPUTED_VALUE"""),"دمياط")</f>
        <v>دمياط</v>
      </c>
      <c r="C3543" s="5" t="str">
        <f ca="1">IFERROR(__xludf.DUMMYFUNCTION("""COMPUTED_VALUE"""),"دمياط")</f>
        <v>دمياط</v>
      </c>
      <c r="D3543" s="5" t="str">
        <f ca="1">IFERROR(__xludf.DUMMYFUNCTION("""COMPUTED_VALUE"""),"صيدلية")</f>
        <v>صيدلية</v>
      </c>
      <c r="E3543" s="5" t="str">
        <f ca="1">IFERROR(__xludf.DUMMYFUNCTION("""COMPUTED_VALUE"""),"صيدلية")</f>
        <v>صيدلية</v>
      </c>
      <c r="F3543" s="5" t="str">
        <f ca="1">IFERROR(__xludf.DUMMYFUNCTION("""COMPUTED_VALUE"""),"صيدلية (أدوية ومستلزمات طبية)")</f>
        <v>صيدلية (أدوية ومستلزمات طبية)</v>
      </c>
      <c r="G3543" s="5" t="str">
        <f ca="1">IFERROR(__xludf.DUMMYFUNCTION("""COMPUTED_VALUE"""),"صيدلية د/ حسام الدين الجديدة (شركة اورانج لخدمات الصيدليات)")</f>
        <v>صيدلية د/ حسام الدين الجديدة (شركة اورانج لخدمات الصيدليات)</v>
      </c>
      <c r="H3543" s="5" t="str">
        <f ca="1">IFERROR(__xludf.DUMMYFUNCTION("""COMPUTED_VALUE"""),"قرية الكحيل - كفر البطيخ - دمياط")</f>
        <v>قرية الكحيل - كفر البطيخ - دمياط</v>
      </c>
      <c r="I3543" s="6" t="str">
        <f ca="1">IFERROR(__xludf.DUMMYFUNCTION("""COMPUTED_VALUE"""),"1007334038")</f>
        <v>1007334038</v>
      </c>
      <c r="J3543" s="6" t="str">
        <f ca="1">IFERROR(__xludf.DUMMYFUNCTION("""COMPUTED_VALUE"""),"19001")</f>
        <v>19001</v>
      </c>
      <c r="K3543" s="6" t="str">
        <f ca="1">IFERROR(__xludf.DUMMYFUNCTION("""COMPUTED_VALUE"""),"خصم 12% علي المحلي و6% علي المستورد")</f>
        <v>خصم 12% علي المحلي و6% علي المستورد</v>
      </c>
    </row>
    <row r="3544" spans="1:11" x14ac:dyDescent="0.25">
      <c r="A3544" s="4" t="str">
        <f ca="1">IFERROR(__xludf.DUMMYFUNCTION("""COMPUTED_VALUE"""),"107606-B")</f>
        <v>107606-B</v>
      </c>
      <c r="B3544" s="5" t="str">
        <f ca="1">IFERROR(__xludf.DUMMYFUNCTION("""COMPUTED_VALUE"""),"دمياط")</f>
        <v>دمياط</v>
      </c>
      <c r="C3544" s="5" t="str">
        <f ca="1">IFERROR(__xludf.DUMMYFUNCTION("""COMPUTED_VALUE"""),"دمياط الجديدة")</f>
        <v>دمياط الجديدة</v>
      </c>
      <c r="D3544" s="5" t="str">
        <f ca="1">IFERROR(__xludf.DUMMYFUNCTION("""COMPUTED_VALUE"""),"صيدلية")</f>
        <v>صيدلية</v>
      </c>
      <c r="E3544" s="5" t="str">
        <f ca="1">IFERROR(__xludf.DUMMYFUNCTION("""COMPUTED_VALUE"""),"صيدلية")</f>
        <v>صيدلية</v>
      </c>
      <c r="F3544" s="5" t="str">
        <f ca="1">IFERROR(__xludf.DUMMYFUNCTION("""COMPUTED_VALUE"""),"صيدلية (أدوية ومستلزمات طبية)")</f>
        <v>صيدلية (أدوية ومستلزمات طبية)</v>
      </c>
      <c r="G3544" s="5" t="str">
        <f ca="1">IFERROR(__xludf.DUMMYFUNCTION("""COMPUTED_VALUE"""),"صيدلية دينا الحديدي (شركة اورانج لخدمات الصيدليات)")</f>
        <v>صيدلية دينا الحديدي (شركة اورانج لخدمات الصيدليات)</v>
      </c>
      <c r="H3544" s="5" t="str">
        <f ca="1">IFERROR(__xludf.DUMMYFUNCTION("""COMPUTED_VALUE"""),"الحي الاول -المجاورة الاولي-دمياط الجديدة-دمياط")</f>
        <v>الحي الاول -المجاورة الاولي-دمياط الجديدة-دمياط</v>
      </c>
      <c r="I3544" s="6" t="str">
        <f ca="1">IFERROR(__xludf.DUMMYFUNCTION("""COMPUTED_VALUE"""),"1007928267")</f>
        <v>1007928267</v>
      </c>
      <c r="J3544" s="6" t="str">
        <f ca="1">IFERROR(__xludf.DUMMYFUNCTION("""COMPUTED_VALUE"""),"19001")</f>
        <v>19001</v>
      </c>
      <c r="K3544" s="6" t="str">
        <f ca="1">IFERROR(__xludf.DUMMYFUNCTION("""COMPUTED_VALUE"""),"خصم 12% علي المحلي و6% علي المستورد")</f>
        <v>خصم 12% علي المحلي و6% علي المستورد</v>
      </c>
    </row>
    <row r="3545" spans="1:11" x14ac:dyDescent="0.25">
      <c r="A3545" s="4" t="str">
        <f ca="1">IFERROR(__xludf.DUMMYFUNCTION("""COMPUTED_VALUE"""),"107606-B")</f>
        <v>107606-B</v>
      </c>
      <c r="B3545" s="5" t="str">
        <f ca="1">IFERROR(__xludf.DUMMYFUNCTION("""COMPUTED_VALUE"""),"دمياط")</f>
        <v>دمياط</v>
      </c>
      <c r="C3545" s="5" t="str">
        <f ca="1">IFERROR(__xludf.DUMMYFUNCTION("""COMPUTED_VALUE"""),"دمياط الجديدة")</f>
        <v>دمياط الجديدة</v>
      </c>
      <c r="D3545" s="5" t="str">
        <f ca="1">IFERROR(__xludf.DUMMYFUNCTION("""COMPUTED_VALUE"""),"صيدلية")</f>
        <v>صيدلية</v>
      </c>
      <c r="E3545" s="5" t="str">
        <f ca="1">IFERROR(__xludf.DUMMYFUNCTION("""COMPUTED_VALUE"""),"صيدلية")</f>
        <v>صيدلية</v>
      </c>
      <c r="F3545" s="5" t="str">
        <f ca="1">IFERROR(__xludf.DUMMYFUNCTION("""COMPUTED_VALUE"""),"صيدلية (أدوية ومستلزمات طبية)")</f>
        <v>صيدلية (أدوية ومستلزمات طبية)</v>
      </c>
      <c r="G3545" s="5" t="str">
        <f ca="1">IFERROR(__xludf.DUMMYFUNCTION("""COMPUTED_VALUE"""),"صيدلية محمود منصور حمامه (شركة اورانج لخدمات الصيدليات)")</f>
        <v>صيدلية محمود منصور حمامه (شركة اورانج لخدمات الصيدليات)</v>
      </c>
      <c r="H3545" s="5" t="str">
        <f ca="1">IFERROR(__xludf.DUMMYFUNCTION("""COMPUTED_VALUE"""),"شارع الصعيدي - العقار رقم 34/46 دمياط الجديدة-دمياط")</f>
        <v>شارع الصعيدي - العقار رقم 34/46 دمياط الجديدة-دمياط</v>
      </c>
      <c r="I3545" s="6" t="str">
        <f ca="1">IFERROR(__xludf.DUMMYFUNCTION("""COMPUTED_VALUE"""),"1093717371")</f>
        <v>1093717371</v>
      </c>
      <c r="J3545" s="6" t="str">
        <f ca="1">IFERROR(__xludf.DUMMYFUNCTION("""COMPUTED_VALUE"""),"19001")</f>
        <v>19001</v>
      </c>
      <c r="K3545" s="6" t="str">
        <f ca="1">IFERROR(__xludf.DUMMYFUNCTION("""COMPUTED_VALUE"""),"خصم 12% علي المحلي و6% علي المستورد")</f>
        <v>خصم 12% علي المحلي و6% علي المستورد</v>
      </c>
    </row>
    <row r="3546" spans="1:11" x14ac:dyDescent="0.25">
      <c r="A3546" s="4" t="str">
        <f ca="1">IFERROR(__xludf.DUMMYFUNCTION("""COMPUTED_VALUE"""),"107606-B")</f>
        <v>107606-B</v>
      </c>
      <c r="B3546" s="5" t="str">
        <f ca="1">IFERROR(__xludf.DUMMYFUNCTION("""COMPUTED_VALUE"""),"سوهاج")</f>
        <v>سوهاج</v>
      </c>
      <c r="C3546" s="5" t="str">
        <f ca="1">IFERROR(__xludf.DUMMYFUNCTION("""COMPUTED_VALUE"""),"سوهاج")</f>
        <v>سوهاج</v>
      </c>
      <c r="D3546" s="5" t="str">
        <f ca="1">IFERROR(__xludf.DUMMYFUNCTION("""COMPUTED_VALUE"""),"صيدلية")</f>
        <v>صيدلية</v>
      </c>
      <c r="E3546" s="5" t="str">
        <f ca="1">IFERROR(__xludf.DUMMYFUNCTION("""COMPUTED_VALUE"""),"صيدلية")</f>
        <v>صيدلية</v>
      </c>
      <c r="F3546" s="5" t="str">
        <f ca="1">IFERROR(__xludf.DUMMYFUNCTION("""COMPUTED_VALUE"""),"صيدلية (أدوية ومستلزمات طبية)")</f>
        <v>صيدلية (أدوية ومستلزمات طبية)</v>
      </c>
      <c r="G3546" s="5" t="str">
        <f ca="1">IFERROR(__xludf.DUMMYFUNCTION("""COMPUTED_VALUE"""),"صيدلية د/ سلفيا سامي الجديدة (شركة اورانج لخدمات الصيدليات)")</f>
        <v>صيدلية د/ سلفيا سامي الجديدة (شركة اورانج لخدمات الصيدليات)</v>
      </c>
      <c r="H3546" s="5" t="str">
        <f ca="1">IFERROR(__xludf.DUMMYFUNCTION("""COMPUTED_VALUE"""),"شارع برج الحمام - متفرع من شارع سيتي - قلفاو - سوهاج")</f>
        <v>شارع برج الحمام - متفرع من شارع سيتي - قلفاو - سوهاج</v>
      </c>
      <c r="I3546" s="6" t="str">
        <f ca="1">IFERROR(__xludf.DUMMYFUNCTION("""COMPUTED_VALUE"""),"01210300878")</f>
        <v>01210300878</v>
      </c>
      <c r="J3546" s="6" t="str">
        <f ca="1">IFERROR(__xludf.DUMMYFUNCTION("""COMPUTED_VALUE"""),"19001")</f>
        <v>19001</v>
      </c>
      <c r="K3546" s="6" t="str">
        <f ca="1">IFERROR(__xludf.DUMMYFUNCTION("""COMPUTED_VALUE"""),"خصم 12% علي المحلي و6% علي المستورد")</f>
        <v>خصم 12% علي المحلي و6% علي المستورد</v>
      </c>
    </row>
    <row r="3547" spans="1:11" x14ac:dyDescent="0.25">
      <c r="A3547" s="4" t="str">
        <f ca="1">IFERROR(__xludf.DUMMYFUNCTION("""COMPUTED_VALUE"""),"107606-B")</f>
        <v>107606-B</v>
      </c>
      <c r="B3547" s="5" t="str">
        <f ca="1">IFERROR(__xludf.DUMMYFUNCTION("""COMPUTED_VALUE"""),"سوهاج")</f>
        <v>سوهاج</v>
      </c>
      <c r="C3547" s="5" t="str">
        <f ca="1">IFERROR(__xludf.DUMMYFUNCTION("""COMPUTED_VALUE"""),"سوهاج")</f>
        <v>سوهاج</v>
      </c>
      <c r="D3547" s="5" t="str">
        <f ca="1">IFERROR(__xludf.DUMMYFUNCTION("""COMPUTED_VALUE"""),"صيدلية")</f>
        <v>صيدلية</v>
      </c>
      <c r="E3547" s="5" t="str">
        <f ca="1">IFERROR(__xludf.DUMMYFUNCTION("""COMPUTED_VALUE"""),"صيدلية")</f>
        <v>صيدلية</v>
      </c>
      <c r="F3547" s="5" t="str">
        <f ca="1">IFERROR(__xludf.DUMMYFUNCTION("""COMPUTED_VALUE"""),"صيدلية (أدوية ومستلزمات طبية)")</f>
        <v>صيدلية (أدوية ومستلزمات طبية)</v>
      </c>
      <c r="G3547" s="5" t="str">
        <f ca="1">IFERROR(__xludf.DUMMYFUNCTION("""COMPUTED_VALUE"""),"صيدلية مصطفي الحديثه (شركة اورانج لخدمات الصيدليات)")</f>
        <v>صيدلية مصطفي الحديثه (شركة اورانج لخدمات الصيدليات)</v>
      </c>
      <c r="H3547" s="5" t="str">
        <f ca="1">IFERROR(__xludf.DUMMYFUNCTION("""COMPUTED_VALUE"""),"ش كمال امين عبد المجيد متفرع من امتداد التحرير-سوهاج")</f>
        <v>ش كمال امين عبد المجيد متفرع من امتداد التحرير-سوهاج</v>
      </c>
      <c r="I3547" s="6" t="str">
        <f ca="1">IFERROR(__xludf.DUMMYFUNCTION("""COMPUTED_VALUE"""),"1208804800")</f>
        <v>1208804800</v>
      </c>
      <c r="J3547" s="6" t="str">
        <f ca="1">IFERROR(__xludf.DUMMYFUNCTION("""COMPUTED_VALUE"""),"19001")</f>
        <v>19001</v>
      </c>
      <c r="K3547" s="6" t="str">
        <f ca="1">IFERROR(__xludf.DUMMYFUNCTION("""COMPUTED_VALUE"""),"خصم 12% علي المحلي و6% علي المستورد")</f>
        <v>خصم 12% علي المحلي و6% علي المستورد</v>
      </c>
    </row>
    <row r="3548" spans="1:11" x14ac:dyDescent="0.25">
      <c r="A3548" s="4" t="str">
        <f ca="1">IFERROR(__xludf.DUMMYFUNCTION("""COMPUTED_VALUE"""),"107606-B")</f>
        <v>107606-B</v>
      </c>
      <c r="B3548" s="5" t="str">
        <f ca="1">IFERROR(__xludf.DUMMYFUNCTION("""COMPUTED_VALUE"""),"سوهاج")</f>
        <v>سوهاج</v>
      </c>
      <c r="C3548" s="5" t="str">
        <f ca="1">IFERROR(__xludf.DUMMYFUNCTION("""COMPUTED_VALUE"""),"سوهاج")</f>
        <v>سوهاج</v>
      </c>
      <c r="D3548" s="5" t="str">
        <f ca="1">IFERROR(__xludf.DUMMYFUNCTION("""COMPUTED_VALUE"""),"صيدلية")</f>
        <v>صيدلية</v>
      </c>
      <c r="E3548" s="5" t="str">
        <f ca="1">IFERROR(__xludf.DUMMYFUNCTION("""COMPUTED_VALUE"""),"صيدلية")</f>
        <v>صيدلية</v>
      </c>
      <c r="F3548" s="5" t="str">
        <f ca="1">IFERROR(__xludf.DUMMYFUNCTION("""COMPUTED_VALUE"""),"صيدلية (أدوية ومستلزمات طبية)")</f>
        <v>صيدلية (أدوية ومستلزمات طبية)</v>
      </c>
      <c r="G3548" s="5" t="str">
        <f ca="1">IFERROR(__xludf.DUMMYFUNCTION("""COMPUTED_VALUE"""),"صيدلية د/ ديفيد مدحت وديع (شركة اورانج لخدمات الصيدليات)")</f>
        <v>صيدلية د/ ديفيد مدحت وديع (شركة اورانج لخدمات الصيدليات)</v>
      </c>
      <c r="H3548" s="5" t="str">
        <f ca="1">IFERROR(__xludf.DUMMYFUNCTION("""COMPUTED_VALUE"""),"18نهاية شارع المخبز الآلي - أمام إدارة المرور - شارع ترعة نجع حمادي الشرقية - سوهاج أول - سوهاج")</f>
        <v>18نهاية شارع المخبز الآلي - أمام إدارة المرور - شارع ترعة نجع حمادي الشرقية - سوهاج أول - سوهاج</v>
      </c>
      <c r="I3548" s="6" t="str">
        <f ca="1">IFERROR(__xludf.DUMMYFUNCTION("""COMPUTED_VALUE"""),"1228197555")</f>
        <v>1228197555</v>
      </c>
      <c r="J3548" s="6" t="str">
        <f ca="1">IFERROR(__xludf.DUMMYFUNCTION("""COMPUTED_VALUE"""),"19001")</f>
        <v>19001</v>
      </c>
      <c r="K3548" s="6" t="str">
        <f ca="1">IFERROR(__xludf.DUMMYFUNCTION("""COMPUTED_VALUE"""),"خصم 12% علي المحلي و6% علي المستورد")</f>
        <v>خصم 12% علي المحلي و6% علي المستورد</v>
      </c>
    </row>
    <row r="3549" spans="1:11" x14ac:dyDescent="0.25">
      <c r="A3549" s="4" t="str">
        <f ca="1">IFERROR(__xludf.DUMMYFUNCTION("""COMPUTED_VALUE"""),"107606-B")</f>
        <v>107606-B</v>
      </c>
      <c r="B3549" s="5" t="str">
        <f ca="1">IFERROR(__xludf.DUMMYFUNCTION("""COMPUTED_VALUE"""),"سوهاج")</f>
        <v>سوهاج</v>
      </c>
      <c r="C3549" s="5" t="str">
        <f ca="1">IFERROR(__xludf.DUMMYFUNCTION("""COMPUTED_VALUE"""),"جرجا")</f>
        <v>جرجا</v>
      </c>
      <c r="D3549" s="5" t="str">
        <f ca="1">IFERROR(__xludf.DUMMYFUNCTION("""COMPUTED_VALUE"""),"صيدلية")</f>
        <v>صيدلية</v>
      </c>
      <c r="E3549" s="5" t="str">
        <f ca="1">IFERROR(__xludf.DUMMYFUNCTION("""COMPUTED_VALUE"""),"صيدلية")</f>
        <v>صيدلية</v>
      </c>
      <c r="F3549" s="5" t="str">
        <f ca="1">IFERROR(__xludf.DUMMYFUNCTION("""COMPUTED_VALUE"""),"صيدلية (أدوية ومستلزمات طبية)")</f>
        <v>صيدلية (أدوية ومستلزمات طبية)</v>
      </c>
      <c r="G3549" s="5" t="str">
        <f ca="1">IFERROR(__xludf.DUMMYFUNCTION("""COMPUTED_VALUE"""),"صيدلية عمر (شركة اورانج لخدمات الصيدليات)")</f>
        <v>صيدلية عمر (شركة اورانج لخدمات الصيدليات)</v>
      </c>
      <c r="H3549" s="5" t="str">
        <f ca="1">IFERROR(__xludf.DUMMYFUNCTION("""COMPUTED_VALUE"""),"شارع المنفذ القبلي- بجرجا -سوهاج")</f>
        <v>شارع المنفذ القبلي- بجرجا -سوهاج</v>
      </c>
      <c r="I3549" s="6" t="str">
        <f ca="1">IFERROR(__xludf.DUMMYFUNCTION("""COMPUTED_VALUE"""),"1000586238")</f>
        <v>1000586238</v>
      </c>
      <c r="J3549" s="6" t="str">
        <f ca="1">IFERROR(__xludf.DUMMYFUNCTION("""COMPUTED_VALUE"""),"19001")</f>
        <v>19001</v>
      </c>
      <c r="K3549" s="6" t="str">
        <f ca="1">IFERROR(__xludf.DUMMYFUNCTION("""COMPUTED_VALUE"""),"خصم 12% علي المحلي و6% علي المستورد")</f>
        <v>خصم 12% علي المحلي و6% علي المستورد</v>
      </c>
    </row>
    <row r="3550" spans="1:11" x14ac:dyDescent="0.25">
      <c r="A3550" s="4" t="str">
        <f ca="1">IFERROR(__xludf.DUMMYFUNCTION("""COMPUTED_VALUE"""),"107606-B")</f>
        <v>107606-B</v>
      </c>
      <c r="B3550" s="5" t="str">
        <f ca="1">IFERROR(__xludf.DUMMYFUNCTION("""COMPUTED_VALUE"""),"سوهاج")</f>
        <v>سوهاج</v>
      </c>
      <c r="C3550" s="5" t="str">
        <f ca="1">IFERROR(__xludf.DUMMYFUNCTION("""COMPUTED_VALUE"""),"سوهاج")</f>
        <v>سوهاج</v>
      </c>
      <c r="D3550" s="5" t="str">
        <f ca="1">IFERROR(__xludf.DUMMYFUNCTION("""COMPUTED_VALUE"""),"صيدلية")</f>
        <v>صيدلية</v>
      </c>
      <c r="E3550" s="5" t="str">
        <f ca="1">IFERROR(__xludf.DUMMYFUNCTION("""COMPUTED_VALUE"""),"صيدلية")</f>
        <v>صيدلية</v>
      </c>
      <c r="F3550" s="5" t="str">
        <f ca="1">IFERROR(__xludf.DUMMYFUNCTION("""COMPUTED_VALUE"""),"صيدلية (أدوية ومستلزمات طبية)")</f>
        <v>صيدلية (أدوية ومستلزمات طبية)</v>
      </c>
      <c r="G3550" s="5" t="str">
        <f ca="1">IFERROR(__xludf.DUMMYFUNCTION("""COMPUTED_VALUE"""),"صيدلية الفؤاد (شركة اورانج لخدمات الصيدليات)")</f>
        <v>صيدلية الفؤاد (شركة اورانج لخدمات الصيدليات)</v>
      </c>
      <c r="H3550" s="5" t="str">
        <f ca="1">IFERROR(__xludf.DUMMYFUNCTION("""COMPUTED_VALUE"""),"محافظة سوهاج - مركز اخميم -امتداد ابو القاسم")</f>
        <v>محافظة سوهاج - مركز اخميم -امتداد ابو القاسم</v>
      </c>
      <c r="I3550" s="6" t="str">
        <f ca="1">IFERROR(__xludf.DUMMYFUNCTION("""COMPUTED_VALUE"""),"1019155580")</f>
        <v>1019155580</v>
      </c>
      <c r="J3550" s="6" t="str">
        <f ca="1">IFERROR(__xludf.DUMMYFUNCTION("""COMPUTED_VALUE"""),"19001")</f>
        <v>19001</v>
      </c>
      <c r="K3550" s="6" t="str">
        <f ca="1">IFERROR(__xludf.DUMMYFUNCTION("""COMPUTED_VALUE"""),"خصم 12% علي المحلي و6% علي المستورد")</f>
        <v>خصم 12% علي المحلي و6% علي المستورد</v>
      </c>
    </row>
    <row r="3551" spans="1:11" x14ac:dyDescent="0.25">
      <c r="A3551" s="4" t="str">
        <f ca="1">IFERROR(__xludf.DUMMYFUNCTION("""COMPUTED_VALUE"""),"107606-B")</f>
        <v>107606-B</v>
      </c>
      <c r="B3551" s="5" t="str">
        <f ca="1">IFERROR(__xludf.DUMMYFUNCTION("""COMPUTED_VALUE"""),"سوهاج")</f>
        <v>سوهاج</v>
      </c>
      <c r="C3551" s="5" t="str">
        <f ca="1">IFERROR(__xludf.DUMMYFUNCTION("""COMPUTED_VALUE"""),"سوهاج")</f>
        <v>سوهاج</v>
      </c>
      <c r="D3551" s="5" t="str">
        <f ca="1">IFERROR(__xludf.DUMMYFUNCTION("""COMPUTED_VALUE"""),"صيدلية")</f>
        <v>صيدلية</v>
      </c>
      <c r="E3551" s="5" t="str">
        <f ca="1">IFERROR(__xludf.DUMMYFUNCTION("""COMPUTED_VALUE"""),"صيدلية")</f>
        <v>صيدلية</v>
      </c>
      <c r="F3551" s="5" t="str">
        <f ca="1">IFERROR(__xludf.DUMMYFUNCTION("""COMPUTED_VALUE"""),"صيدلية (أدوية ومستلزمات طبية)")</f>
        <v>صيدلية (أدوية ومستلزمات طبية)</v>
      </c>
      <c r="G3551" s="5" t="str">
        <f ca="1">IFERROR(__xludf.DUMMYFUNCTION("""COMPUTED_VALUE"""),"صيدلية الكشكى (شركة اورانج لخدمات الصيدليات)")</f>
        <v>صيدلية الكشكى (شركة اورانج لخدمات الصيدليات)</v>
      </c>
      <c r="H3551" s="5" t="str">
        <f ca="1">IFERROR(__xludf.DUMMYFUNCTION("""COMPUTED_VALUE"""),"محافظة سوهاج - مركز طهطا شارع المحطة البحرى")</f>
        <v>محافظة سوهاج - مركز طهطا شارع المحطة البحرى</v>
      </c>
      <c r="I3551" s="6" t="str">
        <f ca="1">IFERROR(__xludf.DUMMYFUNCTION("""COMPUTED_VALUE"""),"1124796436")</f>
        <v>1124796436</v>
      </c>
      <c r="J3551" s="6" t="str">
        <f ca="1">IFERROR(__xludf.DUMMYFUNCTION("""COMPUTED_VALUE"""),"19001")</f>
        <v>19001</v>
      </c>
      <c r="K3551" s="6" t="str">
        <f ca="1">IFERROR(__xludf.DUMMYFUNCTION("""COMPUTED_VALUE"""),"خصم 12% علي المحلي و6% علي المستورد")</f>
        <v>خصم 12% علي المحلي و6% علي المستورد</v>
      </c>
    </row>
    <row r="3552" spans="1:11" x14ac:dyDescent="0.25">
      <c r="A3552" s="4" t="str">
        <f ca="1">IFERROR(__xludf.DUMMYFUNCTION("""COMPUTED_VALUE"""),"107606-B")</f>
        <v>107606-B</v>
      </c>
      <c r="B3552" s="5" t="str">
        <f ca="1">IFERROR(__xludf.DUMMYFUNCTION("""COMPUTED_VALUE"""),"شمال سيناء")</f>
        <v>شمال سيناء</v>
      </c>
      <c r="C3552" s="5" t="str">
        <f ca="1">IFERROR(__xludf.DUMMYFUNCTION("""COMPUTED_VALUE"""),"العريش")</f>
        <v>العريش</v>
      </c>
      <c r="D3552" s="5" t="str">
        <f ca="1">IFERROR(__xludf.DUMMYFUNCTION("""COMPUTED_VALUE"""),"صيدلية")</f>
        <v>صيدلية</v>
      </c>
      <c r="E3552" s="5" t="str">
        <f ca="1">IFERROR(__xludf.DUMMYFUNCTION("""COMPUTED_VALUE"""),"صيدلية")</f>
        <v>صيدلية</v>
      </c>
      <c r="F3552" s="5" t="str">
        <f ca="1">IFERROR(__xludf.DUMMYFUNCTION("""COMPUTED_VALUE"""),"صيدلية (أدوية ومستلزمات طبية)")</f>
        <v>صيدلية (أدوية ومستلزمات طبية)</v>
      </c>
      <c r="G3552" s="5" t="str">
        <f ca="1">IFERROR(__xludf.DUMMYFUNCTION("""COMPUTED_VALUE"""),"صيدلية د/ محمد صبحي السلامونى (شركة اورانج لخدمات الصيدليات)")</f>
        <v>صيدلية د/ محمد صبحي السلامونى (شركة اورانج لخدمات الصيدليات)</v>
      </c>
      <c r="H3552" s="5" t="str">
        <f ca="1">IFERROR(__xludf.DUMMYFUNCTION("""COMPUTED_VALUE"""),"شارع عمر بن الخطاب - بجوار شارع التيجاني الجديد - العريش أول - شمال سيناء")</f>
        <v>شارع عمر بن الخطاب - بجوار شارع التيجاني الجديد - العريش أول - شمال سيناء</v>
      </c>
      <c r="I3552" s="6" t="str">
        <f ca="1">IFERROR(__xludf.DUMMYFUNCTION("""COMPUTED_VALUE"""),"1091133155")</f>
        <v>1091133155</v>
      </c>
      <c r="J3552" s="6" t="str">
        <f ca="1">IFERROR(__xludf.DUMMYFUNCTION("""COMPUTED_VALUE"""),"19001")</f>
        <v>19001</v>
      </c>
      <c r="K3552" s="6" t="str">
        <f ca="1">IFERROR(__xludf.DUMMYFUNCTION("""COMPUTED_VALUE"""),"خصم 12% علي المحلي و6% علي المستورد")</f>
        <v>خصم 12% علي المحلي و6% علي المستورد</v>
      </c>
    </row>
    <row r="3553" spans="1:11" x14ac:dyDescent="0.25">
      <c r="A3553" s="4" t="str">
        <f ca="1">IFERROR(__xludf.DUMMYFUNCTION("""COMPUTED_VALUE"""),"107606-B")</f>
        <v>107606-B</v>
      </c>
      <c r="B3553" s="5" t="str">
        <f ca="1">IFERROR(__xludf.DUMMYFUNCTION("""COMPUTED_VALUE"""),"قنا")</f>
        <v>قنا</v>
      </c>
      <c r="C3553" s="5" t="str">
        <f ca="1">IFERROR(__xludf.DUMMYFUNCTION("""COMPUTED_VALUE"""),"قنا")</f>
        <v>قنا</v>
      </c>
      <c r="D3553" s="5" t="str">
        <f ca="1">IFERROR(__xludf.DUMMYFUNCTION("""COMPUTED_VALUE"""),"صيدلية")</f>
        <v>صيدلية</v>
      </c>
      <c r="E3553" s="5" t="str">
        <f ca="1">IFERROR(__xludf.DUMMYFUNCTION("""COMPUTED_VALUE"""),"صيدلية")</f>
        <v>صيدلية</v>
      </c>
      <c r="F3553" s="5" t="str">
        <f ca="1">IFERROR(__xludf.DUMMYFUNCTION("""COMPUTED_VALUE"""),"صيدلية (أدوية ومستلزمات طبية)")</f>
        <v>صيدلية (أدوية ومستلزمات طبية)</v>
      </c>
      <c r="G3553" s="5" t="str">
        <f ca="1">IFERROR(__xludf.DUMMYFUNCTION("""COMPUTED_VALUE"""),"صيدلية محمد حسن (شركة اورانج لخدمات الصيدليات)")</f>
        <v>صيدلية محمد حسن (شركة اورانج لخدمات الصيدليات)</v>
      </c>
      <c r="H3553" s="5" t="str">
        <f ca="1">IFERROR(__xludf.DUMMYFUNCTION("""COMPUTED_VALUE"""),"الغوصة -مركز قنا-بجوار الكبري الكبير-قنا")</f>
        <v>الغوصة -مركز قنا-بجوار الكبري الكبير-قنا</v>
      </c>
      <c r="I3553" s="6" t="str">
        <f ca="1">IFERROR(__xludf.DUMMYFUNCTION("""COMPUTED_VALUE"""),"1033990008")</f>
        <v>1033990008</v>
      </c>
      <c r="J3553" s="6" t="str">
        <f ca="1">IFERROR(__xludf.DUMMYFUNCTION("""COMPUTED_VALUE"""),"19001")</f>
        <v>19001</v>
      </c>
      <c r="K3553" s="6" t="str">
        <f ca="1">IFERROR(__xludf.DUMMYFUNCTION("""COMPUTED_VALUE"""),"خصم 12% علي المحلي و6% علي المستورد")</f>
        <v>خصم 12% علي المحلي و6% علي المستورد</v>
      </c>
    </row>
    <row r="3554" spans="1:11" x14ac:dyDescent="0.25">
      <c r="A3554" s="4" t="str">
        <f ca="1">IFERROR(__xludf.DUMMYFUNCTION("""COMPUTED_VALUE"""),"107606-B")</f>
        <v>107606-B</v>
      </c>
      <c r="B3554" s="5" t="str">
        <f ca="1">IFERROR(__xludf.DUMMYFUNCTION("""COMPUTED_VALUE"""),"كفر الشيخ")</f>
        <v>كفر الشيخ</v>
      </c>
      <c r="C3554" s="5" t="str">
        <f ca="1">IFERROR(__xludf.DUMMYFUNCTION("""COMPUTED_VALUE"""),"كفر الشيخ")</f>
        <v>كفر الشيخ</v>
      </c>
      <c r="D3554" s="5" t="str">
        <f ca="1">IFERROR(__xludf.DUMMYFUNCTION("""COMPUTED_VALUE"""),"صيدلية")</f>
        <v>صيدلية</v>
      </c>
      <c r="E3554" s="5" t="str">
        <f ca="1">IFERROR(__xludf.DUMMYFUNCTION("""COMPUTED_VALUE"""),"صيدلية")</f>
        <v>صيدلية</v>
      </c>
      <c r="F3554" s="5" t="str">
        <f ca="1">IFERROR(__xludf.DUMMYFUNCTION("""COMPUTED_VALUE"""),"صيدلية (أدوية ومستلزمات طبية)")</f>
        <v>صيدلية (أدوية ومستلزمات طبية)</v>
      </c>
      <c r="G3554" s="5" t="str">
        <f ca="1">IFERROR(__xludf.DUMMYFUNCTION("""COMPUTED_VALUE"""),"صيدلية د/ محمود غلاب (شركة اورانج لخدمات الصيدليات)")</f>
        <v>صيدلية د/ محمود غلاب (شركة اورانج لخدمات الصيدليات)</v>
      </c>
      <c r="H3554" s="5" t="str">
        <f ca="1">IFERROR(__xludf.DUMMYFUNCTION("""COMPUTED_VALUE"""),"الأوقاف 4 - ش تقسيم النيابة الإدارية - برج غلاب - كفر الشيخ - كفر الشيخ")</f>
        <v>الأوقاف 4 - ش تقسيم النيابة الإدارية - برج غلاب - كفر الشيخ - كفر الشيخ</v>
      </c>
      <c r="I3554" s="6" t="str">
        <f ca="1">IFERROR(__xludf.DUMMYFUNCTION("""COMPUTED_VALUE"""),"1009838484")</f>
        <v>1009838484</v>
      </c>
      <c r="J3554" s="6" t="str">
        <f ca="1">IFERROR(__xludf.DUMMYFUNCTION("""COMPUTED_VALUE"""),"19001")</f>
        <v>19001</v>
      </c>
      <c r="K3554" s="6" t="str">
        <f ca="1">IFERROR(__xludf.DUMMYFUNCTION("""COMPUTED_VALUE"""),"خصم 12% علي المحلي و6% علي المستورد")</f>
        <v>خصم 12% علي المحلي و6% علي المستورد</v>
      </c>
    </row>
    <row r="3555" spans="1:11" x14ac:dyDescent="0.25">
      <c r="A3555" s="4" t="str">
        <f ca="1">IFERROR(__xludf.DUMMYFUNCTION("""COMPUTED_VALUE"""),"107606-B")</f>
        <v>107606-B</v>
      </c>
      <c r="B3555" s="5" t="str">
        <f ca="1">IFERROR(__xludf.DUMMYFUNCTION("""COMPUTED_VALUE"""),"مرسى مطروح")</f>
        <v>مرسى مطروح</v>
      </c>
      <c r="C3555" s="5" t="str">
        <f ca="1">IFERROR(__xludf.DUMMYFUNCTION("""COMPUTED_VALUE"""),"مرسى مطروح")</f>
        <v>مرسى مطروح</v>
      </c>
      <c r="D3555" s="5" t="str">
        <f ca="1">IFERROR(__xludf.DUMMYFUNCTION("""COMPUTED_VALUE"""),"صيدلية")</f>
        <v>صيدلية</v>
      </c>
      <c r="E3555" s="5" t="str">
        <f ca="1">IFERROR(__xludf.DUMMYFUNCTION("""COMPUTED_VALUE"""),"صيدلية")</f>
        <v>صيدلية</v>
      </c>
      <c r="F3555" s="5" t="str">
        <f ca="1">IFERROR(__xludf.DUMMYFUNCTION("""COMPUTED_VALUE"""),"صيدلية (أدوية ومستلزمات طبية)")</f>
        <v>صيدلية (أدوية ومستلزمات طبية)</v>
      </c>
      <c r="G3555" s="5" t="str">
        <f ca="1">IFERROR(__xludf.DUMMYFUNCTION("""COMPUTED_VALUE"""),"صيدلية د/ محمد علي  (شركة اورانج لخدمات الصيدليات)")</f>
        <v>صيدلية د/ محمد علي  (شركة اورانج لخدمات الصيدليات)</v>
      </c>
      <c r="H3555" s="5" t="str">
        <f ca="1">IFERROR(__xludf.DUMMYFUNCTION("""COMPUTED_VALUE"""),"الكيلو 2 - خلف موقف ومحطة اتوبيس السوبر جيت - مطروح")</f>
        <v>الكيلو 2 - خلف موقف ومحطة اتوبيس السوبر جيت - مطروح</v>
      </c>
      <c r="I3555" s="6" t="str">
        <f ca="1">IFERROR(__xludf.DUMMYFUNCTION("""COMPUTED_VALUE"""),"1003130404")</f>
        <v>1003130404</v>
      </c>
      <c r="J3555" s="6" t="str">
        <f ca="1">IFERROR(__xludf.DUMMYFUNCTION("""COMPUTED_VALUE"""),"19001")</f>
        <v>19001</v>
      </c>
      <c r="K3555" s="6" t="str">
        <f ca="1">IFERROR(__xludf.DUMMYFUNCTION("""COMPUTED_VALUE"""),"خصم 12% علي المحلي و6% علي المستورد")</f>
        <v>خصم 12% علي المحلي و6% علي المستورد</v>
      </c>
    </row>
    <row r="3556" spans="1:11" x14ac:dyDescent="0.25">
      <c r="A3556" s="4" t="str">
        <f ca="1">IFERROR(__xludf.DUMMYFUNCTION("""COMPUTED_VALUE"""),"107611")</f>
        <v>107611</v>
      </c>
      <c r="B3556" s="5" t="str">
        <f ca="1">IFERROR(__xludf.DUMMYFUNCTION("""COMPUTED_VALUE"""),"السويس")</f>
        <v>السويس</v>
      </c>
      <c r="C3556" s="5" t="str">
        <f ca="1">IFERROR(__xludf.DUMMYFUNCTION("""COMPUTED_VALUE"""),"السويس")</f>
        <v>السويس</v>
      </c>
      <c r="D3556" s="5" t="str">
        <f ca="1">IFERROR(__xludf.DUMMYFUNCTION("""COMPUTED_VALUE"""),"مستشفى")</f>
        <v>مستشفى</v>
      </c>
      <c r="E3556" s="5" t="str">
        <f ca="1">IFERROR(__xludf.DUMMYFUNCTION("""COMPUTED_VALUE"""),"جميع التخصصات")</f>
        <v>جميع التخصصات</v>
      </c>
      <c r="F3556" s="5" t="str">
        <f ca="1">IFERROR(__xludf.DUMMYFUNCTION("""COMPUTED_VALUE"""),"جميع التخصصات الطبية")</f>
        <v>جميع التخصصات الطبية</v>
      </c>
      <c r="G3556" s="5" t="str">
        <f ca="1">IFERROR(__xludf.DUMMYFUNCTION("""COMPUTED_VALUE"""),"شركة ايزي كير للخدمات الطبية (مستشفي الغريب التخصصي)")</f>
        <v>شركة ايزي كير للخدمات الطبية (مستشفي الغريب التخصصي)</v>
      </c>
      <c r="H3556" s="5" t="str">
        <f ca="1">IFERROR(__xludf.DUMMYFUNCTION("""COMPUTED_VALUE"""),"ش الخضر الغريب - السويس")</f>
        <v>ش الخضر الغريب - السويس</v>
      </c>
      <c r="I3556" s="6" t="str">
        <f ca="1">IFERROR(__xludf.DUMMYFUNCTION("""COMPUTED_VALUE"""),"01006444558")</f>
        <v>01006444558</v>
      </c>
      <c r="J3556" s="6"/>
      <c r="K3556" s="6" t="str">
        <f ca="1">IFERROR(__xludf.DUMMYFUNCTION("""COMPUTED_VALUE"""),"خصم 30% علي الاسعار النقدي")</f>
        <v>خصم 30% علي الاسعار النقدي</v>
      </c>
    </row>
    <row r="3557" spans="1:11" x14ac:dyDescent="0.25">
      <c r="A3557" s="4" t="str">
        <f ca="1">IFERROR(__xludf.DUMMYFUNCTION("""COMPUTED_VALUE"""),"107612")</f>
        <v>107612</v>
      </c>
      <c r="B3557" s="5" t="str">
        <f ca="1">IFERROR(__xludf.DUMMYFUNCTION("""COMPUTED_VALUE"""),"القاهرة")</f>
        <v>القاهرة</v>
      </c>
      <c r="C3557" s="5" t="str">
        <f ca="1">IFERROR(__xludf.DUMMYFUNCTION("""COMPUTED_VALUE"""),"القاهرة الجديدة")</f>
        <v>القاهرة الجديدة</v>
      </c>
      <c r="D3557" s="5" t="str">
        <f ca="1">IFERROR(__xludf.DUMMYFUNCTION("""COMPUTED_VALUE"""),"مستشفى")</f>
        <v>مستشفى</v>
      </c>
      <c r="E3557" s="5" t="str">
        <f ca="1">IFERROR(__xludf.DUMMYFUNCTION("""COMPUTED_VALUE"""),"مستشفي طبي متخصص")</f>
        <v>مستشفي طبي متخصص</v>
      </c>
      <c r="F3557" s="5" t="str">
        <f ca="1">IFERROR(__xludf.DUMMYFUNCTION("""COMPUTED_VALUE"""),"مركز أورام")</f>
        <v>مركز أورام</v>
      </c>
      <c r="G3557" s="5" t="str">
        <f ca="1">IFERROR(__xludf.DUMMYFUNCTION("""COMPUTED_VALUE"""),"احمد السعيد البسطويسي عبدالجواد (مركز بلاتينوم للأورام)")</f>
        <v>احمد السعيد البسطويسي عبدالجواد (مركز بلاتينوم للأورام)</v>
      </c>
      <c r="H3557" s="5" t="str">
        <f ca="1">IFERROR(__xludf.DUMMYFUNCTION("""COMPUTED_VALUE"""),"مول سواي محور محمد نجيب وحده 308 و 309 - القاهرة الجديدة")</f>
        <v>مول سواي محور محمد نجيب وحده 308 و 309 - القاهرة الجديدة</v>
      </c>
      <c r="I3557" s="6" t="str">
        <f ca="1">IFERROR(__xludf.DUMMYFUNCTION("""COMPUTED_VALUE"""),"01016757975")</f>
        <v>01016757975</v>
      </c>
      <c r="J3557" s="6"/>
      <c r="K3557" s="6" t="str">
        <f ca="1">IFERROR(__xludf.DUMMYFUNCTION("""COMPUTED_VALUE"""),"خصم 30% علي الاسعار النقدي")</f>
        <v>خصم 30% علي الاسعار النقدي</v>
      </c>
    </row>
    <row r="3558" spans="1:11" x14ac:dyDescent="0.25">
      <c r="A3558" s="4" t="str">
        <f ca="1">IFERROR(__xludf.DUMMYFUNCTION("""COMPUTED_VALUE"""),"107613")</f>
        <v>107613</v>
      </c>
      <c r="B3558" s="5" t="str">
        <f ca="1">IFERROR(__xludf.DUMMYFUNCTION("""COMPUTED_VALUE"""),"بورسعيد")</f>
        <v>بورسعيد</v>
      </c>
      <c r="C3558" s="5" t="str">
        <f ca="1">IFERROR(__xludf.DUMMYFUNCTION("""COMPUTED_VALUE"""),"بورسعيد")</f>
        <v>بورسعيد</v>
      </c>
      <c r="D3558" s="5" t="str">
        <f ca="1">IFERROR(__xludf.DUMMYFUNCTION("""COMPUTED_VALUE"""),"هيئة الأطباء")</f>
        <v>هيئة الأطباء</v>
      </c>
      <c r="E3558" s="5" t="str">
        <f ca="1">IFERROR(__xludf.DUMMYFUNCTION("""COMPUTED_VALUE"""),"باطنة")</f>
        <v>باطنة</v>
      </c>
      <c r="F3558" s="5" t="str">
        <f ca="1">IFERROR(__xludf.DUMMYFUNCTION("""COMPUTED_VALUE"""),"قلب واوعية دموية")</f>
        <v>قلب واوعية دموية</v>
      </c>
      <c r="G3558" s="5" t="str">
        <f ca="1">IFERROR(__xludf.DUMMYFUNCTION("""COMPUTED_VALUE"""),"د. محمد عبدالحميد علي فهيد")</f>
        <v>د. محمد عبدالحميد علي فهيد</v>
      </c>
      <c r="H3558" s="5" t="str">
        <f ca="1">IFERROR(__xludf.DUMMYFUNCTION("""COMPUTED_VALUE"""),"32 ش صلاح سالم و الثلاثيني برج طيبه - دور 1 - شقه 3 - بورسعيد")</f>
        <v>32 ش صلاح سالم و الثلاثيني برج طيبه - دور 1 - شقه 3 - بورسعيد</v>
      </c>
      <c r="I3558" s="6" t="str">
        <f ca="1">IFERROR(__xludf.DUMMYFUNCTION("""COMPUTED_VALUE"""),"01114448802")</f>
        <v>01114448802</v>
      </c>
      <c r="J3558" s="6"/>
      <c r="K3558" s="6" t="str">
        <f ca="1">IFERROR(__xludf.DUMMYFUNCTION("""COMPUTED_VALUE"""),"خصم 25% علي الاسعار النقدي")</f>
        <v>خصم 25% علي الاسعار النقدي</v>
      </c>
    </row>
    <row r="3559" spans="1:11" x14ac:dyDescent="0.25">
      <c r="A3559" s="4" t="str">
        <f ca="1">IFERROR(__xludf.DUMMYFUNCTION("""COMPUTED_VALUE"""),"107614")</f>
        <v>107614</v>
      </c>
      <c r="B3559" s="5" t="str">
        <f ca="1">IFERROR(__xludf.DUMMYFUNCTION("""COMPUTED_VALUE"""),"بورسعيد")</f>
        <v>بورسعيد</v>
      </c>
      <c r="C3559" s="5" t="str">
        <f ca="1">IFERROR(__xludf.DUMMYFUNCTION("""COMPUTED_VALUE"""),"بورسعيد")</f>
        <v>بورسعيد</v>
      </c>
      <c r="D3559" s="5" t="str">
        <f ca="1">IFERROR(__xludf.DUMMYFUNCTION("""COMPUTED_VALUE"""),"هيئة الأطباء")</f>
        <v>هيئة الأطباء</v>
      </c>
      <c r="E3559" s="5" t="str">
        <f ca="1">IFERROR(__xludf.DUMMYFUNCTION("""COMPUTED_VALUE"""),"اسنان")</f>
        <v>اسنان</v>
      </c>
      <c r="F3559" s="5" t="str">
        <f ca="1">IFERROR(__xludf.DUMMYFUNCTION("""COMPUTED_VALUE"""),"جراحة الفم والأسنان")</f>
        <v>جراحة الفم والأسنان</v>
      </c>
      <c r="G3559" s="5" t="str">
        <f ca="1">IFERROR(__xludf.DUMMYFUNCTION("""COMPUTED_VALUE"""),"د. اسماء عاشور علي الفيل")</f>
        <v>د. اسماء عاشور علي الفيل</v>
      </c>
      <c r="H3559" s="5" t="str">
        <f ca="1">IFERROR(__xludf.DUMMYFUNCTION("""COMPUTED_VALUE"""),"برج الرحاب ش عبدالهادي الحديدي - بورسعيد")</f>
        <v>برج الرحاب ش عبدالهادي الحديدي - بورسعيد</v>
      </c>
      <c r="I3559" s="6" t="str">
        <f ca="1">IFERROR(__xludf.DUMMYFUNCTION("""COMPUTED_VALUE"""),"0663648886")</f>
        <v>0663648886</v>
      </c>
      <c r="J3559" s="6"/>
      <c r="K3559" s="6" t="str">
        <f ca="1">IFERROR(__xludf.DUMMYFUNCTION("""COMPUTED_VALUE"""),"خصم 25% علي الاسعار النقدي")</f>
        <v>خصم 25% علي الاسعار النقدي</v>
      </c>
    </row>
    <row r="3560" spans="1:11" x14ac:dyDescent="0.25">
      <c r="A3560" s="4" t="str">
        <f ca="1">IFERROR(__xludf.DUMMYFUNCTION("""COMPUTED_VALUE"""),"107615")</f>
        <v>107615</v>
      </c>
      <c r="B3560" s="5" t="str">
        <f ca="1">IFERROR(__xludf.DUMMYFUNCTION("""COMPUTED_VALUE"""),"سوهاج")</f>
        <v>سوهاج</v>
      </c>
      <c r="C3560" s="5" t="str">
        <f ca="1">IFERROR(__xludf.DUMMYFUNCTION("""COMPUTED_VALUE"""),"سوهاج")</f>
        <v>سوهاج</v>
      </c>
      <c r="D3560" s="5" t="str">
        <f ca="1">IFERROR(__xludf.DUMMYFUNCTION("""COMPUTED_VALUE"""),"شركة")</f>
        <v>شركة</v>
      </c>
      <c r="E3560" s="5" t="str">
        <f ca="1">IFERROR(__xludf.DUMMYFUNCTION("""COMPUTED_VALUE"""),"شركة اجهزة طبية")</f>
        <v>شركة اجهزة طبية</v>
      </c>
      <c r="F3560" s="5" t="str">
        <f ca="1">IFERROR(__xludf.DUMMYFUNCTION("""COMPUTED_VALUE"""),"مركز بصريات")</f>
        <v>مركز بصريات</v>
      </c>
      <c r="G3560" s="5" t="str">
        <f ca="1">IFERROR(__xludf.DUMMYFUNCTION("""COMPUTED_VALUE"""),"حازم محمود عبداللطيف محمد (الحازم للبصريات)")</f>
        <v>حازم محمود عبداللطيف محمد (الحازم للبصريات)</v>
      </c>
      <c r="H3560" s="5" t="str">
        <f ca="1">IFERROR(__xludf.DUMMYFUNCTION("""COMPUTED_VALUE"""),"ش أبو عبيدة بن الجراح (ش خلف الاذاعه) من شارع الاذاعه - سوهاج")</f>
        <v>ش أبو عبيدة بن الجراح (ش خلف الاذاعه) من شارع الاذاعه - سوهاج</v>
      </c>
      <c r="I3560" s="6" t="str">
        <f ca="1">IFERROR(__xludf.DUMMYFUNCTION("""COMPUTED_VALUE"""),"01027309767")</f>
        <v>01027309767</v>
      </c>
      <c r="J3560" s="6"/>
      <c r="K3560" s="6" t="str">
        <f ca="1">IFERROR(__xludf.DUMMYFUNCTION("""COMPUTED_VALUE"""),"خصم 35% علي الاسعار النقدي")</f>
        <v>خصم 35% علي الاسعار النقدي</v>
      </c>
    </row>
    <row r="3561" spans="1:11" x14ac:dyDescent="0.25">
      <c r="A3561" s="4" t="str">
        <f ca="1">IFERROR(__xludf.DUMMYFUNCTION("""COMPUTED_VALUE"""),"107615-B")</f>
        <v>107615-B</v>
      </c>
      <c r="B3561" s="5" t="str">
        <f ca="1">IFERROR(__xludf.DUMMYFUNCTION("""COMPUTED_VALUE"""),"سوهاج")</f>
        <v>سوهاج</v>
      </c>
      <c r="C3561" s="5" t="str">
        <f ca="1">IFERROR(__xludf.DUMMYFUNCTION("""COMPUTED_VALUE"""),"سوهاج")</f>
        <v>سوهاج</v>
      </c>
      <c r="D3561" s="5" t="str">
        <f ca="1">IFERROR(__xludf.DUMMYFUNCTION("""COMPUTED_VALUE"""),"شركة")</f>
        <v>شركة</v>
      </c>
      <c r="E3561" s="5" t="str">
        <f ca="1">IFERROR(__xludf.DUMMYFUNCTION("""COMPUTED_VALUE"""),"شركة اجهزة طبية")</f>
        <v>شركة اجهزة طبية</v>
      </c>
      <c r="F3561" s="5" t="str">
        <f ca="1">IFERROR(__xludf.DUMMYFUNCTION("""COMPUTED_VALUE"""),"مركز بصريات")</f>
        <v>مركز بصريات</v>
      </c>
      <c r="G3561" s="5" t="str">
        <f ca="1">IFERROR(__xludf.DUMMYFUNCTION("""COMPUTED_VALUE"""),"حازم محمود عبداللطيف محمد (الحازم للبصريات)")</f>
        <v>حازم محمود عبداللطيف محمد (الحازم للبصريات)</v>
      </c>
      <c r="H3561" s="5" t="str">
        <f ca="1">IFERROR(__xludf.DUMMYFUNCTION("""COMPUTED_VALUE"""),"ميدان الشبان ش النهضة بجوار كافيه بيسكا")</f>
        <v>ميدان الشبان ش النهضة بجوار كافيه بيسكا</v>
      </c>
      <c r="I3561" s="6" t="str">
        <f ca="1">IFERROR(__xludf.DUMMYFUNCTION("""COMPUTED_VALUE"""),"1050933953")</f>
        <v>1050933953</v>
      </c>
      <c r="J3561" s="6"/>
      <c r="K3561" s="6" t="str">
        <f ca="1">IFERROR(__xludf.DUMMYFUNCTION("""COMPUTED_VALUE"""),"خصم 35% علي الاسعار النقدي")</f>
        <v>خصم 35% علي الاسعار النقدي</v>
      </c>
    </row>
    <row r="3562" spans="1:11" x14ac:dyDescent="0.25">
      <c r="A3562" s="4" t="str">
        <f ca="1">IFERROR(__xludf.DUMMYFUNCTION("""COMPUTED_VALUE"""),"107615-B")</f>
        <v>107615-B</v>
      </c>
      <c r="B3562" s="5" t="str">
        <f ca="1">IFERROR(__xludf.DUMMYFUNCTION("""COMPUTED_VALUE"""),"سوهاج")</f>
        <v>سوهاج</v>
      </c>
      <c r="C3562" s="5" t="str">
        <f ca="1">IFERROR(__xludf.DUMMYFUNCTION("""COMPUTED_VALUE"""),"سوهاج")</f>
        <v>سوهاج</v>
      </c>
      <c r="D3562" s="5" t="str">
        <f ca="1">IFERROR(__xludf.DUMMYFUNCTION("""COMPUTED_VALUE"""),"شركة")</f>
        <v>شركة</v>
      </c>
      <c r="E3562" s="5" t="str">
        <f ca="1">IFERROR(__xludf.DUMMYFUNCTION("""COMPUTED_VALUE"""),"شركة اجهزة طبية")</f>
        <v>شركة اجهزة طبية</v>
      </c>
      <c r="F3562" s="5" t="str">
        <f ca="1">IFERROR(__xludf.DUMMYFUNCTION("""COMPUTED_VALUE"""),"مركز بصريات")</f>
        <v>مركز بصريات</v>
      </c>
      <c r="G3562" s="5" t="str">
        <f ca="1">IFERROR(__xludf.DUMMYFUNCTION("""COMPUTED_VALUE"""),"حازم محمود عبداللطيف محمد (الحازم للبصريات)")</f>
        <v>حازم محمود عبداللطيف محمد (الحازم للبصريات)</v>
      </c>
      <c r="H3562" s="5" t="str">
        <f ca="1">IFERROR(__xludf.DUMMYFUNCTION("""COMPUTED_VALUE"""),"شرق صينية اخميم بجوار رنين")</f>
        <v>شرق صينية اخميم بجوار رنين</v>
      </c>
      <c r="I3562" s="6" t="str">
        <f ca="1">IFERROR(__xludf.DUMMYFUNCTION("""COMPUTED_VALUE"""),"1557032298")</f>
        <v>1557032298</v>
      </c>
      <c r="J3562" s="6"/>
      <c r="K3562" s="6" t="str">
        <f ca="1">IFERROR(__xludf.DUMMYFUNCTION("""COMPUTED_VALUE"""),"خصم 35% علي الاسعار النقدي")</f>
        <v>خصم 35% علي الاسعار النقدي</v>
      </c>
    </row>
    <row r="3563" spans="1:11" x14ac:dyDescent="0.25">
      <c r="A3563" s="4" t="str">
        <f ca="1">IFERROR(__xludf.DUMMYFUNCTION("""COMPUTED_VALUE"""),"107615-B")</f>
        <v>107615-B</v>
      </c>
      <c r="B3563" s="5" t="str">
        <f ca="1">IFERROR(__xludf.DUMMYFUNCTION("""COMPUTED_VALUE"""),"سوهاج")</f>
        <v>سوهاج</v>
      </c>
      <c r="C3563" s="5" t="str">
        <f ca="1">IFERROR(__xludf.DUMMYFUNCTION("""COMPUTED_VALUE"""),"سوهاج")</f>
        <v>سوهاج</v>
      </c>
      <c r="D3563" s="5" t="str">
        <f ca="1">IFERROR(__xludf.DUMMYFUNCTION("""COMPUTED_VALUE"""),"شركة")</f>
        <v>شركة</v>
      </c>
      <c r="E3563" s="5" t="str">
        <f ca="1">IFERROR(__xludf.DUMMYFUNCTION("""COMPUTED_VALUE"""),"شركة اجهزة طبية")</f>
        <v>شركة اجهزة طبية</v>
      </c>
      <c r="F3563" s="5" t="str">
        <f ca="1">IFERROR(__xludf.DUMMYFUNCTION("""COMPUTED_VALUE"""),"مركز بصريات")</f>
        <v>مركز بصريات</v>
      </c>
      <c r="G3563" s="5" t="str">
        <f ca="1">IFERROR(__xludf.DUMMYFUNCTION("""COMPUTED_VALUE"""),"حازم محمود عبداللطيف محمد (الحازم للبصريات)")</f>
        <v>حازم محمود عبداللطيف محمد (الحازم للبصريات)</v>
      </c>
      <c r="H3563" s="5" t="str">
        <f ca="1">IFERROR(__xludf.DUMMYFUNCTION("""COMPUTED_VALUE"""),"سوهاج ابو عبيدة الجراح المتفرع من شارع ترعة باجا الفنية بنات")</f>
        <v>سوهاج ابو عبيدة الجراح المتفرع من شارع ترعة باجا الفنية بنات</v>
      </c>
      <c r="I3563" s="6" t="str">
        <f ca="1">IFERROR(__xludf.DUMMYFUNCTION("""COMPUTED_VALUE"""),"932104341")</f>
        <v>932104341</v>
      </c>
      <c r="J3563" s="6"/>
      <c r="K3563" s="6" t="str">
        <f ca="1">IFERROR(__xludf.DUMMYFUNCTION("""COMPUTED_VALUE"""),"خصم 35% علي الاسعار النقدي")</f>
        <v>خصم 35% علي الاسعار النقدي</v>
      </c>
    </row>
    <row r="3564" spans="1:11" x14ac:dyDescent="0.25">
      <c r="A3564" s="4" t="str">
        <f ca="1">IFERROR(__xludf.DUMMYFUNCTION("""COMPUTED_VALUE"""),"107615-B")</f>
        <v>107615-B</v>
      </c>
      <c r="B3564" s="5" t="str">
        <f ca="1">IFERROR(__xludf.DUMMYFUNCTION("""COMPUTED_VALUE"""),"سوهاج")</f>
        <v>سوهاج</v>
      </c>
      <c r="C3564" s="5" t="str">
        <f ca="1">IFERROR(__xludf.DUMMYFUNCTION("""COMPUTED_VALUE"""),"سوهاج")</f>
        <v>سوهاج</v>
      </c>
      <c r="D3564" s="5" t="str">
        <f ca="1">IFERROR(__xludf.DUMMYFUNCTION("""COMPUTED_VALUE"""),"شركة")</f>
        <v>شركة</v>
      </c>
      <c r="E3564" s="5" t="str">
        <f ca="1">IFERROR(__xludf.DUMMYFUNCTION("""COMPUTED_VALUE"""),"شركة اجهزة طبية")</f>
        <v>شركة اجهزة طبية</v>
      </c>
      <c r="F3564" s="5" t="str">
        <f ca="1">IFERROR(__xludf.DUMMYFUNCTION("""COMPUTED_VALUE"""),"مركز بصريات")</f>
        <v>مركز بصريات</v>
      </c>
      <c r="G3564" s="5" t="str">
        <f ca="1">IFERROR(__xludf.DUMMYFUNCTION("""COMPUTED_VALUE"""),"حازم محمود عبداللطيف محمد (الحازم للبصريات)")</f>
        <v>حازم محمود عبداللطيف محمد (الحازم للبصريات)</v>
      </c>
      <c r="H3564" s="5" t="str">
        <f ca="1">IFERROR(__xludf.DUMMYFUNCTION("""COMPUTED_VALUE"""),"الكوامل _ سوهاج الجديد مول ريتاج بجوار مستشفى ريتاج")</f>
        <v>الكوامل _ سوهاج الجديد مول ريتاج بجوار مستشفى ريتاج</v>
      </c>
      <c r="I3564" s="6" t="str">
        <f ca="1">IFERROR(__xludf.DUMMYFUNCTION("""COMPUTED_VALUE"""),"1223269639")</f>
        <v>1223269639</v>
      </c>
      <c r="J3564" s="6"/>
      <c r="K3564" s="6" t="str">
        <f ca="1">IFERROR(__xludf.DUMMYFUNCTION("""COMPUTED_VALUE"""),"خصم 35% علي الاسعار النقدي")</f>
        <v>خصم 35% علي الاسعار النقدي</v>
      </c>
    </row>
    <row r="3565" spans="1:11" x14ac:dyDescent="0.25">
      <c r="A3565" s="4" t="str">
        <f ca="1">IFERROR(__xludf.DUMMYFUNCTION("""COMPUTED_VALUE"""),"107616")</f>
        <v>107616</v>
      </c>
      <c r="B3565" s="5" t="str">
        <f ca="1">IFERROR(__xludf.DUMMYFUNCTION("""COMPUTED_VALUE"""),"القاهرة")</f>
        <v>القاهرة</v>
      </c>
      <c r="C3565" s="5" t="str">
        <f ca="1">IFERROR(__xludf.DUMMYFUNCTION("""COMPUTED_VALUE"""),"مصر القديمة")</f>
        <v>مصر القديمة</v>
      </c>
      <c r="D3565" s="5" t="str">
        <f ca="1">IFERROR(__xludf.DUMMYFUNCTION("""COMPUTED_VALUE"""),"هيئة الأطباء")</f>
        <v>هيئة الأطباء</v>
      </c>
      <c r="E3565" s="5" t="str">
        <f ca="1">IFERROR(__xludf.DUMMYFUNCTION("""COMPUTED_VALUE"""),"اسنان")</f>
        <v>اسنان</v>
      </c>
      <c r="F3565" s="5" t="str">
        <f ca="1">IFERROR(__xludf.DUMMYFUNCTION("""COMPUTED_VALUE"""),"جراحة الفم والأسنان")</f>
        <v>جراحة الفم والأسنان</v>
      </c>
      <c r="G3565" s="5" t="str">
        <f ca="1">IFERROR(__xludf.DUMMYFUNCTION("""COMPUTED_VALUE"""),"د. صلاح الدين سعيد صبري طه السيد")</f>
        <v>د. صلاح الدين سعيد صبري طه السيد</v>
      </c>
      <c r="H3565" s="5" t="str">
        <f ca="1">IFERROR(__xludf.DUMMYFUNCTION("""COMPUTED_VALUE"""),"40 شارع المنيل الروضة - مصر القديمة - القاهرة")</f>
        <v>40 شارع المنيل الروضة - مصر القديمة - القاهرة</v>
      </c>
      <c r="I3565" s="6" t="str">
        <f ca="1">IFERROR(__xludf.DUMMYFUNCTION("""COMPUTED_VALUE"""),"01011143267")</f>
        <v>01011143267</v>
      </c>
      <c r="J3565" s="6"/>
      <c r="K3565" s="6" t="str">
        <f ca="1">IFERROR(__xludf.DUMMYFUNCTION("""COMPUTED_VALUE"""),"خصم 30% علي الاسعار النقدي")</f>
        <v>خصم 30% علي الاسعار النقدي</v>
      </c>
    </row>
    <row r="3566" spans="1:11" x14ac:dyDescent="0.25">
      <c r="A3566" s="4" t="str">
        <f ca="1">IFERROR(__xludf.DUMMYFUNCTION("""COMPUTED_VALUE"""),"107617")</f>
        <v>107617</v>
      </c>
      <c r="B3566" s="5" t="str">
        <f ca="1">IFERROR(__xludf.DUMMYFUNCTION("""COMPUTED_VALUE"""),"السويس")</f>
        <v>السويس</v>
      </c>
      <c r="C3566" s="5" t="str">
        <f ca="1">IFERROR(__xludf.DUMMYFUNCTION("""COMPUTED_VALUE"""),"السويس")</f>
        <v>السويس</v>
      </c>
      <c r="D3566" s="5" t="str">
        <f ca="1">IFERROR(__xludf.DUMMYFUNCTION("""COMPUTED_VALUE"""),"هيئة الأطباء")</f>
        <v>هيئة الأطباء</v>
      </c>
      <c r="E3566" s="5" t="str">
        <f ca="1">IFERROR(__xludf.DUMMYFUNCTION("""COMPUTED_VALUE"""),"جراحة")</f>
        <v>جراحة</v>
      </c>
      <c r="F3566" s="5" t="str">
        <f ca="1">IFERROR(__xludf.DUMMYFUNCTION("""COMPUTED_VALUE"""),"جراحة عامة")</f>
        <v>جراحة عامة</v>
      </c>
      <c r="G3566" s="5" t="str">
        <f ca="1">IFERROR(__xludf.DUMMYFUNCTION("""COMPUTED_VALUE"""),"د. محمد محمد نبيل عبدالعزيز محمد")</f>
        <v>د. محمد محمد نبيل عبدالعزيز محمد</v>
      </c>
      <c r="H3566" s="5" t="str">
        <f ca="1">IFERROR(__xludf.DUMMYFUNCTION("""COMPUTED_VALUE"""),"تقسيم و عوائد 12 شارع الشهداء - السويس")</f>
        <v>تقسيم و عوائد 12 شارع الشهداء - السويس</v>
      </c>
      <c r="I3566" s="6" t="str">
        <f ca="1">IFERROR(__xludf.DUMMYFUNCTION("""COMPUTED_VALUE"""),"01118655682")</f>
        <v>01118655682</v>
      </c>
      <c r="J3566" s="6"/>
      <c r="K3566" s="6" t="str">
        <f ca="1">IFERROR(__xludf.DUMMYFUNCTION("""COMPUTED_VALUE"""),"خصم 30% علي الاسعار النقدي")</f>
        <v>خصم 30% علي الاسعار النقدي</v>
      </c>
    </row>
    <row r="3567" spans="1:11" x14ac:dyDescent="0.25">
      <c r="A3567" s="4" t="str">
        <f ca="1">IFERROR(__xludf.DUMMYFUNCTION("""COMPUTED_VALUE"""),"107618")</f>
        <v>107618</v>
      </c>
      <c r="B3567" s="5" t="str">
        <f ca="1">IFERROR(__xludf.DUMMYFUNCTION("""COMPUTED_VALUE"""),"دمياط")</f>
        <v>دمياط</v>
      </c>
      <c r="C3567" s="5" t="str">
        <f ca="1">IFERROR(__xludf.DUMMYFUNCTION("""COMPUTED_VALUE"""),"دمياط الجديدة")</f>
        <v>دمياط الجديدة</v>
      </c>
      <c r="D3567" s="5" t="str">
        <f ca="1">IFERROR(__xludf.DUMMYFUNCTION("""COMPUTED_VALUE"""),"صيدلية")</f>
        <v>صيدلية</v>
      </c>
      <c r="E3567" s="5" t="str">
        <f ca="1">IFERROR(__xludf.DUMMYFUNCTION("""COMPUTED_VALUE"""),"صيدلية")</f>
        <v>صيدلية</v>
      </c>
      <c r="F3567" s="5" t="str">
        <f ca="1">IFERROR(__xludf.DUMMYFUNCTION("""COMPUTED_VALUE"""),"صيدلية (أدوية ومستلزمات طبية)")</f>
        <v>صيدلية (أدوية ومستلزمات طبية)</v>
      </c>
      <c r="G3567" s="5" t="str">
        <f ca="1">IFERROR(__xludf.DUMMYFUNCTION("""COMPUTED_VALUE"""),"محمد مصطفي محمد السكري (صيدلية السكري)")</f>
        <v>محمد مصطفي محمد السكري (صيدلية السكري)</v>
      </c>
      <c r="H3567" s="5" t="str">
        <f ca="1">IFERROR(__xludf.DUMMYFUNCTION("""COMPUTED_VALUE"""),"الحي الاول - المجاورة الرابعه - دمياط الجديدة - دمياط")</f>
        <v>الحي الاول - المجاورة الرابعه - دمياط الجديدة - دمياط</v>
      </c>
      <c r="I3567" s="6" t="str">
        <f ca="1">IFERROR(__xludf.DUMMYFUNCTION("""COMPUTED_VALUE"""),"01223030103")</f>
        <v>01223030103</v>
      </c>
      <c r="J3567" s="6"/>
      <c r="K3567" s="6" t="str">
        <f ca="1">IFERROR(__xludf.DUMMYFUNCTION("""COMPUTED_VALUE"""),"خصم 12% علي المحلي و6% علي المستورد")</f>
        <v>خصم 12% علي المحلي و6% علي المستورد</v>
      </c>
    </row>
    <row r="3568" spans="1:11" x14ac:dyDescent="0.25">
      <c r="A3568" s="4" t="str">
        <f ca="1">IFERROR(__xludf.DUMMYFUNCTION("""COMPUTED_VALUE"""),"107619")</f>
        <v>107619</v>
      </c>
      <c r="B3568" s="5" t="str">
        <f ca="1">IFERROR(__xludf.DUMMYFUNCTION("""COMPUTED_VALUE"""),"دمياط")</f>
        <v>دمياط</v>
      </c>
      <c r="C3568" s="5" t="str">
        <f ca="1">IFERROR(__xludf.DUMMYFUNCTION("""COMPUTED_VALUE"""),"دمياط الجديدة")</f>
        <v>دمياط الجديدة</v>
      </c>
      <c r="D3568" s="5" t="str">
        <f ca="1">IFERROR(__xludf.DUMMYFUNCTION("""COMPUTED_VALUE"""),"شركة")</f>
        <v>شركة</v>
      </c>
      <c r="E3568" s="5" t="str">
        <f ca="1">IFERROR(__xludf.DUMMYFUNCTION("""COMPUTED_VALUE"""),"شركة اجهزة طبية")</f>
        <v>شركة اجهزة طبية</v>
      </c>
      <c r="F3568" s="5" t="str">
        <f ca="1">IFERROR(__xludf.DUMMYFUNCTION("""COMPUTED_VALUE"""),"مركز بصريات")</f>
        <v>مركز بصريات</v>
      </c>
      <c r="G3568" s="5" t="str">
        <f ca="1">IFERROR(__xludf.DUMMYFUNCTION("""COMPUTED_VALUE"""),"محمد محمد عبدالحليم الراعي (الراعي للبصريات)")</f>
        <v>محمد محمد عبدالحليم الراعي (الراعي للبصريات)</v>
      </c>
      <c r="H3568" s="5" t="str">
        <f ca="1">IFERROR(__xludf.DUMMYFUNCTION("""COMPUTED_VALUE"""),"فرع اول شارع الصعيدي ( الكفراوي ) بجوار سوبر ماركت نجمه كايرو")</f>
        <v>فرع اول شارع الصعيدي ( الكفراوي ) بجوار سوبر ماركت نجمه كايرو</v>
      </c>
      <c r="I3568" s="6" t="str">
        <f ca="1">IFERROR(__xludf.DUMMYFUNCTION("""COMPUTED_VALUE"""),"1002229891")</f>
        <v>1002229891</v>
      </c>
      <c r="J3568" s="6"/>
      <c r="K3568" s="6" t="str">
        <f ca="1">IFERROR(__xludf.DUMMYFUNCTION("""COMPUTED_VALUE"""),"خصم 25% علي الاسعار النقدي")</f>
        <v>خصم 25% علي الاسعار النقدي</v>
      </c>
    </row>
    <row r="3569" spans="1:11" x14ac:dyDescent="0.25">
      <c r="A3569" s="4" t="str">
        <f ca="1">IFERROR(__xludf.DUMMYFUNCTION("""COMPUTED_VALUE"""),"107619-B")</f>
        <v>107619-B</v>
      </c>
      <c r="B3569" s="5" t="str">
        <f ca="1">IFERROR(__xludf.DUMMYFUNCTION("""COMPUTED_VALUE"""),"دمياط")</f>
        <v>دمياط</v>
      </c>
      <c r="C3569" s="5" t="str">
        <f ca="1">IFERROR(__xludf.DUMMYFUNCTION("""COMPUTED_VALUE"""),"دمياط")</f>
        <v>دمياط</v>
      </c>
      <c r="D3569" s="5" t="str">
        <f ca="1">IFERROR(__xludf.DUMMYFUNCTION("""COMPUTED_VALUE"""),"شركة")</f>
        <v>شركة</v>
      </c>
      <c r="E3569" s="5" t="str">
        <f ca="1">IFERROR(__xludf.DUMMYFUNCTION("""COMPUTED_VALUE"""),"شركة اجهزة طبية")</f>
        <v>شركة اجهزة طبية</v>
      </c>
      <c r="F3569" s="5" t="str">
        <f ca="1">IFERROR(__xludf.DUMMYFUNCTION("""COMPUTED_VALUE"""),"مركز بصريات")</f>
        <v>مركز بصريات</v>
      </c>
      <c r="G3569" s="5" t="str">
        <f ca="1">IFERROR(__xludf.DUMMYFUNCTION("""COMPUTED_VALUE"""),"محمد محمد عبدالحليم الراعي (الراعي للبصريات)")</f>
        <v>محمد محمد عبدالحليم الراعي (الراعي للبصريات)</v>
      </c>
      <c r="H3569" s="5" t="str">
        <f ca="1">IFERROR(__xludf.DUMMYFUNCTION("""COMPUTED_VALUE"""),"ميدان الشهابية - بجوار فوزي")</f>
        <v>ميدان الشهابية - بجوار فوزي</v>
      </c>
      <c r="I3569" s="6" t="str">
        <f ca="1">IFERROR(__xludf.DUMMYFUNCTION("""COMPUTED_VALUE"""),"1093859951")</f>
        <v>1093859951</v>
      </c>
      <c r="J3569" s="6"/>
      <c r="K3569" s="6" t="str">
        <f ca="1">IFERROR(__xludf.DUMMYFUNCTION("""COMPUTED_VALUE"""),"خصم 25% علي الاسعار النقدي")</f>
        <v>خصم 25% علي الاسعار النقدي</v>
      </c>
    </row>
    <row r="3570" spans="1:11" x14ac:dyDescent="0.25">
      <c r="A3570" s="4" t="str">
        <f ca="1">IFERROR(__xludf.DUMMYFUNCTION("""COMPUTED_VALUE"""),"107619-B")</f>
        <v>107619-B</v>
      </c>
      <c r="B3570" s="5" t="str">
        <f ca="1">IFERROR(__xludf.DUMMYFUNCTION("""COMPUTED_VALUE"""),"دمياط")</f>
        <v>دمياط</v>
      </c>
      <c r="C3570" s="5" t="str">
        <f ca="1">IFERROR(__xludf.DUMMYFUNCTION("""COMPUTED_VALUE"""),"دمياط")</f>
        <v>دمياط</v>
      </c>
      <c r="D3570" s="5" t="str">
        <f ca="1">IFERROR(__xludf.DUMMYFUNCTION("""COMPUTED_VALUE"""),"شركة")</f>
        <v>شركة</v>
      </c>
      <c r="E3570" s="5" t="str">
        <f ca="1">IFERROR(__xludf.DUMMYFUNCTION("""COMPUTED_VALUE"""),"شركة اجهزة طبية")</f>
        <v>شركة اجهزة طبية</v>
      </c>
      <c r="F3570" s="5" t="str">
        <f ca="1">IFERROR(__xludf.DUMMYFUNCTION("""COMPUTED_VALUE"""),"مركز بصريات")</f>
        <v>مركز بصريات</v>
      </c>
      <c r="G3570" s="5" t="str">
        <f ca="1">IFERROR(__xludf.DUMMYFUNCTION("""COMPUTED_VALUE"""),"محمد محمد عبدالحليم الراعي (الراعي للبصريات)")</f>
        <v>محمد محمد عبدالحليم الراعي (الراعي للبصريات)</v>
      </c>
      <c r="H3570" s="5" t="str">
        <f ca="1">IFERROR(__xludf.DUMMYFUNCTION("""COMPUTED_VALUE"""),"ميدان الشهابية برج الاشراف")</f>
        <v>ميدان الشهابية برج الاشراف</v>
      </c>
      <c r="I3570" s="6" t="str">
        <f ca="1">IFERROR(__xludf.DUMMYFUNCTION("""COMPUTED_VALUE"""),"1093049088")</f>
        <v>1093049088</v>
      </c>
      <c r="J3570" s="6"/>
      <c r="K3570" s="6" t="str">
        <f ca="1">IFERROR(__xludf.DUMMYFUNCTION("""COMPUTED_VALUE"""),"خصم 25% علي الاسعار النقدي")</f>
        <v>خصم 25% علي الاسعار النقدي</v>
      </c>
    </row>
    <row r="3571" spans="1:11" x14ac:dyDescent="0.25">
      <c r="A3571" s="4" t="str">
        <f ca="1">IFERROR(__xludf.DUMMYFUNCTION("""COMPUTED_VALUE"""),"107619-B")</f>
        <v>107619-B</v>
      </c>
      <c r="B3571" s="5" t="str">
        <f ca="1">IFERROR(__xludf.DUMMYFUNCTION("""COMPUTED_VALUE"""),"دمياط")</f>
        <v>دمياط</v>
      </c>
      <c r="C3571" s="5" t="str">
        <f ca="1">IFERROR(__xludf.DUMMYFUNCTION("""COMPUTED_VALUE"""),"دمياط")</f>
        <v>دمياط</v>
      </c>
      <c r="D3571" s="5" t="str">
        <f ca="1">IFERROR(__xludf.DUMMYFUNCTION("""COMPUTED_VALUE"""),"شركة")</f>
        <v>شركة</v>
      </c>
      <c r="E3571" s="5" t="str">
        <f ca="1">IFERROR(__xludf.DUMMYFUNCTION("""COMPUTED_VALUE"""),"شركة اجهزة طبية")</f>
        <v>شركة اجهزة طبية</v>
      </c>
      <c r="F3571" s="5" t="str">
        <f ca="1">IFERROR(__xludf.DUMMYFUNCTION("""COMPUTED_VALUE"""),"مركز بصريات")</f>
        <v>مركز بصريات</v>
      </c>
      <c r="G3571" s="5" t="str">
        <f ca="1">IFERROR(__xludf.DUMMYFUNCTION("""COMPUTED_VALUE"""),"محمد محمد عبدالحليم الراعي (الراعي للبصريات)")</f>
        <v>محمد محمد عبدالحليم الراعي (الراعي للبصريات)</v>
      </c>
      <c r="H3571" s="5" t="str">
        <f ca="1">IFERROR(__xludf.DUMMYFUNCTION("""COMPUTED_VALUE"""),"المطري برج المغفرة")</f>
        <v>المطري برج المغفرة</v>
      </c>
      <c r="I3571" s="6" t="str">
        <f ca="1">IFERROR(__xludf.DUMMYFUNCTION("""COMPUTED_VALUE"""),"1016656528")</f>
        <v>1016656528</v>
      </c>
      <c r="J3571" s="6"/>
      <c r="K3571" s="6" t="str">
        <f ca="1">IFERROR(__xludf.DUMMYFUNCTION("""COMPUTED_VALUE"""),"خصم 25% علي الاسعار النقدي")</f>
        <v>خصم 25% علي الاسعار النقدي</v>
      </c>
    </row>
    <row r="3572" spans="1:11" x14ac:dyDescent="0.25">
      <c r="A3572" s="4" t="str">
        <f ca="1">IFERROR(__xludf.DUMMYFUNCTION("""COMPUTED_VALUE"""),"107619-B")</f>
        <v>107619-B</v>
      </c>
      <c r="B3572" s="5" t="str">
        <f ca="1">IFERROR(__xludf.DUMMYFUNCTION("""COMPUTED_VALUE"""),"دمياط")</f>
        <v>دمياط</v>
      </c>
      <c r="C3572" s="5" t="str">
        <f ca="1">IFERROR(__xludf.DUMMYFUNCTION("""COMPUTED_VALUE"""),"دمياط الجديدة")</f>
        <v>دمياط الجديدة</v>
      </c>
      <c r="D3572" s="5" t="str">
        <f ca="1">IFERROR(__xludf.DUMMYFUNCTION("""COMPUTED_VALUE"""),"شركة")</f>
        <v>شركة</v>
      </c>
      <c r="E3572" s="5" t="str">
        <f ca="1">IFERROR(__xludf.DUMMYFUNCTION("""COMPUTED_VALUE"""),"شركة اجهزة طبية")</f>
        <v>شركة اجهزة طبية</v>
      </c>
      <c r="F3572" s="5" t="str">
        <f ca="1">IFERROR(__xludf.DUMMYFUNCTION("""COMPUTED_VALUE"""),"مركز بصريات")</f>
        <v>مركز بصريات</v>
      </c>
      <c r="G3572" s="5" t="str">
        <f ca="1">IFERROR(__xludf.DUMMYFUNCTION("""COMPUTED_VALUE"""),"محمد محمد عبدالحليم الراعي (الراعي للبصريات)")</f>
        <v>محمد محمد عبدالحليم الراعي (الراعي للبصريات)</v>
      </c>
      <c r="H3572" s="5" t="str">
        <f ca="1">IFERROR(__xludf.DUMMYFUNCTION("""COMPUTED_VALUE"""),"فرع موريا مول الطريق الدولي بجوار دار مصر 1")</f>
        <v>فرع موريا مول الطريق الدولي بجوار دار مصر 1</v>
      </c>
      <c r="I3572" s="6" t="str">
        <f ca="1">IFERROR(__xludf.DUMMYFUNCTION("""COMPUTED_VALUE"""),"1147764051")</f>
        <v>1147764051</v>
      </c>
      <c r="J3572" s="6"/>
      <c r="K3572" s="6" t="str">
        <f ca="1">IFERROR(__xludf.DUMMYFUNCTION("""COMPUTED_VALUE"""),"خصم 25% علي الاسعار النقدي")</f>
        <v>خصم 25% علي الاسعار النقدي</v>
      </c>
    </row>
    <row r="3573" spans="1:11" x14ac:dyDescent="0.25">
      <c r="A3573" s="4" t="str">
        <f ca="1">IFERROR(__xludf.DUMMYFUNCTION("""COMPUTED_VALUE"""),"107619-B")</f>
        <v>107619-B</v>
      </c>
      <c r="B3573" s="5" t="str">
        <f ca="1">IFERROR(__xludf.DUMMYFUNCTION("""COMPUTED_VALUE"""),"دمياط")</f>
        <v>دمياط</v>
      </c>
      <c r="C3573" s="5" t="str">
        <f ca="1">IFERROR(__xludf.DUMMYFUNCTION("""COMPUTED_VALUE"""),"دمياط الجديدة")</f>
        <v>دمياط الجديدة</v>
      </c>
      <c r="D3573" s="5" t="str">
        <f ca="1">IFERROR(__xludf.DUMMYFUNCTION("""COMPUTED_VALUE"""),"شركة")</f>
        <v>شركة</v>
      </c>
      <c r="E3573" s="5" t="str">
        <f ca="1">IFERROR(__xludf.DUMMYFUNCTION("""COMPUTED_VALUE"""),"شركة اجهزة طبية")</f>
        <v>شركة اجهزة طبية</v>
      </c>
      <c r="F3573" s="5" t="str">
        <f ca="1">IFERROR(__xludf.DUMMYFUNCTION("""COMPUTED_VALUE"""),"مركز بصريات")</f>
        <v>مركز بصريات</v>
      </c>
      <c r="G3573" s="5" t="str">
        <f ca="1">IFERROR(__xludf.DUMMYFUNCTION("""COMPUTED_VALUE"""),"محمد محمد عبدالحليم الراعي (الراعي للبصريات)")</f>
        <v>محمد محمد عبدالحليم الراعي (الراعي للبصريات)</v>
      </c>
      <c r="H3573" s="5" t="str">
        <f ca="1">IFERROR(__xludf.DUMMYFUNCTION("""COMPUTED_VALUE"""),"فرع اخر شارع الصعيدي ( الكفراوي ) امام مطعم ابو صالح")</f>
        <v>فرع اخر شارع الصعيدي ( الكفراوي ) امام مطعم ابو صالح</v>
      </c>
      <c r="I3573" s="6" t="str">
        <f ca="1">IFERROR(__xludf.DUMMYFUNCTION("""COMPUTED_VALUE"""),"1148664684")</f>
        <v>1148664684</v>
      </c>
      <c r="J3573" s="6"/>
      <c r="K3573" s="6" t="str">
        <f ca="1">IFERROR(__xludf.DUMMYFUNCTION("""COMPUTED_VALUE"""),"خصم 25% علي الاسعار النقدي")</f>
        <v>خصم 25% علي الاسعار النقدي</v>
      </c>
    </row>
    <row r="3574" spans="1:11" x14ac:dyDescent="0.25">
      <c r="A3574" s="4" t="str">
        <f ca="1">IFERROR(__xludf.DUMMYFUNCTION("""COMPUTED_VALUE"""),"107629")</f>
        <v>107629</v>
      </c>
      <c r="B3574" s="5" t="str">
        <f ca="1">IFERROR(__xludf.DUMMYFUNCTION("""COMPUTED_VALUE"""),"بورسعيد")</f>
        <v>بورسعيد</v>
      </c>
      <c r="C3574" s="5" t="str">
        <f ca="1">IFERROR(__xludf.DUMMYFUNCTION("""COMPUTED_VALUE"""),"بورفؤاد")</f>
        <v>بورفؤاد</v>
      </c>
      <c r="D3574" s="5" t="str">
        <f ca="1">IFERROR(__xludf.DUMMYFUNCTION("""COMPUTED_VALUE"""),"شركة")</f>
        <v>شركة</v>
      </c>
      <c r="E3574" s="5" t="str">
        <f ca="1">IFERROR(__xludf.DUMMYFUNCTION("""COMPUTED_VALUE"""),"شركة اجهزة طبية")</f>
        <v>شركة اجهزة طبية</v>
      </c>
      <c r="F3574" s="5" t="str">
        <f ca="1">IFERROR(__xludf.DUMMYFUNCTION("""COMPUTED_VALUE"""),"مركز بصريات")</f>
        <v>مركز بصريات</v>
      </c>
      <c r="G3574" s="5" t="str">
        <f ca="1">IFERROR(__xludf.DUMMYFUNCTION("""COMPUTED_VALUE"""),"سته علي سته")</f>
        <v>سته علي سته</v>
      </c>
      <c r="H3574" s="5" t="str">
        <f ca="1">IFERROR(__xludf.DUMMYFUNCTION("""COMPUTED_VALUE"""),"محل 8 - الكائن بالعمارة رقم 1 - جمعيه اشتوم الجميل - بورفؤاد")</f>
        <v>محل 8 - الكائن بالعمارة رقم 1 - جمعيه اشتوم الجميل - بورفؤاد</v>
      </c>
      <c r="I3574" s="6" t="str">
        <f ca="1">IFERROR(__xludf.DUMMYFUNCTION("""COMPUTED_VALUE"""),"01285244000")</f>
        <v>01285244000</v>
      </c>
      <c r="J3574" s="6"/>
      <c r="K3574" s="6" t="str">
        <f ca="1">IFERROR(__xludf.DUMMYFUNCTION("""COMPUTED_VALUE"""),"خصم 30% علي الاسعار النقدي")</f>
        <v>خصم 30% علي الاسعار النقدي</v>
      </c>
    </row>
    <row r="3575" spans="1:11" x14ac:dyDescent="0.25">
      <c r="A3575" s="4" t="str">
        <f ca="1">IFERROR(__xludf.DUMMYFUNCTION("""COMPUTED_VALUE"""),"107629-B")</f>
        <v>107629-B</v>
      </c>
      <c r="B3575" s="5" t="str">
        <f ca="1">IFERROR(__xludf.DUMMYFUNCTION("""COMPUTED_VALUE"""),"بورسعيد")</f>
        <v>بورسعيد</v>
      </c>
      <c r="C3575" s="5" t="str">
        <f ca="1">IFERROR(__xludf.DUMMYFUNCTION("""COMPUTED_VALUE"""),"بورسعيد")</f>
        <v>بورسعيد</v>
      </c>
      <c r="D3575" s="5" t="str">
        <f ca="1">IFERROR(__xludf.DUMMYFUNCTION("""COMPUTED_VALUE"""),"شركة")</f>
        <v>شركة</v>
      </c>
      <c r="E3575" s="5" t="str">
        <f ca="1">IFERROR(__xludf.DUMMYFUNCTION("""COMPUTED_VALUE"""),"شركة اجهزة طبية")</f>
        <v>شركة اجهزة طبية</v>
      </c>
      <c r="F3575" s="5" t="str">
        <f ca="1">IFERROR(__xludf.DUMMYFUNCTION("""COMPUTED_VALUE"""),"مركز بصريات")</f>
        <v>مركز بصريات</v>
      </c>
      <c r="G3575" s="5" t="str">
        <f ca="1">IFERROR(__xludf.DUMMYFUNCTION("""COMPUTED_VALUE"""),"سته علي سته")</f>
        <v>سته علي سته</v>
      </c>
      <c r="H3575" s="5" t="str">
        <f ca="1">IFERROR(__xludf.DUMMYFUNCTION("""COMPUTED_VALUE"""),"97 شارع سعد زغلول و دمنهور - بورسعيد")</f>
        <v>97 شارع سعد زغلول و دمنهور - بورسعيد</v>
      </c>
      <c r="I3575" s="6" t="str">
        <f ca="1">IFERROR(__xludf.DUMMYFUNCTION("""COMPUTED_VALUE"""),"01285244000")</f>
        <v>01285244000</v>
      </c>
      <c r="J3575" s="6"/>
      <c r="K3575" s="6" t="str">
        <f ca="1">IFERROR(__xludf.DUMMYFUNCTION("""COMPUTED_VALUE"""),"خصم 30% علي الاسعار النقدي")</f>
        <v>خصم 30% علي الاسعار النقدي</v>
      </c>
    </row>
    <row r="3576" spans="1:11" x14ac:dyDescent="0.25">
      <c r="A3576" s="4" t="str">
        <f ca="1">IFERROR(__xludf.DUMMYFUNCTION("""COMPUTED_VALUE"""),"107630")</f>
        <v>107630</v>
      </c>
      <c r="B3576" s="5" t="str">
        <f ca="1">IFERROR(__xludf.DUMMYFUNCTION("""COMPUTED_VALUE"""),"بني سويف")</f>
        <v>بني سويف</v>
      </c>
      <c r="C3576" s="5" t="str">
        <f ca="1">IFERROR(__xludf.DUMMYFUNCTION("""COMPUTED_VALUE"""),"بني سويف")</f>
        <v>بني سويف</v>
      </c>
      <c r="D3576" s="5" t="str">
        <f ca="1">IFERROR(__xludf.DUMMYFUNCTION("""COMPUTED_VALUE"""),"صيدلية")</f>
        <v>صيدلية</v>
      </c>
      <c r="E3576" s="5" t="str">
        <f ca="1">IFERROR(__xludf.DUMMYFUNCTION("""COMPUTED_VALUE"""),"صيدلية")</f>
        <v>صيدلية</v>
      </c>
      <c r="F3576" s="5" t="str">
        <f ca="1">IFERROR(__xludf.DUMMYFUNCTION("""COMPUTED_VALUE"""),"صيدلية (أدوية ومستلزمات طبية)")</f>
        <v>صيدلية (أدوية ومستلزمات طبية)</v>
      </c>
      <c r="G3576" s="5" t="str">
        <f ca="1">IFERROR(__xludf.DUMMYFUNCTION("""COMPUTED_VALUE"""),"داليا علي كمال الدين محمد عبدالباري (صيدلية د. داليا عبدالباري)")</f>
        <v>داليا علي كمال الدين محمد عبدالباري (صيدلية د. داليا عبدالباري)</v>
      </c>
      <c r="H3576" s="5" t="str">
        <f ca="1">IFERROR(__xludf.DUMMYFUNCTION("""COMPUTED_VALUE"""),"شارع اسلام بجوار مسجد القاضي - بني سويف")</f>
        <v>شارع اسلام بجوار مسجد القاضي - بني سويف</v>
      </c>
      <c r="I3576" s="6" t="str">
        <f ca="1">IFERROR(__xludf.DUMMYFUNCTION("""COMPUTED_VALUE"""),"01024003856")</f>
        <v>01024003856</v>
      </c>
      <c r="J3576" s="6"/>
      <c r="K3576" s="6" t="str">
        <f ca="1">IFERROR(__xludf.DUMMYFUNCTION("""COMPUTED_VALUE"""),"خصم 14% علي المحلي و8% علي المستورد")</f>
        <v>خصم 14% علي المحلي و8% علي المستورد</v>
      </c>
    </row>
    <row r="3577" spans="1:11" x14ac:dyDescent="0.25">
      <c r="A3577" s="4" t="str">
        <f ca="1">IFERROR(__xludf.DUMMYFUNCTION("""COMPUTED_VALUE"""),"107631")</f>
        <v>107631</v>
      </c>
      <c r="B3577" s="5" t="str">
        <f ca="1">IFERROR(__xludf.DUMMYFUNCTION("""COMPUTED_VALUE"""),"البحيرة")</f>
        <v>البحيرة</v>
      </c>
      <c r="C3577" s="5" t="str">
        <f ca="1">IFERROR(__xludf.DUMMYFUNCTION("""COMPUTED_VALUE"""),"المحمودية")</f>
        <v>المحمودية</v>
      </c>
      <c r="D3577" s="5" t="str">
        <f ca="1">IFERROR(__xludf.DUMMYFUNCTION("""COMPUTED_VALUE"""),"صيدلية")</f>
        <v>صيدلية</v>
      </c>
      <c r="E3577" s="5" t="str">
        <f ca="1">IFERROR(__xludf.DUMMYFUNCTION("""COMPUTED_VALUE"""),"صيدلية")</f>
        <v>صيدلية</v>
      </c>
      <c r="F3577" s="5" t="str">
        <f ca="1">IFERROR(__xludf.DUMMYFUNCTION("""COMPUTED_VALUE"""),"صيدلية (أدوية ومستلزمات طبية)")</f>
        <v>صيدلية (أدوية ومستلزمات طبية)</v>
      </c>
      <c r="G3577" s="5" t="str">
        <f ca="1">IFERROR(__xludf.DUMMYFUNCTION("""COMPUTED_VALUE"""),"وائل عرفان احمد قلقيله (صيدليه وائل عرفان)")</f>
        <v>وائل عرفان احمد قلقيله (صيدليه وائل عرفان)</v>
      </c>
      <c r="H3577" s="5" t="str">
        <f ca="1">IFERROR(__xludf.DUMMYFUNCTION("""COMPUTED_VALUE"""),"شارع السكة الحديد بجوار بنك التنمية و الائتمان الزراعي - المحمودية - البحيرة")</f>
        <v>شارع السكة الحديد بجوار بنك التنمية و الائتمان الزراعي - المحمودية - البحيرة</v>
      </c>
      <c r="I3577" s="6" t="str">
        <f ca="1">IFERROR(__xludf.DUMMYFUNCTION("""COMPUTED_VALUE"""),"0452497816")</f>
        <v>0452497816</v>
      </c>
      <c r="J3577" s="6"/>
      <c r="K3577" s="6" t="str">
        <f ca="1">IFERROR(__xludf.DUMMYFUNCTION("""COMPUTED_VALUE"""),"خصم 16% علي المحلي و8% علي المستورد")</f>
        <v>خصم 16% علي المحلي و8% علي المستورد</v>
      </c>
    </row>
    <row r="3578" spans="1:11" x14ac:dyDescent="0.25">
      <c r="A3578" s="4" t="str">
        <f ca="1">IFERROR(__xludf.DUMMYFUNCTION("""COMPUTED_VALUE"""),"107632")</f>
        <v>107632</v>
      </c>
      <c r="B3578" s="5" t="str">
        <f ca="1">IFERROR(__xludf.DUMMYFUNCTION("""COMPUTED_VALUE"""),"الوادى الجديد")</f>
        <v>الوادى الجديد</v>
      </c>
      <c r="C3578" s="5" t="str">
        <f ca="1">IFERROR(__xludf.DUMMYFUNCTION("""COMPUTED_VALUE"""),"الداخلة")</f>
        <v>الداخلة</v>
      </c>
      <c r="D3578" s="5" t="str">
        <f ca="1">IFERROR(__xludf.DUMMYFUNCTION("""COMPUTED_VALUE"""),"صيدلية")</f>
        <v>صيدلية</v>
      </c>
      <c r="E3578" s="5" t="str">
        <f ca="1">IFERROR(__xludf.DUMMYFUNCTION("""COMPUTED_VALUE"""),"صيدلية")</f>
        <v>صيدلية</v>
      </c>
      <c r="F3578" s="5" t="str">
        <f ca="1">IFERROR(__xludf.DUMMYFUNCTION("""COMPUTED_VALUE"""),"صيدلية (أدوية ومستلزمات طبية)")</f>
        <v>صيدلية (أدوية ومستلزمات طبية)</v>
      </c>
      <c r="G3578" s="5" t="str">
        <f ca="1">IFERROR(__xludf.DUMMYFUNCTION("""COMPUTED_VALUE"""),"نهله عبدالحميد احمد صابر (صيدلية د. نهلة عبدالحميد أحمد صابر)")</f>
        <v>نهله عبدالحميد احمد صابر (صيدلية د. نهلة عبدالحميد أحمد صابر)</v>
      </c>
      <c r="H3578" s="5" t="str">
        <f ca="1">IFERROR(__xludf.DUMMYFUNCTION("""COMPUTED_VALUE"""),"موط خلف مركز الشركة - الداخلة - الوادي الجديد")</f>
        <v>موط خلف مركز الشركة - الداخلة - الوادي الجديد</v>
      </c>
      <c r="I3578" s="6" t="str">
        <f ca="1">IFERROR(__xludf.DUMMYFUNCTION("""COMPUTED_VALUE"""),"01282210505")</f>
        <v>01282210505</v>
      </c>
      <c r="J3578" s="6"/>
      <c r="K3578" s="6" t="str">
        <f ca="1">IFERROR(__xludf.DUMMYFUNCTION("""COMPUTED_VALUE"""),"خصم 16% علي المحلي و8% علي المستورد")</f>
        <v>خصم 16% علي المحلي و8% علي المستورد</v>
      </c>
    </row>
    <row r="3579" spans="1:11" x14ac:dyDescent="0.25">
      <c r="A3579" s="4" t="str">
        <f ca="1">IFERROR(__xludf.DUMMYFUNCTION("""COMPUTED_VALUE"""),"107633")</f>
        <v>107633</v>
      </c>
      <c r="B3579" s="5" t="str">
        <f ca="1">IFERROR(__xludf.DUMMYFUNCTION("""COMPUTED_VALUE"""),"دمياط")</f>
        <v>دمياط</v>
      </c>
      <c r="C3579" s="5" t="str">
        <f ca="1">IFERROR(__xludf.DUMMYFUNCTION("""COMPUTED_VALUE"""),"دمياط الجديدة")</f>
        <v>دمياط الجديدة</v>
      </c>
      <c r="D3579" s="5" t="str">
        <f ca="1">IFERROR(__xludf.DUMMYFUNCTION("""COMPUTED_VALUE"""),"هيئة الأطباء")</f>
        <v>هيئة الأطباء</v>
      </c>
      <c r="E3579" s="5" t="str">
        <f ca="1">IFERROR(__xludf.DUMMYFUNCTION("""COMPUTED_VALUE"""),"جراحة")</f>
        <v>جراحة</v>
      </c>
      <c r="F3579" s="5" t="str">
        <f ca="1">IFERROR(__xludf.DUMMYFUNCTION("""COMPUTED_VALUE"""),"جراحة عامة")</f>
        <v>جراحة عامة</v>
      </c>
      <c r="G3579" s="5" t="str">
        <f ca="1">IFERROR(__xludf.DUMMYFUNCTION("""COMPUTED_VALUE"""),"د. محمد صلاح الدين أبو الفتوح نعمان")</f>
        <v>د. محمد صلاح الدين أبو الفتوح نعمان</v>
      </c>
      <c r="H3579" s="5" t="str">
        <f ca="1">IFERROR(__xludf.DUMMYFUNCTION("""COMPUTED_VALUE"""),"قطعه 179 - 180 المنطقه المركزية - دمياط الجديدة - دمياط")</f>
        <v>قطعه 179 - 180 المنطقه المركزية - دمياط الجديدة - دمياط</v>
      </c>
      <c r="I3579" s="6" t="str">
        <f ca="1">IFERROR(__xludf.DUMMYFUNCTION("""COMPUTED_VALUE"""),"01150700157")</f>
        <v>01150700157</v>
      </c>
      <c r="J3579" s="6"/>
      <c r="K3579" s="6" t="str">
        <f ca="1">IFERROR(__xludf.DUMMYFUNCTION("""COMPUTED_VALUE"""),"خصم 30% علي الاسعار النقدي")</f>
        <v>خصم 30% علي الاسعار النقدي</v>
      </c>
    </row>
    <row r="3580" spans="1:11" x14ac:dyDescent="0.25">
      <c r="A3580" s="4" t="str">
        <f ca="1">IFERROR(__xludf.DUMMYFUNCTION("""COMPUTED_VALUE"""),"107633-B")</f>
        <v>107633-B</v>
      </c>
      <c r="B3580" s="5" t="str">
        <f ca="1">IFERROR(__xludf.DUMMYFUNCTION("""COMPUTED_VALUE"""),"دمياط")</f>
        <v>دمياط</v>
      </c>
      <c r="C3580" s="5" t="str">
        <f ca="1">IFERROR(__xludf.DUMMYFUNCTION("""COMPUTED_VALUE"""),"دمياط")</f>
        <v>دمياط</v>
      </c>
      <c r="D3580" s="5" t="str">
        <f ca="1">IFERROR(__xludf.DUMMYFUNCTION("""COMPUTED_VALUE"""),"هيئة الأطباء")</f>
        <v>هيئة الأطباء</v>
      </c>
      <c r="E3580" s="5" t="str">
        <f ca="1">IFERROR(__xludf.DUMMYFUNCTION("""COMPUTED_VALUE"""),"جراحة")</f>
        <v>جراحة</v>
      </c>
      <c r="F3580" s="5" t="str">
        <f ca="1">IFERROR(__xludf.DUMMYFUNCTION("""COMPUTED_VALUE"""),"جراحة عامة")</f>
        <v>جراحة عامة</v>
      </c>
      <c r="G3580" s="5" t="str">
        <f ca="1">IFERROR(__xludf.DUMMYFUNCTION("""COMPUTED_VALUE"""),"د. محمد صلاح الدين أبو الفتوح نعمان")</f>
        <v>د. محمد صلاح الدين أبو الفتوح نعمان</v>
      </c>
      <c r="H3580" s="5" t="str">
        <f ca="1">IFERROR(__xludf.DUMMYFUNCTION("""COMPUTED_VALUE"""),"الشرباصي - شارع الوحدة - بجوار قسم اول - دمياط")</f>
        <v>الشرباصي - شارع الوحدة - بجوار قسم اول - دمياط</v>
      </c>
      <c r="I3580" s="6" t="str">
        <f ca="1">IFERROR(__xludf.DUMMYFUNCTION("""COMPUTED_VALUE"""),"01150700157")</f>
        <v>01150700157</v>
      </c>
      <c r="J3580" s="6"/>
      <c r="K3580" s="6" t="str">
        <f ca="1">IFERROR(__xludf.DUMMYFUNCTION("""COMPUTED_VALUE"""),"خصم 30% علي الاسعار النقدي")</f>
        <v>خصم 30% علي الاسعار النقدي</v>
      </c>
    </row>
    <row r="3581" spans="1:11" x14ac:dyDescent="0.25">
      <c r="A3581" s="4" t="str">
        <f ca="1">IFERROR(__xludf.DUMMYFUNCTION("""COMPUTED_VALUE"""),"107638")</f>
        <v>107638</v>
      </c>
      <c r="B3581" s="5" t="str">
        <f ca="1">IFERROR(__xludf.DUMMYFUNCTION("""COMPUTED_VALUE"""),"الفيوم")</f>
        <v>الفيوم</v>
      </c>
      <c r="C3581" s="5" t="str">
        <f ca="1">IFERROR(__xludf.DUMMYFUNCTION("""COMPUTED_VALUE"""),"الفيوم")</f>
        <v>الفيوم</v>
      </c>
      <c r="D3581" s="5" t="str">
        <f ca="1">IFERROR(__xludf.DUMMYFUNCTION("""COMPUTED_VALUE"""),"هيئة الأطباء")</f>
        <v>هيئة الأطباء</v>
      </c>
      <c r="E3581" s="5" t="str">
        <f ca="1">IFERROR(__xludf.DUMMYFUNCTION("""COMPUTED_VALUE"""),"باطنة")</f>
        <v>باطنة</v>
      </c>
      <c r="F3581" s="5" t="str">
        <f ca="1">IFERROR(__xludf.DUMMYFUNCTION("""COMPUTED_VALUE"""),"باطنة عامة")</f>
        <v>باطنة عامة</v>
      </c>
      <c r="G3581" s="5" t="str">
        <f ca="1">IFERROR(__xludf.DUMMYFUNCTION("""COMPUTED_VALUE"""),"د. عاشور خلف عطية عاشور")</f>
        <v>د. عاشور خلف عطية عاشور</v>
      </c>
      <c r="H3581" s="5" t="str">
        <f ca="1">IFERROR(__xludf.DUMMYFUNCTION("""COMPUTED_VALUE"""),"ش النبوي المهندس - برج الاطباء - الدور الأول - شقة 3 - الفيوم")</f>
        <v>ش النبوي المهندس - برج الاطباء - الدور الأول - شقة 3 - الفيوم</v>
      </c>
      <c r="I3581" s="6" t="str">
        <f ca="1">IFERROR(__xludf.DUMMYFUNCTION("""COMPUTED_VALUE"""),"01021892229")</f>
        <v>01021892229</v>
      </c>
      <c r="J3581" s="6"/>
      <c r="K3581" s="6" t="str">
        <f ca="1">IFERROR(__xludf.DUMMYFUNCTION("""COMPUTED_VALUE"""),"خصم 30% علي الاسعار النقدي")</f>
        <v>خصم 30% علي الاسعار النقدي</v>
      </c>
    </row>
    <row r="3582" spans="1:11" x14ac:dyDescent="0.25">
      <c r="A3582" s="4" t="str">
        <f ca="1">IFERROR(__xludf.DUMMYFUNCTION("""COMPUTED_VALUE"""),"107639")</f>
        <v>107639</v>
      </c>
      <c r="B3582" s="5" t="str">
        <f ca="1">IFERROR(__xludf.DUMMYFUNCTION("""COMPUTED_VALUE"""),"الغربية")</f>
        <v>الغربية</v>
      </c>
      <c r="C3582" s="5" t="str">
        <f ca="1">IFERROR(__xludf.DUMMYFUNCTION("""COMPUTED_VALUE"""),"طنطا")</f>
        <v>طنطا</v>
      </c>
      <c r="D3582" s="5" t="str">
        <f ca="1">IFERROR(__xludf.DUMMYFUNCTION("""COMPUTED_VALUE"""),"هيئة الأطباء")</f>
        <v>هيئة الأطباء</v>
      </c>
      <c r="E3582" s="5" t="str">
        <f ca="1">IFERROR(__xludf.DUMMYFUNCTION("""COMPUTED_VALUE"""),"اسنان")</f>
        <v>اسنان</v>
      </c>
      <c r="F3582" s="5" t="str">
        <f ca="1">IFERROR(__xludf.DUMMYFUNCTION("""COMPUTED_VALUE"""),"جراحة الفم والأسنان")</f>
        <v>جراحة الفم والأسنان</v>
      </c>
      <c r="G3582" s="5" t="str">
        <f ca="1">IFERROR(__xludf.DUMMYFUNCTION("""COMPUTED_VALUE"""),"محمود مصطفي طه خضير (د. محمود خضير)")</f>
        <v>محمود مصطفي طه خضير (د. محمود خضير)</v>
      </c>
      <c r="H3582" s="5" t="str">
        <f ca="1">IFERROR(__xludf.DUMMYFUNCTION("""COMPUTED_VALUE"""),"محلة مرحوم بجوار الجامع الكبير - طنطا - الغربية")</f>
        <v>محلة مرحوم بجوار الجامع الكبير - طنطا - الغربية</v>
      </c>
      <c r="I3582" s="6" t="str">
        <f ca="1">IFERROR(__xludf.DUMMYFUNCTION("""COMPUTED_VALUE"""),"01005373131")</f>
        <v>01005373131</v>
      </c>
      <c r="J3582" s="6"/>
      <c r="K3582" s="6" t="str">
        <f ca="1">IFERROR(__xludf.DUMMYFUNCTION("""COMPUTED_VALUE"""),"خصم 40% علي الاسعار النقدي")</f>
        <v>خصم 40% علي الاسعار النقدي</v>
      </c>
    </row>
    <row r="3583" spans="1:11" x14ac:dyDescent="0.25">
      <c r="A3583" s="4" t="str">
        <f ca="1">IFERROR(__xludf.DUMMYFUNCTION("""COMPUTED_VALUE"""),"107639-B")</f>
        <v>107639-B</v>
      </c>
      <c r="B3583" s="5" t="str">
        <f ca="1">IFERROR(__xludf.DUMMYFUNCTION("""COMPUTED_VALUE"""),"الغربية")</f>
        <v>الغربية</v>
      </c>
      <c r="C3583" s="5" t="str">
        <f ca="1">IFERROR(__xludf.DUMMYFUNCTION("""COMPUTED_VALUE"""),"طنطا")</f>
        <v>طنطا</v>
      </c>
      <c r="D3583" s="5" t="str">
        <f ca="1">IFERROR(__xludf.DUMMYFUNCTION("""COMPUTED_VALUE"""),"هيئة الأطباء")</f>
        <v>هيئة الأطباء</v>
      </c>
      <c r="E3583" s="5" t="str">
        <f ca="1">IFERROR(__xludf.DUMMYFUNCTION("""COMPUTED_VALUE"""),"اسنان")</f>
        <v>اسنان</v>
      </c>
      <c r="F3583" s="5" t="str">
        <f ca="1">IFERROR(__xludf.DUMMYFUNCTION("""COMPUTED_VALUE"""),"جراحة الفم والأسنان")</f>
        <v>جراحة الفم والأسنان</v>
      </c>
      <c r="G3583" s="5" t="str">
        <f ca="1">IFERROR(__xludf.DUMMYFUNCTION("""COMPUTED_VALUE"""),"محمود مصطفي طه خضير (د. محمود خضير)")</f>
        <v>محمود مصطفي طه خضير (د. محمود خضير)</v>
      </c>
      <c r="H3583" s="5" t="str">
        <f ca="1">IFERROR(__xludf.DUMMYFUNCTION("""COMPUTED_VALUE"""),"ش طه الحكيم تقاطع هداية - طنطا - الغربية")</f>
        <v>ش طه الحكيم تقاطع هداية - طنطا - الغربية</v>
      </c>
      <c r="I3583" s="6" t="str">
        <f ca="1">IFERROR(__xludf.DUMMYFUNCTION("""COMPUTED_VALUE"""),"01005373131")</f>
        <v>01005373131</v>
      </c>
      <c r="J3583" s="6"/>
      <c r="K3583" s="6" t="str">
        <f ca="1">IFERROR(__xludf.DUMMYFUNCTION("""COMPUTED_VALUE"""),"خصم 40% علي الاسعار النقدي")</f>
        <v>خصم 40% علي الاسعار النقدي</v>
      </c>
    </row>
    <row r="3584" spans="1:11" x14ac:dyDescent="0.25">
      <c r="A3584" s="4" t="str">
        <f ca="1">IFERROR(__xludf.DUMMYFUNCTION("""COMPUTED_VALUE"""),"107640")</f>
        <v>107640</v>
      </c>
      <c r="B3584" s="5" t="str">
        <f ca="1">IFERROR(__xludf.DUMMYFUNCTION("""COMPUTED_VALUE"""),"المنيا")</f>
        <v>المنيا</v>
      </c>
      <c r="C3584" s="5" t="str">
        <f ca="1">IFERROR(__xludf.DUMMYFUNCTION("""COMPUTED_VALUE"""),"سمالوط")</f>
        <v>سمالوط</v>
      </c>
      <c r="D3584" s="5" t="str">
        <f ca="1">IFERROR(__xludf.DUMMYFUNCTION("""COMPUTED_VALUE"""),"صيدلية")</f>
        <v>صيدلية</v>
      </c>
      <c r="E3584" s="5" t="str">
        <f ca="1">IFERROR(__xludf.DUMMYFUNCTION("""COMPUTED_VALUE"""),"صيدلية")</f>
        <v>صيدلية</v>
      </c>
      <c r="F3584" s="5" t="str">
        <f ca="1">IFERROR(__xludf.DUMMYFUNCTION("""COMPUTED_VALUE"""),"صيدلية (أدوية ومستلزمات طبية)")</f>
        <v>صيدلية (أدوية ومستلزمات طبية)</v>
      </c>
      <c r="G3584" s="5" t="str">
        <f ca="1">IFERROR(__xludf.DUMMYFUNCTION("""COMPUTED_VALUE"""),"لوقا نادي غالي مسعود (صيدلية د. لوقا نادي غالي)")</f>
        <v>لوقا نادي غالي مسعود (صيدلية د. لوقا نادي غالي)</v>
      </c>
      <c r="H3584" s="5" t="str">
        <f ca="1">IFERROR(__xludf.DUMMYFUNCTION("""COMPUTED_VALUE"""),"الطيبة - سمالوط - المنيا")</f>
        <v>الطيبة - سمالوط - المنيا</v>
      </c>
      <c r="I3584" s="6" t="str">
        <f ca="1">IFERROR(__xludf.DUMMYFUNCTION("""COMPUTED_VALUE"""),"01000362762")</f>
        <v>01000362762</v>
      </c>
      <c r="J3584" s="6"/>
      <c r="K3584" s="6" t="str">
        <f ca="1">IFERROR(__xludf.DUMMYFUNCTION("""COMPUTED_VALUE"""),"خصم 14% علي المحلي و7% علي المستورد")</f>
        <v>خصم 14% علي المحلي و7% علي المستورد</v>
      </c>
    </row>
    <row r="3585" spans="1:11" x14ac:dyDescent="0.25">
      <c r="A3585" s="4" t="str">
        <f ca="1">IFERROR(__xludf.DUMMYFUNCTION("""COMPUTED_VALUE"""),"107641")</f>
        <v>107641</v>
      </c>
      <c r="B3585" s="5" t="str">
        <f ca="1">IFERROR(__xludf.DUMMYFUNCTION("""COMPUTED_VALUE"""),"المنوفية")</f>
        <v>المنوفية</v>
      </c>
      <c r="C3585" s="5" t="str">
        <f ca="1">IFERROR(__xludf.DUMMYFUNCTION("""COMPUTED_VALUE"""),"الباجور")</f>
        <v>الباجور</v>
      </c>
      <c r="D3585" s="5" t="str">
        <f ca="1">IFERROR(__xludf.DUMMYFUNCTION("""COMPUTED_VALUE"""),"مستشفى")</f>
        <v>مستشفى</v>
      </c>
      <c r="E3585" s="5" t="str">
        <f ca="1">IFERROR(__xludf.DUMMYFUNCTION("""COMPUTED_VALUE"""),"مستشفي طبي متكامل")</f>
        <v>مستشفي طبي متكامل</v>
      </c>
      <c r="F3585" s="5" t="str">
        <f ca="1">IFERROR(__xludf.DUMMYFUNCTION("""COMPUTED_VALUE"""),"جميع التخصصات الطبية")</f>
        <v>جميع التخصصات الطبية</v>
      </c>
      <c r="G3585" s="5" t="str">
        <f ca="1">IFERROR(__xludf.DUMMYFUNCTION("""COMPUTED_VALUE"""),"ايس ماونتن مديكال جروب لاداره المستشفيات (مستشفي الحياة التخصصي)")</f>
        <v>ايس ماونتن مديكال جروب لاداره المستشفيات (مستشفي الحياة التخصصي)</v>
      </c>
      <c r="H3585" s="5" t="str">
        <f ca="1">IFERROR(__xludf.DUMMYFUNCTION("""COMPUTED_VALUE"""),"ش الفيروز متفرع من ش بني حسن - الباجور - المنوفية")</f>
        <v>ش الفيروز متفرع من ش بني حسن - الباجور - المنوفية</v>
      </c>
      <c r="I3585" s="6" t="str">
        <f ca="1">IFERROR(__xludf.DUMMYFUNCTION("""COMPUTED_VALUE"""),"01000135171")</f>
        <v>01000135171</v>
      </c>
      <c r="J3585" s="6"/>
      <c r="K3585" s="6" t="str">
        <f ca="1">IFERROR(__xludf.DUMMYFUNCTION("""COMPUTED_VALUE"""),"خصم 30% علي الاسعار النقدي")</f>
        <v>خصم 30% علي الاسعار النقدي</v>
      </c>
    </row>
    <row r="3586" spans="1:11" x14ac:dyDescent="0.25">
      <c r="A3586" s="4" t="str">
        <f ca="1">IFERROR(__xludf.DUMMYFUNCTION("""COMPUTED_VALUE"""),"107647")</f>
        <v>107647</v>
      </c>
      <c r="B3586" s="5" t="str">
        <f ca="1">IFERROR(__xludf.DUMMYFUNCTION("""COMPUTED_VALUE"""),"الجيزة")</f>
        <v>الجيزة</v>
      </c>
      <c r="C3586" s="5" t="str">
        <f ca="1">IFERROR(__xludf.DUMMYFUNCTION("""COMPUTED_VALUE"""),"المهندسين")</f>
        <v>المهندسين</v>
      </c>
      <c r="D3586" s="5" t="str">
        <f ca="1">IFERROR(__xludf.DUMMYFUNCTION("""COMPUTED_VALUE"""),"مجمع عيادات")</f>
        <v>مجمع عيادات</v>
      </c>
      <c r="E3586" s="5" t="str">
        <f ca="1">IFERROR(__xludf.DUMMYFUNCTION("""COMPUTED_VALUE"""),"جميع التخصصات")</f>
        <v>جميع التخصصات</v>
      </c>
      <c r="F3586" s="5" t="str">
        <f ca="1">IFERROR(__xludf.DUMMYFUNCTION("""COMPUTED_VALUE"""),"جميع التخصصات الطبية")</f>
        <v>جميع التخصصات الطبية</v>
      </c>
      <c r="G3586" s="5" t="str">
        <f ca="1">IFERROR(__xludf.DUMMYFUNCTION("""COMPUTED_VALUE"""),"شركة ان تايم كلينك")</f>
        <v>شركة ان تايم كلينك</v>
      </c>
      <c r="H3586" s="5" t="str">
        <f ca="1">IFERROR(__xludf.DUMMYFUNCTION("""COMPUTED_VALUE"""),"5 شارع جامعه الدول العربيه - الدور السادس - المهندسين - الجيزة")</f>
        <v>5 شارع جامعه الدول العربيه - الدور السادس - المهندسين - الجيزة</v>
      </c>
      <c r="I3586" s="6"/>
      <c r="J3586" s="6"/>
      <c r="K3586" s="6" t="str">
        <f ca="1">IFERROR(__xludf.DUMMYFUNCTION("""COMPUTED_VALUE"""),"خصم 40% علي الكشف و 20% علي باقي الخدمات")</f>
        <v>خصم 40% علي الكشف و 20% علي باقي الخدمات</v>
      </c>
    </row>
    <row r="3587" spans="1:11" x14ac:dyDescent="0.25">
      <c r="A3587" s="4" t="str">
        <f ca="1">IFERROR(__xludf.DUMMYFUNCTION("""COMPUTED_VALUE"""),"107648")</f>
        <v>107648</v>
      </c>
      <c r="B3587" s="5" t="str">
        <f ca="1">IFERROR(__xludf.DUMMYFUNCTION("""COMPUTED_VALUE"""),"السويس")</f>
        <v>السويس</v>
      </c>
      <c r="C3587" s="5" t="str">
        <f ca="1">IFERROR(__xludf.DUMMYFUNCTION("""COMPUTED_VALUE"""),"السويس")</f>
        <v>السويس</v>
      </c>
      <c r="D3587" s="5" t="str">
        <f ca="1">IFERROR(__xludf.DUMMYFUNCTION("""COMPUTED_VALUE"""),"هيئة الأطباء")</f>
        <v>هيئة الأطباء</v>
      </c>
      <c r="E3587" s="5" t="str">
        <f ca="1">IFERROR(__xludf.DUMMYFUNCTION("""COMPUTED_VALUE"""),"باطنة")</f>
        <v>باطنة</v>
      </c>
      <c r="F3587" s="5" t="str">
        <f ca="1">IFERROR(__xludf.DUMMYFUNCTION("""COMPUTED_VALUE"""),"باطنة عامة")</f>
        <v>باطنة عامة</v>
      </c>
      <c r="G3587" s="5" t="str">
        <f ca="1">IFERROR(__xludf.DUMMYFUNCTION("""COMPUTED_VALUE"""),"هاني الضوي غنيم غنيم (د. هاني الضوي)")</f>
        <v>هاني الضوي غنيم غنيم (د. هاني الضوي)</v>
      </c>
      <c r="H3587" s="5" t="str">
        <f ca="1">IFERROR(__xludf.DUMMYFUNCTION("""COMPUTED_VALUE"""),"1 ش المغربي متفرع من شارع الطابيه الاربعين - السويس")</f>
        <v>1 ش المغربي متفرع من شارع الطابيه الاربعين - السويس</v>
      </c>
      <c r="I3587" s="6" t="str">
        <f ca="1">IFERROR(__xludf.DUMMYFUNCTION("""COMPUTED_VALUE"""),"01050589363")</f>
        <v>01050589363</v>
      </c>
      <c r="J3587" s="6"/>
      <c r="K3587" s="6" t="str">
        <f ca="1">IFERROR(__xludf.DUMMYFUNCTION("""COMPUTED_VALUE"""),"خصم 30% علي الاسعار النقدي")</f>
        <v>خصم 30% علي الاسعار النقدي</v>
      </c>
    </row>
    <row r="3588" spans="1:11" x14ac:dyDescent="0.25">
      <c r="A3588" s="4" t="str">
        <f ca="1">IFERROR(__xludf.DUMMYFUNCTION("""COMPUTED_VALUE"""),"107649")</f>
        <v>107649</v>
      </c>
      <c r="B3588" s="5" t="str">
        <f ca="1">IFERROR(__xludf.DUMMYFUNCTION("""COMPUTED_VALUE"""),"الدقهلية")</f>
        <v>الدقهلية</v>
      </c>
      <c r="C3588" s="5" t="str">
        <f ca="1">IFERROR(__xludf.DUMMYFUNCTION("""COMPUTED_VALUE"""),"دكرنس")</f>
        <v>دكرنس</v>
      </c>
      <c r="D3588" s="5" t="str">
        <f ca="1">IFERROR(__xludf.DUMMYFUNCTION("""COMPUTED_VALUE"""),"هيئة الأطباء")</f>
        <v>هيئة الأطباء</v>
      </c>
      <c r="E3588" s="5" t="str">
        <f ca="1">IFERROR(__xludf.DUMMYFUNCTION("""COMPUTED_VALUE"""),"باطنة")</f>
        <v>باطنة</v>
      </c>
      <c r="F3588" s="5" t="str">
        <f ca="1">IFERROR(__xludf.DUMMYFUNCTION("""COMPUTED_VALUE"""),"باطنة عامة")</f>
        <v>باطنة عامة</v>
      </c>
      <c r="G3588" s="5" t="str">
        <f ca="1">IFERROR(__xludf.DUMMYFUNCTION("""COMPUTED_VALUE"""),"د. عادل شفيق منصور جرجس")</f>
        <v>د. عادل شفيق منصور جرجس</v>
      </c>
      <c r="H3588" s="5" t="str">
        <f ca="1">IFERROR(__xludf.DUMMYFUNCTION("""COMPUTED_VALUE"""),"برج الامراء - شرق البنك الاهلي ش العروبة - دكرنس - الدقهلية")</f>
        <v>برج الامراء - شرق البنك الاهلي ش العروبة - دكرنس - الدقهلية</v>
      </c>
      <c r="I3588" s="6" t="str">
        <f ca="1">IFERROR(__xludf.DUMMYFUNCTION("""COMPUTED_VALUE"""),"01005077780")</f>
        <v>01005077780</v>
      </c>
      <c r="J3588" s="6"/>
      <c r="K3588" s="6" t="str">
        <f ca="1">IFERROR(__xludf.DUMMYFUNCTION("""COMPUTED_VALUE"""),"خصم 30% علي الاسعار النقدي")</f>
        <v>خصم 30% علي الاسعار النقدي</v>
      </c>
    </row>
    <row r="3589" spans="1:11" x14ac:dyDescent="0.25">
      <c r="A3589" s="4" t="str">
        <f ca="1">IFERROR(__xludf.DUMMYFUNCTION("""COMPUTED_VALUE"""),"107650")</f>
        <v>107650</v>
      </c>
      <c r="B3589" s="5" t="str">
        <f ca="1">IFERROR(__xludf.DUMMYFUNCTION("""COMPUTED_VALUE"""),"الجيزة")</f>
        <v>الجيزة</v>
      </c>
      <c r="C3589" s="5" t="str">
        <f ca="1">IFERROR(__xludf.DUMMYFUNCTION("""COMPUTED_VALUE"""),"المهندسين")</f>
        <v>المهندسين</v>
      </c>
      <c r="D3589" s="5" t="str">
        <f ca="1">IFERROR(__xludf.DUMMYFUNCTION("""COMPUTED_VALUE"""),"هيئة الأطباء")</f>
        <v>هيئة الأطباء</v>
      </c>
      <c r="E3589" s="5" t="str">
        <f ca="1">IFERROR(__xludf.DUMMYFUNCTION("""COMPUTED_VALUE"""),"أطفال")</f>
        <v>أطفال</v>
      </c>
      <c r="F3589" s="5" t="str">
        <f ca="1">IFERROR(__xludf.DUMMYFUNCTION("""COMPUTED_VALUE"""),"قلب و أوعيه دمويه أطفال")</f>
        <v>قلب و أوعيه دمويه أطفال</v>
      </c>
      <c r="G3589" s="5" t="str">
        <f ca="1">IFERROR(__xludf.DUMMYFUNCTION("""COMPUTED_VALUE"""),"محمد علي عبدالحي حجازي عيسي (د. محمد علي حجازي)")</f>
        <v>محمد علي عبدالحي حجازي عيسي (د. محمد علي حجازي)</v>
      </c>
      <c r="H3589" s="5" t="str">
        <f ca="1">IFERROR(__xludf.DUMMYFUNCTION("""COMPUTED_VALUE"""),"97 ش التحرير - الدقي - الجيزة")</f>
        <v>97 ش التحرير - الدقي - الجيزة</v>
      </c>
      <c r="I3589" s="6" t="str">
        <f ca="1">IFERROR(__xludf.DUMMYFUNCTION("""COMPUTED_VALUE"""),"01064692222")</f>
        <v>01064692222</v>
      </c>
      <c r="J3589" s="6"/>
      <c r="K3589" s="6" t="str">
        <f ca="1">IFERROR(__xludf.DUMMYFUNCTION("""COMPUTED_VALUE"""),"خصم 30% علي الاسعار النقدي")</f>
        <v>خصم 30% علي الاسعار النقدي</v>
      </c>
    </row>
    <row r="3590" spans="1:11" x14ac:dyDescent="0.25">
      <c r="A3590" s="4" t="str">
        <f ca="1">IFERROR(__xludf.DUMMYFUNCTION("""COMPUTED_VALUE"""),"107651")</f>
        <v>107651</v>
      </c>
      <c r="B3590" s="5" t="str">
        <f ca="1">IFERROR(__xludf.DUMMYFUNCTION("""COMPUTED_VALUE"""),"الدقهلية")</f>
        <v>الدقهلية</v>
      </c>
      <c r="C3590" s="5" t="str">
        <f ca="1">IFERROR(__xludf.DUMMYFUNCTION("""COMPUTED_VALUE"""),"طلخا")</f>
        <v>طلخا</v>
      </c>
      <c r="D3590" s="5" t="str">
        <f ca="1">IFERROR(__xludf.DUMMYFUNCTION("""COMPUTED_VALUE"""),"هيئة الأطباء")</f>
        <v>هيئة الأطباء</v>
      </c>
      <c r="E3590" s="5" t="str">
        <f ca="1">IFERROR(__xludf.DUMMYFUNCTION("""COMPUTED_VALUE"""),"اسنان")</f>
        <v>اسنان</v>
      </c>
      <c r="F3590" s="5" t="str">
        <f ca="1">IFERROR(__xludf.DUMMYFUNCTION("""COMPUTED_VALUE"""),"جراحة الفم والأسنان")</f>
        <v>جراحة الفم والأسنان</v>
      </c>
      <c r="G3590" s="5" t="str">
        <f ca="1">IFERROR(__xludf.DUMMYFUNCTION("""COMPUTED_VALUE"""),"د. شريف احمد عبدالعزيز الموافي (د. شريف الموافي دينتال كلينك)")</f>
        <v>د. شريف احمد عبدالعزيز الموافي (د. شريف الموافي دينتال كلينك)</v>
      </c>
      <c r="H3590" s="5" t="str">
        <f ca="1">IFERROR(__xludf.DUMMYFUNCTION("""COMPUTED_VALUE"""),"3 جامع المعداوي - طلخا - الدقهلية")</f>
        <v>3 جامع المعداوي - طلخا - الدقهلية</v>
      </c>
      <c r="I3590" s="6" t="str">
        <f ca="1">IFERROR(__xludf.DUMMYFUNCTION("""COMPUTED_VALUE"""),"01080088834")</f>
        <v>01080088834</v>
      </c>
      <c r="J3590" s="6"/>
      <c r="K3590" s="6" t="str">
        <f ca="1">IFERROR(__xludf.DUMMYFUNCTION("""COMPUTED_VALUE"""),"خصم 40% علي الاسعار النقدي")</f>
        <v>خصم 40% علي الاسعار النقدي</v>
      </c>
    </row>
    <row r="3591" spans="1:11" x14ac:dyDescent="0.25">
      <c r="A3591" s="4" t="str">
        <f ca="1">IFERROR(__xludf.DUMMYFUNCTION("""COMPUTED_VALUE"""),"107651-B")</f>
        <v>107651-B</v>
      </c>
      <c r="B3591" s="5" t="str">
        <f ca="1">IFERROR(__xludf.DUMMYFUNCTION("""COMPUTED_VALUE"""),"الدقهلية")</f>
        <v>الدقهلية</v>
      </c>
      <c r="C3591" s="5" t="str">
        <f ca="1">IFERROR(__xludf.DUMMYFUNCTION("""COMPUTED_VALUE"""),"المنصورة")</f>
        <v>المنصورة</v>
      </c>
      <c r="D3591" s="5" t="str">
        <f ca="1">IFERROR(__xludf.DUMMYFUNCTION("""COMPUTED_VALUE"""),"هيئة الأطباء")</f>
        <v>هيئة الأطباء</v>
      </c>
      <c r="E3591" s="5" t="str">
        <f ca="1">IFERROR(__xludf.DUMMYFUNCTION("""COMPUTED_VALUE"""),"اسنان")</f>
        <v>اسنان</v>
      </c>
      <c r="F3591" s="5" t="str">
        <f ca="1">IFERROR(__xludf.DUMMYFUNCTION("""COMPUTED_VALUE"""),"جراحة الفم والأسنان")</f>
        <v>جراحة الفم والأسنان</v>
      </c>
      <c r="G3591" s="5" t="str">
        <f ca="1">IFERROR(__xludf.DUMMYFUNCTION("""COMPUTED_VALUE"""),"د. شريف احمد عبدالعزيز الموافي (د. شريف الموافي دينتال كلينك)")</f>
        <v>د. شريف احمد عبدالعزيز الموافي (د. شريف الموافي دينتال كلينك)</v>
      </c>
      <c r="H3591" s="5" t="str">
        <f ca="1">IFERROR(__xludf.DUMMYFUNCTION("""COMPUTED_VALUE"""),"ش جمال الدين الافغاني برج الفراج - المنصورة - الدقهلية")</f>
        <v>ش جمال الدين الافغاني برج الفراج - المنصورة - الدقهلية</v>
      </c>
      <c r="I3591" s="6" t="str">
        <f ca="1">IFERROR(__xludf.DUMMYFUNCTION("""COMPUTED_VALUE"""),"01080088834")</f>
        <v>01080088834</v>
      </c>
      <c r="J3591" s="6"/>
      <c r="K3591" s="6" t="str">
        <f ca="1">IFERROR(__xludf.DUMMYFUNCTION("""COMPUTED_VALUE"""),"خصم 40% علي الاسعار النقدي")</f>
        <v>خصم 40% علي الاسعار النقدي</v>
      </c>
    </row>
    <row r="3592" spans="1:11" x14ac:dyDescent="0.25">
      <c r="A3592" s="4" t="str">
        <f ca="1">IFERROR(__xludf.DUMMYFUNCTION("""COMPUTED_VALUE"""),"107653")</f>
        <v>107653</v>
      </c>
      <c r="B3592" s="5" t="str">
        <f ca="1">IFERROR(__xludf.DUMMYFUNCTION("""COMPUTED_VALUE"""),"بني سويف")</f>
        <v>بني سويف</v>
      </c>
      <c r="C3592" s="5" t="str">
        <f ca="1">IFERROR(__xludf.DUMMYFUNCTION("""COMPUTED_VALUE"""),"بني سويف")</f>
        <v>بني سويف</v>
      </c>
      <c r="D3592" s="5" t="str">
        <f ca="1">IFERROR(__xludf.DUMMYFUNCTION("""COMPUTED_VALUE"""),"هيئة الأطباء")</f>
        <v>هيئة الأطباء</v>
      </c>
      <c r="E3592" s="5" t="str">
        <f ca="1">IFERROR(__xludf.DUMMYFUNCTION("""COMPUTED_VALUE"""),"جراحة")</f>
        <v>جراحة</v>
      </c>
      <c r="F3592" s="5" t="str">
        <f ca="1">IFERROR(__xludf.DUMMYFUNCTION("""COMPUTED_VALUE"""),"جراحة عظام")</f>
        <v>جراحة عظام</v>
      </c>
      <c r="G3592" s="5" t="str">
        <f ca="1">IFERROR(__xludf.DUMMYFUNCTION("""COMPUTED_VALUE"""),"د. خالد محمد متولي حسين")</f>
        <v>د. خالد محمد متولي حسين</v>
      </c>
      <c r="H3592" s="5" t="str">
        <f ca="1">IFERROR(__xludf.DUMMYFUNCTION("""COMPUTED_VALUE"""),"برج سينا الدور الثالث بجوار مستشفي الزهراء - بني سويف")</f>
        <v>برج سينا الدور الثالث بجوار مستشفي الزهراء - بني سويف</v>
      </c>
      <c r="I3592" s="6" t="str">
        <f ca="1">IFERROR(__xludf.DUMMYFUNCTION("""COMPUTED_VALUE"""),"0107002732")</f>
        <v>0107002732</v>
      </c>
      <c r="J3592" s="6"/>
      <c r="K3592" s="6" t="str">
        <f ca="1">IFERROR(__xludf.DUMMYFUNCTION("""COMPUTED_VALUE"""),"خصم 25% علي الاسعار النقدي")</f>
        <v>خصم 25% علي الاسعار النقدي</v>
      </c>
    </row>
    <row r="3593" spans="1:11" x14ac:dyDescent="0.25">
      <c r="A3593" s="4" t="str">
        <f ca="1">IFERROR(__xludf.DUMMYFUNCTION("""COMPUTED_VALUE"""),"107654")</f>
        <v>107654</v>
      </c>
      <c r="B3593" s="5" t="str">
        <f ca="1">IFERROR(__xludf.DUMMYFUNCTION("""COMPUTED_VALUE"""),"كفر الشيخ")</f>
        <v>كفر الشيخ</v>
      </c>
      <c r="C3593" s="5" t="str">
        <f ca="1">IFERROR(__xludf.DUMMYFUNCTION("""COMPUTED_VALUE"""),"الحامول")</f>
        <v>الحامول</v>
      </c>
      <c r="D3593" s="5" t="str">
        <f ca="1">IFERROR(__xludf.DUMMYFUNCTION("""COMPUTED_VALUE"""),"مركز علاج طبيعي")</f>
        <v>مركز علاج طبيعي</v>
      </c>
      <c r="E3593" s="5" t="str">
        <f ca="1">IFERROR(__xludf.DUMMYFUNCTION("""COMPUTED_VALUE"""),"علاج طبيعي")</f>
        <v>علاج طبيعي</v>
      </c>
      <c r="F3593" s="5" t="str">
        <f ca="1">IFERROR(__xludf.DUMMYFUNCTION("""COMPUTED_VALUE"""),"جلسات العلاج الطبيعي")</f>
        <v>جلسات العلاج الطبيعي</v>
      </c>
      <c r="G3593" s="5" t="str">
        <f ca="1">IFERROR(__xludf.DUMMYFUNCTION("""COMPUTED_VALUE"""),"أحمد عبدالله عبدالمولي الشاذلي (مركز الشاذلي للعلاج الطبيعي)")</f>
        <v>أحمد عبدالله عبدالمولي الشاذلي (مركز الشاذلي للعلاج الطبيعي)</v>
      </c>
      <c r="H3593" s="5" t="str">
        <f ca="1">IFERROR(__xludf.DUMMYFUNCTION("""COMPUTED_VALUE"""),"ش متفرع من ش العاشر من رمضان - امام الجامع الكبير - الحامول - كفرالشيخ")</f>
        <v>ش متفرع من ش العاشر من رمضان - امام الجامع الكبير - الحامول - كفرالشيخ</v>
      </c>
      <c r="I3593" s="6" t="str">
        <f ca="1">IFERROR(__xludf.DUMMYFUNCTION("""COMPUTED_VALUE"""),"01022226657")</f>
        <v>01022226657</v>
      </c>
      <c r="J3593" s="6"/>
      <c r="K3593" s="6" t="str">
        <f ca="1">IFERROR(__xludf.DUMMYFUNCTION("""COMPUTED_VALUE"""),"خصم 30% علي الاسعار النقدي")</f>
        <v>خصم 30% علي الاسعار النقدي</v>
      </c>
    </row>
    <row r="3594" spans="1:11" x14ac:dyDescent="0.25">
      <c r="A3594" s="4" t="str">
        <f ca="1">IFERROR(__xludf.DUMMYFUNCTION("""COMPUTED_VALUE"""),"107655")</f>
        <v>107655</v>
      </c>
      <c r="B3594" s="5" t="str">
        <f ca="1">IFERROR(__xludf.DUMMYFUNCTION("""COMPUTED_VALUE"""),"القاهرة")</f>
        <v>القاهرة</v>
      </c>
      <c r="C3594" s="5" t="str">
        <f ca="1">IFERROR(__xludf.DUMMYFUNCTION("""COMPUTED_VALUE"""),"المقطم")</f>
        <v>المقطم</v>
      </c>
      <c r="D3594" s="5" t="str">
        <f ca="1">IFERROR(__xludf.DUMMYFUNCTION("""COMPUTED_VALUE"""),"هيئة الأطباء")</f>
        <v>هيئة الأطباء</v>
      </c>
      <c r="E3594" s="5" t="str">
        <f ca="1">IFERROR(__xludf.DUMMYFUNCTION("""COMPUTED_VALUE"""),"اسنان")</f>
        <v>اسنان</v>
      </c>
      <c r="F3594" s="5" t="str">
        <f ca="1">IFERROR(__xludf.DUMMYFUNCTION("""COMPUTED_VALUE"""),"جراحة الفم والأسنان")</f>
        <v>جراحة الفم والأسنان</v>
      </c>
      <c r="G3594" s="5" t="str">
        <f ca="1">IFERROR(__xludf.DUMMYFUNCTION("""COMPUTED_VALUE"""),"مايكل نعيم راغب جورجي (Dr. Smile)")</f>
        <v>مايكل نعيم راغب جورجي (Dr. Smile)</v>
      </c>
      <c r="H3594" s="5" t="str">
        <f ca="1">IFERROR(__xludf.DUMMYFUNCTION("""COMPUTED_VALUE"""),"8908 ش 9 - المقطم - القاهرة")</f>
        <v>8908 ش 9 - المقطم - القاهرة</v>
      </c>
      <c r="I3594" s="6" t="str">
        <f ca="1">IFERROR(__xludf.DUMMYFUNCTION("""COMPUTED_VALUE"""),"01125287510")</f>
        <v>01125287510</v>
      </c>
      <c r="J3594" s="6"/>
      <c r="K3594" s="6" t="str">
        <f ca="1">IFERROR(__xludf.DUMMYFUNCTION("""COMPUTED_VALUE"""),"خصم 40% علي الاسعار النقدي")</f>
        <v>خصم 40% علي الاسعار النقدي</v>
      </c>
    </row>
    <row r="3595" spans="1:11" x14ac:dyDescent="0.25">
      <c r="A3595" s="4" t="str">
        <f ca="1">IFERROR(__xludf.DUMMYFUNCTION("""COMPUTED_VALUE"""),"107657")</f>
        <v>107657</v>
      </c>
      <c r="B3595" s="5" t="str">
        <f ca="1">IFERROR(__xludf.DUMMYFUNCTION("""COMPUTED_VALUE"""),"السويس")</f>
        <v>السويس</v>
      </c>
      <c r="C3595" s="5" t="str">
        <f ca="1">IFERROR(__xludf.DUMMYFUNCTION("""COMPUTED_VALUE"""),"السويس")</f>
        <v>السويس</v>
      </c>
      <c r="D3595" s="5" t="str">
        <f ca="1">IFERROR(__xludf.DUMMYFUNCTION("""COMPUTED_VALUE"""),"صيدلية")</f>
        <v>صيدلية</v>
      </c>
      <c r="E3595" s="5" t="str">
        <f ca="1">IFERROR(__xludf.DUMMYFUNCTION("""COMPUTED_VALUE"""),"صيدلية")</f>
        <v>صيدلية</v>
      </c>
      <c r="F3595" s="5" t="str">
        <f ca="1">IFERROR(__xludf.DUMMYFUNCTION("""COMPUTED_VALUE"""),"صيدلية (أدوية ومستلزمات طبية)")</f>
        <v>صيدلية (أدوية ومستلزمات طبية)</v>
      </c>
      <c r="G3595" s="5" t="str">
        <f ca="1">IFERROR(__xludf.DUMMYFUNCTION("""COMPUTED_VALUE"""),"محمد طلعت السعيد متولي (صيدليات محمد طلعت)")</f>
        <v>محمد طلعت السعيد متولي (صيدليات محمد طلعت)</v>
      </c>
      <c r="H3595" s="5" t="str">
        <f ca="1">IFERROR(__xludf.DUMMYFUNCTION("""COMPUTED_VALUE"""),"51 تعاونيات سبيكو امام مسجد احد الموشي - فيصل - السويس")</f>
        <v>51 تعاونيات سبيكو امام مسجد احد الموشي - فيصل - السويس</v>
      </c>
      <c r="I3595" s="6" t="str">
        <f ca="1">IFERROR(__xludf.DUMMYFUNCTION("""COMPUTED_VALUE"""),"01070050108")</f>
        <v>01070050108</v>
      </c>
      <c r="J3595" s="6"/>
      <c r="K3595" s="6" t="str">
        <f ca="1">IFERROR(__xludf.DUMMYFUNCTION("""COMPUTED_VALUE"""),"خصم 14% علي المحلي و7% علي المستورد")</f>
        <v>خصم 14% علي المحلي و7% علي المستورد</v>
      </c>
    </row>
    <row r="3596" spans="1:11" x14ac:dyDescent="0.25">
      <c r="A3596" s="4" t="str">
        <f ca="1">IFERROR(__xludf.DUMMYFUNCTION("""COMPUTED_VALUE"""),"107657-B")</f>
        <v>107657-B</v>
      </c>
      <c r="B3596" s="5" t="str">
        <f ca="1">IFERROR(__xludf.DUMMYFUNCTION("""COMPUTED_VALUE"""),"السويس")</f>
        <v>السويس</v>
      </c>
      <c r="C3596" s="5" t="str">
        <f ca="1">IFERROR(__xludf.DUMMYFUNCTION("""COMPUTED_VALUE"""),"السويس")</f>
        <v>السويس</v>
      </c>
      <c r="D3596" s="5" t="str">
        <f ca="1">IFERROR(__xludf.DUMMYFUNCTION("""COMPUTED_VALUE"""),"صيدلية")</f>
        <v>صيدلية</v>
      </c>
      <c r="E3596" s="5" t="str">
        <f ca="1">IFERROR(__xludf.DUMMYFUNCTION("""COMPUTED_VALUE"""),"صيدلية")</f>
        <v>صيدلية</v>
      </c>
      <c r="F3596" s="5" t="str">
        <f ca="1">IFERROR(__xludf.DUMMYFUNCTION("""COMPUTED_VALUE"""),"صيدلية (أدوية ومستلزمات طبية)")</f>
        <v>صيدلية (أدوية ومستلزمات طبية)</v>
      </c>
      <c r="G3596" s="5" t="str">
        <f ca="1">IFERROR(__xludf.DUMMYFUNCTION("""COMPUTED_VALUE"""),"محمد طلعت السعيد متولي (صيدليات محمد طلعت)")</f>
        <v>محمد طلعت السعيد متولي (صيدليات محمد طلعت)</v>
      </c>
      <c r="H3596" s="5" t="str">
        <f ca="1">IFERROR(__xludf.DUMMYFUNCTION("""COMPUTED_VALUE"""),"ش ناصر بجوار محطة مصر البترول العوايد - الاربعين - السويس")</f>
        <v>ش ناصر بجوار محطة مصر البترول العوايد - الاربعين - السويس</v>
      </c>
      <c r="I3596" s="6" t="str">
        <f ca="1">IFERROR(__xludf.DUMMYFUNCTION("""COMPUTED_VALUE"""),"01070050108")</f>
        <v>01070050108</v>
      </c>
      <c r="J3596" s="6"/>
      <c r="K3596" s="6" t="str">
        <f ca="1">IFERROR(__xludf.DUMMYFUNCTION("""COMPUTED_VALUE"""),"خصم 14% علي المحلي و7% علي المستورد")</f>
        <v>خصم 14% علي المحلي و7% علي المستورد</v>
      </c>
    </row>
    <row r="3597" spans="1:11" x14ac:dyDescent="0.25">
      <c r="A3597" s="4" t="str">
        <f ca="1">IFERROR(__xludf.DUMMYFUNCTION("""COMPUTED_VALUE"""),"107657-B")</f>
        <v>107657-B</v>
      </c>
      <c r="B3597" s="5" t="str">
        <f ca="1">IFERROR(__xludf.DUMMYFUNCTION("""COMPUTED_VALUE"""),"السويس")</f>
        <v>السويس</v>
      </c>
      <c r="C3597" s="5" t="str">
        <f ca="1">IFERROR(__xludf.DUMMYFUNCTION("""COMPUTED_VALUE"""),"السويس")</f>
        <v>السويس</v>
      </c>
      <c r="D3597" s="5" t="str">
        <f ca="1">IFERROR(__xludf.DUMMYFUNCTION("""COMPUTED_VALUE"""),"صيدلية")</f>
        <v>صيدلية</v>
      </c>
      <c r="E3597" s="5" t="str">
        <f ca="1">IFERROR(__xludf.DUMMYFUNCTION("""COMPUTED_VALUE"""),"صيدلية")</f>
        <v>صيدلية</v>
      </c>
      <c r="F3597" s="5" t="str">
        <f ca="1">IFERROR(__xludf.DUMMYFUNCTION("""COMPUTED_VALUE"""),"صيدلية (أدوية ومستلزمات طبية)")</f>
        <v>صيدلية (أدوية ومستلزمات طبية)</v>
      </c>
      <c r="G3597" s="5" t="str">
        <f ca="1">IFERROR(__xludf.DUMMYFUNCTION("""COMPUTED_VALUE"""),"محمد طلعت السعيد متولي (صيدليات محمد طلعت)")</f>
        <v>محمد طلعت السعيد متولي (صيدليات محمد طلعت)</v>
      </c>
      <c r="H3597" s="5" t="str">
        <f ca="1">IFERROR(__xludf.DUMMYFUNCTION("""COMPUTED_VALUE"""),"شارع عثمان ابن عفان السلام 1 - فيصل - السويس")</f>
        <v>شارع عثمان ابن عفان السلام 1 - فيصل - السويس</v>
      </c>
      <c r="I3597" s="6" t="str">
        <f ca="1">IFERROR(__xludf.DUMMYFUNCTION("""COMPUTED_VALUE"""),"01070050108")</f>
        <v>01070050108</v>
      </c>
      <c r="J3597" s="6"/>
      <c r="K3597" s="6" t="str">
        <f ca="1">IFERROR(__xludf.DUMMYFUNCTION("""COMPUTED_VALUE"""),"خصم 14% علي المحلي و7% علي المستورد")</f>
        <v>خصم 14% علي المحلي و7% علي المستورد</v>
      </c>
    </row>
    <row r="3598" spans="1:11" x14ac:dyDescent="0.25">
      <c r="A3598" s="4" t="str">
        <f ca="1">IFERROR(__xludf.DUMMYFUNCTION("""COMPUTED_VALUE"""),"107658")</f>
        <v>107658</v>
      </c>
      <c r="B3598" s="5" t="str">
        <f ca="1">IFERROR(__xludf.DUMMYFUNCTION("""COMPUTED_VALUE"""),"الاسكندرية")</f>
        <v>الاسكندرية</v>
      </c>
      <c r="C3598" s="5" t="str">
        <f ca="1">IFERROR(__xludf.DUMMYFUNCTION("""COMPUTED_VALUE"""),"العطارين")</f>
        <v>العطارين</v>
      </c>
      <c r="D3598" s="5" t="str">
        <f ca="1">IFERROR(__xludf.DUMMYFUNCTION("""COMPUTED_VALUE"""),"معمل")</f>
        <v>معمل</v>
      </c>
      <c r="E3598" s="5" t="str">
        <f ca="1">IFERROR(__xludf.DUMMYFUNCTION("""COMPUTED_VALUE""")," أشعة و تحاليل")</f>
        <v xml:space="preserve"> أشعة و تحاليل</v>
      </c>
      <c r="F3598" s="5" t="str">
        <f ca="1">IFERROR(__xludf.DUMMYFUNCTION("""COMPUTED_VALUE"""),"معمل التحاليل الطبية")</f>
        <v>معمل التحاليل الطبية</v>
      </c>
      <c r="G3598" s="5" t="str">
        <f ca="1">IFERROR(__xludf.DUMMYFUNCTION("""COMPUTED_VALUE"""),"رادلاب مراكز تشخيصيه (معامل رادلاب)")</f>
        <v>رادلاب مراكز تشخيصيه (معامل رادلاب)</v>
      </c>
      <c r="H3598" s="5" t="str">
        <f ca="1">IFERROR(__xludf.DUMMYFUNCTION("""COMPUTED_VALUE"""),"8 شارع كلية الطب العطارين - الاسكندرية")</f>
        <v>8 شارع كلية الطب العطارين - الاسكندرية</v>
      </c>
      <c r="I3598" s="6" t="str">
        <f ca="1">IFERROR(__xludf.DUMMYFUNCTION("""COMPUTED_VALUE"""),"1112225164")</f>
        <v>1112225164</v>
      </c>
      <c r="J3598" s="6"/>
      <c r="K3598" s="6" t="str">
        <f ca="1">IFERROR(__xludf.DUMMYFUNCTION("""COMPUTED_VALUE"""),"خصم 30% علي الاسعار النقدي")</f>
        <v>خصم 30% علي الاسعار النقدي</v>
      </c>
    </row>
    <row r="3599" spans="1:11" x14ac:dyDescent="0.25">
      <c r="A3599" s="4" t="str">
        <f ca="1">IFERROR(__xludf.DUMMYFUNCTION("""COMPUTED_VALUE"""),"107658-B")</f>
        <v>107658-B</v>
      </c>
      <c r="B3599" s="5" t="str">
        <f ca="1">IFERROR(__xludf.DUMMYFUNCTION("""COMPUTED_VALUE"""),"الاسكندرية")</f>
        <v>الاسكندرية</v>
      </c>
      <c r="C3599" s="5" t="str">
        <f ca="1">IFERROR(__xludf.DUMMYFUNCTION("""COMPUTED_VALUE"""),"سموحة")</f>
        <v>سموحة</v>
      </c>
      <c r="D3599" s="5" t="str">
        <f ca="1">IFERROR(__xludf.DUMMYFUNCTION("""COMPUTED_VALUE"""),"معمل")</f>
        <v>معمل</v>
      </c>
      <c r="E3599" s="5" t="str">
        <f ca="1">IFERROR(__xludf.DUMMYFUNCTION("""COMPUTED_VALUE""")," أشعة و تحاليل")</f>
        <v xml:space="preserve"> أشعة و تحاليل</v>
      </c>
      <c r="F3599" s="5" t="str">
        <f ca="1">IFERROR(__xludf.DUMMYFUNCTION("""COMPUTED_VALUE"""),"معمل التحاليل الطبية")</f>
        <v>معمل التحاليل الطبية</v>
      </c>
      <c r="G3599" s="5" t="str">
        <f ca="1">IFERROR(__xludf.DUMMYFUNCTION("""COMPUTED_VALUE"""),"رادلاب مراكز تشخيصيه (معامل رادلاب)")</f>
        <v>رادلاب مراكز تشخيصيه (معامل رادلاب)</v>
      </c>
      <c r="H3599" s="5" t="str">
        <f ca="1">IFERROR(__xludf.DUMMYFUNCTION("""COMPUTED_VALUE"""),"14 شارع مصطفى كامل سموحة بجوار مستشفى الإسكندرية الدولى")</f>
        <v>14 شارع مصطفى كامل سموحة بجوار مستشفى الإسكندرية الدولى</v>
      </c>
      <c r="I3599" s="6"/>
      <c r="J3599" s="6" t="str">
        <f ca="1">IFERROR(__xludf.DUMMYFUNCTION("""COMPUTED_VALUE"""),"15866")</f>
        <v>15866</v>
      </c>
      <c r="K3599" s="6" t="str">
        <f ca="1">IFERROR(__xludf.DUMMYFUNCTION("""COMPUTED_VALUE"""),"خصم 30% علي الاسعار النقدي")</f>
        <v>خصم 30% علي الاسعار النقدي</v>
      </c>
    </row>
    <row r="3600" spans="1:11" x14ac:dyDescent="0.25">
      <c r="A3600" s="4" t="str">
        <f ca="1">IFERROR(__xludf.DUMMYFUNCTION("""COMPUTED_VALUE"""),"107658-B")</f>
        <v>107658-B</v>
      </c>
      <c r="B3600" s="5" t="str">
        <f ca="1">IFERROR(__xludf.DUMMYFUNCTION("""COMPUTED_VALUE"""),"الاسكندرية")</f>
        <v>الاسكندرية</v>
      </c>
      <c r="C3600" s="5" t="str">
        <f ca="1">IFERROR(__xludf.DUMMYFUNCTION("""COMPUTED_VALUE"""),"محطة الرمل")</f>
        <v>محطة الرمل</v>
      </c>
      <c r="D3600" s="5" t="str">
        <f ca="1">IFERROR(__xludf.DUMMYFUNCTION("""COMPUTED_VALUE"""),"معمل")</f>
        <v>معمل</v>
      </c>
      <c r="E3600" s="5" t="str">
        <f ca="1">IFERROR(__xludf.DUMMYFUNCTION("""COMPUTED_VALUE""")," أشعة و تحاليل")</f>
        <v xml:space="preserve"> أشعة و تحاليل</v>
      </c>
      <c r="F3600" s="5" t="str">
        <f ca="1">IFERROR(__xludf.DUMMYFUNCTION("""COMPUTED_VALUE"""),"معمل التحاليل الطبية")</f>
        <v>معمل التحاليل الطبية</v>
      </c>
      <c r="G3600" s="5" t="str">
        <f ca="1">IFERROR(__xludf.DUMMYFUNCTION("""COMPUTED_VALUE"""),"رادلاب مراكز تشخيصيه (معامل رادلاب)")</f>
        <v>رادلاب مراكز تشخيصيه (معامل رادلاب)</v>
      </c>
      <c r="H3600" s="5" t="str">
        <f ca="1">IFERROR(__xludf.DUMMYFUNCTION("""COMPUTED_VALUE"""),"محطة الرمل 12 شارع ابن الصايغ متفرع من شارع السلطان حسين بجوار مركز صيانة هيونداي")</f>
        <v>محطة الرمل 12 شارع ابن الصايغ متفرع من شارع السلطان حسين بجوار مركز صيانة هيونداي</v>
      </c>
      <c r="I3600" s="6" t="str">
        <f ca="1">IFERROR(__xludf.DUMMYFUNCTION("""COMPUTED_VALUE"""),"1112225164")</f>
        <v>1112225164</v>
      </c>
      <c r="J3600" s="6"/>
      <c r="K3600" s="6" t="str">
        <f ca="1">IFERROR(__xludf.DUMMYFUNCTION("""COMPUTED_VALUE"""),"خصم 30% علي الاسعار النقدي")</f>
        <v>خصم 30% علي الاسعار النقدي</v>
      </c>
    </row>
    <row r="3601" spans="1:11" x14ac:dyDescent="0.25">
      <c r="A3601" s="4" t="str">
        <f ca="1">IFERROR(__xludf.DUMMYFUNCTION("""COMPUTED_VALUE"""),"107658-B")</f>
        <v>107658-B</v>
      </c>
      <c r="B3601" s="5" t="str">
        <f ca="1">IFERROR(__xludf.DUMMYFUNCTION("""COMPUTED_VALUE"""),"الاسكندرية")</f>
        <v>الاسكندرية</v>
      </c>
      <c r="C3601" s="5" t="str">
        <f ca="1">IFERROR(__xludf.DUMMYFUNCTION("""COMPUTED_VALUE"""),"العجمي")</f>
        <v>العجمي</v>
      </c>
      <c r="D3601" s="5" t="str">
        <f ca="1">IFERROR(__xludf.DUMMYFUNCTION("""COMPUTED_VALUE"""),"معمل")</f>
        <v>معمل</v>
      </c>
      <c r="E3601" s="5" t="str">
        <f ca="1">IFERROR(__xludf.DUMMYFUNCTION("""COMPUTED_VALUE""")," أشعة و تحاليل")</f>
        <v xml:space="preserve"> أشعة و تحاليل</v>
      </c>
      <c r="F3601" s="5" t="str">
        <f ca="1">IFERROR(__xludf.DUMMYFUNCTION("""COMPUTED_VALUE"""),"معمل التحاليل الطبية")</f>
        <v>معمل التحاليل الطبية</v>
      </c>
      <c r="G3601" s="5" t="str">
        <f ca="1">IFERROR(__xludf.DUMMYFUNCTION("""COMPUTED_VALUE"""),"رادلاب مراكز تشخيصيه (معامل رادلاب)")</f>
        <v>رادلاب مراكز تشخيصيه (معامل رادلاب)</v>
      </c>
      <c r="H3601" s="5" t="str">
        <f ca="1">IFERROR(__xludf.DUMMYFUNCTION("""COMPUTED_VALUE"""),"أول شارع الهانوفيل الرئيسى")</f>
        <v>أول شارع الهانوفيل الرئيسى</v>
      </c>
      <c r="I3601" s="6" t="str">
        <f ca="1">IFERROR(__xludf.DUMMYFUNCTION("""COMPUTED_VALUE"""),"1110335886")</f>
        <v>1110335886</v>
      </c>
      <c r="J3601" s="6"/>
      <c r="K3601" s="6" t="str">
        <f ca="1">IFERROR(__xludf.DUMMYFUNCTION("""COMPUTED_VALUE"""),"خصم 30% علي الاسعار النقدي")</f>
        <v>خصم 30% علي الاسعار النقدي</v>
      </c>
    </row>
    <row r="3602" spans="1:11" x14ac:dyDescent="0.25">
      <c r="A3602" s="4" t="str">
        <f ca="1">IFERROR(__xludf.DUMMYFUNCTION("""COMPUTED_VALUE"""),"107658-B")</f>
        <v>107658-B</v>
      </c>
      <c r="B3602" s="5" t="str">
        <f ca="1">IFERROR(__xludf.DUMMYFUNCTION("""COMPUTED_VALUE"""),"البحيرة")</f>
        <v>البحيرة</v>
      </c>
      <c r="C3602" s="5" t="str">
        <f ca="1">IFERROR(__xludf.DUMMYFUNCTION("""COMPUTED_VALUE"""),"كفر الدوار")</f>
        <v>كفر الدوار</v>
      </c>
      <c r="D3602" s="5" t="str">
        <f ca="1">IFERROR(__xludf.DUMMYFUNCTION("""COMPUTED_VALUE"""),"معمل")</f>
        <v>معمل</v>
      </c>
      <c r="E3602" s="5" t="str">
        <f ca="1">IFERROR(__xludf.DUMMYFUNCTION("""COMPUTED_VALUE""")," أشعة و تحاليل")</f>
        <v xml:space="preserve"> أشعة و تحاليل</v>
      </c>
      <c r="F3602" s="5" t="str">
        <f ca="1">IFERROR(__xludf.DUMMYFUNCTION("""COMPUTED_VALUE"""),"معمل التحاليل الطبية")</f>
        <v>معمل التحاليل الطبية</v>
      </c>
      <c r="G3602" s="5" t="str">
        <f ca="1">IFERROR(__xludf.DUMMYFUNCTION("""COMPUTED_VALUE"""),"رادلاب مراكز تشخيصيه (معامل رادلاب)")</f>
        <v>رادلاب مراكز تشخيصيه (معامل رادلاب)</v>
      </c>
      <c r="H3602" s="5" t="str">
        <f ca="1">IFERROR(__xludf.DUMMYFUNCTION("""COMPUTED_VALUE"""),"شارع احمد عرابي خلف عمر افندى أعلى كفر الدوار سكان2")</f>
        <v>شارع احمد عرابي خلف عمر افندى أعلى كفر الدوار سكان2</v>
      </c>
      <c r="I3602" s="6" t="str">
        <f ca="1">IFERROR(__xludf.DUMMYFUNCTION("""COMPUTED_VALUE"""),"1145254236")</f>
        <v>1145254236</v>
      </c>
      <c r="J3602" s="6"/>
      <c r="K3602" s="6" t="str">
        <f ca="1">IFERROR(__xludf.DUMMYFUNCTION("""COMPUTED_VALUE"""),"خصم 30% علي الاسعار النقدي")</f>
        <v>خصم 30% علي الاسعار النقدي</v>
      </c>
    </row>
    <row r="3603" spans="1:11" x14ac:dyDescent="0.25">
      <c r="A3603" s="4" t="str">
        <f ca="1">IFERROR(__xludf.DUMMYFUNCTION("""COMPUTED_VALUE"""),"107658-B")</f>
        <v>107658-B</v>
      </c>
      <c r="B3603" s="5" t="str">
        <f ca="1">IFERROR(__xludf.DUMMYFUNCTION("""COMPUTED_VALUE"""),"الاسكندرية")</f>
        <v>الاسكندرية</v>
      </c>
      <c r="C3603" s="5" t="str">
        <f ca="1">IFERROR(__xludf.DUMMYFUNCTION("""COMPUTED_VALUE"""),"سيدي بشر")</f>
        <v>سيدي بشر</v>
      </c>
      <c r="D3603" s="5" t="str">
        <f ca="1">IFERROR(__xludf.DUMMYFUNCTION("""COMPUTED_VALUE"""),"معمل")</f>
        <v>معمل</v>
      </c>
      <c r="E3603" s="5" t="str">
        <f ca="1">IFERROR(__xludf.DUMMYFUNCTION("""COMPUTED_VALUE""")," أشعة و تحاليل")</f>
        <v xml:space="preserve"> أشعة و تحاليل</v>
      </c>
      <c r="F3603" s="5" t="str">
        <f ca="1">IFERROR(__xludf.DUMMYFUNCTION("""COMPUTED_VALUE"""),"معمل التحاليل الطبية")</f>
        <v>معمل التحاليل الطبية</v>
      </c>
      <c r="G3603" s="5" t="str">
        <f ca="1">IFERROR(__xludf.DUMMYFUNCTION("""COMPUTED_VALUE"""),"رادلاب مراكز تشخيصيه (معامل رادلاب)")</f>
        <v>رادلاب مراكز تشخيصيه (معامل رادلاب)</v>
      </c>
      <c r="H3603" s="5" t="str">
        <f ca="1">IFERROR(__xludf.DUMMYFUNCTION("""COMPUTED_VALUE"""),"231 شارع جمال عبدالناصر- امام بوابة مستشفى شرق المدينة")</f>
        <v>231 شارع جمال عبدالناصر- امام بوابة مستشفى شرق المدينة</v>
      </c>
      <c r="I3603" s="6" t="str">
        <f ca="1">IFERROR(__xludf.DUMMYFUNCTION("""COMPUTED_VALUE"""),"1122571110")</f>
        <v>1122571110</v>
      </c>
      <c r="J3603" s="6"/>
      <c r="K3603" s="6" t="str">
        <f ca="1">IFERROR(__xludf.DUMMYFUNCTION("""COMPUTED_VALUE"""),"خصم 30% علي الاسعار النقدي")</f>
        <v>خصم 30% علي الاسعار النقدي</v>
      </c>
    </row>
    <row r="3604" spans="1:11" x14ac:dyDescent="0.25">
      <c r="A3604" s="4" t="str">
        <f ca="1">IFERROR(__xludf.DUMMYFUNCTION("""COMPUTED_VALUE"""),"107658-B")</f>
        <v>107658-B</v>
      </c>
      <c r="B3604" s="5" t="str">
        <f ca="1">IFERROR(__xludf.DUMMYFUNCTION("""COMPUTED_VALUE"""),"البحيرة")</f>
        <v>البحيرة</v>
      </c>
      <c r="C3604" s="5" t="str">
        <f ca="1">IFERROR(__xludf.DUMMYFUNCTION("""COMPUTED_VALUE"""),"دمنهور")</f>
        <v>دمنهور</v>
      </c>
      <c r="D3604" s="5" t="str">
        <f ca="1">IFERROR(__xludf.DUMMYFUNCTION("""COMPUTED_VALUE"""),"معمل")</f>
        <v>معمل</v>
      </c>
      <c r="E3604" s="5" t="str">
        <f ca="1">IFERROR(__xludf.DUMMYFUNCTION("""COMPUTED_VALUE""")," أشعة و تحاليل")</f>
        <v xml:space="preserve"> أشعة و تحاليل</v>
      </c>
      <c r="F3604" s="5" t="str">
        <f ca="1">IFERROR(__xludf.DUMMYFUNCTION("""COMPUTED_VALUE"""),"معمل التحاليل الطبية")</f>
        <v>معمل التحاليل الطبية</v>
      </c>
      <c r="G3604" s="5" t="str">
        <f ca="1">IFERROR(__xludf.DUMMYFUNCTION("""COMPUTED_VALUE"""),"رادلاب مراكز تشخيصيه (معامل رادلاب)")</f>
        <v>رادلاب مراكز تشخيصيه (معامل رادلاب)</v>
      </c>
      <c r="H3604" s="5" t="str">
        <f ca="1">IFERROR(__xludf.DUMMYFUNCTION("""COMPUTED_VALUE"""),"شارع محمود فهمى النقراشى - برج حرب - الدور الاول - امام الغرفه التجاريه")</f>
        <v>شارع محمود فهمى النقراشى - برج حرب - الدور الاول - امام الغرفه التجاريه</v>
      </c>
      <c r="I3604" s="6" t="str">
        <f ca="1">IFERROR(__xludf.DUMMYFUNCTION("""COMPUTED_VALUE"""),"1122571114")</f>
        <v>1122571114</v>
      </c>
      <c r="J3604" s="6"/>
      <c r="K3604" s="6" t="str">
        <f ca="1">IFERROR(__xludf.DUMMYFUNCTION("""COMPUTED_VALUE"""),"خصم 30% علي الاسعار النقدي")</f>
        <v>خصم 30% علي الاسعار النقدي</v>
      </c>
    </row>
    <row r="3605" spans="1:11" x14ac:dyDescent="0.25">
      <c r="A3605" s="4" t="str">
        <f ca="1">IFERROR(__xludf.DUMMYFUNCTION("""COMPUTED_VALUE"""),"107658-B")</f>
        <v>107658-B</v>
      </c>
      <c r="B3605" s="5" t="str">
        <f ca="1">IFERROR(__xludf.DUMMYFUNCTION("""COMPUTED_VALUE"""),"البحيرة")</f>
        <v>البحيرة</v>
      </c>
      <c r="C3605" s="5" t="str">
        <f ca="1">IFERROR(__xludf.DUMMYFUNCTION("""COMPUTED_VALUE"""),"ايتاي البارود")</f>
        <v>ايتاي البارود</v>
      </c>
      <c r="D3605" s="5" t="str">
        <f ca="1">IFERROR(__xludf.DUMMYFUNCTION("""COMPUTED_VALUE"""),"معمل")</f>
        <v>معمل</v>
      </c>
      <c r="E3605" s="5" t="str">
        <f ca="1">IFERROR(__xludf.DUMMYFUNCTION("""COMPUTED_VALUE""")," أشعة و تحاليل")</f>
        <v xml:space="preserve"> أشعة و تحاليل</v>
      </c>
      <c r="F3605" s="5" t="str">
        <f ca="1">IFERROR(__xludf.DUMMYFUNCTION("""COMPUTED_VALUE"""),"معمل التحاليل الطبية")</f>
        <v>معمل التحاليل الطبية</v>
      </c>
      <c r="G3605" s="5" t="str">
        <f ca="1">IFERROR(__xludf.DUMMYFUNCTION("""COMPUTED_VALUE"""),"رادلاب مراكز تشخيصيه (معامل رادلاب)")</f>
        <v>رادلاب مراكز تشخيصيه (معامل رادلاب)</v>
      </c>
      <c r="H3605" s="5" t="str">
        <f ca="1">IFERROR(__xludf.DUMMYFUNCTION("""COMPUTED_VALUE"""),"شارع رمسيس- ميدان الجامعه - امام الشئون الاجتماعية")</f>
        <v>شارع رمسيس- ميدان الجامعه - امام الشئون الاجتماعية</v>
      </c>
      <c r="I3605" s="6" t="str">
        <f ca="1">IFERROR(__xludf.DUMMYFUNCTION("""COMPUTED_VALUE"""),"1122570111")</f>
        <v>1122570111</v>
      </c>
      <c r="J3605" s="6"/>
      <c r="K3605" s="6" t="str">
        <f ca="1">IFERROR(__xludf.DUMMYFUNCTION("""COMPUTED_VALUE"""),"خصم 30% علي الاسعار النقدي")</f>
        <v>خصم 30% علي الاسعار النقدي</v>
      </c>
    </row>
    <row r="3606" spans="1:11" x14ac:dyDescent="0.25">
      <c r="A3606" s="4" t="str">
        <f ca="1">IFERROR(__xludf.DUMMYFUNCTION("""COMPUTED_VALUE"""),"107192-B")</f>
        <v>107192-B</v>
      </c>
      <c r="B3606" s="5" t="str">
        <f ca="1">IFERROR(__xludf.DUMMYFUNCTION("""COMPUTED_VALUE"""),"القليوبية")</f>
        <v>القليوبية</v>
      </c>
      <c r="C3606" s="5" t="str">
        <f ca="1">IFERROR(__xludf.DUMMYFUNCTION("""COMPUTED_VALUE"""),"بنها")</f>
        <v>بنها</v>
      </c>
      <c r="D3606" s="5" t="str">
        <f ca="1">IFERROR(__xludf.DUMMYFUNCTION("""COMPUTED_VALUE"""),"هيئة الأطباء")</f>
        <v>هيئة الأطباء</v>
      </c>
      <c r="E3606" s="5" t="str">
        <f ca="1">IFERROR(__xludf.DUMMYFUNCTION("""COMPUTED_VALUE"""),"اسنان")</f>
        <v>اسنان</v>
      </c>
      <c r="F3606" s="5" t="str">
        <f ca="1">IFERROR(__xludf.DUMMYFUNCTION("""COMPUTED_VALUE"""),"جراحة الفم والأسنان")</f>
        <v>جراحة الفم والأسنان</v>
      </c>
      <c r="G3606" s="5" t="str">
        <f ca="1">IFERROR(__xludf.DUMMYFUNCTION("""COMPUTED_VALUE"""),"د/ محمد محمود محمد الشحات عبد العزيز")</f>
        <v>د/ محمد محمود محمد الشحات عبد العزيز</v>
      </c>
      <c r="H3606" s="5" t="str">
        <f ca="1">IFERROR(__xludf.DUMMYFUNCTION("""COMPUTED_VALUE"""),"بنها - شارع كليه التجاره - برج المصطفى ")</f>
        <v xml:space="preserve">بنها - شارع كليه التجاره - برج المصطفى </v>
      </c>
      <c r="I3606" s="6" t="str">
        <f ca="1">IFERROR(__xludf.DUMMYFUNCTION("""COMPUTED_VALUE"""),"01061854248")</f>
        <v>01061854248</v>
      </c>
      <c r="J3606" s="6"/>
      <c r="K3606" s="6" t="str">
        <f ca="1">IFERROR(__xludf.DUMMYFUNCTION("""COMPUTED_VALUE"""),"خصم 30% علي اسعار النقدي المعلنة")</f>
        <v>خصم 30% علي اسعار النقدي المعلنة</v>
      </c>
    </row>
    <row r="3607" spans="1:11" x14ac:dyDescent="0.25">
      <c r="A3607" s="4" t="str">
        <f ca="1">IFERROR(__xludf.DUMMYFUNCTION("""COMPUTED_VALUE"""),"106948-B")</f>
        <v>106948-B</v>
      </c>
      <c r="B3607" s="5" t="str">
        <f ca="1">IFERROR(__xludf.DUMMYFUNCTION("""COMPUTED_VALUE"""),"الجيزة")</f>
        <v>الجيزة</v>
      </c>
      <c r="C3607" s="5" t="str">
        <f ca="1">IFERROR(__xludf.DUMMYFUNCTION("""COMPUTED_VALUE"""),"السادس من اكتوبر")</f>
        <v>السادس من اكتوبر</v>
      </c>
      <c r="D3607" s="5" t="str">
        <f ca="1">IFERROR(__xludf.DUMMYFUNCTION("""COMPUTED_VALUE"""),"صيدلية")</f>
        <v>صيدلية</v>
      </c>
      <c r="E3607" s="5" t="str">
        <f ca="1">IFERROR(__xludf.DUMMYFUNCTION("""COMPUTED_VALUE"""),"صيدلية")</f>
        <v>صيدلية</v>
      </c>
      <c r="F3607" s="5" t="str">
        <f ca="1">IFERROR(__xludf.DUMMYFUNCTION("""COMPUTED_VALUE"""),"صيدلية (أدوية ومستلزمات طبية)")</f>
        <v>صيدلية (أدوية ومستلزمات طبية)</v>
      </c>
      <c r="G3607" s="5" t="str">
        <f ca="1">IFERROR(__xludf.DUMMYFUNCTION("""COMPUTED_VALUE"""),"صيدلية اللوتس ")</f>
        <v xml:space="preserve">صيدلية اللوتس </v>
      </c>
      <c r="H3607" s="5" t="str">
        <f ca="1">IFERROR(__xludf.DUMMYFUNCTION("""COMPUTED_VALUE"""),"سيتى ستار مول - المحور المركزى - 6 اكتوبر")</f>
        <v>سيتى ستار مول - المحور المركزى - 6 اكتوبر</v>
      </c>
      <c r="I3607" s="6"/>
      <c r="J3607" s="6" t="str">
        <f ca="1">IFERROR(__xludf.DUMMYFUNCTION("""COMPUTED_VALUE"""),"16310")</f>
        <v>16310</v>
      </c>
      <c r="K3607" s="6" t="str">
        <f ca="1">IFERROR(__xludf.DUMMYFUNCTION("""COMPUTED_VALUE"""),"خصم 10% علي المحلي و 5% علي المستورد ما عدا القائمه المرفقه")</f>
        <v>خصم 10% علي المحلي و 5% علي المستورد ما عدا القائمه المرفقه</v>
      </c>
    </row>
    <row r="3608" spans="1:11" x14ac:dyDescent="0.25">
      <c r="A3608" s="4" t="str">
        <f ca="1">IFERROR(__xludf.DUMMYFUNCTION("""COMPUTED_VALUE"""),"106948-B")</f>
        <v>106948-B</v>
      </c>
      <c r="B3608" s="5" t="str">
        <f ca="1">IFERROR(__xludf.DUMMYFUNCTION("""COMPUTED_VALUE"""),"الجيزة")</f>
        <v>الجيزة</v>
      </c>
      <c r="C3608" s="5" t="str">
        <f ca="1">IFERROR(__xludf.DUMMYFUNCTION("""COMPUTED_VALUE"""),"المهندسين")</f>
        <v>المهندسين</v>
      </c>
      <c r="D3608" s="5" t="str">
        <f ca="1">IFERROR(__xludf.DUMMYFUNCTION("""COMPUTED_VALUE"""),"صيدلية")</f>
        <v>صيدلية</v>
      </c>
      <c r="E3608" s="5" t="str">
        <f ca="1">IFERROR(__xludf.DUMMYFUNCTION("""COMPUTED_VALUE"""),"صيدلية")</f>
        <v>صيدلية</v>
      </c>
      <c r="F3608" s="5" t="str">
        <f ca="1">IFERROR(__xludf.DUMMYFUNCTION("""COMPUTED_VALUE"""),"صيدلية (أدوية ومستلزمات طبية)")</f>
        <v>صيدلية (أدوية ومستلزمات طبية)</v>
      </c>
      <c r="G3608" s="5" t="str">
        <f ca="1">IFERROR(__xludf.DUMMYFUNCTION("""COMPUTED_VALUE"""),"صيدلية اللوتس ")</f>
        <v xml:space="preserve">صيدلية اللوتس </v>
      </c>
      <c r="H3608" s="5" t="str">
        <f ca="1">IFERROR(__xludf.DUMMYFUNCTION("""COMPUTED_VALUE"""),"28 ش أحمد عرابى – المهندسين")</f>
        <v>28 ش أحمد عرابى – المهندسين</v>
      </c>
      <c r="I3608" s="6"/>
      <c r="J3608" s="6" t="str">
        <f ca="1">IFERROR(__xludf.DUMMYFUNCTION("""COMPUTED_VALUE"""),"16310")</f>
        <v>16310</v>
      </c>
      <c r="K3608" s="6" t="str">
        <f ca="1">IFERROR(__xludf.DUMMYFUNCTION("""COMPUTED_VALUE"""),"خصم 10% علي المحلي و 5% علي المستورد ما عدا القائمه المرفقه")</f>
        <v>خصم 10% علي المحلي و 5% علي المستورد ما عدا القائمه المرفقه</v>
      </c>
    </row>
    <row r="3609" spans="1:11" x14ac:dyDescent="0.25">
      <c r="A3609" s="4" t="str">
        <f ca="1">IFERROR(__xludf.DUMMYFUNCTION("""COMPUTED_VALUE"""),"107664")</f>
        <v>107664</v>
      </c>
      <c r="B3609" s="5" t="str">
        <f ca="1">IFERROR(__xludf.DUMMYFUNCTION("""COMPUTED_VALUE"""),"السويس")</f>
        <v>السويس</v>
      </c>
      <c r="C3609" s="5" t="str">
        <f ca="1">IFERROR(__xludf.DUMMYFUNCTION("""COMPUTED_VALUE"""),"السويس")</f>
        <v>السويس</v>
      </c>
      <c r="D3609" s="5" t="str">
        <f ca="1">IFERROR(__xludf.DUMMYFUNCTION("""COMPUTED_VALUE"""),"مجمع عيادات")</f>
        <v>مجمع عيادات</v>
      </c>
      <c r="E3609" s="5" t="str">
        <f ca="1">IFERROR(__xludf.DUMMYFUNCTION("""COMPUTED_VALUE"""),"جميع التخصصات")</f>
        <v>جميع التخصصات</v>
      </c>
      <c r="F3609" s="5" t="str">
        <f ca="1">IFERROR(__xludf.DUMMYFUNCTION("""COMPUTED_VALUE"""),"جميع التخصصات الطبية")</f>
        <v>جميع التخصصات الطبية</v>
      </c>
      <c r="G3609" s="5" t="str">
        <f ca="1">IFERROR(__xludf.DUMMYFUNCTION("""COMPUTED_VALUE"""),"محمد علي قاسم كزعول و شريكه (عيادات يور هيلث التخصصية)")</f>
        <v>محمد علي قاسم كزعول و شريكه (عيادات يور هيلث التخصصية)</v>
      </c>
      <c r="H3609" s="5" t="str">
        <f ca="1">IFERROR(__xludf.DUMMYFUNCTION("""COMPUTED_VALUE"""),"339 ش الجيش برج السويس بجوار مدرسة الفرنسيسكان - السويس")</f>
        <v>339 ش الجيش برج السويس بجوار مدرسة الفرنسيسكان - السويس</v>
      </c>
      <c r="I3609" s="6" t="str">
        <f ca="1">IFERROR(__xludf.DUMMYFUNCTION("""COMPUTED_VALUE"""),"01551188631")</f>
        <v>01551188631</v>
      </c>
      <c r="J3609" s="6"/>
      <c r="K3609" s="6" t="str">
        <f ca="1">IFERROR(__xludf.DUMMYFUNCTION("""COMPUTED_VALUE"""),"خصم 30% علي الاسعار النقدي")</f>
        <v>خصم 30% علي الاسعار النقدي</v>
      </c>
    </row>
    <row r="3610" spans="1:11" x14ac:dyDescent="0.25">
      <c r="A3610" s="4" t="str">
        <f ca="1">IFERROR(__xludf.DUMMYFUNCTION("""COMPUTED_VALUE"""),"107665")</f>
        <v>107665</v>
      </c>
      <c r="B3610" s="5" t="str">
        <f ca="1">IFERROR(__xludf.DUMMYFUNCTION("""COMPUTED_VALUE"""),"قنا")</f>
        <v>قنا</v>
      </c>
      <c r="C3610" s="5" t="str">
        <f ca="1">IFERROR(__xludf.DUMMYFUNCTION("""COMPUTED_VALUE"""),"قنا")</f>
        <v>قنا</v>
      </c>
      <c r="D3610" s="5" t="str">
        <f ca="1">IFERROR(__xludf.DUMMYFUNCTION("""COMPUTED_VALUE"""),"مركز أشعة")</f>
        <v>مركز أشعة</v>
      </c>
      <c r="E3610" s="5" t="str">
        <f ca="1">IFERROR(__xludf.DUMMYFUNCTION("""COMPUTED_VALUE"""),"مركز أشعة")</f>
        <v>مركز أشعة</v>
      </c>
      <c r="F3610" s="5" t="str">
        <f ca="1">IFERROR(__xludf.DUMMYFUNCTION("""COMPUTED_VALUE"""),"أشعة تشخيصية")</f>
        <v>أشعة تشخيصية</v>
      </c>
      <c r="G3610" s="5" t="str">
        <f ca="1">IFERROR(__xludf.DUMMYFUNCTION("""COMPUTED_VALUE"""),"احمد السبقي عبدالوارث طه و شركاه (الجمهورية للاشعه و التحاليل الطبيه)")</f>
        <v>احمد السبقي عبدالوارث طه و شركاه (الجمهورية للاشعه و التحاليل الطبيه)</v>
      </c>
      <c r="H3610" s="5" t="str">
        <f ca="1">IFERROR(__xludf.DUMMYFUNCTION("""COMPUTED_VALUE"""),"ش كوبري دندره - بندر قنا - قنا")</f>
        <v>ش كوبري دندره - بندر قنا - قنا</v>
      </c>
      <c r="I3610" s="6" t="str">
        <f ca="1">IFERROR(__xludf.DUMMYFUNCTION("""COMPUTED_VALUE"""),"01000283810")</f>
        <v>01000283810</v>
      </c>
      <c r="J3610" s="6"/>
      <c r="K3610" s="6" t="str">
        <f ca="1">IFERROR(__xludf.DUMMYFUNCTION("""COMPUTED_VALUE"""),"خصم 20% علي الاسعار النقدي")</f>
        <v>خصم 20% علي الاسعار النقدي</v>
      </c>
    </row>
    <row r="3611" spans="1:11" x14ac:dyDescent="0.25">
      <c r="A3611" s="4" t="str">
        <f ca="1">IFERROR(__xludf.DUMMYFUNCTION("""COMPUTED_VALUE"""),"107666")</f>
        <v>107666</v>
      </c>
      <c r="B3611" s="5" t="str">
        <f ca="1">IFERROR(__xludf.DUMMYFUNCTION("""COMPUTED_VALUE"""),"القاهرة")</f>
        <v>القاهرة</v>
      </c>
      <c r="C3611" s="5" t="str">
        <f ca="1">IFERROR(__xludf.DUMMYFUNCTION("""COMPUTED_VALUE"""),"المعادى")</f>
        <v>المعادى</v>
      </c>
      <c r="D3611" s="5" t="str">
        <f ca="1">IFERROR(__xludf.DUMMYFUNCTION("""COMPUTED_VALUE"""),"مستشفى")</f>
        <v>مستشفى</v>
      </c>
      <c r="E3611" s="5" t="str">
        <f ca="1">IFERROR(__xludf.DUMMYFUNCTION("""COMPUTED_VALUE"""),"مستشفي طبي متخصص")</f>
        <v>مستشفي طبي متخصص</v>
      </c>
      <c r="F3611" s="5" t="str">
        <f ca="1">IFERROR(__xludf.DUMMYFUNCTION("""COMPUTED_VALUE"""),"رمد (جراحة عيون)")</f>
        <v>رمد (جراحة عيون)</v>
      </c>
      <c r="G3611" s="5" t="str">
        <f ca="1">IFERROR(__xludf.DUMMYFUNCTION("""COMPUTED_VALUE"""),"مركز عناية العيون")</f>
        <v>مركز عناية العيون</v>
      </c>
      <c r="H3611" s="5" t="str">
        <f ca="1">IFERROR(__xludf.DUMMYFUNCTION("""COMPUTED_VALUE"""),"1 شارع دمشق - المعادي - القاهرة")</f>
        <v>1 شارع دمشق - المعادي - القاهرة</v>
      </c>
      <c r="I3611" s="6" t="str">
        <f ca="1">IFERROR(__xludf.DUMMYFUNCTION("""COMPUTED_VALUE"""),"01000015004")</f>
        <v>01000015004</v>
      </c>
      <c r="J3611" s="6"/>
      <c r="K3611" s="6" t="str">
        <f ca="1">IFERROR(__xludf.DUMMYFUNCTION("""COMPUTED_VALUE"""),"خصم 50% علي الكشف و 25% علي باقي الخدمات")</f>
        <v>خصم 50% علي الكشف و 25% علي باقي الخدمات</v>
      </c>
    </row>
    <row r="3612" spans="1:11" x14ac:dyDescent="0.25">
      <c r="A3612" s="4" t="str">
        <f ca="1">IFERROR(__xludf.DUMMYFUNCTION("""COMPUTED_VALUE"""),"107668")</f>
        <v>107668</v>
      </c>
      <c r="B3612" s="5" t="str">
        <f ca="1">IFERROR(__xludf.DUMMYFUNCTION("""COMPUTED_VALUE"""),"القليوبية")</f>
        <v>القليوبية</v>
      </c>
      <c r="C3612" s="5" t="str">
        <f ca="1">IFERROR(__xludf.DUMMYFUNCTION("""COMPUTED_VALUE"""),"طوخ")</f>
        <v>طوخ</v>
      </c>
      <c r="D3612" s="5" t="str">
        <f ca="1">IFERROR(__xludf.DUMMYFUNCTION("""COMPUTED_VALUE"""),"هيئة الأطباء")</f>
        <v>هيئة الأطباء</v>
      </c>
      <c r="E3612" s="5" t="str">
        <f ca="1">IFERROR(__xludf.DUMMYFUNCTION("""COMPUTED_VALUE"""),"اسنان")</f>
        <v>اسنان</v>
      </c>
      <c r="F3612" s="5" t="str">
        <f ca="1">IFERROR(__xludf.DUMMYFUNCTION("""COMPUTED_VALUE"""),"جراحة الفم والأسنان")</f>
        <v>جراحة الفم والأسنان</v>
      </c>
      <c r="G3612" s="5" t="str">
        <f ca="1">IFERROR(__xludf.DUMMYFUNCTION("""COMPUTED_VALUE"""),"طارق السيد صهيب عبدالصمد (د. طارق البشير)")</f>
        <v>طارق السيد صهيب عبدالصمد (د. طارق البشير)</v>
      </c>
      <c r="H3612" s="5" t="str">
        <f ca="1">IFERROR(__xludf.DUMMYFUNCTION("""COMPUTED_VALUE"""),"شارع النزهه بجوار مركز شرطة طوخ - طوخ - القليوبية")</f>
        <v>شارع النزهه بجوار مركز شرطة طوخ - طوخ - القليوبية</v>
      </c>
      <c r="I3612" s="6" t="str">
        <f ca="1">IFERROR(__xludf.DUMMYFUNCTION("""COMPUTED_VALUE"""),"01010789459")</f>
        <v>01010789459</v>
      </c>
      <c r="J3612" s="6"/>
      <c r="K3612" s="6" t="str">
        <f ca="1">IFERROR(__xludf.DUMMYFUNCTION("""COMPUTED_VALUE"""),"خصم 30% علي الاسعار النقدي")</f>
        <v>خصم 30% علي الاسعار النقدي</v>
      </c>
    </row>
    <row r="3613" spans="1:11" x14ac:dyDescent="0.25">
      <c r="A3613" s="4" t="str">
        <f ca="1">IFERROR(__xludf.DUMMYFUNCTION("""COMPUTED_VALUE"""),"107669")</f>
        <v>107669</v>
      </c>
      <c r="B3613" s="5" t="str">
        <f ca="1">IFERROR(__xludf.DUMMYFUNCTION("""COMPUTED_VALUE"""),"القليوبية")</f>
        <v>القليوبية</v>
      </c>
      <c r="C3613" s="5" t="str">
        <f ca="1">IFERROR(__xludf.DUMMYFUNCTION("""COMPUTED_VALUE"""),"كفر شكر")</f>
        <v>كفر شكر</v>
      </c>
      <c r="D3613" s="5" t="str">
        <f ca="1">IFERROR(__xludf.DUMMYFUNCTION("""COMPUTED_VALUE"""),"مركز علاج طبيعي")</f>
        <v>مركز علاج طبيعي</v>
      </c>
      <c r="E3613" s="5" t="str">
        <f ca="1">IFERROR(__xludf.DUMMYFUNCTION("""COMPUTED_VALUE"""),"علاج طبيعي")</f>
        <v>علاج طبيعي</v>
      </c>
      <c r="F3613" s="5" t="str">
        <f ca="1">IFERROR(__xludf.DUMMYFUNCTION("""COMPUTED_VALUE"""),"جلسات العلاج الطبيعي")</f>
        <v>جلسات العلاج الطبيعي</v>
      </c>
      <c r="G3613" s="5" t="str">
        <f ca="1">IFERROR(__xludf.DUMMYFUNCTION("""COMPUTED_VALUE"""),"مصطفي محمد مصطفي عطيه (مركز المصطفي للعلاج الطبيعي)")</f>
        <v>مصطفي محمد مصطفي عطيه (مركز المصطفي للعلاج الطبيعي)</v>
      </c>
      <c r="H3613" s="5" t="str">
        <f ca="1">IFERROR(__xludf.DUMMYFUNCTION("""COMPUTED_VALUE"""),"شارع جمال عبد الناصر بجوار مكتب البريد - كفر شكر - القليوبية")</f>
        <v>شارع جمال عبد الناصر بجوار مكتب البريد - كفر شكر - القليوبية</v>
      </c>
      <c r="I3613" s="6" t="str">
        <f ca="1">IFERROR(__xludf.DUMMYFUNCTION("""COMPUTED_VALUE"""),"01023884466")</f>
        <v>01023884466</v>
      </c>
      <c r="J3613" s="6"/>
      <c r="K3613" s="6" t="str">
        <f ca="1">IFERROR(__xludf.DUMMYFUNCTION("""COMPUTED_VALUE"""),"خصم 30% علي الاسعار النقدي")</f>
        <v>خصم 30% علي الاسعار النقدي</v>
      </c>
    </row>
    <row r="3614" spans="1:11" x14ac:dyDescent="0.25">
      <c r="A3614" s="4" t="str">
        <f ca="1">IFERROR(__xludf.DUMMYFUNCTION("""COMPUTED_VALUE"""),"107279-B")</f>
        <v>107279-B</v>
      </c>
      <c r="B3614" s="5" t="str">
        <f ca="1">IFERROR(__xludf.DUMMYFUNCTION("""COMPUTED_VALUE"""),"الجيزة")</f>
        <v>الجيزة</v>
      </c>
      <c r="C3614" s="5" t="str">
        <f ca="1">IFERROR(__xludf.DUMMYFUNCTION("""COMPUTED_VALUE"""),"الحوامدية")</f>
        <v>الحوامدية</v>
      </c>
      <c r="D3614" s="5" t="str">
        <f ca="1">IFERROR(__xludf.DUMMYFUNCTION("""COMPUTED_VALUE"""),"هيئة الأطباء")</f>
        <v>هيئة الأطباء</v>
      </c>
      <c r="E3614" s="5" t="str">
        <f ca="1">IFERROR(__xludf.DUMMYFUNCTION("""COMPUTED_VALUE"""),"اسنان")</f>
        <v>اسنان</v>
      </c>
      <c r="F3614" s="5" t="str">
        <f ca="1">IFERROR(__xludf.DUMMYFUNCTION("""COMPUTED_VALUE"""),"جراحة الفم والأسنان")</f>
        <v>جراحة الفم والأسنان</v>
      </c>
      <c r="G3614" s="5" t="str">
        <f ca="1">IFERROR(__xludf.DUMMYFUNCTION("""COMPUTED_VALUE"""),"د/ شريف محمد الدمرداش حسين (عيادة تاج للأسنان)")</f>
        <v>د/ شريف محمد الدمرداش حسين (عيادة تاج للأسنان)</v>
      </c>
      <c r="H3614" s="5" t="str">
        <f ca="1">IFERROR(__xludf.DUMMYFUNCTION("""COMPUTED_VALUE"""),"شارع طراد النيل امام معديه الحوامديه - الحوامدية - الجيزة")</f>
        <v>شارع طراد النيل امام معديه الحوامديه - الحوامدية - الجيزة</v>
      </c>
      <c r="I3614" s="6" t="str">
        <f ca="1">IFERROR(__xludf.DUMMYFUNCTION("""COMPUTED_VALUE"""),"01277752528")</f>
        <v>01277752528</v>
      </c>
      <c r="J3614" s="6"/>
      <c r="K3614" s="6" t="str">
        <f ca="1">IFERROR(__xludf.DUMMYFUNCTION("""COMPUTED_VALUE"""),"خصم 40% علي الأسعار النقدي المعلنة")</f>
        <v>خصم 40% علي الأسعار النقدي المعلنة</v>
      </c>
    </row>
    <row r="3615" spans="1:11" x14ac:dyDescent="0.25">
      <c r="A3615" s="4" t="str">
        <f ca="1">IFERROR(__xludf.DUMMYFUNCTION("""COMPUTED_VALUE"""),"106943-B")</f>
        <v>106943-B</v>
      </c>
      <c r="B3615" s="5" t="str">
        <f ca="1">IFERROR(__xludf.DUMMYFUNCTION("""COMPUTED_VALUE"""),"الجيزة")</f>
        <v>الجيزة</v>
      </c>
      <c r="C3615" s="5" t="str">
        <f ca="1">IFERROR(__xludf.DUMMYFUNCTION("""COMPUTED_VALUE"""),"السادس من اكتوبر")</f>
        <v>السادس من اكتوبر</v>
      </c>
      <c r="D3615" s="5" t="str">
        <f ca="1">IFERROR(__xludf.DUMMYFUNCTION("""COMPUTED_VALUE"""),"مستشفى")</f>
        <v>مستشفى</v>
      </c>
      <c r="E3615" s="5" t="str">
        <f ca="1">IFERROR(__xludf.DUMMYFUNCTION("""COMPUTED_VALUE"""),"مستشفي طبي متخصص")</f>
        <v>مستشفي طبي متخصص</v>
      </c>
      <c r="F3615" s="5" t="str">
        <f ca="1">IFERROR(__xludf.DUMMYFUNCTION("""COMPUTED_VALUE"""),"مناظير الجهاز الهضمي")</f>
        <v>مناظير الجهاز الهضمي</v>
      </c>
      <c r="G3615" s="5" t="str">
        <f ca="1">IFERROR(__xludf.DUMMYFUNCTION("""COMPUTED_VALUE"""),"بروسكوب مصر لادارة و تشغيل المنشات الطبيه (مركز اندوسكوب)")</f>
        <v>بروسكوب مصر لادارة و تشغيل المنشات الطبيه (مركز اندوسكوب)</v>
      </c>
      <c r="H3615" s="5" t="str">
        <f ca="1">IFERROR(__xludf.DUMMYFUNCTION("""COMPUTED_VALUE"""),"مبنى رقم 415 الحي الاول - المجاورة الثانيه - الدور الاول بالكامل - 6 اكتوبر")</f>
        <v>مبنى رقم 415 الحي الاول - المجاورة الثانيه - الدور الاول بالكامل - 6 اكتوبر</v>
      </c>
      <c r="I3615" s="6" t="str">
        <f ca="1">IFERROR(__xludf.DUMMYFUNCTION("""COMPUTED_VALUE"""),"01100025052")</f>
        <v>01100025052</v>
      </c>
      <c r="J3615" s="6"/>
      <c r="K3615" s="6" t="str">
        <f ca="1">IFERROR(__xludf.DUMMYFUNCTION("""COMPUTED_VALUE"""),"خصم 20% علي الاسعار النقدي")</f>
        <v>خصم 20% علي الاسعار النقدي</v>
      </c>
    </row>
    <row r="3616" spans="1:11" x14ac:dyDescent="0.25">
      <c r="A3616" s="4" t="str">
        <f ca="1">IFERROR(__xludf.DUMMYFUNCTION("""COMPUTED_VALUE"""),"106943")</f>
        <v>106943</v>
      </c>
      <c r="B3616" s="5" t="str">
        <f ca="1">IFERROR(__xludf.DUMMYFUNCTION("""COMPUTED_VALUE"""),"الجيزة")</f>
        <v>الجيزة</v>
      </c>
      <c r="C3616" s="5" t="str">
        <f ca="1">IFERROR(__xludf.DUMMYFUNCTION("""COMPUTED_VALUE"""),"المهندسين")</f>
        <v>المهندسين</v>
      </c>
      <c r="D3616" s="5" t="str">
        <f ca="1">IFERROR(__xludf.DUMMYFUNCTION("""COMPUTED_VALUE"""),"مستشفى")</f>
        <v>مستشفى</v>
      </c>
      <c r="E3616" s="5" t="str">
        <f ca="1">IFERROR(__xludf.DUMMYFUNCTION("""COMPUTED_VALUE"""),"مستشفي طبي متخصص")</f>
        <v>مستشفي طبي متخصص</v>
      </c>
      <c r="F3616" s="5" t="str">
        <f ca="1">IFERROR(__xludf.DUMMYFUNCTION("""COMPUTED_VALUE"""),"مناظير الجهاز الهضمي")</f>
        <v>مناظير الجهاز الهضمي</v>
      </c>
      <c r="G3616" s="5" t="str">
        <f ca="1">IFERROR(__xludf.DUMMYFUNCTION("""COMPUTED_VALUE"""),"بروسكوب مصر لادارة و تشغيل المنشات الطبيه (مركز اندوسكوب)")</f>
        <v>بروسكوب مصر لادارة و تشغيل المنشات الطبيه (مركز اندوسكوب)</v>
      </c>
      <c r="H3616" s="5" t="str">
        <f ca="1">IFERROR(__xludf.DUMMYFUNCTION("""COMPUTED_VALUE"""),"51ش الحجاز متفرع من جامعه الدول العربيه المهندسين")</f>
        <v>51ش الحجاز متفرع من جامعه الدول العربيه المهندسين</v>
      </c>
      <c r="I3616" s="6" t="str">
        <f ca="1">IFERROR(__xludf.DUMMYFUNCTION("""COMPUTED_VALUE"""),"01100025052")</f>
        <v>01100025052</v>
      </c>
      <c r="J3616" s="6"/>
      <c r="K3616" s="6" t="str">
        <f ca="1">IFERROR(__xludf.DUMMYFUNCTION("""COMPUTED_VALUE"""),"خصم 20% علي الاسعار النقدي")</f>
        <v>خصم 20% علي الاسعار النقدي</v>
      </c>
    </row>
    <row r="3617" spans="1:11" x14ac:dyDescent="0.25">
      <c r="A3617" s="4" t="str">
        <f ca="1">IFERROR(__xludf.DUMMYFUNCTION("""COMPUTED_VALUE"""),"2911-B")</f>
        <v>2911-B</v>
      </c>
      <c r="B3617" s="5" t="str">
        <f ca="1">IFERROR(__xludf.DUMMYFUNCTION("""COMPUTED_VALUE"""),"الدقهلية")</f>
        <v>الدقهلية</v>
      </c>
      <c r="C3617" s="5" t="str">
        <f ca="1">IFERROR(__xludf.DUMMYFUNCTION("""COMPUTED_VALUE"""),"طلخا")</f>
        <v>طلخا</v>
      </c>
      <c r="D3617" s="5" t="str">
        <f ca="1">IFERROR(__xludf.DUMMYFUNCTION("""COMPUTED_VALUE"""),"معمل")</f>
        <v>معمل</v>
      </c>
      <c r="E3617" s="5" t="str">
        <f ca="1">IFERROR(__xludf.DUMMYFUNCTION("""COMPUTED_VALUE"""),"معمل")</f>
        <v>معمل</v>
      </c>
      <c r="F3617" s="5" t="str">
        <f ca="1">IFERROR(__xludf.DUMMYFUNCTION("""COMPUTED_VALUE"""),"معمل التحاليل الطبية")</f>
        <v>معمل التحاليل الطبية</v>
      </c>
      <c r="G3617" s="5" t="str">
        <f ca="1">IFERROR(__xludf.DUMMYFUNCTION("""COMPUTED_VALUE"""),"معامل البرج")</f>
        <v>معامل البرج</v>
      </c>
      <c r="H3617" s="5" t="str">
        <f ca="1">IFERROR(__xludf.DUMMYFUNCTION("""COMPUTED_VALUE"""),"طلخا - شارع صلاح سالم")</f>
        <v>طلخا - شارع صلاح سالم</v>
      </c>
      <c r="I3617" s="6"/>
      <c r="J3617" s="6" t="str">
        <f ca="1">IFERROR(__xludf.DUMMYFUNCTION("""COMPUTED_VALUE"""),"19911")</f>
        <v>19911</v>
      </c>
      <c r="K3617" s="6" t="str">
        <f ca="1">IFERROR(__xludf.DUMMYFUNCTION("""COMPUTED_VALUE"""),"20% على جميع الخدمات")</f>
        <v>20% على جميع الخدمات</v>
      </c>
    </row>
    <row r="3618" spans="1:11" x14ac:dyDescent="0.25">
      <c r="A3618" s="4" t="str">
        <f ca="1">IFERROR(__xludf.DUMMYFUNCTION("""COMPUTED_VALUE"""),"2911-B")</f>
        <v>2911-B</v>
      </c>
      <c r="B3618" s="5" t="str">
        <f ca="1">IFERROR(__xludf.DUMMYFUNCTION("""COMPUTED_VALUE"""),"الأقصر")</f>
        <v>الأقصر</v>
      </c>
      <c r="C3618" s="5" t="str">
        <f ca="1">IFERROR(__xludf.DUMMYFUNCTION("""COMPUTED_VALUE"""),"الأقصر")</f>
        <v>الأقصر</v>
      </c>
      <c r="D3618" s="5" t="str">
        <f ca="1">IFERROR(__xludf.DUMMYFUNCTION("""COMPUTED_VALUE"""),"معمل")</f>
        <v>معمل</v>
      </c>
      <c r="E3618" s="5" t="str">
        <f ca="1">IFERROR(__xludf.DUMMYFUNCTION("""COMPUTED_VALUE"""),"معمل")</f>
        <v>معمل</v>
      </c>
      <c r="F3618" s="5" t="str">
        <f ca="1">IFERROR(__xludf.DUMMYFUNCTION("""COMPUTED_VALUE"""),"معمل التحاليل الطبية")</f>
        <v>معمل التحاليل الطبية</v>
      </c>
      <c r="G3618" s="5" t="str">
        <f ca="1">IFERROR(__xludf.DUMMYFUNCTION("""COMPUTED_VALUE"""),"معامل البرج")</f>
        <v>معامل البرج</v>
      </c>
      <c r="H3618" s="5" t="str">
        <f ca="1">IFERROR(__xludf.DUMMYFUNCTION("""COMPUTED_VALUE"""),"109 ش التحرير مع الشهيد - الوبورات -   امام مسجد الرحمن")</f>
        <v>109 ش التحرير مع الشهيد - الوبورات -   امام مسجد الرحمن</v>
      </c>
      <c r="I3618" s="6"/>
      <c r="J3618" s="6" t="str">
        <f ca="1">IFERROR(__xludf.DUMMYFUNCTION("""COMPUTED_VALUE"""),"19911")</f>
        <v>19911</v>
      </c>
      <c r="K3618" s="6" t="str">
        <f ca="1">IFERROR(__xludf.DUMMYFUNCTION("""COMPUTED_VALUE"""),"20% على جميع الخدمات")</f>
        <v>20% على جميع الخدمات</v>
      </c>
    </row>
    <row r="3619" spans="1:11" x14ac:dyDescent="0.25">
      <c r="A3619" s="4" t="str">
        <f ca="1">IFERROR(__xludf.DUMMYFUNCTION("""COMPUTED_VALUE"""),"2911-B")</f>
        <v>2911-B</v>
      </c>
      <c r="B3619" s="5" t="str">
        <f ca="1">IFERROR(__xludf.DUMMYFUNCTION("""COMPUTED_VALUE"""),"المنيا")</f>
        <v>المنيا</v>
      </c>
      <c r="C3619" s="5" t="str">
        <f ca="1">IFERROR(__xludf.DUMMYFUNCTION("""COMPUTED_VALUE"""),"أبو قرقاص")</f>
        <v>أبو قرقاص</v>
      </c>
      <c r="D3619" s="5" t="str">
        <f ca="1">IFERROR(__xludf.DUMMYFUNCTION("""COMPUTED_VALUE"""),"معمل")</f>
        <v>معمل</v>
      </c>
      <c r="E3619" s="5" t="str">
        <f ca="1">IFERROR(__xludf.DUMMYFUNCTION("""COMPUTED_VALUE"""),"معمل")</f>
        <v>معمل</v>
      </c>
      <c r="F3619" s="5" t="str">
        <f ca="1">IFERROR(__xludf.DUMMYFUNCTION("""COMPUTED_VALUE"""),"معمل التحاليل الطبية")</f>
        <v>معمل التحاليل الطبية</v>
      </c>
      <c r="G3619" s="5" t="str">
        <f ca="1">IFERROR(__xludf.DUMMYFUNCTION("""COMPUTED_VALUE"""),"معامل البرج")</f>
        <v>معامل البرج</v>
      </c>
      <c r="H3619" s="5" t="str">
        <f ca="1">IFERROR(__xludf.DUMMYFUNCTION("""COMPUTED_VALUE"""),"8ش الجمهوريه وناصيه شارع عبيد الضالم (امام مسجد الفتح) - ابوقرقاص")</f>
        <v>8ش الجمهوريه وناصيه شارع عبيد الضالم (امام مسجد الفتح) - ابوقرقاص</v>
      </c>
      <c r="I3619" s="6"/>
      <c r="J3619" s="6" t="str">
        <f ca="1">IFERROR(__xludf.DUMMYFUNCTION("""COMPUTED_VALUE"""),"19911")</f>
        <v>19911</v>
      </c>
      <c r="K3619" s="6" t="str">
        <f ca="1">IFERROR(__xludf.DUMMYFUNCTION("""COMPUTED_VALUE"""),"20% على جميع الخدمات")</f>
        <v>20% على جميع الخدمات</v>
      </c>
    </row>
    <row r="3620" spans="1:11" x14ac:dyDescent="0.25">
      <c r="A3620" s="4" t="str">
        <f ca="1">IFERROR(__xludf.DUMMYFUNCTION("""COMPUTED_VALUE"""),"2911-B")</f>
        <v>2911-B</v>
      </c>
      <c r="B3620" s="5" t="str">
        <f ca="1">IFERROR(__xludf.DUMMYFUNCTION("""COMPUTED_VALUE"""),"بني سويف")</f>
        <v>بني سويف</v>
      </c>
      <c r="C3620" s="5" t="str">
        <f ca="1">IFERROR(__xludf.DUMMYFUNCTION("""COMPUTED_VALUE"""),"بني سويف")</f>
        <v>بني سويف</v>
      </c>
      <c r="D3620" s="5" t="str">
        <f ca="1">IFERROR(__xludf.DUMMYFUNCTION("""COMPUTED_VALUE"""),"معمل")</f>
        <v>معمل</v>
      </c>
      <c r="E3620" s="5" t="str">
        <f ca="1">IFERROR(__xludf.DUMMYFUNCTION("""COMPUTED_VALUE"""),"معمل")</f>
        <v>معمل</v>
      </c>
      <c r="F3620" s="5" t="str">
        <f ca="1">IFERROR(__xludf.DUMMYFUNCTION("""COMPUTED_VALUE"""),"معمل التحاليل الطبية")</f>
        <v>معمل التحاليل الطبية</v>
      </c>
      <c r="G3620" s="5" t="str">
        <f ca="1">IFERROR(__xludf.DUMMYFUNCTION("""COMPUTED_VALUE"""),"معامل البرج")</f>
        <v>معامل البرج</v>
      </c>
      <c r="H3620" s="5" t="str">
        <f ca="1">IFERROR(__xludf.DUMMYFUNCTION("""COMPUTED_VALUE"""),"برج حديث المدينه - شارع صلاح سالم - جوار البنك الاهلي")</f>
        <v>برج حديث المدينه - شارع صلاح سالم - جوار البنك الاهلي</v>
      </c>
      <c r="I3620" s="6"/>
      <c r="J3620" s="6" t="str">
        <f ca="1">IFERROR(__xludf.DUMMYFUNCTION("""COMPUTED_VALUE"""),"19911")</f>
        <v>19911</v>
      </c>
      <c r="K3620" s="6" t="str">
        <f ca="1">IFERROR(__xludf.DUMMYFUNCTION("""COMPUTED_VALUE"""),"20% على جميع الخدمات")</f>
        <v>20% على جميع الخدمات</v>
      </c>
    </row>
    <row r="3621" spans="1:11" x14ac:dyDescent="0.25">
      <c r="A3621" s="4" t="str">
        <f ca="1">IFERROR(__xludf.DUMMYFUNCTION("""COMPUTED_VALUE"""),"2911-B")</f>
        <v>2911-B</v>
      </c>
      <c r="B3621" s="5" t="str">
        <f ca="1">IFERROR(__xludf.DUMMYFUNCTION("""COMPUTED_VALUE"""),"أسيوط")</f>
        <v>أسيوط</v>
      </c>
      <c r="C3621" s="5" t="str">
        <f ca="1">IFERROR(__xludf.DUMMYFUNCTION("""COMPUTED_VALUE"""),"منفلوط")</f>
        <v>منفلوط</v>
      </c>
      <c r="D3621" s="5" t="str">
        <f ca="1">IFERROR(__xludf.DUMMYFUNCTION("""COMPUTED_VALUE"""),"معمل")</f>
        <v>معمل</v>
      </c>
      <c r="E3621" s="5" t="str">
        <f ca="1">IFERROR(__xludf.DUMMYFUNCTION("""COMPUTED_VALUE"""),"معمل")</f>
        <v>معمل</v>
      </c>
      <c r="F3621" s="5" t="str">
        <f ca="1">IFERROR(__xludf.DUMMYFUNCTION("""COMPUTED_VALUE"""),"معمل التحاليل الطبية")</f>
        <v>معمل التحاليل الطبية</v>
      </c>
      <c r="G3621" s="5" t="str">
        <f ca="1">IFERROR(__xludf.DUMMYFUNCTION("""COMPUTED_VALUE"""),"معامل البرج")</f>
        <v>معامل البرج</v>
      </c>
      <c r="H3621" s="5" t="str">
        <f ca="1">IFERROR(__xludf.DUMMYFUNCTION("""COMPUTED_VALUE"""),"11ش البنك الاهلي- خلف مصلحه الضرائب -منفلوط  - محافظه اسيوط")</f>
        <v>11ش البنك الاهلي- خلف مصلحه الضرائب -منفلوط  - محافظه اسيوط</v>
      </c>
      <c r="I3621" s="6"/>
      <c r="J3621" s="6" t="str">
        <f ca="1">IFERROR(__xludf.DUMMYFUNCTION("""COMPUTED_VALUE"""),"19911")</f>
        <v>19911</v>
      </c>
      <c r="K3621" s="6" t="str">
        <f ca="1">IFERROR(__xludf.DUMMYFUNCTION("""COMPUTED_VALUE"""),"20% على جميع الخدمات")</f>
        <v>20% على جميع الخدمات</v>
      </c>
    </row>
    <row r="3622" spans="1:11" x14ac:dyDescent="0.25">
      <c r="A3622" s="4" t="str">
        <f ca="1">IFERROR(__xludf.DUMMYFUNCTION("""COMPUTED_VALUE"""),"1897-B")</f>
        <v>1897-B</v>
      </c>
      <c r="B3622" s="5" t="str">
        <f ca="1">IFERROR(__xludf.DUMMYFUNCTION("""COMPUTED_VALUE"""),"الاسكندرية")</f>
        <v>الاسكندرية</v>
      </c>
      <c r="C3622" s="5" t="str">
        <f ca="1">IFERROR(__xludf.DUMMYFUNCTION("""COMPUTED_VALUE"""),"سموحة")</f>
        <v>سموحة</v>
      </c>
      <c r="D3622" s="5" t="str">
        <f ca="1">IFERROR(__xludf.DUMMYFUNCTION("""COMPUTED_VALUE"""),"معمل")</f>
        <v>معمل</v>
      </c>
      <c r="E3622" s="5" t="str">
        <f ca="1">IFERROR(__xludf.DUMMYFUNCTION("""COMPUTED_VALUE"""),"معمل")</f>
        <v>معمل</v>
      </c>
      <c r="F3622" s="5" t="str">
        <f ca="1">IFERROR(__xludf.DUMMYFUNCTION("""COMPUTED_VALUE"""),"معمل التحاليل الطبية")</f>
        <v>معمل التحاليل الطبية</v>
      </c>
      <c r="G3622" s="5" t="str">
        <f ca="1">IFERROR(__xludf.DUMMYFUNCTION("""COMPUTED_VALUE"""),"معمل المختبر (د. مؤمنة كامل)")</f>
        <v>معمل المختبر (د. مؤمنة كامل)</v>
      </c>
      <c r="H3622" s="5" t="str">
        <f ca="1">IFERROR(__xludf.DUMMYFUNCTION("""COMPUTED_VALUE"""),"اخر كوبري 14 مايو -جرين بلازا -سموحه -الاسكندريه")</f>
        <v>اخر كوبري 14 مايو -جرين بلازا -سموحه -الاسكندريه</v>
      </c>
      <c r="I3622" s="6"/>
      <c r="J3622" s="6" t="str">
        <f ca="1">IFERROR(__xludf.DUMMYFUNCTION("""COMPUTED_VALUE"""),"19014")</f>
        <v>19014</v>
      </c>
      <c r="K3622" s="6" t="str">
        <f ca="1">IFERROR(__xludf.DUMMYFUNCTION("""COMPUTED_VALUE"""),"خصم 20% علي جميع التحاليل")</f>
        <v>خصم 20% علي جميع التحاليل</v>
      </c>
    </row>
    <row r="3623" spans="1:11" x14ac:dyDescent="0.25">
      <c r="A3623" s="4" t="str">
        <f ca="1">IFERROR(__xludf.DUMMYFUNCTION("""COMPUTED_VALUE"""),"1897-B")</f>
        <v>1897-B</v>
      </c>
      <c r="B3623" s="5" t="str">
        <f ca="1">IFERROR(__xludf.DUMMYFUNCTION("""COMPUTED_VALUE"""),"الجيزة")</f>
        <v>الجيزة</v>
      </c>
      <c r="C3623" s="5" t="str">
        <f ca="1">IFERROR(__xludf.DUMMYFUNCTION("""COMPUTED_VALUE"""),"الشيخ زايد")</f>
        <v>الشيخ زايد</v>
      </c>
      <c r="D3623" s="5" t="str">
        <f ca="1">IFERROR(__xludf.DUMMYFUNCTION("""COMPUTED_VALUE"""),"معمل")</f>
        <v>معمل</v>
      </c>
      <c r="E3623" s="5" t="str">
        <f ca="1">IFERROR(__xludf.DUMMYFUNCTION("""COMPUTED_VALUE"""),"معمل")</f>
        <v>معمل</v>
      </c>
      <c r="F3623" s="5" t="str">
        <f ca="1">IFERROR(__xludf.DUMMYFUNCTION("""COMPUTED_VALUE"""),"معمل التحاليل الطبية")</f>
        <v>معمل التحاليل الطبية</v>
      </c>
      <c r="G3623" s="5" t="str">
        <f ca="1">IFERROR(__xludf.DUMMYFUNCTION("""COMPUTED_VALUE"""),"معمل المختبر (د. مؤمنة كامل)")</f>
        <v>معمل المختبر (د. مؤمنة كامل)</v>
      </c>
      <c r="H3623" s="5" t="str">
        <f ca="1">IFERROR(__xludf.DUMMYFUNCTION("""COMPUTED_VALUE"""),"الشيخ زايد - النادي الاهلي")</f>
        <v>الشيخ زايد - النادي الاهلي</v>
      </c>
      <c r="I3623" s="6"/>
      <c r="J3623" s="6" t="str">
        <f ca="1">IFERROR(__xludf.DUMMYFUNCTION("""COMPUTED_VALUE"""),"19014")</f>
        <v>19014</v>
      </c>
      <c r="K3623" s="6" t="str">
        <f ca="1">IFERROR(__xludf.DUMMYFUNCTION("""COMPUTED_VALUE"""),"خصم 20% علي جميع التحاليل")</f>
        <v>خصم 20% علي جميع التحاليل</v>
      </c>
    </row>
    <row r="3624" spans="1:11" x14ac:dyDescent="0.25">
      <c r="A3624" s="4" t="str">
        <f ca="1">IFERROR(__xludf.DUMMYFUNCTION("""COMPUTED_VALUE"""),"1897-B")</f>
        <v>1897-B</v>
      </c>
      <c r="B3624" s="5" t="str">
        <f ca="1">IFERROR(__xludf.DUMMYFUNCTION("""COMPUTED_VALUE"""),"الشرقية")</f>
        <v>الشرقية</v>
      </c>
      <c r="C3624" s="5" t="str">
        <f ca="1">IFERROR(__xludf.DUMMYFUNCTION("""COMPUTED_VALUE"""),"بلبيس")</f>
        <v>بلبيس</v>
      </c>
      <c r="D3624" s="5" t="str">
        <f ca="1">IFERROR(__xludf.DUMMYFUNCTION("""COMPUTED_VALUE"""),"معمل")</f>
        <v>معمل</v>
      </c>
      <c r="E3624" s="5" t="str">
        <f ca="1">IFERROR(__xludf.DUMMYFUNCTION("""COMPUTED_VALUE"""),"معمل")</f>
        <v>معمل</v>
      </c>
      <c r="F3624" s="5" t="str">
        <f ca="1">IFERROR(__xludf.DUMMYFUNCTION("""COMPUTED_VALUE"""),"معمل التحاليل الطبية")</f>
        <v>معمل التحاليل الطبية</v>
      </c>
      <c r="G3624" s="5" t="str">
        <f ca="1">IFERROR(__xludf.DUMMYFUNCTION("""COMPUTED_VALUE"""),"معمل المختبر (د. مؤمنة كامل)")</f>
        <v>معمل المختبر (د. مؤمنة كامل)</v>
      </c>
      <c r="H3624" s="5" t="str">
        <f ca="1">IFERROR(__xludf.DUMMYFUNCTION("""COMPUTED_VALUE"""),"الشرقيه بلبيس مستشفي الرحمه")</f>
        <v>الشرقيه بلبيس مستشفي الرحمه</v>
      </c>
      <c r="I3624" s="6"/>
      <c r="J3624" s="6" t="str">
        <f ca="1">IFERROR(__xludf.DUMMYFUNCTION("""COMPUTED_VALUE"""),"19014")</f>
        <v>19014</v>
      </c>
      <c r="K3624" s="6" t="str">
        <f ca="1">IFERROR(__xludf.DUMMYFUNCTION("""COMPUTED_VALUE"""),"خصم 20% علي جميع التحاليل")</f>
        <v>خصم 20% علي جميع التحاليل</v>
      </c>
    </row>
    <row r="3625" spans="1:11" x14ac:dyDescent="0.25">
      <c r="A3625" s="4" t="str">
        <f ca="1">IFERROR(__xludf.DUMMYFUNCTION("""COMPUTED_VALUE"""),"1897-B")</f>
        <v>1897-B</v>
      </c>
      <c r="B3625" s="5" t="str">
        <f ca="1">IFERROR(__xludf.DUMMYFUNCTION("""COMPUTED_VALUE"""),"القاهرة")</f>
        <v>القاهرة</v>
      </c>
      <c r="C3625" s="5" t="str">
        <f ca="1">IFERROR(__xludf.DUMMYFUNCTION("""COMPUTED_VALUE"""),"مدينة الشروق")</f>
        <v>مدينة الشروق</v>
      </c>
      <c r="D3625" s="5" t="str">
        <f ca="1">IFERROR(__xludf.DUMMYFUNCTION("""COMPUTED_VALUE"""),"معمل")</f>
        <v>معمل</v>
      </c>
      <c r="E3625" s="5" t="str">
        <f ca="1">IFERROR(__xludf.DUMMYFUNCTION("""COMPUTED_VALUE"""),"معمل")</f>
        <v>معمل</v>
      </c>
      <c r="F3625" s="5" t="str">
        <f ca="1">IFERROR(__xludf.DUMMYFUNCTION("""COMPUTED_VALUE"""),"معمل التحاليل الطبية")</f>
        <v>معمل التحاليل الطبية</v>
      </c>
      <c r="G3625" s="5" t="str">
        <f ca="1">IFERROR(__xludf.DUMMYFUNCTION("""COMPUTED_VALUE"""),"معمل المختبر (د. مؤمنة كامل)")</f>
        <v>معمل المختبر (د. مؤمنة كامل)</v>
      </c>
      <c r="H3625" s="5" t="str">
        <f ca="1">IFERROR(__xludf.DUMMYFUNCTION("""COMPUTED_VALUE"""),"مدينه الشروق خلف نادي هليوبولس امام كومباوند جرين لاند")</f>
        <v>مدينه الشروق خلف نادي هليوبولس امام كومباوند جرين لاند</v>
      </c>
      <c r="I3625" s="6"/>
      <c r="J3625" s="6" t="str">
        <f ca="1">IFERROR(__xludf.DUMMYFUNCTION("""COMPUTED_VALUE"""),"19014")</f>
        <v>19014</v>
      </c>
      <c r="K3625" s="6" t="str">
        <f ca="1">IFERROR(__xludf.DUMMYFUNCTION("""COMPUTED_VALUE"""),"خصم 20% علي جميع التحاليل")</f>
        <v>خصم 20% علي جميع التحاليل</v>
      </c>
    </row>
    <row r="3626" spans="1:11" x14ac:dyDescent="0.25">
      <c r="A3626" s="4" t="str">
        <f ca="1">IFERROR(__xludf.DUMMYFUNCTION("""COMPUTED_VALUE"""),"1897-B")</f>
        <v>1897-B</v>
      </c>
      <c r="B3626" s="5" t="str">
        <f ca="1">IFERROR(__xludf.DUMMYFUNCTION("""COMPUTED_VALUE"""),"الاسكندرية")</f>
        <v>الاسكندرية</v>
      </c>
      <c r="C3626" s="5" t="str">
        <f ca="1">IFERROR(__xludf.DUMMYFUNCTION("""COMPUTED_VALUE"""),"لوران")</f>
        <v>لوران</v>
      </c>
      <c r="D3626" s="5" t="str">
        <f ca="1">IFERROR(__xludf.DUMMYFUNCTION("""COMPUTED_VALUE"""),"معمل")</f>
        <v>معمل</v>
      </c>
      <c r="E3626" s="5" t="str">
        <f ca="1">IFERROR(__xludf.DUMMYFUNCTION("""COMPUTED_VALUE"""),"معمل")</f>
        <v>معمل</v>
      </c>
      <c r="F3626" s="5" t="str">
        <f ca="1">IFERROR(__xludf.DUMMYFUNCTION("""COMPUTED_VALUE"""),"معمل التحاليل الطبية")</f>
        <v>معمل التحاليل الطبية</v>
      </c>
      <c r="G3626" s="5" t="str">
        <f ca="1">IFERROR(__xludf.DUMMYFUNCTION("""COMPUTED_VALUE"""),"معمل المختبر (د. مؤمنة كامل)")</f>
        <v>معمل المختبر (د. مؤمنة كامل)</v>
      </c>
      <c r="H3626" s="5" t="str">
        <f ca="1">IFERROR(__xludf.DUMMYFUNCTION("""COMPUTED_VALUE"""),"الاسكندريه - لوران - اما شركه الكهراباء")</f>
        <v>الاسكندريه - لوران - اما شركه الكهراباء</v>
      </c>
      <c r="I3626" s="6"/>
      <c r="J3626" s="6" t="str">
        <f ca="1">IFERROR(__xludf.DUMMYFUNCTION("""COMPUTED_VALUE"""),"19014")</f>
        <v>19014</v>
      </c>
      <c r="K3626" s="6" t="str">
        <f ca="1">IFERROR(__xludf.DUMMYFUNCTION("""COMPUTED_VALUE"""),"خصم 20% علي جميع التحاليل")</f>
        <v>خصم 20% علي جميع التحاليل</v>
      </c>
    </row>
    <row r="3627" spans="1:11" x14ac:dyDescent="0.25">
      <c r="A3627" s="4" t="str">
        <f ca="1">IFERROR(__xludf.DUMMYFUNCTION("""COMPUTED_VALUE"""),"1897-B")</f>
        <v>1897-B</v>
      </c>
      <c r="B3627" s="5" t="str">
        <f ca="1">IFERROR(__xludf.DUMMYFUNCTION("""COMPUTED_VALUE"""),"الاسكندرية")</f>
        <v>الاسكندرية</v>
      </c>
      <c r="C3627" s="5" t="str">
        <f ca="1">IFERROR(__xludf.DUMMYFUNCTION("""COMPUTED_VALUE"""),"رشدي")</f>
        <v>رشدي</v>
      </c>
      <c r="D3627" s="5" t="str">
        <f ca="1">IFERROR(__xludf.DUMMYFUNCTION("""COMPUTED_VALUE"""),"معمل")</f>
        <v>معمل</v>
      </c>
      <c r="E3627" s="5" t="str">
        <f ca="1">IFERROR(__xludf.DUMMYFUNCTION("""COMPUTED_VALUE"""),"معمل")</f>
        <v>معمل</v>
      </c>
      <c r="F3627" s="5" t="str">
        <f ca="1">IFERROR(__xludf.DUMMYFUNCTION("""COMPUTED_VALUE"""),"معمل التحاليل الطبية")</f>
        <v>معمل التحاليل الطبية</v>
      </c>
      <c r="G3627" s="5" t="str">
        <f ca="1">IFERROR(__xludf.DUMMYFUNCTION("""COMPUTED_VALUE"""),"معمل المختبر (د. مؤمنة كامل)")</f>
        <v>معمل المختبر (د. مؤمنة كامل)</v>
      </c>
      <c r="H3627" s="5" t="str">
        <f ca="1">IFERROR(__xludf.DUMMYFUNCTION("""COMPUTED_VALUE"""),"الاسكندريه - الشلالات - شارع فؤاد امام البنك الزراعى - عماره ابو الهول")</f>
        <v>الاسكندريه - الشلالات - شارع فؤاد امام البنك الزراعى - عماره ابو الهول</v>
      </c>
      <c r="I3627" s="6"/>
      <c r="J3627" s="6" t="str">
        <f ca="1">IFERROR(__xludf.DUMMYFUNCTION("""COMPUTED_VALUE"""),"19014")</f>
        <v>19014</v>
      </c>
      <c r="K3627" s="6" t="str">
        <f ca="1">IFERROR(__xludf.DUMMYFUNCTION("""COMPUTED_VALUE"""),"خصم 20% علي جميع التحاليل")</f>
        <v>خصم 20% علي جميع التحاليل</v>
      </c>
    </row>
    <row r="3628" spans="1:11" x14ac:dyDescent="0.25">
      <c r="A3628" s="4" t="str">
        <f ca="1">IFERROR(__xludf.DUMMYFUNCTION("""COMPUTED_VALUE"""),"1897-B")</f>
        <v>1897-B</v>
      </c>
      <c r="B3628" s="5" t="str">
        <f ca="1">IFERROR(__xludf.DUMMYFUNCTION("""COMPUTED_VALUE"""),"القاهرة")</f>
        <v>القاهرة</v>
      </c>
      <c r="C3628" s="5" t="str">
        <f ca="1">IFERROR(__xludf.DUMMYFUNCTION("""COMPUTED_VALUE"""),"مصر الجديدة")</f>
        <v>مصر الجديدة</v>
      </c>
      <c r="D3628" s="5" t="str">
        <f ca="1">IFERROR(__xludf.DUMMYFUNCTION("""COMPUTED_VALUE"""),"معمل")</f>
        <v>معمل</v>
      </c>
      <c r="E3628" s="5" t="str">
        <f ca="1">IFERROR(__xludf.DUMMYFUNCTION("""COMPUTED_VALUE"""),"معمل")</f>
        <v>معمل</v>
      </c>
      <c r="F3628" s="5" t="str">
        <f ca="1">IFERROR(__xludf.DUMMYFUNCTION("""COMPUTED_VALUE"""),"معمل التحاليل الطبية")</f>
        <v>معمل التحاليل الطبية</v>
      </c>
      <c r="G3628" s="5" t="str">
        <f ca="1">IFERROR(__xludf.DUMMYFUNCTION("""COMPUTED_VALUE"""),"معمل المختبر (د. مؤمنة كامل)")</f>
        <v>معمل المختبر (د. مؤمنة كامل)</v>
      </c>
      <c r="H3628" s="5" t="str">
        <f ca="1">IFERROR(__xludf.DUMMYFUNCTION("""COMPUTED_VALUE"""),"١١٦ النزهه مصر الجديده")</f>
        <v>١١٦ النزهه مصر الجديده</v>
      </c>
      <c r="I3628" s="6"/>
      <c r="J3628" s="6" t="str">
        <f ca="1">IFERROR(__xludf.DUMMYFUNCTION("""COMPUTED_VALUE"""),"19014")</f>
        <v>19014</v>
      </c>
      <c r="K3628" s="6" t="str">
        <f ca="1">IFERROR(__xludf.DUMMYFUNCTION("""COMPUTED_VALUE"""),"خصم 20% علي جميع التحاليل")</f>
        <v>خصم 20% علي جميع التحاليل</v>
      </c>
    </row>
    <row r="3629" spans="1:11" x14ac:dyDescent="0.25">
      <c r="A3629" s="4" t="str">
        <f ca="1">IFERROR(__xludf.DUMMYFUNCTION("""COMPUTED_VALUE"""),"1897-B")</f>
        <v>1897-B</v>
      </c>
      <c r="B3629" s="5" t="str">
        <f ca="1">IFERROR(__xludf.DUMMYFUNCTION("""COMPUTED_VALUE"""),"القاهرة")</f>
        <v>القاهرة</v>
      </c>
      <c r="C3629" s="5" t="str">
        <f ca="1">IFERROR(__xludf.DUMMYFUNCTION("""COMPUTED_VALUE"""),"مدينة نصر")</f>
        <v>مدينة نصر</v>
      </c>
      <c r="D3629" s="5" t="str">
        <f ca="1">IFERROR(__xludf.DUMMYFUNCTION("""COMPUTED_VALUE"""),"معمل")</f>
        <v>معمل</v>
      </c>
      <c r="E3629" s="5" t="str">
        <f ca="1">IFERROR(__xludf.DUMMYFUNCTION("""COMPUTED_VALUE"""),"معمل")</f>
        <v>معمل</v>
      </c>
      <c r="F3629" s="5" t="str">
        <f ca="1">IFERROR(__xludf.DUMMYFUNCTION("""COMPUTED_VALUE"""),"معمل التحاليل الطبية")</f>
        <v>معمل التحاليل الطبية</v>
      </c>
      <c r="G3629" s="5" t="str">
        <f ca="1">IFERROR(__xludf.DUMMYFUNCTION("""COMPUTED_VALUE"""),"معمل المختبر (د. مؤمنة كامل)")</f>
        <v>معمل المختبر (د. مؤمنة كامل)</v>
      </c>
      <c r="H3629" s="5" t="str">
        <f ca="1">IFERROR(__xludf.DUMMYFUNCTION("""COMPUTED_VALUE"""),"الحي الثامن فرع النادي الاهلي مدينه نصر (داخل النادي)")</f>
        <v>الحي الثامن فرع النادي الاهلي مدينه نصر (داخل النادي)</v>
      </c>
      <c r="I3629" s="6"/>
      <c r="J3629" s="6" t="str">
        <f ca="1">IFERROR(__xludf.DUMMYFUNCTION("""COMPUTED_VALUE"""),"19014")</f>
        <v>19014</v>
      </c>
      <c r="K3629" s="6" t="str">
        <f ca="1">IFERROR(__xludf.DUMMYFUNCTION("""COMPUTED_VALUE"""),"خصم 20% علي جميع التحاليل")</f>
        <v>خصم 20% علي جميع التحاليل</v>
      </c>
    </row>
    <row r="3630" spans="1:11" x14ac:dyDescent="0.25">
      <c r="A3630" s="4" t="str">
        <f ca="1">IFERROR(__xludf.DUMMYFUNCTION("""COMPUTED_VALUE"""),"1897-B")</f>
        <v>1897-B</v>
      </c>
      <c r="B3630" s="5" t="str">
        <f ca="1">IFERROR(__xludf.DUMMYFUNCTION("""COMPUTED_VALUE"""),"القاهرة")</f>
        <v>القاهرة</v>
      </c>
      <c r="C3630" s="5" t="str">
        <f ca="1">IFERROR(__xludf.DUMMYFUNCTION("""COMPUTED_VALUE"""),"مصر الجديدة")</f>
        <v>مصر الجديدة</v>
      </c>
      <c r="D3630" s="5" t="str">
        <f ca="1">IFERROR(__xludf.DUMMYFUNCTION("""COMPUTED_VALUE"""),"معمل")</f>
        <v>معمل</v>
      </c>
      <c r="E3630" s="5" t="str">
        <f ca="1">IFERROR(__xludf.DUMMYFUNCTION("""COMPUTED_VALUE"""),"معمل")</f>
        <v>معمل</v>
      </c>
      <c r="F3630" s="5" t="str">
        <f ca="1">IFERROR(__xludf.DUMMYFUNCTION("""COMPUTED_VALUE"""),"معمل التحاليل الطبية")</f>
        <v>معمل التحاليل الطبية</v>
      </c>
      <c r="G3630" s="5" t="str">
        <f ca="1">IFERROR(__xludf.DUMMYFUNCTION("""COMPUTED_VALUE"""),"معمل المختبر (د. مؤمنة كامل)")</f>
        <v>معمل المختبر (د. مؤمنة كامل)</v>
      </c>
      <c r="H3630" s="5" t="str">
        <f ca="1">IFERROR(__xludf.DUMMYFUNCTION("""COMPUTED_VALUE"""),"37 شارع مراد من ميدان صلاح الدين")</f>
        <v>37 شارع مراد من ميدان صلاح الدين</v>
      </c>
      <c r="I3630" s="6"/>
      <c r="J3630" s="6" t="str">
        <f ca="1">IFERROR(__xludf.DUMMYFUNCTION("""COMPUTED_VALUE"""),"19014")</f>
        <v>19014</v>
      </c>
      <c r="K3630" s="6" t="str">
        <f ca="1">IFERROR(__xludf.DUMMYFUNCTION("""COMPUTED_VALUE"""),"خصم 20% علي جميع التحاليل")</f>
        <v>خصم 20% علي جميع التحاليل</v>
      </c>
    </row>
    <row r="3631" spans="1:11" x14ac:dyDescent="0.25">
      <c r="A3631" s="4" t="str">
        <f ca="1">IFERROR(__xludf.DUMMYFUNCTION("""COMPUTED_VALUE"""),"1897-B")</f>
        <v>1897-B</v>
      </c>
      <c r="B3631" s="5" t="str">
        <f ca="1">IFERROR(__xludf.DUMMYFUNCTION("""COMPUTED_VALUE"""),"البحر الاحمر")</f>
        <v>البحر الاحمر</v>
      </c>
      <c r="C3631" s="5" t="str">
        <f ca="1">IFERROR(__xludf.DUMMYFUNCTION("""COMPUTED_VALUE"""),"الغردقة")</f>
        <v>الغردقة</v>
      </c>
      <c r="D3631" s="5" t="str">
        <f ca="1">IFERROR(__xludf.DUMMYFUNCTION("""COMPUTED_VALUE"""),"معمل")</f>
        <v>معمل</v>
      </c>
      <c r="E3631" s="5" t="str">
        <f ca="1">IFERROR(__xludf.DUMMYFUNCTION("""COMPUTED_VALUE"""),"معمل")</f>
        <v>معمل</v>
      </c>
      <c r="F3631" s="5" t="str">
        <f ca="1">IFERROR(__xludf.DUMMYFUNCTION("""COMPUTED_VALUE"""),"معمل التحاليل الطبية")</f>
        <v>معمل التحاليل الطبية</v>
      </c>
      <c r="G3631" s="5" t="str">
        <f ca="1">IFERROR(__xludf.DUMMYFUNCTION("""COMPUTED_VALUE"""),"معمل المختبر (د. مؤمنة كامل)")</f>
        <v>معمل المختبر (د. مؤمنة كامل)</v>
      </c>
      <c r="H3631" s="5" t="str">
        <f ca="1">IFERROR(__xludf.DUMMYFUNCTION("""COMPUTED_VALUE"""),"العنوان  مكادي هايتس الغردقة")</f>
        <v>العنوان  مكادي هايتس الغردقة</v>
      </c>
      <c r="I3631" s="6"/>
      <c r="J3631" s="6" t="str">
        <f ca="1">IFERROR(__xludf.DUMMYFUNCTION("""COMPUTED_VALUE"""),"19014")</f>
        <v>19014</v>
      </c>
      <c r="K3631" s="6" t="str">
        <f ca="1">IFERROR(__xludf.DUMMYFUNCTION("""COMPUTED_VALUE"""),"خصم 20% علي جميع التحاليل")</f>
        <v>خصم 20% علي جميع التحاليل</v>
      </c>
    </row>
    <row r="3632" spans="1:11" x14ac:dyDescent="0.25">
      <c r="A3632" s="4" t="str">
        <f ca="1">IFERROR(__xludf.DUMMYFUNCTION("""COMPUTED_VALUE"""),"1897-B")</f>
        <v>1897-B</v>
      </c>
      <c r="B3632" s="5" t="str">
        <f ca="1">IFERROR(__xludf.DUMMYFUNCTION("""COMPUTED_VALUE"""),"القاهرة")</f>
        <v>القاهرة</v>
      </c>
      <c r="C3632" s="5" t="str">
        <f ca="1">IFERROR(__xludf.DUMMYFUNCTION("""COMPUTED_VALUE"""),"حلوان")</f>
        <v>حلوان</v>
      </c>
      <c r="D3632" s="5" t="str">
        <f ca="1">IFERROR(__xludf.DUMMYFUNCTION("""COMPUTED_VALUE"""),"معمل")</f>
        <v>معمل</v>
      </c>
      <c r="E3632" s="5" t="str">
        <f ca="1">IFERROR(__xludf.DUMMYFUNCTION("""COMPUTED_VALUE"""),"معمل")</f>
        <v>معمل</v>
      </c>
      <c r="F3632" s="5" t="str">
        <f ca="1">IFERROR(__xludf.DUMMYFUNCTION("""COMPUTED_VALUE"""),"معمل التحاليل الطبية")</f>
        <v>معمل التحاليل الطبية</v>
      </c>
      <c r="G3632" s="5" t="str">
        <f ca="1">IFERROR(__xludf.DUMMYFUNCTION("""COMPUTED_VALUE"""),"معمل المختبر (د. مؤمنة كامل)")</f>
        <v>معمل المختبر (د. مؤمنة كامل)</v>
      </c>
      <c r="H3632" s="5" t="str">
        <f ca="1">IFERROR(__xludf.DUMMYFUNCTION("""COMPUTED_VALUE"""),"حلوان-فيلا 94 ش محمد سيد احمد بجوار مستشفى دار الشفاء")</f>
        <v>حلوان-فيلا 94 ش محمد سيد احمد بجوار مستشفى دار الشفاء</v>
      </c>
      <c r="I3632" s="6"/>
      <c r="J3632" s="6" t="str">
        <f ca="1">IFERROR(__xludf.DUMMYFUNCTION("""COMPUTED_VALUE"""),"19014")</f>
        <v>19014</v>
      </c>
      <c r="K3632" s="6" t="str">
        <f ca="1">IFERROR(__xludf.DUMMYFUNCTION("""COMPUTED_VALUE"""),"خصم 20% علي جميع التحاليل")</f>
        <v>خصم 20% علي جميع التحاليل</v>
      </c>
    </row>
    <row r="3633" spans="1:11" x14ac:dyDescent="0.25">
      <c r="A3633" s="4" t="str">
        <f ca="1">IFERROR(__xludf.DUMMYFUNCTION("""COMPUTED_VALUE"""),"1897-B")</f>
        <v>1897-B</v>
      </c>
      <c r="B3633" s="5" t="str">
        <f ca="1">IFERROR(__xludf.DUMMYFUNCTION("""COMPUTED_VALUE"""),"الجيزة")</f>
        <v>الجيزة</v>
      </c>
      <c r="C3633" s="5" t="str">
        <f ca="1">IFERROR(__xludf.DUMMYFUNCTION("""COMPUTED_VALUE"""),"الشيخ زايد")</f>
        <v>الشيخ زايد</v>
      </c>
      <c r="D3633" s="5" t="str">
        <f ca="1">IFERROR(__xludf.DUMMYFUNCTION("""COMPUTED_VALUE"""),"معمل")</f>
        <v>معمل</v>
      </c>
      <c r="E3633" s="5" t="str">
        <f ca="1">IFERROR(__xludf.DUMMYFUNCTION("""COMPUTED_VALUE"""),"معمل")</f>
        <v>معمل</v>
      </c>
      <c r="F3633" s="5" t="str">
        <f ca="1">IFERROR(__xludf.DUMMYFUNCTION("""COMPUTED_VALUE"""),"معمل التحاليل الطبية")</f>
        <v>معمل التحاليل الطبية</v>
      </c>
      <c r="G3633" s="5" t="str">
        <f ca="1">IFERROR(__xludf.DUMMYFUNCTION("""COMPUTED_VALUE"""),"معمل المختبر (د. مؤمنة كامل)")</f>
        <v>معمل المختبر (د. مؤمنة كامل)</v>
      </c>
      <c r="H3633" s="5" t="str">
        <f ca="1">IFERROR(__xludf.DUMMYFUNCTION("""COMPUTED_VALUE"""),"سيتى كلينك الجزيرة بلازا الشيخ زايد")</f>
        <v>سيتى كلينك الجزيرة بلازا الشيخ زايد</v>
      </c>
      <c r="I3633" s="6"/>
      <c r="J3633" s="6" t="str">
        <f ca="1">IFERROR(__xludf.DUMMYFUNCTION("""COMPUTED_VALUE"""),"19014")</f>
        <v>19014</v>
      </c>
      <c r="K3633" s="6" t="str">
        <f ca="1">IFERROR(__xludf.DUMMYFUNCTION("""COMPUTED_VALUE"""),"خصم 20% علي جميع التحاليل")</f>
        <v>خصم 20% علي جميع التحاليل</v>
      </c>
    </row>
    <row r="3634" spans="1:11" x14ac:dyDescent="0.25">
      <c r="A3634" s="4" t="str">
        <f ca="1">IFERROR(__xludf.DUMMYFUNCTION("""COMPUTED_VALUE"""),"1897-B")</f>
        <v>1897-B</v>
      </c>
      <c r="B3634" s="5" t="str">
        <f ca="1">IFERROR(__xludf.DUMMYFUNCTION("""COMPUTED_VALUE"""),"الجيزة")</f>
        <v>الجيزة</v>
      </c>
      <c r="C3634" s="5" t="str">
        <f ca="1">IFERROR(__xludf.DUMMYFUNCTION("""COMPUTED_VALUE"""),"حدائق الاهرام")</f>
        <v>حدائق الاهرام</v>
      </c>
      <c r="D3634" s="5" t="str">
        <f ca="1">IFERROR(__xludf.DUMMYFUNCTION("""COMPUTED_VALUE"""),"معمل")</f>
        <v>معمل</v>
      </c>
      <c r="E3634" s="5" t="str">
        <f ca="1">IFERROR(__xludf.DUMMYFUNCTION("""COMPUTED_VALUE"""),"معمل")</f>
        <v>معمل</v>
      </c>
      <c r="F3634" s="5" t="str">
        <f ca="1">IFERROR(__xludf.DUMMYFUNCTION("""COMPUTED_VALUE"""),"معمل التحاليل الطبية")</f>
        <v>معمل التحاليل الطبية</v>
      </c>
      <c r="G3634" s="5" t="str">
        <f ca="1">IFERROR(__xludf.DUMMYFUNCTION("""COMPUTED_VALUE"""),"معمل المختبر (د. مؤمنة كامل)")</f>
        <v>معمل المختبر (د. مؤمنة كامل)</v>
      </c>
      <c r="H3634" s="5" t="str">
        <f ca="1">IFERROR(__xludf.DUMMYFUNCTION("""COMPUTED_VALUE"""),"عمارة ١٣٥ ج الدور الأرضي بعيادات سيتي كلينك حدائق الاهرام البوابة الاولى")</f>
        <v>عمارة ١٣٥ ج الدور الأرضي بعيادات سيتي كلينك حدائق الاهرام البوابة الاولى</v>
      </c>
      <c r="I3634" s="6"/>
      <c r="J3634" s="6" t="str">
        <f ca="1">IFERROR(__xludf.DUMMYFUNCTION("""COMPUTED_VALUE"""),"19014")</f>
        <v>19014</v>
      </c>
      <c r="K3634" s="6" t="str">
        <f ca="1">IFERROR(__xludf.DUMMYFUNCTION("""COMPUTED_VALUE"""),"خصم 20% علي جميع التحاليل")</f>
        <v>خصم 20% علي جميع التحاليل</v>
      </c>
    </row>
    <row r="3635" spans="1:11" x14ac:dyDescent="0.25">
      <c r="A3635" s="4" t="str">
        <f ca="1">IFERROR(__xludf.DUMMYFUNCTION("""COMPUTED_VALUE"""),"1897-B")</f>
        <v>1897-B</v>
      </c>
      <c r="B3635" s="5" t="str">
        <f ca="1">IFERROR(__xludf.DUMMYFUNCTION("""COMPUTED_VALUE"""),"القاهرة")</f>
        <v>القاهرة</v>
      </c>
      <c r="C3635" s="5" t="str">
        <f ca="1">IFERROR(__xludf.DUMMYFUNCTION("""COMPUTED_VALUE"""),"مدينة نصر")</f>
        <v>مدينة نصر</v>
      </c>
      <c r="D3635" s="5" t="str">
        <f ca="1">IFERROR(__xludf.DUMMYFUNCTION("""COMPUTED_VALUE"""),"معمل")</f>
        <v>معمل</v>
      </c>
      <c r="E3635" s="5" t="str">
        <f ca="1">IFERROR(__xludf.DUMMYFUNCTION("""COMPUTED_VALUE"""),"معمل")</f>
        <v>معمل</v>
      </c>
      <c r="F3635" s="5" t="str">
        <f ca="1">IFERROR(__xludf.DUMMYFUNCTION("""COMPUTED_VALUE"""),"معمل التحاليل الطبية")</f>
        <v>معمل التحاليل الطبية</v>
      </c>
      <c r="G3635" s="5" t="str">
        <f ca="1">IFERROR(__xludf.DUMMYFUNCTION("""COMPUTED_VALUE"""),"معمل المختبر (د. مؤمنة كامل)")</f>
        <v>معمل المختبر (د. مؤمنة كامل)</v>
      </c>
      <c r="H3635" s="5" t="str">
        <f ca="1">IFERROR(__xludf.DUMMYFUNCTION("""COMPUTED_VALUE"""),"17 احمد الزمر الحي العاشر مدينه نصر")</f>
        <v>17 احمد الزمر الحي العاشر مدينه نصر</v>
      </c>
      <c r="I3635" s="6"/>
      <c r="J3635" s="6" t="str">
        <f ca="1">IFERROR(__xludf.DUMMYFUNCTION("""COMPUTED_VALUE"""),"19014")</f>
        <v>19014</v>
      </c>
      <c r="K3635" s="6" t="str">
        <f ca="1">IFERROR(__xludf.DUMMYFUNCTION("""COMPUTED_VALUE"""),"خصم 20% علي جميع التحاليل")</f>
        <v>خصم 20% علي جميع التحاليل</v>
      </c>
    </row>
    <row r="3636" spans="1:11" x14ac:dyDescent="0.25">
      <c r="A3636" s="4" t="str">
        <f ca="1">IFERROR(__xludf.DUMMYFUNCTION("""COMPUTED_VALUE"""),"1897-B")</f>
        <v>1897-B</v>
      </c>
      <c r="B3636" s="5" t="str">
        <f ca="1">IFERROR(__xludf.DUMMYFUNCTION("""COMPUTED_VALUE"""),"القليوبية")</f>
        <v>القليوبية</v>
      </c>
      <c r="C3636" s="5" t="str">
        <f ca="1">IFERROR(__xludf.DUMMYFUNCTION("""COMPUTED_VALUE"""),"مدينة العبور")</f>
        <v>مدينة العبور</v>
      </c>
      <c r="D3636" s="5" t="str">
        <f ca="1">IFERROR(__xludf.DUMMYFUNCTION("""COMPUTED_VALUE"""),"معمل")</f>
        <v>معمل</v>
      </c>
      <c r="E3636" s="5" t="str">
        <f ca="1">IFERROR(__xludf.DUMMYFUNCTION("""COMPUTED_VALUE"""),"معمل")</f>
        <v>معمل</v>
      </c>
      <c r="F3636" s="5" t="str">
        <f ca="1">IFERROR(__xludf.DUMMYFUNCTION("""COMPUTED_VALUE"""),"معمل التحاليل الطبية")</f>
        <v>معمل التحاليل الطبية</v>
      </c>
      <c r="G3636" s="5" t="str">
        <f ca="1">IFERROR(__xludf.DUMMYFUNCTION("""COMPUTED_VALUE"""),"معمل المختبر (د. مؤمنة كامل)")</f>
        <v>معمل المختبر (د. مؤمنة كامل)</v>
      </c>
      <c r="H3636" s="5" t="str">
        <f ca="1">IFERROR(__xludf.DUMMYFUNCTION("""COMPUTED_VALUE"""),"العبور -الحى الاول 200 متر من صنيه الخامس على الطريق الرئيسي")</f>
        <v>العبور -الحى الاول 200 متر من صنيه الخامس على الطريق الرئيسي</v>
      </c>
      <c r="I3636" s="6"/>
      <c r="J3636" s="6" t="str">
        <f ca="1">IFERROR(__xludf.DUMMYFUNCTION("""COMPUTED_VALUE"""),"19014")</f>
        <v>19014</v>
      </c>
      <c r="K3636" s="6" t="str">
        <f ca="1">IFERROR(__xludf.DUMMYFUNCTION("""COMPUTED_VALUE"""),"خصم 20% علي جميع التحاليل")</f>
        <v>خصم 20% علي جميع التحاليل</v>
      </c>
    </row>
    <row r="3637" spans="1:11" x14ac:dyDescent="0.25">
      <c r="A3637" s="4" t="str">
        <f ca="1">IFERROR(__xludf.DUMMYFUNCTION("""COMPUTED_VALUE"""),"1897-B")</f>
        <v>1897-B</v>
      </c>
      <c r="B3637" s="5" t="str">
        <f ca="1">IFERROR(__xludf.DUMMYFUNCTION("""COMPUTED_VALUE"""),"بني سويف")</f>
        <v>بني سويف</v>
      </c>
      <c r="C3637" s="5" t="str">
        <f ca="1">IFERROR(__xludf.DUMMYFUNCTION("""COMPUTED_VALUE"""),"بني سويف")</f>
        <v>بني سويف</v>
      </c>
      <c r="D3637" s="5" t="str">
        <f ca="1">IFERROR(__xludf.DUMMYFUNCTION("""COMPUTED_VALUE"""),"معمل")</f>
        <v>معمل</v>
      </c>
      <c r="E3637" s="5" t="str">
        <f ca="1">IFERROR(__xludf.DUMMYFUNCTION("""COMPUTED_VALUE"""),"معمل")</f>
        <v>معمل</v>
      </c>
      <c r="F3637" s="5" t="str">
        <f ca="1">IFERROR(__xludf.DUMMYFUNCTION("""COMPUTED_VALUE"""),"معمل التحاليل الطبية")</f>
        <v>معمل التحاليل الطبية</v>
      </c>
      <c r="G3637" s="5" t="str">
        <f ca="1">IFERROR(__xludf.DUMMYFUNCTION("""COMPUTED_VALUE"""),"معمل المختبر (د. مؤمنة كامل)")</f>
        <v>معمل المختبر (د. مؤمنة كامل)</v>
      </c>
      <c r="H3637" s="5" t="str">
        <f ca="1">IFERROR(__xludf.DUMMYFUNCTION("""COMPUTED_VALUE"""),"بني سويف اول طريق الفيوم الازهري")</f>
        <v>بني سويف اول طريق الفيوم الازهري</v>
      </c>
      <c r="I3637" s="6"/>
      <c r="J3637" s="6" t="str">
        <f ca="1">IFERROR(__xludf.DUMMYFUNCTION("""COMPUTED_VALUE"""),"19014")</f>
        <v>19014</v>
      </c>
      <c r="K3637" s="6" t="str">
        <f ca="1">IFERROR(__xludf.DUMMYFUNCTION("""COMPUTED_VALUE"""),"خصم 20% علي جميع التحاليل")</f>
        <v>خصم 20% علي جميع التحاليل</v>
      </c>
    </row>
    <row r="3638" spans="1:11" x14ac:dyDescent="0.25">
      <c r="A3638" s="4" t="str">
        <f ca="1">IFERROR(__xludf.DUMMYFUNCTION("""COMPUTED_VALUE"""),"1897-B")</f>
        <v>1897-B</v>
      </c>
      <c r="B3638" s="5" t="str">
        <f ca="1">IFERROR(__xludf.DUMMYFUNCTION("""COMPUTED_VALUE"""),"الشرقية")</f>
        <v>الشرقية</v>
      </c>
      <c r="C3638" s="5" t="str">
        <f ca="1">IFERROR(__xludf.DUMMYFUNCTION("""COMPUTED_VALUE"""),"بلبيس")</f>
        <v>بلبيس</v>
      </c>
      <c r="D3638" s="5" t="str">
        <f ca="1">IFERROR(__xludf.DUMMYFUNCTION("""COMPUTED_VALUE"""),"معمل")</f>
        <v>معمل</v>
      </c>
      <c r="E3638" s="5" t="str">
        <f ca="1">IFERROR(__xludf.DUMMYFUNCTION("""COMPUTED_VALUE"""),"معمل")</f>
        <v>معمل</v>
      </c>
      <c r="F3638" s="5" t="str">
        <f ca="1">IFERROR(__xludf.DUMMYFUNCTION("""COMPUTED_VALUE"""),"معمل التحاليل الطبية")</f>
        <v>معمل التحاليل الطبية</v>
      </c>
      <c r="G3638" s="5" t="str">
        <f ca="1">IFERROR(__xludf.DUMMYFUNCTION("""COMPUTED_VALUE"""),"معمل المختبر (د. مؤمنة كامل)")</f>
        <v>معمل المختبر (د. مؤمنة كامل)</v>
      </c>
      <c r="H3638" s="5" t="str">
        <f ca="1">IFERROR(__xludf.DUMMYFUNCTION("""COMPUTED_VALUE"""),"طريق عبد المنعم رياض - بجوار الساحه - بلبيس الشرقيه")</f>
        <v>طريق عبد المنعم رياض - بجوار الساحه - بلبيس الشرقيه</v>
      </c>
      <c r="I3638" s="6"/>
      <c r="J3638" s="6" t="str">
        <f ca="1">IFERROR(__xludf.DUMMYFUNCTION("""COMPUTED_VALUE"""),"19014")</f>
        <v>19014</v>
      </c>
      <c r="K3638" s="6" t="str">
        <f ca="1">IFERROR(__xludf.DUMMYFUNCTION("""COMPUTED_VALUE"""),"خصم 20% علي جميع التحاليل")</f>
        <v>خصم 20% علي جميع التحاليل</v>
      </c>
    </row>
    <row r="3639" spans="1:11" x14ac:dyDescent="0.25">
      <c r="A3639" s="4" t="str">
        <f ca="1">IFERROR(__xludf.DUMMYFUNCTION("""COMPUTED_VALUE"""),"1897-B")</f>
        <v>1897-B</v>
      </c>
      <c r="B3639" s="5" t="str">
        <f ca="1">IFERROR(__xludf.DUMMYFUNCTION("""COMPUTED_VALUE"""),"الشرقية")</f>
        <v>الشرقية</v>
      </c>
      <c r="C3639" s="5" t="str">
        <f ca="1">IFERROR(__xludf.DUMMYFUNCTION("""COMPUTED_VALUE"""),"العاشر من رمضان")</f>
        <v>العاشر من رمضان</v>
      </c>
      <c r="D3639" s="5" t="str">
        <f ca="1">IFERROR(__xludf.DUMMYFUNCTION("""COMPUTED_VALUE"""),"معمل")</f>
        <v>معمل</v>
      </c>
      <c r="E3639" s="5" t="str">
        <f ca="1">IFERROR(__xludf.DUMMYFUNCTION("""COMPUTED_VALUE"""),"معمل")</f>
        <v>معمل</v>
      </c>
      <c r="F3639" s="5" t="str">
        <f ca="1">IFERROR(__xludf.DUMMYFUNCTION("""COMPUTED_VALUE"""),"معمل التحاليل الطبية")</f>
        <v>معمل التحاليل الطبية</v>
      </c>
      <c r="G3639" s="5" t="str">
        <f ca="1">IFERROR(__xludf.DUMMYFUNCTION("""COMPUTED_VALUE"""),"معمل المختبر (د. مؤمنة كامل)")</f>
        <v>معمل المختبر (د. مؤمنة كامل)</v>
      </c>
      <c r="H3639" s="5" t="str">
        <f ca="1">IFERROR(__xludf.DUMMYFUNCTION("""COMPUTED_VALUE"""),"بداخل مستشفى الغندور بمدينة العاشر من رمضان ب مجاورة 24")</f>
        <v>بداخل مستشفى الغندور بمدينة العاشر من رمضان ب مجاورة 24</v>
      </c>
      <c r="I3639" s="6"/>
      <c r="J3639" s="6" t="str">
        <f ca="1">IFERROR(__xludf.DUMMYFUNCTION("""COMPUTED_VALUE"""),"19014")</f>
        <v>19014</v>
      </c>
      <c r="K3639" s="6" t="str">
        <f ca="1">IFERROR(__xludf.DUMMYFUNCTION("""COMPUTED_VALUE"""),"خصم 20% علي جميع التحاليل")</f>
        <v>خصم 20% علي جميع التحاليل</v>
      </c>
    </row>
    <row r="3640" spans="1:11" x14ac:dyDescent="0.25">
      <c r="A3640" s="4" t="str">
        <f ca="1">IFERROR(__xludf.DUMMYFUNCTION("""COMPUTED_VALUE"""),"1897-B")</f>
        <v>1897-B</v>
      </c>
      <c r="B3640" s="5" t="str">
        <f ca="1">IFERROR(__xludf.DUMMYFUNCTION("""COMPUTED_VALUE"""),"القاهرة")</f>
        <v>القاهرة</v>
      </c>
      <c r="C3640" s="5" t="str">
        <f ca="1">IFERROR(__xludf.DUMMYFUNCTION("""COMPUTED_VALUE"""),"مدينة نصر")</f>
        <v>مدينة نصر</v>
      </c>
      <c r="D3640" s="5" t="str">
        <f ca="1">IFERROR(__xludf.DUMMYFUNCTION("""COMPUTED_VALUE"""),"معمل")</f>
        <v>معمل</v>
      </c>
      <c r="E3640" s="5" t="str">
        <f ca="1">IFERROR(__xludf.DUMMYFUNCTION("""COMPUTED_VALUE"""),"معمل")</f>
        <v>معمل</v>
      </c>
      <c r="F3640" s="5" t="str">
        <f ca="1">IFERROR(__xludf.DUMMYFUNCTION("""COMPUTED_VALUE"""),"معمل التحاليل الطبية")</f>
        <v>معمل التحاليل الطبية</v>
      </c>
      <c r="G3640" s="5" t="str">
        <f ca="1">IFERROR(__xludf.DUMMYFUNCTION("""COMPUTED_VALUE"""),"معمل المختبر (د. مؤمنة كامل)")</f>
        <v>معمل المختبر (د. مؤمنة كامل)</v>
      </c>
      <c r="H3640" s="5" t="str">
        <f ca="1">IFERROR(__xludf.DUMMYFUNCTION("""COMPUTED_VALUE"""),"شارع عباس العقاد داخل مستشفي صحة العقاد")</f>
        <v>شارع عباس العقاد داخل مستشفي صحة العقاد</v>
      </c>
      <c r="I3640" s="6"/>
      <c r="J3640" s="6" t="str">
        <f ca="1">IFERROR(__xludf.DUMMYFUNCTION("""COMPUTED_VALUE"""),"19014")</f>
        <v>19014</v>
      </c>
      <c r="K3640" s="6" t="str">
        <f ca="1">IFERROR(__xludf.DUMMYFUNCTION("""COMPUTED_VALUE"""),"خصم 20% علي جميع التحاليل")</f>
        <v>خصم 20% علي جميع التحاليل</v>
      </c>
    </row>
    <row r="3641" spans="1:11" x14ac:dyDescent="0.25">
      <c r="A3641" s="4" t="str">
        <f ca="1">IFERROR(__xludf.DUMMYFUNCTION("""COMPUTED_VALUE"""),"1897-B")</f>
        <v>1897-B</v>
      </c>
      <c r="B3641" s="5" t="str">
        <f ca="1">IFERROR(__xludf.DUMMYFUNCTION("""COMPUTED_VALUE"""),"الشرقية")</f>
        <v>الشرقية</v>
      </c>
      <c r="C3641" s="5" t="str">
        <f ca="1">IFERROR(__xludf.DUMMYFUNCTION("""COMPUTED_VALUE"""),"العاشر من رمضان")</f>
        <v>العاشر من رمضان</v>
      </c>
      <c r="D3641" s="5" t="str">
        <f ca="1">IFERROR(__xludf.DUMMYFUNCTION("""COMPUTED_VALUE"""),"معمل")</f>
        <v>معمل</v>
      </c>
      <c r="E3641" s="5" t="str">
        <f ca="1">IFERROR(__xludf.DUMMYFUNCTION("""COMPUTED_VALUE"""),"معمل")</f>
        <v>معمل</v>
      </c>
      <c r="F3641" s="5" t="str">
        <f ca="1">IFERROR(__xludf.DUMMYFUNCTION("""COMPUTED_VALUE"""),"معمل التحاليل الطبية")</f>
        <v>معمل التحاليل الطبية</v>
      </c>
      <c r="G3641" s="5" t="str">
        <f ca="1">IFERROR(__xludf.DUMMYFUNCTION("""COMPUTED_VALUE"""),"معمل المختبر (د. مؤمنة كامل)")</f>
        <v>معمل المختبر (د. مؤمنة كامل)</v>
      </c>
      <c r="H3641" s="5" t="str">
        <f ca="1">IFERROR(__xludf.DUMMYFUNCTION("""COMPUTED_VALUE"""),"مستشفى شرف التخصصى - المجاورة السابعة بجوار العاشر من رمضان")</f>
        <v>مستشفى شرف التخصصى - المجاورة السابعة بجوار العاشر من رمضان</v>
      </c>
      <c r="I3641" s="6"/>
      <c r="J3641" s="6" t="str">
        <f ca="1">IFERROR(__xludf.DUMMYFUNCTION("""COMPUTED_VALUE"""),"19014")</f>
        <v>19014</v>
      </c>
      <c r="K3641" s="6" t="str">
        <f ca="1">IFERROR(__xludf.DUMMYFUNCTION("""COMPUTED_VALUE"""),"خصم 20% علي جميع التحاليل")</f>
        <v>خصم 20% علي جميع التحاليل</v>
      </c>
    </row>
    <row r="3642" spans="1:11" x14ac:dyDescent="0.25">
      <c r="A3642" s="4" t="str">
        <f ca="1">IFERROR(__xludf.DUMMYFUNCTION("""COMPUTED_VALUE"""),"107670")</f>
        <v>107670</v>
      </c>
      <c r="B3642" s="5" t="str">
        <f ca="1">IFERROR(__xludf.DUMMYFUNCTION("""COMPUTED_VALUE"""),"القاهرة")</f>
        <v>القاهرة</v>
      </c>
      <c r="C3642" s="5" t="str">
        <f ca="1">IFERROR(__xludf.DUMMYFUNCTION("""COMPUTED_VALUE"""),"القاهرة الجديدة")</f>
        <v>القاهرة الجديدة</v>
      </c>
      <c r="D3642" s="5" t="str">
        <f ca="1">IFERROR(__xludf.DUMMYFUNCTION("""COMPUTED_VALUE"""),"مستشفى")</f>
        <v>مستشفى</v>
      </c>
      <c r="E3642" s="5" t="str">
        <f ca="1">IFERROR(__xludf.DUMMYFUNCTION("""COMPUTED_VALUE"""),"جميع التخصصات")</f>
        <v>جميع التخصصات</v>
      </c>
      <c r="F3642" s="5" t="str">
        <f ca="1">IFERROR(__xludf.DUMMYFUNCTION("""COMPUTED_VALUE"""),"جميع التخصصات الطبية")</f>
        <v>جميع التخصصات الطبية</v>
      </c>
      <c r="G3642" s="5" t="str">
        <f ca="1">IFERROR(__xludf.DUMMYFUNCTION("""COMPUTED_VALUE"""),"سي اتش جي (مستشفي سكاي)")</f>
        <v>سي اتش جي (مستشفي سكاي)</v>
      </c>
      <c r="H3642" s="5" t="str">
        <f ca="1">IFERROR(__xludf.DUMMYFUNCTION("""COMPUTED_VALUE"""),"قطعه أرض رقم 37 و 38 بالقطاع الاول - مركز المدينة التجمع الخامس - القاعرة الجديدة - القاهرة")</f>
        <v>قطعه أرض رقم 37 و 38 بالقطاع الاول - مركز المدينة التجمع الخامس - القاعرة الجديدة - القاهرة</v>
      </c>
      <c r="I3642" s="6"/>
      <c r="J3642" s="6" t="str">
        <f ca="1">IFERROR(__xludf.DUMMYFUNCTION("""COMPUTED_VALUE"""),"19668")</f>
        <v>19668</v>
      </c>
      <c r="K3642" s="6" t="str">
        <f ca="1">IFERROR(__xludf.DUMMYFUNCTION("""COMPUTED_VALUE"""),"خصم 35% علي خدمات الاشعه و التحاليل لمرضي القسم الخارجي، 15% علي خدمات العيادات الخارجية، الطوارئ، العلاج الطبيعي و قسم المناظير. خصم 10% علي خدمات القسم الداخلي. لا يتم تطبيق نسبة خصم علي (الادوية و المستلزمات، الاجهزة و الغازات، وحدة الكلي الصناعية، وحد"&amp;"ة العلاج الاشعاعي، الاتفاقيات الشاملة، الدمغه الطبية و القسطرة المخية و القلبية، خدمات بنك الدم، معمل الانسجة، الاسعاف، و الخدمات التي تؤدي خارج المستشفي، 15% خدمة)")</f>
        <v>خصم 35% علي خدمات الاشعه و التحاليل لمرضي القسم الخارجي، 15% علي خدمات العيادات الخارجية، الطوارئ، العلاج الطبيعي و قسم المناظير. خصم 10% علي خدمات القسم الداخلي. لا يتم تطبيق نسبة خصم علي (الادوية و المستلزمات، الاجهزة و الغازات، وحدة الكلي الصناعية، وحدة العلاج الاشعاعي، الاتفاقيات الشاملة، الدمغه الطبية و القسطرة المخية و القلبية، خدمات بنك الدم، معمل الانسجة، الاسعاف، و الخدمات التي تؤدي خارج المستشفي، 15% خدمة)</v>
      </c>
    </row>
    <row r="3643" spans="1:11" x14ac:dyDescent="0.25">
      <c r="A3643" s="4" t="str">
        <f ca="1">IFERROR(__xludf.DUMMYFUNCTION("""COMPUTED_VALUE"""),"107671")</f>
        <v>107671</v>
      </c>
      <c r="B3643" s="5" t="str">
        <f ca="1">IFERROR(__xludf.DUMMYFUNCTION("""COMPUTED_VALUE"""),"القاهرة")</f>
        <v>القاهرة</v>
      </c>
      <c r="C3643" s="5" t="str">
        <f ca="1">IFERROR(__xludf.DUMMYFUNCTION("""COMPUTED_VALUE"""),"القاهرة الجديدة")</f>
        <v>القاهرة الجديدة</v>
      </c>
      <c r="D3643" s="5" t="str">
        <f ca="1">IFERROR(__xludf.DUMMYFUNCTION("""COMPUTED_VALUE"""),"صيدلية")</f>
        <v>صيدلية</v>
      </c>
      <c r="E3643" s="5" t="str">
        <f ca="1">IFERROR(__xludf.DUMMYFUNCTION("""COMPUTED_VALUE"""),"صيدلية")</f>
        <v>صيدلية</v>
      </c>
      <c r="F3643" s="5" t="str">
        <f ca="1">IFERROR(__xludf.DUMMYFUNCTION("""COMPUTED_VALUE"""),"صيدلية (أدوية ومستلزمات طبية)")</f>
        <v>صيدلية (أدوية ومستلزمات طبية)</v>
      </c>
      <c r="G3643" s="5" t="str">
        <f ca="1">IFERROR(__xludf.DUMMYFUNCTION("""COMPUTED_VALUE"""),"سي اتش جي (صيدليه مستشفي سكاي)")</f>
        <v>سي اتش جي (صيدليه مستشفي سكاي)</v>
      </c>
      <c r="H3643" s="5" t="str">
        <f ca="1">IFERROR(__xludf.DUMMYFUNCTION("""COMPUTED_VALUE"""),"قطعه أرض رقم 37 و 38 بالقطاع الاول - مركز المدينة التجمع الخامس - القاعرة الجديدة - القاهرة")</f>
        <v>قطعه أرض رقم 37 و 38 بالقطاع الاول - مركز المدينة التجمع الخامس - القاعرة الجديدة - القاهرة</v>
      </c>
      <c r="I3643" s="6"/>
      <c r="J3643" s="6" t="str">
        <f ca="1">IFERROR(__xludf.DUMMYFUNCTION("""COMPUTED_VALUE"""),"19668")</f>
        <v>19668</v>
      </c>
      <c r="K3643" s="6" t="str">
        <f ca="1">IFERROR(__xludf.DUMMYFUNCTION("""COMPUTED_VALUE"""),"خصم 10% علي الادوية المحلية و 5% علي الادوية المستوردة")</f>
        <v>خصم 10% علي الادوية المحلية و 5% علي الادوية المستوردة</v>
      </c>
    </row>
    <row r="3644" spans="1:11" x14ac:dyDescent="0.25">
      <c r="A3644" s="4" t="str">
        <f ca="1">IFERROR(__xludf.DUMMYFUNCTION("""COMPUTED_VALUE"""),"107673")</f>
        <v>107673</v>
      </c>
      <c r="B3644" s="5" t="str">
        <f ca="1">IFERROR(__xludf.DUMMYFUNCTION("""COMPUTED_VALUE"""),"أسوان")</f>
        <v>أسوان</v>
      </c>
      <c r="C3644" s="5" t="str">
        <f ca="1">IFERROR(__xludf.DUMMYFUNCTION("""COMPUTED_VALUE"""),"دراو")</f>
        <v>دراو</v>
      </c>
      <c r="D3644" s="5" t="str">
        <f ca="1">IFERROR(__xludf.DUMMYFUNCTION("""COMPUTED_VALUE"""),"مجمع عيادات")</f>
        <v>مجمع عيادات</v>
      </c>
      <c r="E3644" s="5" t="str">
        <f ca="1">IFERROR(__xludf.DUMMYFUNCTION("""COMPUTED_VALUE"""),"جميع التخصصات")</f>
        <v>جميع التخصصات</v>
      </c>
      <c r="F3644" s="5" t="str">
        <f ca="1">IFERROR(__xludf.DUMMYFUNCTION("""COMPUTED_VALUE"""),"جميع التخصصات الطبية")</f>
        <v>جميع التخصصات الطبية</v>
      </c>
      <c r="G3644" s="5" t="str">
        <f ca="1">IFERROR(__xludf.DUMMYFUNCTION("""COMPUTED_VALUE"""),"محمد صبري الراوي محمود (عيادات راديو لاب التخصصية)")</f>
        <v>محمد صبري الراوي محمود (عيادات راديو لاب التخصصية)</v>
      </c>
      <c r="H3644" s="5" t="str">
        <f ca="1">IFERROR(__xludf.DUMMYFUNCTION("""COMPUTED_VALUE"""),"ش السوق (ش المستشفي بجوار مستشفي دراو المركزي) دراو - أسوان")</f>
        <v>ش السوق (ش المستشفي بجوار مستشفي دراو المركزي) دراو - أسوان</v>
      </c>
      <c r="I3644" s="6" t="str">
        <f ca="1">IFERROR(__xludf.DUMMYFUNCTION("""COMPUTED_VALUE"""),"01101004929")</f>
        <v>01101004929</v>
      </c>
      <c r="J3644" s="6"/>
      <c r="K3644" s="6" t="str">
        <f ca="1">IFERROR(__xludf.DUMMYFUNCTION("""COMPUTED_VALUE"""),"خصم 25% علي الاسعار النقدي")</f>
        <v>خصم 25% علي الاسعار النقدي</v>
      </c>
    </row>
    <row r="3645" spans="1:11" x14ac:dyDescent="0.25">
      <c r="A3645" s="4" t="str">
        <f ca="1">IFERROR(__xludf.DUMMYFUNCTION("""COMPUTED_VALUE"""),"107673-B")</f>
        <v>107673-B</v>
      </c>
      <c r="B3645" s="5" t="str">
        <f ca="1">IFERROR(__xludf.DUMMYFUNCTION("""COMPUTED_VALUE"""),"أسوان")</f>
        <v>أسوان</v>
      </c>
      <c r="C3645" s="5" t="str">
        <f ca="1">IFERROR(__xludf.DUMMYFUNCTION("""COMPUTED_VALUE"""),"أسوان")</f>
        <v>أسوان</v>
      </c>
      <c r="D3645" s="5" t="str">
        <f ca="1">IFERROR(__xludf.DUMMYFUNCTION("""COMPUTED_VALUE"""),"مجمع عيادات")</f>
        <v>مجمع عيادات</v>
      </c>
      <c r="E3645" s="5" t="str">
        <f ca="1">IFERROR(__xludf.DUMMYFUNCTION("""COMPUTED_VALUE"""),"جميع التخصصات")</f>
        <v>جميع التخصصات</v>
      </c>
      <c r="F3645" s="5" t="str">
        <f ca="1">IFERROR(__xludf.DUMMYFUNCTION("""COMPUTED_VALUE"""),"جميع التخصصات الطبية")</f>
        <v>جميع التخصصات الطبية</v>
      </c>
      <c r="G3645" s="5" t="str">
        <f ca="1">IFERROR(__xludf.DUMMYFUNCTION("""COMPUTED_VALUE"""),"محمد صبري الراوي محمود (عيادات راديو لاب التخصصية)")</f>
        <v>محمد صبري الراوي محمود (عيادات راديو لاب التخصصية)</v>
      </c>
      <c r="H3645" s="5" t="str">
        <f ca="1">IFERROR(__xludf.DUMMYFUNCTION("""COMPUTED_VALUE"""),"شارع شرق البندر بجوار مستشفي الهلال - أسوان")</f>
        <v>شارع شرق البندر بجوار مستشفي الهلال - أسوان</v>
      </c>
      <c r="I3645" s="6" t="str">
        <f ca="1">IFERROR(__xludf.DUMMYFUNCTION("""COMPUTED_VALUE"""),"01101004929")</f>
        <v>01101004929</v>
      </c>
      <c r="J3645" s="6"/>
      <c r="K3645" s="6" t="str">
        <f ca="1">IFERROR(__xludf.DUMMYFUNCTION("""COMPUTED_VALUE"""),"خصم 25% علي الاسعار النقدي")</f>
        <v>خصم 25% علي الاسعار النقدي</v>
      </c>
    </row>
    <row r="3646" spans="1:11" x14ac:dyDescent="0.25">
      <c r="A3646" s="4" t="str">
        <f ca="1">IFERROR(__xludf.DUMMYFUNCTION("""COMPUTED_VALUE"""),"107673-B")</f>
        <v>107673-B</v>
      </c>
      <c r="B3646" s="5" t="str">
        <f ca="1">IFERROR(__xludf.DUMMYFUNCTION("""COMPUTED_VALUE"""),"أسوان")</f>
        <v>أسوان</v>
      </c>
      <c r="C3646" s="5" t="str">
        <f ca="1">IFERROR(__xludf.DUMMYFUNCTION("""COMPUTED_VALUE"""),"أسوان")</f>
        <v>أسوان</v>
      </c>
      <c r="D3646" s="5" t="str">
        <f ca="1">IFERROR(__xludf.DUMMYFUNCTION("""COMPUTED_VALUE"""),"مجمع عيادات")</f>
        <v>مجمع عيادات</v>
      </c>
      <c r="E3646" s="5" t="str">
        <f ca="1">IFERROR(__xludf.DUMMYFUNCTION("""COMPUTED_VALUE"""),"جميع التخصصات")</f>
        <v>جميع التخصصات</v>
      </c>
      <c r="F3646" s="5" t="str">
        <f ca="1">IFERROR(__xludf.DUMMYFUNCTION("""COMPUTED_VALUE"""),"جميع التخصصات الطبية")</f>
        <v>جميع التخصصات الطبية</v>
      </c>
      <c r="G3646" s="5" t="str">
        <f ca="1">IFERROR(__xludf.DUMMYFUNCTION("""COMPUTED_VALUE"""),"محمد صبري الراوي محمود (عيادات راديو لاب التخصصية)")</f>
        <v>محمد صبري الراوي محمود (عيادات راديو لاب التخصصية)</v>
      </c>
      <c r="H3646" s="5" t="str">
        <f ca="1">IFERROR(__xludf.DUMMYFUNCTION("""COMPUTED_VALUE"""),"أسوان - نصر النوبة - مبني نقابة المعلمين أول شارع خالد بن الوليد - الدور الاول علوي - شقة رقم 1")</f>
        <v>أسوان - نصر النوبة - مبني نقابة المعلمين أول شارع خالد بن الوليد - الدور الاول علوي - شقة رقم 1</v>
      </c>
      <c r="I3646" s="6" t="str">
        <f ca="1">IFERROR(__xludf.DUMMYFUNCTION("""COMPUTED_VALUE"""),"01101004929")</f>
        <v>01101004929</v>
      </c>
      <c r="J3646" s="6"/>
      <c r="K3646" s="6" t="str">
        <f ca="1">IFERROR(__xludf.DUMMYFUNCTION("""COMPUTED_VALUE"""),"خصم 25% علي الاسعار النقدي")</f>
        <v>خصم 25% علي الاسعار النقدي</v>
      </c>
    </row>
    <row r="3647" spans="1:11" x14ac:dyDescent="0.25">
      <c r="A3647" s="4" t="str">
        <f ca="1">IFERROR(__xludf.DUMMYFUNCTION("""COMPUTED_VALUE"""),"107674")</f>
        <v>107674</v>
      </c>
      <c r="B3647" s="5" t="str">
        <f ca="1">IFERROR(__xludf.DUMMYFUNCTION("""COMPUTED_VALUE"""),"كفر الشيخ")</f>
        <v>كفر الشيخ</v>
      </c>
      <c r="C3647" s="5" t="str">
        <f ca="1">IFERROR(__xludf.DUMMYFUNCTION("""COMPUTED_VALUE"""),"بيلا")</f>
        <v>بيلا</v>
      </c>
      <c r="D3647" s="5" t="str">
        <f ca="1">IFERROR(__xludf.DUMMYFUNCTION("""COMPUTED_VALUE"""),"مستشفى")</f>
        <v>مستشفى</v>
      </c>
      <c r="E3647" s="5" t="str">
        <f ca="1">IFERROR(__xludf.DUMMYFUNCTION("""COMPUTED_VALUE"""),"جميع التخصصات")</f>
        <v>جميع التخصصات</v>
      </c>
      <c r="F3647" s="5" t="str">
        <f ca="1">IFERROR(__xludf.DUMMYFUNCTION("""COMPUTED_VALUE"""),"جميع التخصصات الطبية")</f>
        <v>جميع التخصصات الطبية</v>
      </c>
      <c r="G3647" s="5" t="str">
        <f ca="1">IFERROR(__xludf.DUMMYFUNCTION("""COMPUTED_VALUE"""),"الحياة للخدمات الطبية (مستشفي الحياة بيلا)")</f>
        <v>الحياة للخدمات الطبية (مستشفي الحياة بيلا)</v>
      </c>
      <c r="H3647" s="5" t="str">
        <f ca="1">IFERROR(__xludf.DUMMYFUNCTION("""COMPUTED_VALUE"""),"ش الاهرام - بيلا - كفرالشيخ")</f>
        <v>ش الاهرام - بيلا - كفرالشيخ</v>
      </c>
      <c r="I3647" s="6" t="str">
        <f ca="1">IFERROR(__xludf.DUMMYFUNCTION("""COMPUTED_VALUE"""),"0473610950")</f>
        <v>0473610950</v>
      </c>
      <c r="J3647" s="6"/>
      <c r="K3647" s="6" t="str">
        <f ca="1">IFERROR(__xludf.DUMMYFUNCTION("""COMPUTED_VALUE"""),"خصم 30% علي الاسعار النقدي")</f>
        <v>خصم 30% علي الاسعار النقدي</v>
      </c>
    </row>
    <row r="3648" spans="1:11" x14ac:dyDescent="0.25">
      <c r="A3648" s="4" t="str">
        <f ca="1">IFERROR(__xludf.DUMMYFUNCTION("""COMPUTED_VALUE"""),"107675")</f>
        <v>107675</v>
      </c>
      <c r="B3648" s="5" t="str">
        <f ca="1">IFERROR(__xludf.DUMMYFUNCTION("""COMPUTED_VALUE"""),"القاهرة")</f>
        <v>القاهرة</v>
      </c>
      <c r="C3648" s="5" t="str">
        <f ca="1">IFERROR(__xludf.DUMMYFUNCTION("""COMPUTED_VALUE"""),"المقطم")</f>
        <v>المقطم</v>
      </c>
      <c r="D3648" s="5" t="str">
        <f ca="1">IFERROR(__xludf.DUMMYFUNCTION("""COMPUTED_VALUE"""),"هيئة الأطباء")</f>
        <v>هيئة الأطباء</v>
      </c>
      <c r="E3648" s="5" t="str">
        <f ca="1">IFERROR(__xludf.DUMMYFUNCTION("""COMPUTED_VALUE"""),"اسنان")</f>
        <v>اسنان</v>
      </c>
      <c r="F3648" s="5" t="str">
        <f ca="1">IFERROR(__xludf.DUMMYFUNCTION("""COMPUTED_VALUE"""),"جراحة الفم والأسنان")</f>
        <v>جراحة الفم والأسنان</v>
      </c>
      <c r="G3648" s="5" t="str">
        <f ca="1">IFERROR(__xludf.DUMMYFUNCTION("""COMPUTED_VALUE"""),"علي الدين عبدالحميد محرم عبدالحميد (Smile Maker Dental Clinic)")</f>
        <v>علي الدين عبدالحميد محرم عبدالحميد (Smile Maker Dental Clinic)</v>
      </c>
      <c r="H3648" s="5" t="str">
        <f ca="1">IFERROR(__xludf.DUMMYFUNCTION("""COMPUTED_VALUE"""),"7569 ش الجامعه الحديثة - عمارة العهد الهضبة الوسطي - المقطم - القاهرة")</f>
        <v>7569 ش الجامعه الحديثة - عمارة العهد الهضبة الوسطي - المقطم - القاهرة</v>
      </c>
      <c r="I3648" s="6" t="str">
        <f ca="1">IFERROR(__xludf.DUMMYFUNCTION("""COMPUTED_VALUE"""),"01154598877")</f>
        <v>01154598877</v>
      </c>
      <c r="J3648" s="6"/>
      <c r="K3648" s="6" t="str">
        <f ca="1">IFERROR(__xludf.DUMMYFUNCTION("""COMPUTED_VALUE"""),"خصم 40% علي الاسعار النقدي")</f>
        <v>خصم 40% علي الاسعار النقدي</v>
      </c>
    </row>
    <row r="3649" spans="1:11" x14ac:dyDescent="0.25">
      <c r="A3649" s="4" t="str">
        <f ca="1">IFERROR(__xludf.DUMMYFUNCTION("""COMPUTED_VALUE"""),"107676")</f>
        <v>107676</v>
      </c>
      <c r="B3649" s="5" t="str">
        <f ca="1">IFERROR(__xludf.DUMMYFUNCTION("""COMPUTED_VALUE"""),"القاهرة")</f>
        <v>القاهرة</v>
      </c>
      <c r="C3649" s="5" t="str">
        <f ca="1">IFERROR(__xludf.DUMMYFUNCTION("""COMPUTED_VALUE"""),"مدينة الشروق")</f>
        <v>مدينة الشروق</v>
      </c>
      <c r="D3649" s="5" t="str">
        <f ca="1">IFERROR(__xludf.DUMMYFUNCTION("""COMPUTED_VALUE"""),"هيئة الأطباء")</f>
        <v>هيئة الأطباء</v>
      </c>
      <c r="E3649" s="5" t="str">
        <f ca="1">IFERROR(__xludf.DUMMYFUNCTION("""COMPUTED_VALUE"""),"اسنان")</f>
        <v>اسنان</v>
      </c>
      <c r="F3649" s="5" t="str">
        <f ca="1">IFERROR(__xludf.DUMMYFUNCTION("""COMPUTED_VALUE"""),"جراحة الفم والأسنان")</f>
        <v>جراحة الفم والأسنان</v>
      </c>
      <c r="G3649" s="5" t="str">
        <f ca="1">IFERROR(__xludf.DUMMYFUNCTION("""COMPUTED_VALUE"""),"مصطفي مختار أنور محمد حجاج (ام اند ام)")</f>
        <v>مصطفي مختار أنور محمد حجاج (ام اند ام)</v>
      </c>
      <c r="H3649" s="5" t="str">
        <f ca="1">IFERROR(__xludf.DUMMYFUNCTION("""COMPUTED_VALUE"""),"ق 27 بمول الحمد م 6 - الشروق - القاهرة")</f>
        <v>ق 27 بمول الحمد م 6 - الشروق - القاهرة</v>
      </c>
      <c r="I3649" s="6" t="str">
        <f ca="1">IFERROR(__xludf.DUMMYFUNCTION("""COMPUTED_VALUE"""),"01119685579")</f>
        <v>01119685579</v>
      </c>
      <c r="J3649" s="6"/>
      <c r="K3649" s="6" t="str">
        <f ca="1">IFERROR(__xludf.DUMMYFUNCTION("""COMPUTED_VALUE"""),"خصم 40% علي الاسعار النقدي")</f>
        <v>خصم 40% علي الاسعار النقدي</v>
      </c>
    </row>
    <row r="3650" spans="1:11" x14ac:dyDescent="0.25">
      <c r="A3650" s="4" t="str">
        <f ca="1">IFERROR(__xludf.DUMMYFUNCTION("""COMPUTED_VALUE"""),"107676-B")</f>
        <v>107676-B</v>
      </c>
      <c r="B3650" s="5" t="str">
        <f ca="1">IFERROR(__xludf.DUMMYFUNCTION("""COMPUTED_VALUE"""),"القاهرة")</f>
        <v>القاهرة</v>
      </c>
      <c r="C3650" s="5" t="str">
        <f ca="1">IFERROR(__xludf.DUMMYFUNCTION("""COMPUTED_VALUE"""),"مدينة نصر")</f>
        <v>مدينة نصر</v>
      </c>
      <c r="D3650" s="5" t="str">
        <f ca="1">IFERROR(__xludf.DUMMYFUNCTION("""COMPUTED_VALUE"""),"هيئة الأطباء")</f>
        <v>هيئة الأطباء</v>
      </c>
      <c r="E3650" s="5" t="str">
        <f ca="1">IFERROR(__xludf.DUMMYFUNCTION("""COMPUTED_VALUE"""),"اسنان")</f>
        <v>اسنان</v>
      </c>
      <c r="F3650" s="5" t="str">
        <f ca="1">IFERROR(__xludf.DUMMYFUNCTION("""COMPUTED_VALUE"""),"جراحة الفم والأسنان")</f>
        <v>جراحة الفم والأسنان</v>
      </c>
      <c r="G3650" s="5" t="str">
        <f ca="1">IFERROR(__xludf.DUMMYFUNCTION("""COMPUTED_VALUE"""),"مصطفي مختار أنور محمد حجاج (ام اند ام)")</f>
        <v>مصطفي مختار أنور محمد حجاج (ام اند ام)</v>
      </c>
      <c r="H3650" s="5" t="str">
        <f ca="1">IFERROR(__xludf.DUMMYFUNCTION("""COMPUTED_VALUE"""),"3018 مدخل ب زهراء مدينة نصر - شقة 1 - مدينة نصر")</f>
        <v>3018 مدخل ب زهراء مدينة نصر - شقة 1 - مدينة نصر</v>
      </c>
      <c r="I3650" s="6" t="str">
        <f ca="1">IFERROR(__xludf.DUMMYFUNCTION("""COMPUTED_VALUE"""),"01119685579")</f>
        <v>01119685579</v>
      </c>
      <c r="J3650" s="6"/>
      <c r="K3650" s="6" t="str">
        <f ca="1">IFERROR(__xludf.DUMMYFUNCTION("""COMPUTED_VALUE"""),"خصم 40% علي الاسعار النقدي")</f>
        <v>خصم 40% علي الاسعار النقدي</v>
      </c>
    </row>
    <row r="3651" spans="1:11" x14ac:dyDescent="0.25">
      <c r="A3651" s="4" t="str">
        <f ca="1">IFERROR(__xludf.DUMMYFUNCTION("""COMPUTED_VALUE"""),"106948-B")</f>
        <v>106948-B</v>
      </c>
      <c r="B3651" s="5" t="str">
        <f ca="1">IFERROR(__xludf.DUMMYFUNCTION("""COMPUTED_VALUE"""),"الجيزة")</f>
        <v>الجيزة</v>
      </c>
      <c r="C3651" s="5" t="str">
        <f ca="1">IFERROR(__xludf.DUMMYFUNCTION("""COMPUTED_VALUE"""),"المهندسين")</f>
        <v>المهندسين</v>
      </c>
      <c r="D3651" s="5" t="str">
        <f ca="1">IFERROR(__xludf.DUMMYFUNCTION("""COMPUTED_VALUE"""),"صيدلية")</f>
        <v>صيدلية</v>
      </c>
      <c r="E3651" s="5" t="str">
        <f ca="1">IFERROR(__xludf.DUMMYFUNCTION("""COMPUTED_VALUE"""),"صيدلية")</f>
        <v>صيدلية</v>
      </c>
      <c r="F3651" s="5" t="str">
        <f ca="1">IFERROR(__xludf.DUMMYFUNCTION("""COMPUTED_VALUE"""),"صيدلية (أدوية ومستلزمات طبية)")</f>
        <v>صيدلية (أدوية ومستلزمات طبية)</v>
      </c>
      <c r="G3651" s="5" t="str">
        <f ca="1">IFERROR(__xludf.DUMMYFUNCTION("""COMPUTED_VALUE"""),"صيدلية اللوتس ")</f>
        <v xml:space="preserve">صيدلية اللوتس </v>
      </c>
      <c r="H3651" s="5" t="str">
        <f ca="1">IFERROR(__xludf.DUMMYFUNCTION("""COMPUTED_VALUE"""),"48 ش البطل احمد عبد العزيز - المهندسين")</f>
        <v>48 ش البطل احمد عبد العزيز - المهندسين</v>
      </c>
      <c r="I3651" s="6"/>
      <c r="J3651" s="6" t="str">
        <f ca="1">IFERROR(__xludf.DUMMYFUNCTION("""COMPUTED_VALUE"""),"16310")</f>
        <v>16310</v>
      </c>
      <c r="K3651" s="6" t="str">
        <f ca="1">IFERROR(__xludf.DUMMYFUNCTION("""COMPUTED_VALUE"""),"خصم 10% علي المحلي و 5% علي المستورد ما عدا القائمه المرفقه")</f>
        <v>خصم 10% علي المحلي و 5% علي المستورد ما عدا القائمه المرفقه</v>
      </c>
    </row>
    <row r="3652" spans="1:11" x14ac:dyDescent="0.25">
      <c r="A3652" s="4" t="str">
        <f ca="1">IFERROR(__xludf.DUMMYFUNCTION("""COMPUTED_VALUE"""),"106948-B")</f>
        <v>106948-B</v>
      </c>
      <c r="B3652" s="5" t="str">
        <f ca="1">IFERROR(__xludf.DUMMYFUNCTION("""COMPUTED_VALUE"""),"القاهرة")</f>
        <v>القاهرة</v>
      </c>
      <c r="C3652" s="5" t="str">
        <f ca="1">IFERROR(__xludf.DUMMYFUNCTION("""COMPUTED_VALUE"""),"مدينة نصر")</f>
        <v>مدينة نصر</v>
      </c>
      <c r="D3652" s="5" t="str">
        <f ca="1">IFERROR(__xludf.DUMMYFUNCTION("""COMPUTED_VALUE"""),"صيدلية")</f>
        <v>صيدلية</v>
      </c>
      <c r="E3652" s="5" t="str">
        <f ca="1">IFERROR(__xludf.DUMMYFUNCTION("""COMPUTED_VALUE"""),"صيدلية")</f>
        <v>صيدلية</v>
      </c>
      <c r="F3652" s="5" t="str">
        <f ca="1">IFERROR(__xludf.DUMMYFUNCTION("""COMPUTED_VALUE"""),"صيدلية (أدوية ومستلزمات طبية)")</f>
        <v>صيدلية (أدوية ومستلزمات طبية)</v>
      </c>
      <c r="G3652" s="5" t="str">
        <f ca="1">IFERROR(__xludf.DUMMYFUNCTION("""COMPUTED_VALUE"""),"صيدلية اللوتس ")</f>
        <v xml:space="preserve">صيدلية اللوتس </v>
      </c>
      <c r="H3652" s="5" t="str">
        <f ca="1">IFERROR(__xludf.DUMMYFUNCTION("""COMPUTED_VALUE"""),"14 ش البطراوى – مدينة نصر")</f>
        <v>14 ش البطراوى – مدينة نصر</v>
      </c>
      <c r="I3652" s="6"/>
      <c r="J3652" s="6" t="str">
        <f ca="1">IFERROR(__xludf.DUMMYFUNCTION("""COMPUTED_VALUE"""),"16310")</f>
        <v>16310</v>
      </c>
      <c r="K3652" s="6" t="str">
        <f ca="1">IFERROR(__xludf.DUMMYFUNCTION("""COMPUTED_VALUE"""),"خصم 10% علي المحلي و 5% علي المستورد ما عدا القائمه المرفقه")</f>
        <v>خصم 10% علي المحلي و 5% علي المستورد ما عدا القائمه المرفقه</v>
      </c>
    </row>
    <row r="3653" spans="1:11" x14ac:dyDescent="0.25">
      <c r="A3653" s="4" t="str">
        <f ca="1">IFERROR(__xludf.DUMMYFUNCTION("""COMPUTED_VALUE"""),"106948-B")</f>
        <v>106948-B</v>
      </c>
      <c r="B3653" s="5" t="str">
        <f ca="1">IFERROR(__xludf.DUMMYFUNCTION("""COMPUTED_VALUE"""),"القاهرة")</f>
        <v>القاهرة</v>
      </c>
      <c r="C3653" s="5" t="str">
        <f ca="1">IFERROR(__xludf.DUMMYFUNCTION("""COMPUTED_VALUE"""),"المعادى")</f>
        <v>المعادى</v>
      </c>
      <c r="D3653" s="5" t="str">
        <f ca="1">IFERROR(__xludf.DUMMYFUNCTION("""COMPUTED_VALUE"""),"صيدلية")</f>
        <v>صيدلية</v>
      </c>
      <c r="E3653" s="5" t="str">
        <f ca="1">IFERROR(__xludf.DUMMYFUNCTION("""COMPUTED_VALUE"""),"صيدلية")</f>
        <v>صيدلية</v>
      </c>
      <c r="F3653" s="5" t="str">
        <f ca="1">IFERROR(__xludf.DUMMYFUNCTION("""COMPUTED_VALUE"""),"صيدلية (أدوية ومستلزمات طبية)")</f>
        <v>صيدلية (أدوية ومستلزمات طبية)</v>
      </c>
      <c r="G3653" s="5" t="str">
        <f ca="1">IFERROR(__xludf.DUMMYFUNCTION("""COMPUTED_VALUE"""),"صيدلية اللوتس ")</f>
        <v xml:space="preserve">صيدلية اللوتس </v>
      </c>
      <c r="H3653" s="5" t="str">
        <f ca="1">IFERROR(__xludf.DUMMYFUNCTION("""COMPUTED_VALUE"""),"29 ش النصر - المعادى")</f>
        <v>29 ش النصر - المعادى</v>
      </c>
      <c r="I3653" s="6"/>
      <c r="J3653" s="6" t="str">
        <f ca="1">IFERROR(__xludf.DUMMYFUNCTION("""COMPUTED_VALUE"""),"16310")</f>
        <v>16310</v>
      </c>
      <c r="K3653" s="6" t="str">
        <f ca="1">IFERROR(__xludf.DUMMYFUNCTION("""COMPUTED_VALUE"""),"خصم 10% علي المحلي و 5% علي المستورد ما عدا القائمه المرفقه")</f>
        <v>خصم 10% علي المحلي و 5% علي المستورد ما عدا القائمه المرفقه</v>
      </c>
    </row>
    <row r="3654" spans="1:11" x14ac:dyDescent="0.25">
      <c r="A3654" s="4" t="str">
        <f ca="1">IFERROR(__xludf.DUMMYFUNCTION("""COMPUTED_VALUE"""),"107679")</f>
        <v>107679</v>
      </c>
      <c r="B3654" s="5" t="str">
        <f ca="1">IFERROR(__xludf.DUMMYFUNCTION("""COMPUTED_VALUE"""),"السويس")</f>
        <v>السويس</v>
      </c>
      <c r="C3654" s="5" t="str">
        <f ca="1">IFERROR(__xludf.DUMMYFUNCTION("""COMPUTED_VALUE"""),"السويس")</f>
        <v>السويس</v>
      </c>
      <c r="D3654" s="5" t="str">
        <f ca="1">IFERROR(__xludf.DUMMYFUNCTION("""COMPUTED_VALUE"""),"مستشفى")</f>
        <v>مستشفى</v>
      </c>
      <c r="E3654" s="5" t="str">
        <f ca="1">IFERROR(__xludf.DUMMYFUNCTION("""COMPUTED_VALUE"""),"جميع التخصصات")</f>
        <v>جميع التخصصات</v>
      </c>
      <c r="F3654" s="5" t="str">
        <f ca="1">IFERROR(__xludf.DUMMYFUNCTION("""COMPUTED_VALUE"""),"جميع التخصصات الطبية")</f>
        <v>جميع التخصصات الطبية</v>
      </c>
      <c r="G3654" s="5" t="str">
        <f ca="1">IFERROR(__xludf.DUMMYFUNCTION("""COMPUTED_VALUE"""),"أحمد محروس أحمد متولي و شريكه (مستشفي المبره الخاص) - السويس")</f>
        <v>أحمد محروس أحمد متولي و شريكه (مستشفي المبره الخاص) - السويس</v>
      </c>
      <c r="H3654" s="5" t="str">
        <f ca="1">IFERROR(__xludf.DUMMYFUNCTION("""COMPUTED_VALUE"""),"324 شارع الجيش - السويس")</f>
        <v>324 شارع الجيش - السويس</v>
      </c>
      <c r="I3654" s="6" t="str">
        <f ca="1">IFERROR(__xludf.DUMMYFUNCTION("""COMPUTED_VALUE"""),"01013389491")</f>
        <v>01013389491</v>
      </c>
      <c r="J3654" s="6"/>
      <c r="K3654" s="6" t="str">
        <f ca="1">IFERROR(__xludf.DUMMYFUNCTION("""COMPUTED_VALUE"""),"خصم 30% علي الاسعار النقدي")</f>
        <v>خصم 30% علي الاسعار النقدي</v>
      </c>
    </row>
    <row r="3655" spans="1:11" x14ac:dyDescent="0.25">
      <c r="A3655" s="4" t="str">
        <f ca="1">IFERROR(__xludf.DUMMYFUNCTION("""COMPUTED_VALUE"""),"107680")</f>
        <v>107680</v>
      </c>
      <c r="B3655" s="5" t="str">
        <f ca="1">IFERROR(__xludf.DUMMYFUNCTION("""COMPUTED_VALUE"""),"القليوبية")</f>
        <v>القليوبية</v>
      </c>
      <c r="C3655" s="5" t="str">
        <f ca="1">IFERROR(__xludf.DUMMYFUNCTION("""COMPUTED_VALUE"""),"شبين القناطر")</f>
        <v>شبين القناطر</v>
      </c>
      <c r="D3655" s="5" t="str">
        <f ca="1">IFERROR(__xludf.DUMMYFUNCTION("""COMPUTED_VALUE"""),"مستشفى")</f>
        <v>مستشفى</v>
      </c>
      <c r="E3655" s="5" t="str">
        <f ca="1">IFERROR(__xludf.DUMMYFUNCTION("""COMPUTED_VALUE"""),"مستشفي طبي متخصص")</f>
        <v>مستشفي طبي متخصص</v>
      </c>
      <c r="F3655" s="5" t="str">
        <f ca="1">IFERROR(__xludf.DUMMYFUNCTION("""COMPUTED_VALUE"""),"جراحة عامة")</f>
        <v>جراحة عامة</v>
      </c>
      <c r="G3655" s="5" t="str">
        <f ca="1">IFERROR(__xludf.DUMMYFUNCTION("""COMPUTED_VALUE"""),"المشكاه للخدمات الطبية (مركز مكة الطبي)")</f>
        <v>المشكاه للخدمات الطبية (مركز مكة الطبي)</v>
      </c>
      <c r="H3655" s="5" t="str">
        <f ca="1">IFERROR(__xludf.DUMMYFUNCTION("""COMPUTED_VALUE"""),"عمارة دكتور هيثم دويدار ش الوكلاء طريق طوخ - شبين القناطر - القليوبية")</f>
        <v>عمارة دكتور هيثم دويدار ش الوكلاء طريق طوخ - شبين القناطر - القليوبية</v>
      </c>
      <c r="I3655" s="6" t="str">
        <f ca="1">IFERROR(__xludf.DUMMYFUNCTION("""COMPUTED_VALUE"""),"01010064084")</f>
        <v>01010064084</v>
      </c>
      <c r="J3655" s="6"/>
      <c r="K3655" s="6" t="str">
        <f ca="1">IFERROR(__xludf.DUMMYFUNCTION("""COMPUTED_VALUE"""),"خصم 30% علي الاسعار النقدي")</f>
        <v>خصم 30% علي الاسعار النقدي</v>
      </c>
    </row>
    <row r="3656" spans="1:11" x14ac:dyDescent="0.25">
      <c r="A3656" s="4" t="str">
        <f ca="1">IFERROR(__xludf.DUMMYFUNCTION("""COMPUTED_VALUE"""),"107681")</f>
        <v>107681</v>
      </c>
      <c r="B3656" s="5" t="str">
        <f ca="1">IFERROR(__xludf.DUMMYFUNCTION("""COMPUTED_VALUE"""),"قنا")</f>
        <v>قنا</v>
      </c>
      <c r="C3656" s="5" t="str">
        <f ca="1">IFERROR(__xludf.DUMMYFUNCTION("""COMPUTED_VALUE"""),"نجع حمادى")</f>
        <v>نجع حمادى</v>
      </c>
      <c r="D3656" s="5" t="str">
        <f ca="1">IFERROR(__xludf.DUMMYFUNCTION("""COMPUTED_VALUE"""),"مجمع عيادات")</f>
        <v>مجمع عيادات</v>
      </c>
      <c r="E3656" s="5" t="str">
        <f ca="1">IFERROR(__xludf.DUMMYFUNCTION("""COMPUTED_VALUE"""),"جميع التخصصات")</f>
        <v>جميع التخصصات</v>
      </c>
      <c r="F3656" s="5" t="str">
        <f ca="1">IFERROR(__xludf.DUMMYFUNCTION("""COMPUTED_VALUE"""),"جميع التخصصات الطبية")</f>
        <v>جميع التخصصات الطبية</v>
      </c>
      <c r="G3656" s="5" t="str">
        <f ca="1">IFERROR(__xludf.DUMMYFUNCTION("""COMPUTED_VALUE"""),"محمود ربيع محمد عنيني (عيادات دار الطبيب التخصصية)")</f>
        <v>محمود ربيع محمد عنيني (عيادات دار الطبيب التخصصية)</v>
      </c>
      <c r="H3656" s="5" t="str">
        <f ca="1">IFERROR(__xludf.DUMMYFUNCTION("""COMPUTED_VALUE"""),"ش حسني مبارك بجوار برج الماسة الطبي - نجع حمادي - قنا")</f>
        <v>ش حسني مبارك بجوار برج الماسة الطبي - نجع حمادي - قنا</v>
      </c>
      <c r="I3656" s="6" t="str">
        <f ca="1">IFERROR(__xludf.DUMMYFUNCTION("""COMPUTED_VALUE"""),"01272737775")</f>
        <v>01272737775</v>
      </c>
      <c r="J3656" s="6"/>
      <c r="K3656" s="6" t="str">
        <f ca="1">IFERROR(__xludf.DUMMYFUNCTION("""COMPUTED_VALUE"""),"خصم 30% علي الاسعار النقدي")</f>
        <v>خصم 30% علي الاسعار النقدي</v>
      </c>
    </row>
    <row r="3657" spans="1:11" x14ac:dyDescent="0.25">
      <c r="A3657" s="4" t="str">
        <f ca="1">IFERROR(__xludf.DUMMYFUNCTION("""COMPUTED_VALUE"""),"107682")</f>
        <v>107682</v>
      </c>
      <c r="B3657" s="5" t="str">
        <f ca="1">IFERROR(__xludf.DUMMYFUNCTION("""COMPUTED_VALUE"""),"مرسى مطروح")</f>
        <v>مرسى مطروح</v>
      </c>
      <c r="C3657" s="5" t="str">
        <f ca="1">IFERROR(__xludf.DUMMYFUNCTION("""COMPUTED_VALUE"""),"الحمام")</f>
        <v>الحمام</v>
      </c>
      <c r="D3657" s="5" t="str">
        <f ca="1">IFERROR(__xludf.DUMMYFUNCTION("""COMPUTED_VALUE"""),"صيدلية")</f>
        <v>صيدلية</v>
      </c>
      <c r="E3657" s="5" t="str">
        <f ca="1">IFERROR(__xludf.DUMMYFUNCTION("""COMPUTED_VALUE"""),"صيدلية")</f>
        <v>صيدلية</v>
      </c>
      <c r="F3657" s="5" t="str">
        <f ca="1">IFERROR(__xludf.DUMMYFUNCTION("""COMPUTED_VALUE"""),"صيدلية (أدوية ومستلزمات طبية)")</f>
        <v>صيدلية (أدوية ومستلزمات طبية)</v>
      </c>
      <c r="G3657" s="5" t="str">
        <f ca="1">IFERROR(__xludf.DUMMYFUNCTION("""COMPUTED_VALUE"""),"رمضان شعبان عبده محمد جاد (صيدلية د. رمضان شعبان عبده)")</f>
        <v>رمضان شعبان عبده محمد جاد (صيدلية د. رمضان شعبان عبده)</v>
      </c>
      <c r="H3657" s="5" t="str">
        <f ca="1">IFERROR(__xludf.DUMMYFUNCTION("""COMPUTED_VALUE"""),"شارع الاسكندرية مدخل حفر الباطن - الحمام - مرسي مطروح")</f>
        <v>شارع الاسكندرية مدخل حفر الباطن - الحمام - مرسي مطروح</v>
      </c>
      <c r="I3657" s="6" t="str">
        <f ca="1">IFERROR(__xludf.DUMMYFUNCTION("""COMPUTED_VALUE"""),"01125701973")</f>
        <v>01125701973</v>
      </c>
      <c r="J3657" s="6"/>
      <c r="K3657" s="6" t="str">
        <f ca="1">IFERROR(__xludf.DUMMYFUNCTION("""COMPUTED_VALUE"""),"خصم 14% علي الادوية المحلية و 7% علي الادوية المستوردة")</f>
        <v>خصم 14% علي الادوية المحلية و 7% علي الادوية المستوردة</v>
      </c>
    </row>
    <row r="3658" spans="1:11" x14ac:dyDescent="0.25">
      <c r="A3658" s="4" t="str">
        <f ca="1">IFERROR(__xludf.DUMMYFUNCTION("""COMPUTED_VALUE"""),"107683")</f>
        <v>107683</v>
      </c>
      <c r="B3658" s="5" t="str">
        <f ca="1">IFERROR(__xludf.DUMMYFUNCTION("""COMPUTED_VALUE"""),"القاهرة")</f>
        <v>القاهرة</v>
      </c>
      <c r="C3658" s="5" t="str">
        <f ca="1">IFERROR(__xludf.DUMMYFUNCTION("""COMPUTED_VALUE"""),"القاهرة الجديدة")</f>
        <v>القاهرة الجديدة</v>
      </c>
      <c r="D3658" s="5" t="str">
        <f ca="1">IFERROR(__xludf.DUMMYFUNCTION("""COMPUTED_VALUE"""),"صيدلية")</f>
        <v>صيدلية</v>
      </c>
      <c r="E3658" s="5" t="str">
        <f ca="1">IFERROR(__xludf.DUMMYFUNCTION("""COMPUTED_VALUE"""),"صيدلية")</f>
        <v>صيدلية</v>
      </c>
      <c r="F3658" s="5" t="str">
        <f ca="1">IFERROR(__xludf.DUMMYFUNCTION("""COMPUTED_VALUE"""),"صيدلية (أدوية ومستلزمات طبية)")</f>
        <v>صيدلية (أدوية ومستلزمات طبية)</v>
      </c>
      <c r="G3658" s="5" t="str">
        <f ca="1">IFERROR(__xludf.DUMMYFUNCTION("""COMPUTED_VALUE"""),"كاد فارما الدوائية (Well-Nest Pharmacies)")</f>
        <v>كاد فارما الدوائية (Well-Nest Pharmacies)</v>
      </c>
      <c r="H3658" s="5" t="str">
        <f ca="1">IFERROR(__xludf.DUMMYFUNCTION("""COMPUTED_VALUE"""),"93 ش 78 النرجس 8 فيلات التجمع الخامس - القاهرة الجديدة - القاهرة")</f>
        <v>93 ش 78 النرجس 8 فيلات التجمع الخامس - القاهرة الجديدة - القاهرة</v>
      </c>
      <c r="I3658" s="6" t="str">
        <f ca="1">IFERROR(__xludf.DUMMYFUNCTION("""COMPUTED_VALUE"""),"01040292522")</f>
        <v>01040292522</v>
      </c>
      <c r="J3658" s="6"/>
      <c r="K3658" s="6" t="str">
        <f ca="1">IFERROR(__xludf.DUMMYFUNCTION("""COMPUTED_VALUE"""),"خصم 14% علي الادوية المحلية و 7% علي الادوية المستوردة")</f>
        <v>خصم 14% علي الادوية المحلية و 7% علي الادوية المستوردة</v>
      </c>
    </row>
    <row r="3659" spans="1:11" x14ac:dyDescent="0.25">
      <c r="A3659" s="4" t="str">
        <f ca="1">IFERROR(__xludf.DUMMYFUNCTION("""COMPUTED_VALUE"""),"107683-B")</f>
        <v>107683-B</v>
      </c>
      <c r="B3659" s="5" t="str">
        <f ca="1">IFERROR(__xludf.DUMMYFUNCTION("""COMPUTED_VALUE"""),"القاهرة")</f>
        <v>القاهرة</v>
      </c>
      <c r="C3659" s="5" t="str">
        <f ca="1">IFERROR(__xludf.DUMMYFUNCTION("""COMPUTED_VALUE"""),"مصر الجديدة")</f>
        <v>مصر الجديدة</v>
      </c>
      <c r="D3659" s="5" t="str">
        <f ca="1">IFERROR(__xludf.DUMMYFUNCTION("""COMPUTED_VALUE"""),"صيدلية")</f>
        <v>صيدلية</v>
      </c>
      <c r="E3659" s="5" t="str">
        <f ca="1">IFERROR(__xludf.DUMMYFUNCTION("""COMPUTED_VALUE"""),"صيدلية")</f>
        <v>صيدلية</v>
      </c>
      <c r="F3659" s="5" t="str">
        <f ca="1">IFERROR(__xludf.DUMMYFUNCTION("""COMPUTED_VALUE"""),"صيدلية (أدوية ومستلزمات طبية)")</f>
        <v>صيدلية (أدوية ومستلزمات طبية)</v>
      </c>
      <c r="G3659" s="5" t="str">
        <f ca="1">IFERROR(__xludf.DUMMYFUNCTION("""COMPUTED_VALUE"""),"كاد فارما الدوائية (Well-Nest Pharmacies)")</f>
        <v>كاد فارما الدوائية (Well-Nest Pharmacies)</v>
      </c>
      <c r="H3659" s="5" t="str">
        <f ca="1">IFERROR(__xludf.DUMMYFUNCTION("""COMPUTED_VALUE"""),"115عمر ابن الخطاب تيفولي هيليوبوليس مصر الجديدة")</f>
        <v>115عمر ابن الخطاب تيفولي هيليوبوليس مصر الجديدة</v>
      </c>
      <c r="I3659" s="6" t="str">
        <f ca="1">IFERROR(__xludf.DUMMYFUNCTION("""COMPUTED_VALUE"""),"01040292522")</f>
        <v>01040292522</v>
      </c>
      <c r="J3659" s="6"/>
      <c r="K3659" s="6" t="str">
        <f ca="1">IFERROR(__xludf.DUMMYFUNCTION("""COMPUTED_VALUE"""),"خصم 14% علي الادوية المحلية و 7% علي الادوية المستوردة")</f>
        <v>خصم 14% علي الادوية المحلية و 7% علي الادوية المستوردة</v>
      </c>
    </row>
    <row r="3660" spans="1:11" x14ac:dyDescent="0.25">
      <c r="A3660" s="4" t="str">
        <f ca="1">IFERROR(__xludf.DUMMYFUNCTION("""COMPUTED_VALUE"""),"107683-B")</f>
        <v>107683-B</v>
      </c>
      <c r="B3660" s="5" t="str">
        <f ca="1">IFERROR(__xludf.DUMMYFUNCTION("""COMPUTED_VALUE"""),"القاهرة")</f>
        <v>القاهرة</v>
      </c>
      <c r="C3660" s="5" t="str">
        <f ca="1">IFERROR(__xludf.DUMMYFUNCTION("""COMPUTED_VALUE"""),"حلمية الزيتون")</f>
        <v>حلمية الزيتون</v>
      </c>
      <c r="D3660" s="5" t="str">
        <f ca="1">IFERROR(__xludf.DUMMYFUNCTION("""COMPUTED_VALUE"""),"صيدلية")</f>
        <v>صيدلية</v>
      </c>
      <c r="E3660" s="5" t="str">
        <f ca="1">IFERROR(__xludf.DUMMYFUNCTION("""COMPUTED_VALUE"""),"صيدلية")</f>
        <v>صيدلية</v>
      </c>
      <c r="F3660" s="5" t="str">
        <f ca="1">IFERROR(__xludf.DUMMYFUNCTION("""COMPUTED_VALUE"""),"صيدلية (أدوية ومستلزمات طبية)")</f>
        <v>صيدلية (أدوية ومستلزمات طبية)</v>
      </c>
      <c r="G3660" s="5" t="str">
        <f ca="1">IFERROR(__xludf.DUMMYFUNCTION("""COMPUTED_VALUE"""),"كاد فارما الدوائية (Well-Nest Pharmacies)")</f>
        <v>كاد فارما الدوائية (Well-Nest Pharmacies)</v>
      </c>
      <c r="H3660" s="5" t="str">
        <f ca="1">IFERROR(__xludf.DUMMYFUNCTION("""COMPUTED_VALUE"""),"3شارع إسماعيل بك كوبرى القبة")</f>
        <v>3شارع إسماعيل بك كوبرى القبة</v>
      </c>
      <c r="I3660" s="6" t="str">
        <f ca="1">IFERROR(__xludf.DUMMYFUNCTION("""COMPUTED_VALUE"""),"01040292522")</f>
        <v>01040292522</v>
      </c>
      <c r="J3660" s="6"/>
      <c r="K3660" s="6" t="str">
        <f ca="1">IFERROR(__xludf.DUMMYFUNCTION("""COMPUTED_VALUE"""),"خصم 14% علي الادوية المحلية و 7% علي الادوية المستوردة")</f>
        <v>خصم 14% علي الادوية المحلية و 7% علي الادوية المستوردة</v>
      </c>
    </row>
    <row r="3661" spans="1:11" x14ac:dyDescent="0.25">
      <c r="A3661" s="4" t="str">
        <f ca="1">IFERROR(__xludf.DUMMYFUNCTION("""COMPUTED_VALUE"""),"107683-B")</f>
        <v>107683-B</v>
      </c>
      <c r="B3661" s="5" t="str">
        <f ca="1">IFERROR(__xludf.DUMMYFUNCTION("""COMPUTED_VALUE"""),"القاهرة")</f>
        <v>القاهرة</v>
      </c>
      <c r="C3661" s="5" t="str">
        <f ca="1">IFERROR(__xludf.DUMMYFUNCTION("""COMPUTED_VALUE"""),"حلمية الزيتون")</f>
        <v>حلمية الزيتون</v>
      </c>
      <c r="D3661" s="5" t="str">
        <f ca="1">IFERROR(__xludf.DUMMYFUNCTION("""COMPUTED_VALUE"""),"صيدلية")</f>
        <v>صيدلية</v>
      </c>
      <c r="E3661" s="5" t="str">
        <f ca="1">IFERROR(__xludf.DUMMYFUNCTION("""COMPUTED_VALUE"""),"صيدلية")</f>
        <v>صيدلية</v>
      </c>
      <c r="F3661" s="5" t="str">
        <f ca="1">IFERROR(__xludf.DUMMYFUNCTION("""COMPUTED_VALUE"""),"صيدلية (أدوية ومستلزمات طبية)")</f>
        <v>صيدلية (أدوية ومستلزمات طبية)</v>
      </c>
      <c r="G3661" s="5" t="str">
        <f ca="1">IFERROR(__xludf.DUMMYFUNCTION("""COMPUTED_VALUE"""),"كاد فارما الدوائية (Well-Nest Pharmacies)")</f>
        <v>كاد فارما الدوائية (Well-Nest Pharmacies)</v>
      </c>
      <c r="H3661" s="5" t="str">
        <f ca="1">IFERROR(__xludf.DUMMYFUNCTION("""COMPUTED_VALUE"""),"أ142 شارع طومنباى الزيتون")</f>
        <v>أ142 شارع طومنباى الزيتون</v>
      </c>
      <c r="I3661" s="6" t="str">
        <f ca="1">IFERROR(__xludf.DUMMYFUNCTION("""COMPUTED_VALUE"""),"01040292522")</f>
        <v>01040292522</v>
      </c>
      <c r="J3661" s="6"/>
      <c r="K3661" s="6" t="str">
        <f ca="1">IFERROR(__xludf.DUMMYFUNCTION("""COMPUTED_VALUE"""),"خصم 14% علي الادوية المحلية و 7% علي الادوية المستوردة")</f>
        <v>خصم 14% علي الادوية المحلية و 7% علي الادوية المستوردة</v>
      </c>
    </row>
    <row r="3662" spans="1:11" x14ac:dyDescent="0.25">
      <c r="A3662" s="4" t="str">
        <f ca="1">IFERROR(__xludf.DUMMYFUNCTION("""COMPUTED_VALUE"""),"107683-B")</f>
        <v>107683-B</v>
      </c>
      <c r="B3662" s="5" t="str">
        <f ca="1">IFERROR(__xludf.DUMMYFUNCTION("""COMPUTED_VALUE"""),"القاهرة")</f>
        <v>القاهرة</v>
      </c>
      <c r="C3662" s="5" t="str">
        <f ca="1">IFERROR(__xludf.DUMMYFUNCTION("""COMPUTED_VALUE"""),"مدينة نصر")</f>
        <v>مدينة نصر</v>
      </c>
      <c r="D3662" s="5" t="str">
        <f ca="1">IFERROR(__xludf.DUMMYFUNCTION("""COMPUTED_VALUE"""),"صيدلية")</f>
        <v>صيدلية</v>
      </c>
      <c r="E3662" s="5" t="str">
        <f ca="1">IFERROR(__xludf.DUMMYFUNCTION("""COMPUTED_VALUE"""),"صيدلية")</f>
        <v>صيدلية</v>
      </c>
      <c r="F3662" s="5" t="str">
        <f ca="1">IFERROR(__xludf.DUMMYFUNCTION("""COMPUTED_VALUE"""),"صيدلية (أدوية ومستلزمات طبية)")</f>
        <v>صيدلية (أدوية ومستلزمات طبية)</v>
      </c>
      <c r="G3662" s="5" t="str">
        <f ca="1">IFERROR(__xludf.DUMMYFUNCTION("""COMPUTED_VALUE"""),"كاد فارما الدوائية (Well-Nest Pharmacies)")</f>
        <v>كاد فارما الدوائية (Well-Nest Pharmacies)</v>
      </c>
      <c r="H3662" s="5" t="str">
        <f ca="1">IFERROR(__xludf.DUMMYFUNCTION("""COMPUTED_VALUE"""),"٢٧شارع محمد مقلد متفرع من حسن المامون ألحى الثامن مدينة نصر")</f>
        <v>٢٧شارع محمد مقلد متفرع من حسن المامون ألحى الثامن مدينة نصر</v>
      </c>
      <c r="I3662" s="6" t="str">
        <f ca="1">IFERROR(__xludf.DUMMYFUNCTION("""COMPUTED_VALUE"""),"01040292522")</f>
        <v>01040292522</v>
      </c>
      <c r="J3662" s="6"/>
      <c r="K3662" s="6" t="str">
        <f ca="1">IFERROR(__xludf.DUMMYFUNCTION("""COMPUTED_VALUE"""),"خصم 14% علي الادوية المحلية و 7% علي الادوية المستوردة")</f>
        <v>خصم 14% علي الادوية المحلية و 7% علي الادوية المستوردة</v>
      </c>
    </row>
    <row r="3663" spans="1:11" x14ac:dyDescent="0.25">
      <c r="A3663" s="4" t="str">
        <f ca="1">IFERROR(__xludf.DUMMYFUNCTION("""COMPUTED_VALUE"""),"107487-B")</f>
        <v>107487-B</v>
      </c>
      <c r="B3663" s="5" t="str">
        <f ca="1">IFERROR(__xludf.DUMMYFUNCTION("""COMPUTED_VALUE"""),"الاسكندرية")</f>
        <v>الاسكندرية</v>
      </c>
      <c r="C3663" s="5" t="str">
        <f ca="1">IFERROR(__xludf.DUMMYFUNCTION("""COMPUTED_VALUE"""),"سيدي جابر")</f>
        <v>سيدي جابر</v>
      </c>
      <c r="D3663" s="5" t="str">
        <f ca="1">IFERROR(__xludf.DUMMYFUNCTION("""COMPUTED_VALUE"""),"هيئة الأطباء")</f>
        <v>هيئة الأطباء</v>
      </c>
      <c r="E3663" s="5" t="str">
        <f ca="1">IFERROR(__xludf.DUMMYFUNCTION("""COMPUTED_VALUE"""),"اسنان")</f>
        <v>اسنان</v>
      </c>
      <c r="F3663" s="5" t="str">
        <f ca="1">IFERROR(__xludf.DUMMYFUNCTION("""COMPUTED_VALUE"""),"جراحة الفم والأسنان")</f>
        <v>جراحة الفم والأسنان</v>
      </c>
      <c r="G3663" s="5" t="str">
        <f ca="1">IFERROR(__xludf.DUMMYFUNCTION("""COMPUTED_VALUE"""),"كريم مصطفي كمال محمد لطفي (عيادة اورا للاسنان)")</f>
        <v>كريم مصطفي كمال محمد لطفي (عيادة اورا للاسنان)</v>
      </c>
      <c r="H3663" s="5" t="str">
        <f ca="1">IFERROR(__xludf.DUMMYFUNCTION("""COMPUTED_VALUE"""),"10 ش المشير احمد اسماعيل سيدي جابر المحطه الدور الثاني وحده 209")</f>
        <v>10 ش المشير احمد اسماعيل سيدي جابر المحطه الدور الثاني وحده 209</v>
      </c>
      <c r="I3663" s="6" t="str">
        <f ca="1">IFERROR(__xludf.DUMMYFUNCTION("""COMPUTED_VALUE"""),"01036306595")</f>
        <v>01036306595</v>
      </c>
      <c r="J3663" s="6"/>
      <c r="K3663" s="6" t="str">
        <f ca="1">IFERROR(__xludf.DUMMYFUNCTION("""COMPUTED_VALUE"""),"خصم 30% علي الاسعار النقدي")</f>
        <v>خصم 30% علي الاسعار النقدي</v>
      </c>
    </row>
    <row r="3664" spans="1:11" x14ac:dyDescent="0.25">
      <c r="A3664" s="4" t="str">
        <f ca="1">IFERROR(__xludf.DUMMYFUNCTION("""COMPUTED_VALUE"""),"107686")</f>
        <v>107686</v>
      </c>
      <c r="B3664" s="5" t="str">
        <f ca="1">IFERROR(__xludf.DUMMYFUNCTION("""COMPUTED_VALUE"""),"بني سويف")</f>
        <v>بني سويف</v>
      </c>
      <c r="C3664" s="5" t="str">
        <f ca="1">IFERROR(__xludf.DUMMYFUNCTION("""COMPUTED_VALUE"""),"بني سويف")</f>
        <v>بني سويف</v>
      </c>
      <c r="D3664" s="5" t="str">
        <f ca="1">IFERROR(__xludf.DUMMYFUNCTION("""COMPUTED_VALUE"""),"هيئة الأطباء")</f>
        <v>هيئة الأطباء</v>
      </c>
      <c r="E3664" s="5" t="str">
        <f ca="1">IFERROR(__xludf.DUMMYFUNCTION("""COMPUTED_VALUE"""),"باطنة")</f>
        <v>باطنة</v>
      </c>
      <c r="F3664" s="5" t="str">
        <f ca="1">IFERROR(__xludf.DUMMYFUNCTION("""COMPUTED_VALUE"""),"صدرية")</f>
        <v>صدرية</v>
      </c>
      <c r="G3664" s="5" t="str">
        <f ca="1">IFERROR(__xludf.DUMMYFUNCTION("""COMPUTED_VALUE"""),"د. نهي محمود فهمي")</f>
        <v>د. نهي محمود فهمي</v>
      </c>
      <c r="H3664" s="5" t="str">
        <f ca="1">IFERROR(__xludf.DUMMYFUNCTION("""COMPUTED_VALUE"""),"ش عبدالسلام عارف بجوار مستشفي الدعوه - برج وجدي - بني سويف")</f>
        <v>ش عبدالسلام عارف بجوار مستشفي الدعوه - برج وجدي - بني سويف</v>
      </c>
      <c r="I3664" s="6" t="str">
        <f ca="1">IFERROR(__xludf.DUMMYFUNCTION("""COMPUTED_VALUE"""),"01210820224")</f>
        <v>01210820224</v>
      </c>
      <c r="J3664" s="6"/>
      <c r="K3664" s="6" t="str">
        <f ca="1">IFERROR(__xludf.DUMMYFUNCTION("""COMPUTED_VALUE"""),"خصم 30% علي الاسعار النقدي")</f>
        <v>خصم 30% علي الاسعار النقدي</v>
      </c>
    </row>
    <row r="3665" spans="1:11" x14ac:dyDescent="0.25">
      <c r="A3665" s="4" t="str">
        <f ca="1">IFERROR(__xludf.DUMMYFUNCTION("""COMPUTED_VALUE"""),"107687")</f>
        <v>107687</v>
      </c>
      <c r="B3665" s="5" t="str">
        <f ca="1">IFERROR(__xludf.DUMMYFUNCTION("""COMPUTED_VALUE"""),"القاهرة")</f>
        <v>القاهرة</v>
      </c>
      <c r="C3665" s="5" t="str">
        <f ca="1">IFERROR(__xludf.DUMMYFUNCTION("""COMPUTED_VALUE"""),"مصر الجديدة")</f>
        <v>مصر الجديدة</v>
      </c>
      <c r="D3665" s="5" t="str">
        <f ca="1">IFERROR(__xludf.DUMMYFUNCTION("""COMPUTED_VALUE"""),"هيئة الأطباء")</f>
        <v>هيئة الأطباء</v>
      </c>
      <c r="E3665" s="5" t="str">
        <f ca="1">IFERROR(__xludf.DUMMYFUNCTION("""COMPUTED_VALUE"""),"نساء وتوليد")</f>
        <v>نساء وتوليد</v>
      </c>
      <c r="F3665" s="5" t="str">
        <f ca="1">IFERROR(__xludf.DUMMYFUNCTION("""COMPUTED_VALUE"""),"نساء وتوليد")</f>
        <v>نساء وتوليد</v>
      </c>
      <c r="G3665" s="5" t="str">
        <f ca="1">IFERROR(__xludf.DUMMYFUNCTION("""COMPUTED_VALUE"""),"د/ احمد ياسر محمد منير عبدالعزيز اسماعيل")</f>
        <v>د/ احمد ياسر محمد منير عبدالعزيز اسماعيل</v>
      </c>
      <c r="H3665" s="5" t="str">
        <f ca="1">IFERROR(__xludf.DUMMYFUNCTION("""COMPUTED_VALUE"""),"60 شارع الخليفة المأمون - الدور السابع - عيادة رقم 2 - مصر الجديدة - القاهرة")</f>
        <v>60 شارع الخليفة المأمون - الدور السابع - عيادة رقم 2 - مصر الجديدة - القاهرة</v>
      </c>
      <c r="I3665" s="6" t="str">
        <f ca="1">IFERROR(__xludf.DUMMYFUNCTION("""COMPUTED_VALUE"""),"01153271177")</f>
        <v>01153271177</v>
      </c>
      <c r="J3665" s="6"/>
      <c r="K3665" s="6" t="str">
        <f ca="1">IFERROR(__xludf.DUMMYFUNCTION("""COMPUTED_VALUE"""),"خصم 30% علي الاسعار النقدي")</f>
        <v>خصم 30% علي الاسعار النقدي</v>
      </c>
    </row>
    <row r="3666" spans="1:11" x14ac:dyDescent="0.25">
      <c r="A3666" s="4" t="str">
        <f ca="1">IFERROR(__xludf.DUMMYFUNCTION("""COMPUTED_VALUE"""),"107688")</f>
        <v>107688</v>
      </c>
      <c r="B3666" s="5" t="str">
        <f ca="1">IFERROR(__xludf.DUMMYFUNCTION("""COMPUTED_VALUE"""),"المنوفية")</f>
        <v>المنوفية</v>
      </c>
      <c r="C3666" s="5" t="str">
        <f ca="1">IFERROR(__xludf.DUMMYFUNCTION("""COMPUTED_VALUE"""),"تلا")</f>
        <v>تلا</v>
      </c>
      <c r="D3666" s="5" t="str">
        <f ca="1">IFERROR(__xludf.DUMMYFUNCTION("""COMPUTED_VALUE"""),"هيئة الأطباء")</f>
        <v>هيئة الأطباء</v>
      </c>
      <c r="E3666" s="5" t="str">
        <f ca="1">IFERROR(__xludf.DUMMYFUNCTION("""COMPUTED_VALUE"""),"اسنان")</f>
        <v>اسنان</v>
      </c>
      <c r="F3666" s="5" t="str">
        <f ca="1">IFERROR(__xludf.DUMMYFUNCTION("""COMPUTED_VALUE"""),"جراحة الفم والأسنان")</f>
        <v>جراحة الفم والأسنان</v>
      </c>
      <c r="G3666" s="5" t="str">
        <f ca="1">IFERROR(__xludf.DUMMYFUNCTION("""COMPUTED_VALUE"""),"محمد حمزة السيد الحرون (د. محمد حمزة الحرون)")</f>
        <v>محمد حمزة السيد الحرون (د. محمد حمزة الحرون)</v>
      </c>
      <c r="H3666" s="5" t="str">
        <f ca="1">IFERROR(__xludf.DUMMYFUNCTION("""COMPUTED_VALUE"""),"شارع الحرية حارة فضل الله - شقة رقم 1 - تلا - المنوفية")</f>
        <v>شارع الحرية حارة فضل الله - شقة رقم 1 - تلا - المنوفية</v>
      </c>
      <c r="I3666" s="6" t="str">
        <f ca="1">IFERROR(__xludf.DUMMYFUNCTION("""COMPUTED_VALUE"""),"01060408082")</f>
        <v>01060408082</v>
      </c>
      <c r="J3666" s="6"/>
      <c r="K3666" s="6" t="str">
        <f ca="1">IFERROR(__xludf.DUMMYFUNCTION("""COMPUTED_VALUE"""),"خصم 30% علي الاسعار النقدي")</f>
        <v>خصم 30% علي الاسعار النقدي</v>
      </c>
    </row>
    <row r="3667" spans="1:11" x14ac:dyDescent="0.25">
      <c r="A3667" s="4" t="str">
        <f ca="1">IFERROR(__xludf.DUMMYFUNCTION("""COMPUTED_VALUE"""),"105148-B")</f>
        <v>105148-B</v>
      </c>
      <c r="B3667" s="5" t="str">
        <f ca="1">IFERROR(__xludf.DUMMYFUNCTION("""COMPUTED_VALUE"""),"القاهرة")</f>
        <v>القاهرة</v>
      </c>
      <c r="C3667" s="5" t="str">
        <f ca="1">IFERROR(__xludf.DUMMYFUNCTION("""COMPUTED_VALUE"""),"القاهرة الجديدة")</f>
        <v>القاهرة الجديدة</v>
      </c>
      <c r="D3667" s="5" t="str">
        <f ca="1">IFERROR(__xludf.DUMMYFUNCTION("""COMPUTED_VALUE"""),"مركز أشعة")</f>
        <v>مركز أشعة</v>
      </c>
      <c r="E3667" s="5" t="str">
        <f ca="1">IFERROR(__xludf.DUMMYFUNCTION("""COMPUTED_VALUE"""),"مركز أشعة")</f>
        <v>مركز أشعة</v>
      </c>
      <c r="F3667" s="5" t="str">
        <f ca="1">IFERROR(__xludf.DUMMYFUNCTION("""COMPUTED_VALUE"""),"مركز الأشعة التشخيصية")</f>
        <v>مركز الأشعة التشخيصية</v>
      </c>
      <c r="G3667" s="5" t="str">
        <f ca="1">IFERROR(__xludf.DUMMYFUNCTION("""COMPUTED_VALUE"""),"البرج سكان ( معامل البرج)")</f>
        <v>البرج سكان ( معامل البرج)</v>
      </c>
      <c r="H3667" s="5" t="str">
        <f ca="1">IFERROR(__xludf.DUMMYFUNCTION("""COMPUTED_VALUE"""),"ميديكال بارك بريمير - التجمع الخامس
")</f>
        <v xml:space="preserve">ميديكال بارك بريمير - التجمع الخامس
</v>
      </c>
      <c r="I3667" s="6"/>
      <c r="J3667" s="6" t="str">
        <f ca="1">IFERROR(__xludf.DUMMYFUNCTION("""COMPUTED_VALUE"""),"19911")</f>
        <v>19911</v>
      </c>
      <c r="K3667" s="6" t="str">
        <f ca="1">IFERROR(__xludf.DUMMYFUNCTION("""COMPUTED_VALUE"""),"30% علي الأسعار النقدي المعلنة")</f>
        <v>30% علي الأسعار النقدي المعلنة</v>
      </c>
    </row>
    <row r="3668" spans="1:11" x14ac:dyDescent="0.25">
      <c r="A3668" s="4" t="str">
        <f ca="1">IFERROR(__xludf.DUMMYFUNCTION("""COMPUTED_VALUE"""),"107691")</f>
        <v>107691</v>
      </c>
      <c r="B3668" s="5" t="str">
        <f ca="1">IFERROR(__xludf.DUMMYFUNCTION("""COMPUTED_VALUE"""),"المنوفية")</f>
        <v>المنوفية</v>
      </c>
      <c r="C3668" s="5" t="str">
        <f ca="1">IFERROR(__xludf.DUMMYFUNCTION("""COMPUTED_VALUE"""),"الشهداء")</f>
        <v>الشهداء</v>
      </c>
      <c r="D3668" s="5" t="str">
        <f ca="1">IFERROR(__xludf.DUMMYFUNCTION("""COMPUTED_VALUE"""),"مركز علاج طبيعي")</f>
        <v>مركز علاج طبيعي</v>
      </c>
      <c r="E3668" s="5" t="str">
        <f ca="1">IFERROR(__xludf.DUMMYFUNCTION("""COMPUTED_VALUE"""),"علاج طبيعي")</f>
        <v>علاج طبيعي</v>
      </c>
      <c r="F3668" s="5" t="str">
        <f ca="1">IFERROR(__xludf.DUMMYFUNCTION("""COMPUTED_VALUE"""),"جلسات العلاج الطبيعي")</f>
        <v>جلسات العلاج الطبيعي</v>
      </c>
      <c r="G3668" s="5" t="str">
        <f ca="1">IFERROR(__xludf.DUMMYFUNCTION("""COMPUTED_VALUE"""),"أحمد محمد سعيد عطالله (مركز الشهداء للعلاج الطبيعي)")</f>
        <v>أحمد محمد سعيد عطالله (مركز الشهداء للعلاج الطبيعي)</v>
      </c>
      <c r="H3668" s="5" t="str">
        <f ca="1">IFERROR(__xludf.DUMMYFUNCTION("""COMPUTED_VALUE"""),"شارع شعلان متفرع من شارع المركز - الشهداء - المنوفية")</f>
        <v>شارع شعلان متفرع من شارع المركز - الشهداء - المنوفية</v>
      </c>
      <c r="I3668" s="6" t="str">
        <f ca="1">IFERROR(__xludf.DUMMYFUNCTION("""COMPUTED_VALUE"""),"01012273537")</f>
        <v>01012273537</v>
      </c>
      <c r="J3668" s="6"/>
      <c r="K3668" s="6" t="str">
        <f ca="1">IFERROR(__xludf.DUMMYFUNCTION("""COMPUTED_VALUE"""),"خصم 30% علي الاسعار النقدي")</f>
        <v>خصم 30% علي الاسعار النقدي</v>
      </c>
    </row>
    <row r="3669" spans="1:11" x14ac:dyDescent="0.25">
      <c r="A3669" s="4" t="str">
        <f ca="1">IFERROR(__xludf.DUMMYFUNCTION("""COMPUTED_VALUE"""),"107692")</f>
        <v>107692</v>
      </c>
      <c r="B3669" s="5" t="str">
        <f ca="1">IFERROR(__xludf.DUMMYFUNCTION("""COMPUTED_VALUE"""),"الغربية")</f>
        <v>الغربية</v>
      </c>
      <c r="C3669" s="5" t="str">
        <f ca="1">IFERROR(__xludf.DUMMYFUNCTION("""COMPUTED_VALUE"""),"كفر الزيات")</f>
        <v>كفر الزيات</v>
      </c>
      <c r="D3669" s="5" t="str">
        <f ca="1">IFERROR(__xludf.DUMMYFUNCTION("""COMPUTED_VALUE"""),"مركز علاج طبيعي")</f>
        <v>مركز علاج طبيعي</v>
      </c>
      <c r="E3669" s="5" t="str">
        <f ca="1">IFERROR(__xludf.DUMMYFUNCTION("""COMPUTED_VALUE"""),"علاج طبيعي")</f>
        <v>علاج طبيعي</v>
      </c>
      <c r="F3669" s="5" t="str">
        <f ca="1">IFERROR(__xludf.DUMMYFUNCTION("""COMPUTED_VALUE"""),"جلسات العلاج الطبيعي")</f>
        <v>جلسات العلاج الطبيعي</v>
      </c>
      <c r="G3669" s="5" t="str">
        <f ca="1">IFERROR(__xludf.DUMMYFUNCTION("""COMPUTED_VALUE"""),"هيثم محمد محمد جمال الدين (مركز جمال الدين للعلاج الطبيعي)")</f>
        <v>هيثم محمد محمد جمال الدين (مركز جمال الدين للعلاج الطبيعي)</v>
      </c>
      <c r="H3669" s="5" t="str">
        <f ca="1">IFERROR(__xludf.DUMMYFUNCTION("""COMPUTED_VALUE"""),"2 ش نجيب حشاد بجوار المطافي - كفر الزيات - الغربية")</f>
        <v>2 ش نجيب حشاد بجوار المطافي - كفر الزيات - الغربية</v>
      </c>
      <c r="I3669" s="6" t="str">
        <f ca="1">IFERROR(__xludf.DUMMYFUNCTION("""COMPUTED_VALUE"""),"01060413329")</f>
        <v>01060413329</v>
      </c>
      <c r="J3669" s="6"/>
      <c r="K3669" s="6" t="str">
        <f ca="1">IFERROR(__xludf.DUMMYFUNCTION("""COMPUTED_VALUE"""),"خصم 30% علي الاسعار النقدي")</f>
        <v>خصم 30% علي الاسعار النقدي</v>
      </c>
    </row>
    <row r="3670" spans="1:11" x14ac:dyDescent="0.25">
      <c r="A3670" s="4" t="str">
        <f ca="1">IFERROR(__xludf.DUMMYFUNCTION("""COMPUTED_VALUE"""),"107693")</f>
        <v>107693</v>
      </c>
      <c r="B3670" s="5" t="str">
        <f ca="1">IFERROR(__xludf.DUMMYFUNCTION("""COMPUTED_VALUE"""),"الجيزة")</f>
        <v>الجيزة</v>
      </c>
      <c r="C3670" s="5" t="str">
        <f ca="1">IFERROR(__xludf.DUMMYFUNCTION("""COMPUTED_VALUE"""),"حدائق الاهرام")</f>
        <v>حدائق الاهرام</v>
      </c>
      <c r="D3670" s="5" t="str">
        <f ca="1">IFERROR(__xludf.DUMMYFUNCTION("""COMPUTED_VALUE"""),"صيدلية")</f>
        <v>صيدلية</v>
      </c>
      <c r="E3670" s="5" t="str">
        <f ca="1">IFERROR(__xludf.DUMMYFUNCTION("""COMPUTED_VALUE"""),"صيدلية")</f>
        <v>صيدلية</v>
      </c>
      <c r="F3670" s="5" t="str">
        <f ca="1">IFERROR(__xludf.DUMMYFUNCTION("""COMPUTED_VALUE"""),"صيدلية (أدوية ومستلزمات طبية)")</f>
        <v>صيدلية (أدوية ومستلزمات طبية)</v>
      </c>
      <c r="G3670" s="5" t="str">
        <f ca="1">IFERROR(__xludf.DUMMYFUNCTION("""COMPUTED_VALUE"""),"شركة نصر الدين لادارة الصيدليات (صيدليات ياسر)")</f>
        <v>شركة نصر الدين لادارة الصيدليات (صيدليات ياسر)</v>
      </c>
      <c r="H3670" s="5" t="str">
        <f ca="1">IFERROR(__xludf.DUMMYFUNCTION("""COMPUTED_VALUE"""),"135 ج شارع 3 (شارع عمر طه) محل 1 البوابة الاول - حدائق الاهرام - الجيزة")</f>
        <v>135 ج شارع 3 (شارع عمر طه) محل 1 البوابة الاول - حدائق الاهرام - الجيزة</v>
      </c>
      <c r="I3670" s="6" t="str">
        <f ca="1">IFERROR(__xludf.DUMMYFUNCTION("""COMPUTED_VALUE"""),"01055655647")</f>
        <v>01055655647</v>
      </c>
      <c r="J3670" s="6"/>
      <c r="K3670" s="6" t="str">
        <f ca="1">IFERROR(__xludf.DUMMYFUNCTION("""COMPUTED_VALUE"""),"خصم 14% علي الادوية المحلية و 7% علي الادوية المستوردة")</f>
        <v>خصم 14% علي الادوية المحلية و 7% علي الادوية المستوردة</v>
      </c>
    </row>
    <row r="3671" spans="1:11" x14ac:dyDescent="0.25">
      <c r="A3671" s="4" t="str">
        <f ca="1">IFERROR(__xludf.DUMMYFUNCTION("""COMPUTED_VALUE"""),"107694")</f>
        <v>107694</v>
      </c>
      <c r="B3671" s="5" t="str">
        <f ca="1">IFERROR(__xludf.DUMMYFUNCTION("""COMPUTED_VALUE"""),"دمياط")</f>
        <v>دمياط</v>
      </c>
      <c r="C3671" s="5" t="str">
        <f ca="1">IFERROR(__xludf.DUMMYFUNCTION("""COMPUTED_VALUE"""),"دمياط الجديدة")</f>
        <v>دمياط الجديدة</v>
      </c>
      <c r="D3671" s="5" t="str">
        <f ca="1">IFERROR(__xludf.DUMMYFUNCTION("""COMPUTED_VALUE"""),"مركز أشعة")</f>
        <v>مركز أشعة</v>
      </c>
      <c r="E3671" s="5" t="str">
        <f ca="1">IFERROR(__xludf.DUMMYFUNCTION("""COMPUTED_VALUE"""),"مركز أشعة")</f>
        <v>مركز أشعة</v>
      </c>
      <c r="F3671" s="5" t="str">
        <f ca="1">IFERROR(__xludf.DUMMYFUNCTION("""COMPUTED_VALUE"""),"أشعة تشخيصية")</f>
        <v>أشعة تشخيصية</v>
      </c>
      <c r="G3671" s="5" t="str">
        <f ca="1">IFERROR(__xludf.DUMMYFUNCTION("""COMPUTED_VALUE"""),"محمد محمد بشيرالسيد محمد (مركز بشير للأشعه)")</f>
        <v>محمد محمد بشيرالسيد محمد (مركز بشير للأشعه)</v>
      </c>
      <c r="H3671" s="5" t="str">
        <f ca="1">IFERROR(__xludf.DUMMYFUNCTION("""COMPUTED_VALUE"""),"قطعه رقم 62 مركز الحي الثاني - الدور الاول علوي - دمياط الجديدة - دمياط")</f>
        <v>قطعه رقم 62 مركز الحي الثاني - الدور الاول علوي - دمياط الجديدة - دمياط</v>
      </c>
      <c r="I3671" s="6" t="str">
        <f ca="1">IFERROR(__xludf.DUMMYFUNCTION("""COMPUTED_VALUE"""),"01067218280")</f>
        <v>01067218280</v>
      </c>
      <c r="J3671" s="6"/>
      <c r="K3671" s="6" t="str">
        <f ca="1">IFERROR(__xludf.DUMMYFUNCTION("""COMPUTED_VALUE"""),"خصم 30% علي الاسعار النقدي")</f>
        <v>خصم 30% علي الاسعار النقدي</v>
      </c>
    </row>
    <row r="3672" spans="1:11" x14ac:dyDescent="0.25">
      <c r="A3672" s="4" t="str">
        <f ca="1">IFERROR(__xludf.DUMMYFUNCTION("""COMPUTED_VALUE"""),"104676-B")</f>
        <v>104676-B</v>
      </c>
      <c r="B3672" s="5" t="str">
        <f ca="1">IFERROR(__xludf.DUMMYFUNCTION("""COMPUTED_VALUE"""),"الاسكندرية")</f>
        <v>الاسكندرية</v>
      </c>
      <c r="C3672" s="5" t="str">
        <f ca="1">IFERROR(__xludf.DUMMYFUNCTION("""COMPUTED_VALUE"""),"سموحة")</f>
        <v>سموحة</v>
      </c>
      <c r="D3672" s="5" t="str">
        <f ca="1">IFERROR(__xludf.DUMMYFUNCTION("""COMPUTED_VALUE"""),"صيدلية")</f>
        <v>صيدلية</v>
      </c>
      <c r="E3672" s="5" t="str">
        <f ca="1">IFERROR(__xludf.DUMMYFUNCTION("""COMPUTED_VALUE"""),"صيدلية")</f>
        <v>صيدلية</v>
      </c>
      <c r="F3672" s="5" t="str">
        <f ca="1">IFERROR(__xludf.DUMMYFUNCTION("""COMPUTED_VALUE"""),"صيدلية (أدوية ومستلزمات طبية)")</f>
        <v>صيدلية (أدوية ومستلزمات طبية)</v>
      </c>
      <c r="G3672" s="5" t="str">
        <f ca="1">IFERROR(__xludf.DUMMYFUNCTION("""COMPUTED_VALUE"""),"صيدليات الدواء")</f>
        <v>صيدليات الدواء</v>
      </c>
      <c r="H3672" s="5" t="str">
        <f ca="1">IFERROR(__xludf.DUMMYFUNCTION("""COMPUTED_VALUE"""),"15 عمارات الاسكان الصناعي شارع النقل و الهندسة بجوار بوابة نادي سموحة الخلفية")</f>
        <v>15 عمارات الاسكان الصناعي شارع النقل و الهندسة بجوار بوابة نادي سموحة الخلفية</v>
      </c>
      <c r="I3672" s="6" t="str">
        <f ca="1">IFERROR(__xludf.DUMMYFUNCTION("""COMPUTED_VALUE"""),"01205461802")</f>
        <v>01205461802</v>
      </c>
      <c r="J3672" s="6" t="str">
        <f ca="1">IFERROR(__xludf.DUMMYFUNCTION("""COMPUTED_VALUE"""),"15252")</f>
        <v>15252</v>
      </c>
      <c r="K3672" s="6" t="str">
        <f ca="1">IFERROR(__xludf.DUMMYFUNCTION("""COMPUTED_VALUE"""),"خصم 10% علي كل الادويه")</f>
        <v>خصم 10% علي كل الادويه</v>
      </c>
    </row>
    <row r="3673" spans="1:11" x14ac:dyDescent="0.25">
      <c r="A3673" s="4" t="str">
        <f ca="1">IFERROR(__xludf.DUMMYFUNCTION("""COMPUTED_VALUE"""),"107697")</f>
        <v>107697</v>
      </c>
      <c r="B3673" s="5" t="str">
        <f ca="1">IFERROR(__xludf.DUMMYFUNCTION("""COMPUTED_VALUE"""),"أسيوط")</f>
        <v>أسيوط</v>
      </c>
      <c r="C3673" s="5" t="str">
        <f ca="1">IFERROR(__xludf.DUMMYFUNCTION("""COMPUTED_VALUE"""),"منفلوط")</f>
        <v>منفلوط</v>
      </c>
      <c r="D3673" s="5" t="str">
        <f ca="1">IFERROR(__xludf.DUMMYFUNCTION("""COMPUTED_VALUE"""),"صيدلية")</f>
        <v>صيدلية</v>
      </c>
      <c r="E3673" s="5" t="str">
        <f ca="1">IFERROR(__xludf.DUMMYFUNCTION("""COMPUTED_VALUE"""),"صيدلية")</f>
        <v>صيدلية</v>
      </c>
      <c r="F3673" s="5" t="str">
        <f ca="1">IFERROR(__xludf.DUMMYFUNCTION("""COMPUTED_VALUE"""),"صيدلية (أدوية ومستلزمات طبية)")</f>
        <v>صيدلية (أدوية ومستلزمات طبية)</v>
      </c>
      <c r="G3673" s="5" t="str">
        <f ca="1">IFERROR(__xludf.DUMMYFUNCTION("""COMPUTED_VALUE"""),"محمد عماد الدين سيد فرغلي (صيدلية د. محمد عماد الدين سيد)")</f>
        <v>محمد عماد الدين سيد فرغلي (صيدلية د. محمد عماد الدين سيد)</v>
      </c>
      <c r="H3673" s="5" t="str">
        <f ca="1">IFERROR(__xludf.DUMMYFUNCTION("""COMPUTED_VALUE"""),"ش 23 يوليو بني عدي - منفلوط - أسيوط")</f>
        <v>ش 23 يوليو بني عدي - منفلوط - أسيوط</v>
      </c>
      <c r="I3673" s="6" t="str">
        <f ca="1">IFERROR(__xludf.DUMMYFUNCTION("""COMPUTED_VALUE"""),"01016342263")</f>
        <v>01016342263</v>
      </c>
      <c r="J3673" s="6"/>
      <c r="K3673" s="6" t="str">
        <f ca="1">IFERROR(__xludf.DUMMYFUNCTION("""COMPUTED_VALUE"""),"خصم 14% علي الادوية المحلية و 7% علي الادوية المستوردة")</f>
        <v>خصم 14% علي الادوية المحلية و 7% علي الادوية المستوردة</v>
      </c>
    </row>
    <row r="3674" spans="1:11" x14ac:dyDescent="0.25">
      <c r="A3674" s="4" t="str">
        <f ca="1">IFERROR(__xludf.DUMMYFUNCTION("""COMPUTED_VALUE"""),"107697-B")</f>
        <v>107697-B</v>
      </c>
      <c r="B3674" s="5" t="str">
        <f ca="1">IFERROR(__xludf.DUMMYFUNCTION("""COMPUTED_VALUE"""),"أسيوط")</f>
        <v>أسيوط</v>
      </c>
      <c r="C3674" s="5" t="str">
        <f ca="1">IFERROR(__xludf.DUMMYFUNCTION("""COMPUTED_VALUE"""),"منفلوط")</f>
        <v>منفلوط</v>
      </c>
      <c r="D3674" s="5" t="str">
        <f ca="1">IFERROR(__xludf.DUMMYFUNCTION("""COMPUTED_VALUE"""),"صيدلية")</f>
        <v>صيدلية</v>
      </c>
      <c r="E3674" s="5" t="str">
        <f ca="1">IFERROR(__xludf.DUMMYFUNCTION("""COMPUTED_VALUE"""),"صيدلية")</f>
        <v>صيدلية</v>
      </c>
      <c r="F3674" s="5" t="str">
        <f ca="1">IFERROR(__xludf.DUMMYFUNCTION("""COMPUTED_VALUE"""),"صيدلية (أدوية ومستلزمات طبية)")</f>
        <v>صيدلية (أدوية ومستلزمات طبية)</v>
      </c>
      <c r="G3674" s="5" t="str">
        <f ca="1">IFERROR(__xludf.DUMMYFUNCTION("""COMPUTED_VALUE"""),"محمد عماد الدين سيد فرغلي (صيدلية د. محمد عماد الدين سيد)")</f>
        <v>محمد عماد الدين سيد فرغلي (صيدلية د. محمد عماد الدين سيد)</v>
      </c>
      <c r="H3674" s="5" t="str">
        <f ca="1">IFERROR(__xludf.DUMMYFUNCTION("""COMPUTED_VALUE"""),"جمريس - منفلوط - أسيوط")</f>
        <v>جمريس - منفلوط - أسيوط</v>
      </c>
      <c r="I3674" s="6" t="str">
        <f ca="1">IFERROR(__xludf.DUMMYFUNCTION("""COMPUTED_VALUE"""),"01016342263")</f>
        <v>01016342263</v>
      </c>
      <c r="J3674" s="6"/>
      <c r="K3674" s="6" t="str">
        <f ca="1">IFERROR(__xludf.DUMMYFUNCTION("""COMPUTED_VALUE"""),"خصم 14% علي الادوية المحلية و 7% علي الادوية المستوردة")</f>
        <v>خصم 14% علي الادوية المحلية و 7% علي الادوية المستوردة</v>
      </c>
    </row>
    <row r="3675" spans="1:11" x14ac:dyDescent="0.25">
      <c r="A3675" s="4" t="str">
        <f ca="1">IFERROR(__xludf.DUMMYFUNCTION("""COMPUTED_VALUE"""),"107697-B")</f>
        <v>107697-B</v>
      </c>
      <c r="B3675" s="5" t="str">
        <f ca="1">IFERROR(__xludf.DUMMYFUNCTION("""COMPUTED_VALUE"""),"أسيوط")</f>
        <v>أسيوط</v>
      </c>
      <c r="C3675" s="5" t="str">
        <f ca="1">IFERROR(__xludf.DUMMYFUNCTION("""COMPUTED_VALUE"""),"القوصية")</f>
        <v>القوصية</v>
      </c>
      <c r="D3675" s="5" t="str">
        <f ca="1">IFERROR(__xludf.DUMMYFUNCTION("""COMPUTED_VALUE"""),"صيدلية")</f>
        <v>صيدلية</v>
      </c>
      <c r="E3675" s="5" t="str">
        <f ca="1">IFERROR(__xludf.DUMMYFUNCTION("""COMPUTED_VALUE"""),"صيدلية")</f>
        <v>صيدلية</v>
      </c>
      <c r="F3675" s="5" t="str">
        <f ca="1">IFERROR(__xludf.DUMMYFUNCTION("""COMPUTED_VALUE"""),"صيدلية (أدوية ومستلزمات طبية)")</f>
        <v>صيدلية (أدوية ومستلزمات طبية)</v>
      </c>
      <c r="G3675" s="5" t="str">
        <f ca="1">IFERROR(__xludf.DUMMYFUNCTION("""COMPUTED_VALUE"""),"محمد عماد الدين سيد فرغلي (صيدلية د. محمد عماد الدين سيد)")</f>
        <v>محمد عماد الدين سيد فرغلي (صيدلية د. محمد عماد الدين سيد)</v>
      </c>
      <c r="H3675" s="5" t="str">
        <f ca="1">IFERROR(__xludf.DUMMYFUNCTION("""COMPUTED_VALUE"""),"شارع بني هلال - القوصية - أسيوط")</f>
        <v>شارع بني هلال - القوصية - أسيوط</v>
      </c>
      <c r="I3675" s="6" t="str">
        <f ca="1">IFERROR(__xludf.DUMMYFUNCTION("""COMPUTED_VALUE"""),"01016342263")</f>
        <v>01016342263</v>
      </c>
      <c r="J3675" s="6"/>
      <c r="K3675" s="6" t="str">
        <f ca="1">IFERROR(__xludf.DUMMYFUNCTION("""COMPUTED_VALUE"""),"خصم 14% علي الادوية المحلية و 7% علي الادوية المستوردة")</f>
        <v>خصم 14% علي الادوية المحلية و 7% علي الادوية المستوردة</v>
      </c>
    </row>
    <row r="3676" spans="1:11" x14ac:dyDescent="0.25">
      <c r="A3676" s="4" t="str">
        <f ca="1">IFERROR(__xludf.DUMMYFUNCTION("""COMPUTED_VALUE"""),"107698")</f>
        <v>107698</v>
      </c>
      <c r="B3676" s="5" t="str">
        <f ca="1">IFERROR(__xludf.DUMMYFUNCTION("""COMPUTED_VALUE"""),"القاهرة")</f>
        <v>القاهرة</v>
      </c>
      <c r="C3676" s="5" t="str">
        <f ca="1">IFERROR(__xludf.DUMMYFUNCTION("""COMPUTED_VALUE"""),"العباسية")</f>
        <v>العباسية</v>
      </c>
      <c r="D3676" s="5" t="str">
        <f ca="1">IFERROR(__xludf.DUMMYFUNCTION("""COMPUTED_VALUE"""),"هيئة الأطباء")</f>
        <v>هيئة الأطباء</v>
      </c>
      <c r="E3676" s="5" t="str">
        <f ca="1">IFERROR(__xludf.DUMMYFUNCTION("""COMPUTED_VALUE"""),"اسنان")</f>
        <v>اسنان</v>
      </c>
      <c r="F3676" s="5" t="str">
        <f ca="1">IFERROR(__xludf.DUMMYFUNCTION("""COMPUTED_VALUE"""),"جراحة الفم والأسنان")</f>
        <v>جراحة الفم والأسنان</v>
      </c>
      <c r="G3676" s="5" t="str">
        <f ca="1">IFERROR(__xludf.DUMMYFUNCTION("""COMPUTED_VALUE"""),"نورهان عادل أحمد البعج (Whit Dental)")</f>
        <v>نورهان عادل أحمد البعج (Whit Dental)</v>
      </c>
      <c r="H3676" s="5" t="str">
        <f ca="1">IFERROR(__xludf.DUMMYFUNCTION("""COMPUTED_VALUE"""),"31 ش العباسية شقة 3 - الدور 2 - الظاهر - القاهرة")</f>
        <v>31 ش العباسية شقة 3 - الدور 2 - الظاهر - القاهرة</v>
      </c>
      <c r="I3676" s="6" t="str">
        <f ca="1">IFERROR(__xludf.DUMMYFUNCTION("""COMPUTED_VALUE"""),"1033363030")</f>
        <v>1033363030</v>
      </c>
      <c r="J3676" s="6"/>
      <c r="K3676" s="6" t="str">
        <f ca="1">IFERROR(__xludf.DUMMYFUNCTION("""COMPUTED_VALUE"""),"خصم 30% علي الاسعار النقدي")</f>
        <v>خصم 30% علي الاسعار النقدي</v>
      </c>
    </row>
    <row r="3677" spans="1:11" x14ac:dyDescent="0.25">
      <c r="A3677" s="4" t="str">
        <f ca="1">IFERROR(__xludf.DUMMYFUNCTION("""COMPUTED_VALUE"""),"107698-B")</f>
        <v>107698-B</v>
      </c>
      <c r="B3677" s="5" t="str">
        <f ca="1">IFERROR(__xludf.DUMMYFUNCTION("""COMPUTED_VALUE"""),"القاهرة")</f>
        <v>القاهرة</v>
      </c>
      <c r="C3677" s="5" t="str">
        <f ca="1">IFERROR(__xludf.DUMMYFUNCTION("""COMPUTED_VALUE"""),"مدينة نصر")</f>
        <v>مدينة نصر</v>
      </c>
      <c r="D3677" s="5" t="str">
        <f ca="1">IFERROR(__xludf.DUMMYFUNCTION("""COMPUTED_VALUE"""),"هيئة الأطباء")</f>
        <v>هيئة الأطباء</v>
      </c>
      <c r="E3677" s="5" t="str">
        <f ca="1">IFERROR(__xludf.DUMMYFUNCTION("""COMPUTED_VALUE"""),"اسنان")</f>
        <v>اسنان</v>
      </c>
      <c r="F3677" s="5" t="str">
        <f ca="1">IFERROR(__xludf.DUMMYFUNCTION("""COMPUTED_VALUE"""),"جراحة الفم والأسنان")</f>
        <v>جراحة الفم والأسنان</v>
      </c>
      <c r="G3677" s="5" t="str">
        <f ca="1">IFERROR(__xludf.DUMMYFUNCTION("""COMPUTED_VALUE"""),"نورهان عادل أحمد البعج (Whit Dental)")</f>
        <v>نورهان عادل أحمد البعج (Whit Dental)</v>
      </c>
      <c r="H3677" s="5" t="str">
        <f ca="1">IFERROR(__xludf.DUMMYFUNCTION("""COMPUTED_VALUE"""),"ش كابول ق 8 ب 29 شقة 2 - مدينة نصر - القاهرة")</f>
        <v>ش كابول ق 8 ب 29 شقة 2 - مدينة نصر - القاهرة</v>
      </c>
      <c r="I3677" s="6" t="str">
        <f ca="1">IFERROR(__xludf.DUMMYFUNCTION("""COMPUTED_VALUE"""),"1033363030")</f>
        <v>1033363030</v>
      </c>
      <c r="J3677" s="6"/>
      <c r="K3677" s="6" t="str">
        <f ca="1">IFERROR(__xludf.DUMMYFUNCTION("""COMPUTED_VALUE"""),"خصم 30% علي الاسعار النقدي")</f>
        <v>خصم 30% علي الاسعار النقدي</v>
      </c>
    </row>
    <row r="3678" spans="1:11" x14ac:dyDescent="0.25">
      <c r="A3678" s="4" t="str">
        <f ca="1">IFERROR(__xludf.DUMMYFUNCTION("""COMPUTED_VALUE"""),"107699")</f>
        <v>107699</v>
      </c>
      <c r="B3678" s="5" t="str">
        <f ca="1">IFERROR(__xludf.DUMMYFUNCTION("""COMPUTED_VALUE"""),"بني سويف")</f>
        <v>بني سويف</v>
      </c>
      <c r="C3678" s="5" t="str">
        <f ca="1">IFERROR(__xludf.DUMMYFUNCTION("""COMPUTED_VALUE"""),"الفشن")</f>
        <v>الفشن</v>
      </c>
      <c r="D3678" s="5" t="str">
        <f ca="1">IFERROR(__xludf.DUMMYFUNCTION("""COMPUTED_VALUE"""),"هيئة الأطباء")</f>
        <v>هيئة الأطباء</v>
      </c>
      <c r="E3678" s="5" t="str">
        <f ca="1">IFERROR(__xludf.DUMMYFUNCTION("""COMPUTED_VALUE"""),"اسنان")</f>
        <v>اسنان</v>
      </c>
      <c r="F3678" s="5" t="str">
        <f ca="1">IFERROR(__xludf.DUMMYFUNCTION("""COMPUTED_VALUE"""),"جراحة الفم والأسنان")</f>
        <v>جراحة الفم والأسنان</v>
      </c>
      <c r="G3678" s="5" t="str">
        <f ca="1">IFERROR(__xludf.DUMMYFUNCTION("""COMPUTED_VALUE"""),"كلارا ميشيل ظريف كامل (د. كلارا ميشيل ظريف)")</f>
        <v>كلارا ميشيل ظريف كامل (د. كلارا ميشيل ظريف)</v>
      </c>
      <c r="H3678" s="5" t="str">
        <f ca="1">IFERROR(__xludf.DUMMYFUNCTION("""COMPUTED_VALUE"""),"شارع سماح الوجوه شقة 3 - الدور الاول - الفشن - بني سويف")</f>
        <v>شارع سماح الوجوه شقة 3 - الدور الاول - الفشن - بني سويف</v>
      </c>
      <c r="I3678" s="6" t="str">
        <f ca="1">IFERROR(__xludf.DUMMYFUNCTION("""COMPUTED_VALUE"""),"01289550976")</f>
        <v>01289550976</v>
      </c>
      <c r="J3678" s="6"/>
      <c r="K3678" s="6" t="str">
        <f ca="1">IFERROR(__xludf.DUMMYFUNCTION("""COMPUTED_VALUE"""),"خصم 30% علي الاسعار النقدي")</f>
        <v>خصم 30% علي الاسعار النقدي</v>
      </c>
    </row>
    <row r="3679" spans="1:11" x14ac:dyDescent="0.25">
      <c r="A3679" s="4" t="str">
        <f ca="1">IFERROR(__xludf.DUMMYFUNCTION("""COMPUTED_VALUE"""),"107700")</f>
        <v>107700</v>
      </c>
      <c r="B3679" s="5" t="str">
        <f ca="1">IFERROR(__xludf.DUMMYFUNCTION("""COMPUTED_VALUE"""),"السويس")</f>
        <v>السويس</v>
      </c>
      <c r="C3679" s="5" t="str">
        <f ca="1">IFERROR(__xludf.DUMMYFUNCTION("""COMPUTED_VALUE"""),"السويس")</f>
        <v>السويس</v>
      </c>
      <c r="D3679" s="5" t="str">
        <f ca="1">IFERROR(__xludf.DUMMYFUNCTION("""COMPUTED_VALUE"""),"هيئة الأطباء")</f>
        <v>هيئة الأطباء</v>
      </c>
      <c r="E3679" s="5" t="str">
        <f ca="1">IFERROR(__xludf.DUMMYFUNCTION("""COMPUTED_VALUE"""),"اسنان")</f>
        <v>اسنان</v>
      </c>
      <c r="F3679" s="5" t="str">
        <f ca="1">IFERROR(__xludf.DUMMYFUNCTION("""COMPUTED_VALUE"""),"جراحة الفم والأسنان")</f>
        <v>جراحة الفم والأسنان</v>
      </c>
      <c r="G3679" s="5" t="str">
        <f ca="1">IFERROR(__xludf.DUMMYFUNCTION("""COMPUTED_VALUE"""),"حمزه احمد عبدالستار حمزه علي (عيادة كيان لعلاج و تجميل الفم و الاسنان)")</f>
        <v>حمزه احمد عبدالستار حمزه علي (عيادة كيان لعلاج و تجميل الفم و الاسنان)</v>
      </c>
      <c r="H3679" s="5" t="str">
        <f ca="1">IFERROR(__xludf.DUMMYFUNCTION("""COMPUTED_VALUE"""),"86 ش بنك مصر - الدور الارضي - السويس")</f>
        <v>86 ش بنك مصر - الدور الارضي - السويس</v>
      </c>
      <c r="I3679" s="6" t="str">
        <f ca="1">IFERROR(__xludf.DUMMYFUNCTION("""COMPUTED_VALUE"""),"01145788466")</f>
        <v>01145788466</v>
      </c>
      <c r="J3679" s="6"/>
      <c r="K3679" s="6" t="str">
        <f ca="1">IFERROR(__xludf.DUMMYFUNCTION("""COMPUTED_VALUE"""),"خصم 40% علي الاسعار النقدي")</f>
        <v>خصم 40% علي الاسعار النقدي</v>
      </c>
    </row>
    <row r="3680" spans="1:11" x14ac:dyDescent="0.25">
      <c r="A3680" s="4" t="str">
        <f ca="1">IFERROR(__xludf.DUMMYFUNCTION("""COMPUTED_VALUE"""),"107703")</f>
        <v>107703</v>
      </c>
      <c r="B3680" s="5" t="str">
        <f ca="1">IFERROR(__xludf.DUMMYFUNCTION("""COMPUTED_VALUE"""),"السويس")</f>
        <v>السويس</v>
      </c>
      <c r="C3680" s="5" t="str">
        <f ca="1">IFERROR(__xludf.DUMMYFUNCTION("""COMPUTED_VALUE"""),"السويس")</f>
        <v>السويس</v>
      </c>
      <c r="D3680" s="5" t="str">
        <f ca="1">IFERROR(__xludf.DUMMYFUNCTION("""COMPUTED_VALUE"""),"مجمع عيادات")</f>
        <v>مجمع عيادات</v>
      </c>
      <c r="E3680" s="5" t="str">
        <f ca="1">IFERROR(__xludf.DUMMYFUNCTION("""COMPUTED_VALUE"""),"جميع التخصصات")</f>
        <v>جميع التخصصات</v>
      </c>
      <c r="F3680" s="5" t="str">
        <f ca="1">IFERROR(__xludf.DUMMYFUNCTION("""COMPUTED_VALUE"""),"جميع التخصصات الطبية")</f>
        <v>جميع التخصصات الطبية</v>
      </c>
      <c r="G3680" s="5" t="str">
        <f ca="1">IFERROR(__xludf.DUMMYFUNCTION("""COMPUTED_VALUE"""),"احمد محمد محمد سلامة (عيادات هيلث جيت التخصصية)")</f>
        <v>احمد محمد محمد سلامة (عيادات هيلث جيت التخصصية)</v>
      </c>
      <c r="H3680" s="5" t="str">
        <f ca="1">IFERROR(__xludf.DUMMYFUNCTION("""COMPUTED_VALUE"""),"16 شارع احمد عرابي برج دار السلام - الدور الثالث - السويس")</f>
        <v>16 شارع احمد عرابي برج دار السلام - الدور الثالث - السويس</v>
      </c>
      <c r="I3680" s="6" t="str">
        <f ca="1">IFERROR(__xludf.DUMMYFUNCTION("""COMPUTED_VALUE"""),"01063995455")</f>
        <v>01063995455</v>
      </c>
      <c r="J3680" s="6"/>
      <c r="K3680" s="6" t="str">
        <f ca="1">IFERROR(__xludf.DUMMYFUNCTION("""COMPUTED_VALUE"""),"خصم 30% علي الاسعار النقدي")</f>
        <v>خصم 30% علي الاسعار النقدي</v>
      </c>
    </row>
    <row r="3681" spans="1:11" x14ac:dyDescent="0.25">
      <c r="A3681" s="4" t="str">
        <f ca="1">IFERROR(__xludf.DUMMYFUNCTION("""COMPUTED_VALUE"""),"107704")</f>
        <v>107704</v>
      </c>
      <c r="B3681" s="5" t="str">
        <f ca="1">IFERROR(__xludf.DUMMYFUNCTION("""COMPUTED_VALUE"""),"الجيزة")</f>
        <v>الجيزة</v>
      </c>
      <c r="C3681" s="5" t="str">
        <f ca="1">IFERROR(__xludf.DUMMYFUNCTION("""COMPUTED_VALUE"""),"الصف")</f>
        <v>الصف</v>
      </c>
      <c r="D3681" s="5" t="str">
        <f ca="1">IFERROR(__xludf.DUMMYFUNCTION("""COMPUTED_VALUE"""),"مستشفى")</f>
        <v>مستشفى</v>
      </c>
      <c r="E3681" s="5" t="str">
        <f ca="1">IFERROR(__xludf.DUMMYFUNCTION("""COMPUTED_VALUE"""),"جميع التخصصات")</f>
        <v>جميع التخصصات</v>
      </c>
      <c r="F3681" s="5" t="str">
        <f ca="1">IFERROR(__xludf.DUMMYFUNCTION("""COMPUTED_VALUE"""),"جميع التخصصات الطبية")</f>
        <v>جميع التخصصات الطبية</v>
      </c>
      <c r="G3681" s="5" t="str">
        <f ca="1">IFERROR(__xludf.DUMMYFUNCTION("""COMPUTED_VALUE"""),"شركة الحياة الطبية (مستشفي نبع الحياة)")</f>
        <v>شركة الحياة الطبية (مستشفي نبع الحياة)</v>
      </c>
      <c r="H3681" s="5" t="str">
        <f ca="1">IFERROR(__xludf.DUMMYFUNCTION("""COMPUTED_VALUE"""),"شارع الليثي خلف بنك مصر - الصف - الجيزة")</f>
        <v>شارع الليثي خلف بنك مصر - الصف - الجيزة</v>
      </c>
      <c r="I3681" s="6" t="str">
        <f ca="1">IFERROR(__xludf.DUMMYFUNCTION("""COMPUTED_VALUE"""),"01118201204")</f>
        <v>01118201204</v>
      </c>
      <c r="J3681" s="6"/>
      <c r="K3681" s="6" t="str">
        <f ca="1">IFERROR(__xludf.DUMMYFUNCTION("""COMPUTED_VALUE"""),"خصم 30% علي الاسعار النقدي")</f>
        <v>خصم 30% علي الاسعار النقدي</v>
      </c>
    </row>
    <row r="3682" spans="1:11" x14ac:dyDescent="0.25">
      <c r="A3682" s="4" t="str">
        <f ca="1">IFERROR(__xludf.DUMMYFUNCTION("""COMPUTED_VALUE"""),"107705")</f>
        <v>107705</v>
      </c>
      <c r="B3682" s="5" t="str">
        <f ca="1">IFERROR(__xludf.DUMMYFUNCTION("""COMPUTED_VALUE"""),"القليوبية")</f>
        <v>القليوبية</v>
      </c>
      <c r="C3682" s="5" t="str">
        <f ca="1">IFERROR(__xludf.DUMMYFUNCTION("""COMPUTED_VALUE"""),"الخصوص")</f>
        <v>الخصوص</v>
      </c>
      <c r="D3682" s="5" t="str">
        <f ca="1">IFERROR(__xludf.DUMMYFUNCTION("""COMPUTED_VALUE"""),"مركز أشعة")</f>
        <v>مركز أشعة</v>
      </c>
      <c r="E3682" s="5" t="str">
        <f ca="1">IFERROR(__xludf.DUMMYFUNCTION("""COMPUTED_VALUE"""),"مركز أشعة")</f>
        <v>مركز أشعة</v>
      </c>
      <c r="F3682" s="5" t="str">
        <f ca="1">IFERROR(__xludf.DUMMYFUNCTION("""COMPUTED_VALUE"""),"أشعة تشخيصية")</f>
        <v>أشعة تشخيصية</v>
      </c>
      <c r="G3682" s="5" t="str">
        <f ca="1">IFERROR(__xludf.DUMMYFUNCTION("""COMPUTED_VALUE"""),"شركة الشعاع للاشعه (مركز الشعاع للاشعه)")</f>
        <v>شركة الشعاع للاشعه (مركز الشعاع للاشعه)</v>
      </c>
      <c r="H3682" s="5" t="str">
        <f ca="1">IFERROR(__xludf.DUMMYFUNCTION("""COMPUTED_VALUE"""),"برج الديب شارع الخصوص العمومي - الخصوص - القليوبية")</f>
        <v>برج الديب شارع الخصوص العمومي - الخصوص - القليوبية</v>
      </c>
      <c r="I3682" s="6" t="str">
        <f ca="1">IFERROR(__xludf.DUMMYFUNCTION("""COMPUTED_VALUE"""),"01113802238")</f>
        <v>01113802238</v>
      </c>
      <c r="J3682" s="6"/>
      <c r="K3682" s="6" t="str">
        <f ca="1">IFERROR(__xludf.DUMMYFUNCTION("""COMPUTED_VALUE"""),"خصم 30% علي الاسعار النقدي")</f>
        <v>خصم 30% علي الاسعار النقدي</v>
      </c>
    </row>
    <row r="3683" spans="1:11" x14ac:dyDescent="0.25">
      <c r="A3683" s="4" t="str">
        <f ca="1">IFERROR(__xludf.DUMMYFUNCTION("""COMPUTED_VALUE"""),"107706-B")</f>
        <v>107706-B</v>
      </c>
      <c r="B3683" s="5" t="str">
        <f ca="1">IFERROR(__xludf.DUMMYFUNCTION("""COMPUTED_VALUE"""),"الجيزة")</f>
        <v>الجيزة</v>
      </c>
      <c r="C3683" s="5" t="str">
        <f ca="1">IFERROR(__xludf.DUMMYFUNCTION("""COMPUTED_VALUE"""),"الشيخ زايد")</f>
        <v>الشيخ زايد</v>
      </c>
      <c r="D3683" s="5" t="str">
        <f ca="1">IFERROR(__xludf.DUMMYFUNCTION("""COMPUTED_VALUE"""),"مركز علاج طبيعي")</f>
        <v>مركز علاج طبيعي</v>
      </c>
      <c r="E3683" s="5" t="str">
        <f ca="1">IFERROR(__xludf.DUMMYFUNCTION("""COMPUTED_VALUE"""),"علاج طبيعي")</f>
        <v>علاج طبيعي</v>
      </c>
      <c r="F3683" s="5" t="str">
        <f ca="1">IFERROR(__xludf.DUMMYFUNCTION("""COMPUTED_VALUE"""),"جلسات العلاج الطبيعي")</f>
        <v>جلسات العلاج الطبيعي</v>
      </c>
      <c r="G3683" s="5" t="str">
        <f ca="1">IFERROR(__xludf.DUMMYFUNCTION("""COMPUTED_VALUE"""),"اي جي فيزو للعلاج الطبيعي و التأهيل")</f>
        <v>اي جي فيزو للعلاج الطبيعي و التأهيل</v>
      </c>
      <c r="H3683" s="5" t="str">
        <f ca="1">IFERROR(__xludf.DUMMYFUNCTION("""COMPUTED_VALUE"""),"مبني B2 نبتون مشروع مجرة وحدة NG04 - NF01 - الشيخ زايد - 6 أكتوبر")</f>
        <v>مبني B2 نبتون مشروع مجرة وحدة NG04 - NF01 - الشيخ زايد - 6 أكتوبر</v>
      </c>
      <c r="I3683" s="6" t="str">
        <f ca="1">IFERROR(__xludf.DUMMYFUNCTION("""COMPUTED_VALUE"""),"01014168515")</f>
        <v>01014168515</v>
      </c>
      <c r="J3683" s="6"/>
      <c r="K3683" s="6" t="str">
        <f ca="1">IFERROR(__xludf.DUMMYFUNCTION("""COMPUTED_VALUE"""),"خصم 10% علي الاسعار النقدي")</f>
        <v>خصم 10% علي الاسعار النقدي</v>
      </c>
    </row>
    <row r="3684" spans="1:11" x14ac:dyDescent="0.25">
      <c r="A3684" s="4" t="str">
        <f ca="1">IFERROR(__xludf.DUMMYFUNCTION("""COMPUTED_VALUE"""),"107707")</f>
        <v>107707</v>
      </c>
      <c r="B3684" s="5" t="str">
        <f ca="1">IFERROR(__xludf.DUMMYFUNCTION("""COMPUTED_VALUE"""),"جنوب سيناء")</f>
        <v>جنوب سيناء</v>
      </c>
      <c r="C3684" s="5" t="str">
        <f ca="1">IFERROR(__xludf.DUMMYFUNCTION("""COMPUTED_VALUE"""),"الطور")</f>
        <v>الطور</v>
      </c>
      <c r="D3684" s="5" t="str">
        <f ca="1">IFERROR(__xludf.DUMMYFUNCTION("""COMPUTED_VALUE"""),"مستشفى")</f>
        <v>مستشفى</v>
      </c>
      <c r="E3684" s="5" t="str">
        <f ca="1">IFERROR(__xludf.DUMMYFUNCTION("""COMPUTED_VALUE"""),"جميع التخصصات")</f>
        <v>جميع التخصصات</v>
      </c>
      <c r="F3684" s="5" t="str">
        <f ca="1">IFERROR(__xludf.DUMMYFUNCTION("""COMPUTED_VALUE"""),"جميع التخصصات الطبية")</f>
        <v>جميع التخصصات الطبية</v>
      </c>
      <c r="G3684" s="5" t="str">
        <f ca="1">IFERROR(__xludf.DUMMYFUNCTION("""COMPUTED_VALUE"""),"احسان رمضان محمد محمد حسان (مستشفي الامين التخصصي)")</f>
        <v>احسان رمضان محمد محمد حسان (مستشفي الامين التخصصي)</v>
      </c>
      <c r="H3684" s="5" t="str">
        <f ca="1">IFERROR(__xludf.DUMMYFUNCTION("""COMPUTED_VALUE"""),"امتداد شارع المنشية بجوار فندق ديلمون - الطور - جنوب سيناء")</f>
        <v>امتداد شارع المنشية بجوار فندق ديلمون - الطور - جنوب سيناء</v>
      </c>
      <c r="I3684" s="6" t="str">
        <f ca="1">IFERROR(__xludf.DUMMYFUNCTION("""COMPUTED_VALUE"""),"0693787880")</f>
        <v>0693787880</v>
      </c>
      <c r="J3684" s="6"/>
      <c r="K3684" s="6" t="str">
        <f ca="1">IFERROR(__xludf.DUMMYFUNCTION("""COMPUTED_VALUE"""),"خصم 25% علي الاسعار النقدي")</f>
        <v>خصم 25% علي الاسعار النقدي</v>
      </c>
    </row>
    <row r="3685" spans="1:11" x14ac:dyDescent="0.25">
      <c r="A3685" s="4" t="str">
        <f ca="1">IFERROR(__xludf.DUMMYFUNCTION("""COMPUTED_VALUE"""),"107712")</f>
        <v>107712</v>
      </c>
      <c r="B3685" s="5" t="str">
        <f ca="1">IFERROR(__xludf.DUMMYFUNCTION("""COMPUTED_VALUE"""),"القاهرة")</f>
        <v>القاهرة</v>
      </c>
      <c r="C3685" s="5" t="str">
        <f ca="1">IFERROR(__xludf.DUMMYFUNCTION("""COMPUTED_VALUE"""),"القاهرة الجديدة")</f>
        <v>القاهرة الجديدة</v>
      </c>
      <c r="D3685" s="5" t="str">
        <f ca="1">IFERROR(__xludf.DUMMYFUNCTION("""COMPUTED_VALUE"""),"شركة")</f>
        <v>شركة</v>
      </c>
      <c r="E3685" s="5" t="str">
        <f ca="1">IFERROR(__xludf.DUMMYFUNCTION("""COMPUTED_VALUE"""),"شركة اجهزة طبية")</f>
        <v>شركة اجهزة طبية</v>
      </c>
      <c r="F3685" s="5" t="str">
        <f ca="1">IFERROR(__xludf.DUMMYFUNCTION("""COMPUTED_VALUE"""),"مستلزمات واجهزة طبية")</f>
        <v>مستلزمات واجهزة طبية</v>
      </c>
      <c r="G3685" s="5" t="str">
        <f ca="1">IFERROR(__xludf.DUMMYFUNCTION("""COMPUTED_VALUE"""),"ديابيتس كلاود (Diabetes Cloud)")</f>
        <v>ديابيتس كلاود (Diabetes Cloud)</v>
      </c>
      <c r="H3685" s="5" t="str">
        <f ca="1">IFERROR(__xludf.DUMMYFUNCTION("""COMPUTED_VALUE"""),"47 شارع التسعين الشمالي - التجمع الخامس - القاهرة")</f>
        <v>47 شارع التسعين الشمالي - التجمع الخامس - القاهرة</v>
      </c>
      <c r="I3685" s="6" t="str">
        <f ca="1">IFERROR(__xludf.DUMMYFUNCTION("""COMPUTED_VALUE"""),"0221604222")</f>
        <v>0221604222</v>
      </c>
      <c r="J3685" s="6"/>
      <c r="K3685" s="6" t="str">
        <f ca="1">IFERROR(__xludf.DUMMYFUNCTION("""COMPUTED_VALUE"""),"خصم 20% علي نظام مضخة الانسولين ايكويل، 15% علي باقة مستهلكات نظام مضخة الانسولين ايكويل الشهرية، 33% علي مستشعر قياس السكر المستمر")</f>
        <v>خصم 20% علي نظام مضخة الانسولين ايكويل، 15% علي باقة مستهلكات نظام مضخة الانسولين ايكويل الشهرية، 33% علي مستشعر قياس السكر المستمر</v>
      </c>
    </row>
    <row r="3686" spans="1:11" x14ac:dyDescent="0.25">
      <c r="A3686" s="4" t="str">
        <f ca="1">IFERROR(__xludf.DUMMYFUNCTION("""COMPUTED_VALUE"""),"107714")</f>
        <v>107714</v>
      </c>
      <c r="B3686" s="5" t="str">
        <f ca="1">IFERROR(__xludf.DUMMYFUNCTION("""COMPUTED_VALUE"""),"القاهرة")</f>
        <v>القاهرة</v>
      </c>
      <c r="C3686" s="5" t="str">
        <f ca="1">IFERROR(__xludf.DUMMYFUNCTION("""COMPUTED_VALUE"""),"القاهرة الجديدة")</f>
        <v>القاهرة الجديدة</v>
      </c>
      <c r="D3686" s="5" t="str">
        <f ca="1">IFERROR(__xludf.DUMMYFUNCTION("""COMPUTED_VALUE"""),"صيدلية")</f>
        <v>صيدلية</v>
      </c>
      <c r="E3686" s="5" t="str">
        <f ca="1">IFERROR(__xludf.DUMMYFUNCTION("""COMPUTED_VALUE"""),"صيدلية")</f>
        <v>صيدلية</v>
      </c>
      <c r="F3686" s="5" t="str">
        <f ca="1">IFERROR(__xludf.DUMMYFUNCTION("""COMPUTED_VALUE"""),"صيدلية (أدوية ومستلزمات طبية)")</f>
        <v>صيدلية (أدوية ومستلزمات طبية)</v>
      </c>
      <c r="G3686" s="5" t="str">
        <f ca="1">IFERROR(__xludf.DUMMYFUNCTION("""COMPUTED_VALUE"""),"الاميدا فاينانشيال للاعمال الطبية الدولية مستشفي قطامية (صيدلية مستشفي السلام الدولي القطامية)")</f>
        <v>الاميدا فاينانشيال للاعمال الطبية الدولية مستشفي قطامية (صيدلية مستشفي السلام الدولي القطامية)</v>
      </c>
      <c r="H3686" s="5" t="str">
        <f ca="1">IFERROR(__xludf.DUMMYFUNCTION("""COMPUTED_VALUE"""),"مركز خدمات التجمع الخامس - القطامية - القاهرة الجديدة")</f>
        <v>مركز خدمات التجمع الخامس - القطامية - القاهرة الجديدة</v>
      </c>
      <c r="I3686" s="6"/>
      <c r="J3686" s="6"/>
      <c r="K3686" s="6" t="str">
        <f ca="1">IFERROR(__xludf.DUMMYFUNCTION("""COMPUTED_VALUE"""),"خصم 10% علي الادوية المحلية و 5% علي الادوية المستوردة")</f>
        <v>خصم 10% علي الادوية المحلية و 5% علي الادوية المستوردة</v>
      </c>
    </row>
    <row r="3687" spans="1:11" x14ac:dyDescent="0.25">
      <c r="A3687" s="4" t="str">
        <f ca="1">IFERROR(__xludf.DUMMYFUNCTION("""COMPUTED_VALUE"""),"107716")</f>
        <v>107716</v>
      </c>
      <c r="B3687" s="5" t="str">
        <f ca="1">IFERROR(__xludf.DUMMYFUNCTION("""COMPUTED_VALUE"""),"القاهرة")</f>
        <v>القاهرة</v>
      </c>
      <c r="C3687" s="5" t="str">
        <f ca="1">IFERROR(__xludf.DUMMYFUNCTION("""COMPUTED_VALUE"""),"مدينة نصر")</f>
        <v>مدينة نصر</v>
      </c>
      <c r="D3687" s="5" t="str">
        <f ca="1">IFERROR(__xludf.DUMMYFUNCTION("""COMPUTED_VALUE"""),"صيدلية")</f>
        <v>صيدلية</v>
      </c>
      <c r="E3687" s="5" t="str">
        <f ca="1">IFERROR(__xludf.DUMMYFUNCTION("""COMPUTED_VALUE"""),"صيدلية")</f>
        <v>صيدلية</v>
      </c>
      <c r="F3687" s="5" t="str">
        <f ca="1">IFERROR(__xludf.DUMMYFUNCTION("""COMPUTED_VALUE"""),"صيدلية (أدوية ومستلزمات طبية)")</f>
        <v>صيدلية (أدوية ومستلزمات طبية)</v>
      </c>
      <c r="G3687" s="5" t="str">
        <f ca="1">IFERROR(__xludf.DUMMYFUNCTION("""COMPUTED_VALUE"""),"صيدلية مستشفي دار الفؤاد - مدينة نصر (شركة الطبية العربية الدولية)")</f>
        <v>صيدلية مستشفي دار الفؤاد - مدينة نصر (شركة الطبية العربية الدولية)</v>
      </c>
      <c r="H3687" s="5" t="str">
        <f ca="1">IFERROR(__xludf.DUMMYFUNCTION("""COMPUTED_VALUE"""),"تقاطع طريق النصر مع ش يوسف عباس - ارض الغابة الدولية - مدينة نصر - القاهرة")</f>
        <v>تقاطع طريق النصر مع ش يوسف عباس - ارض الغابة الدولية - مدينة نصر - القاهرة</v>
      </c>
      <c r="I3687" s="6"/>
      <c r="J3687" s="6" t="str">
        <f ca="1">IFERROR(__xludf.DUMMYFUNCTION("""COMPUTED_VALUE"""),"16378")</f>
        <v>16378</v>
      </c>
      <c r="K3687" s="6" t="str">
        <f ca="1">IFERROR(__xludf.DUMMYFUNCTION("""COMPUTED_VALUE"""),"خصم 10% علي الادوية المحلية و 5% علي الادوية المستوردة")</f>
        <v>خصم 10% علي الادوية المحلية و 5% علي الادوية المستوردة</v>
      </c>
    </row>
    <row r="3688" spans="1:11" x14ac:dyDescent="0.25">
      <c r="A3688" s="4" t="str">
        <f ca="1">IFERROR(__xludf.DUMMYFUNCTION("""COMPUTED_VALUE"""),"107717")</f>
        <v>107717</v>
      </c>
      <c r="B3688" s="5" t="str">
        <f ca="1">IFERROR(__xludf.DUMMYFUNCTION("""COMPUTED_VALUE"""),"الجيزة")</f>
        <v>الجيزة</v>
      </c>
      <c r="C3688" s="5" t="str">
        <f ca="1">IFERROR(__xludf.DUMMYFUNCTION("""COMPUTED_VALUE"""),"السادس من اكتوبر")</f>
        <v>السادس من اكتوبر</v>
      </c>
      <c r="D3688" s="5" t="str">
        <f ca="1">IFERROR(__xludf.DUMMYFUNCTION("""COMPUTED_VALUE"""),"صيدلية")</f>
        <v>صيدلية</v>
      </c>
      <c r="E3688" s="5" t="str">
        <f ca="1">IFERROR(__xludf.DUMMYFUNCTION("""COMPUTED_VALUE"""),"صيدلية")</f>
        <v>صيدلية</v>
      </c>
      <c r="F3688" s="5" t="str">
        <f ca="1">IFERROR(__xludf.DUMMYFUNCTION("""COMPUTED_VALUE"""),"صيدلية (أدوية ومستلزمات طبية)")</f>
        <v>صيدلية (أدوية ومستلزمات طبية)</v>
      </c>
      <c r="G3688" s="5" t="str">
        <f ca="1">IFERROR(__xludf.DUMMYFUNCTION("""COMPUTED_VALUE"""),"صيدلية مستشفي دار الفؤاد - السادس من أكتوبر لجراحة القلب و الصدر و الاوعية الدموية")</f>
        <v>صيدلية مستشفي دار الفؤاد - السادس من أكتوبر لجراحة القلب و الصدر و الاوعية الدموية</v>
      </c>
      <c r="H3688" s="5" t="str">
        <f ca="1">IFERROR(__xludf.DUMMYFUNCTION("""COMPUTED_VALUE"""),"امتداد شارع 26 يوليو - المنطقة السياحية - مدينة السادس من أكتوبر - الجيزة")</f>
        <v>امتداد شارع 26 يوليو - المنطقة السياحية - مدينة السادس من أكتوبر - الجيزة</v>
      </c>
      <c r="I3688" s="6"/>
      <c r="J3688" s="6" t="str">
        <f ca="1">IFERROR(__xludf.DUMMYFUNCTION("""COMPUTED_VALUE"""),"16378")</f>
        <v>16378</v>
      </c>
      <c r="K3688" s="6" t="str">
        <f ca="1">IFERROR(__xludf.DUMMYFUNCTION("""COMPUTED_VALUE"""),"خصم 10% علي الادوية المحلية و 5% علي الادوية المستوردة")</f>
        <v>خصم 10% علي الادوية المحلية و 5% علي الادوية المستوردة</v>
      </c>
    </row>
    <row r="3689" spans="1:11" x14ac:dyDescent="0.25">
      <c r="A3689" s="4" t="str">
        <f ca="1">IFERROR(__xludf.DUMMYFUNCTION("""COMPUTED_VALUE"""),"103478-B")</f>
        <v>103478-B</v>
      </c>
      <c r="B3689" s="5" t="str">
        <f ca="1">IFERROR(__xludf.DUMMYFUNCTION("""COMPUTED_VALUE"""),"مرسى مطروح")</f>
        <v>مرسى مطروح</v>
      </c>
      <c r="C3689" s="5" t="str">
        <f ca="1">IFERROR(__xludf.DUMMYFUNCTION("""COMPUTED_VALUE"""),"الساحل الشمالي")</f>
        <v>الساحل الشمالي</v>
      </c>
      <c r="D3689" s="5" t="str">
        <f ca="1">IFERROR(__xludf.DUMMYFUNCTION("""COMPUTED_VALUE"""),"مستشفى")</f>
        <v>مستشفى</v>
      </c>
      <c r="E3689" s="5" t="str">
        <f ca="1">IFERROR(__xludf.DUMMYFUNCTION("""COMPUTED_VALUE"""),"مستشفي طبي متكامل")</f>
        <v>مستشفي طبي متكامل</v>
      </c>
      <c r="F3689" s="5" t="str">
        <f ca="1">IFERROR(__xludf.DUMMYFUNCTION("""COMPUTED_VALUE"""),"جميع التخصصات الطبية")</f>
        <v>جميع التخصصات الطبية</v>
      </c>
      <c r="G3689" s="5" t="str">
        <f ca="1">IFERROR(__xludf.DUMMYFUNCTION("""COMPUTED_VALUE"""),"مستشفى الصفا")</f>
        <v>مستشفى الصفا</v>
      </c>
      <c r="H3689" s="5" t="str">
        <f ca="1">IFERROR(__xludf.DUMMYFUNCTION("""COMPUTED_VALUE"""),"مراسي - الساحل الشمالي")</f>
        <v>مراسي - الساحل الشمالي</v>
      </c>
      <c r="I3689" s="6" t="str">
        <f ca="1">IFERROR(__xludf.DUMMYFUNCTION("""COMPUTED_VALUE"""),"20233361051")</f>
        <v>20233361051</v>
      </c>
      <c r="J3689" s="6" t="str">
        <f ca="1">IFERROR(__xludf.DUMMYFUNCTION("""COMPUTED_VALUE"""),"16181")</f>
        <v>16181</v>
      </c>
      <c r="K3689" s="6" t="str">
        <f ca="1">IFERROR(__xludf.DUMMYFUNCTION("""COMPUTED_VALUE"""),"50% الكشف ,20% على خدمات الداخلى والطوارئ,عدا بنك الدم والقسطرة والأدوية واتعاب الأطباء")</f>
        <v>50% الكشف ,20% على خدمات الداخلى والطوارئ,عدا بنك الدم والقسطرة والأدوية واتعاب الأطباء</v>
      </c>
    </row>
    <row r="3690" spans="1:11" x14ac:dyDescent="0.25">
      <c r="A3690" s="4" t="str">
        <f ca="1">IFERROR(__xludf.DUMMYFUNCTION("""COMPUTED_VALUE"""),"103478-B")</f>
        <v>103478-B</v>
      </c>
      <c r="B3690" s="5" t="str">
        <f ca="1">IFERROR(__xludf.DUMMYFUNCTION("""COMPUTED_VALUE"""),"مرسى مطروح")</f>
        <v>مرسى مطروح</v>
      </c>
      <c r="C3690" s="5" t="str">
        <f ca="1">IFERROR(__xludf.DUMMYFUNCTION("""COMPUTED_VALUE"""),"الساحل الشمالي")</f>
        <v>الساحل الشمالي</v>
      </c>
      <c r="D3690" s="5" t="str">
        <f ca="1">IFERROR(__xludf.DUMMYFUNCTION("""COMPUTED_VALUE"""),"مستشفى")</f>
        <v>مستشفى</v>
      </c>
      <c r="E3690" s="5" t="str">
        <f ca="1">IFERROR(__xludf.DUMMYFUNCTION("""COMPUTED_VALUE"""),"مستشفي طبي متكامل")</f>
        <v>مستشفي طبي متكامل</v>
      </c>
      <c r="F3690" s="5" t="str">
        <f ca="1">IFERROR(__xludf.DUMMYFUNCTION("""COMPUTED_VALUE"""),"جميع التخصصات الطبية")</f>
        <v>جميع التخصصات الطبية</v>
      </c>
      <c r="G3690" s="5" t="str">
        <f ca="1">IFERROR(__xludf.DUMMYFUNCTION("""COMPUTED_VALUE"""),"مستشفى الصفا")</f>
        <v>مستشفى الصفا</v>
      </c>
      <c r="H3690" s="5" t="str">
        <f ca="1">IFERROR(__xludf.DUMMYFUNCTION("""COMPUTED_VALUE"""),"ميدي هب امام قرية سي شل الكيلو 134")</f>
        <v>ميدي هب امام قرية سي شل الكيلو 134</v>
      </c>
      <c r="I3690" s="6" t="str">
        <f ca="1">IFERROR(__xludf.DUMMYFUNCTION("""COMPUTED_VALUE"""),"20233361051")</f>
        <v>20233361051</v>
      </c>
      <c r="J3690" s="6" t="str">
        <f ca="1">IFERROR(__xludf.DUMMYFUNCTION("""COMPUTED_VALUE"""),"16181")</f>
        <v>16181</v>
      </c>
      <c r="K3690" s="6" t="str">
        <f ca="1">IFERROR(__xludf.DUMMYFUNCTION("""COMPUTED_VALUE"""),"50% الكشف ,20% على خدمات الداخلى والطوارئ,عدا بنك الدم والقسطرة والأدوية واتعاب الأطباء")</f>
        <v>50% الكشف ,20% على خدمات الداخلى والطوارئ,عدا بنك الدم والقسطرة والأدوية واتعاب الأطباء</v>
      </c>
    </row>
    <row r="3691" spans="1:11" x14ac:dyDescent="0.25">
      <c r="A3691" s="4" t="str">
        <f ca="1">IFERROR(__xludf.DUMMYFUNCTION("""COMPUTED_VALUE"""),"103478-B")</f>
        <v>103478-B</v>
      </c>
      <c r="B3691" s="5" t="str">
        <f ca="1">IFERROR(__xludf.DUMMYFUNCTION("""COMPUTED_VALUE"""),"مرسى مطروح")</f>
        <v>مرسى مطروح</v>
      </c>
      <c r="C3691" s="5" t="str">
        <f ca="1">IFERROR(__xludf.DUMMYFUNCTION("""COMPUTED_VALUE"""),"الساحل الشمالي")</f>
        <v>الساحل الشمالي</v>
      </c>
      <c r="D3691" s="5" t="str">
        <f ca="1">IFERROR(__xludf.DUMMYFUNCTION("""COMPUTED_VALUE"""),"مستشفى")</f>
        <v>مستشفى</v>
      </c>
      <c r="E3691" s="5" t="str">
        <f ca="1">IFERROR(__xludf.DUMMYFUNCTION("""COMPUTED_VALUE"""),"مستشفي طبي متكامل")</f>
        <v>مستشفي طبي متكامل</v>
      </c>
      <c r="F3691" s="5" t="str">
        <f ca="1">IFERROR(__xludf.DUMMYFUNCTION("""COMPUTED_VALUE"""),"جميع التخصصات الطبية")</f>
        <v>جميع التخصصات الطبية</v>
      </c>
      <c r="G3691" s="5" t="str">
        <f ca="1">IFERROR(__xludf.DUMMYFUNCTION("""COMPUTED_VALUE"""),"مستشفى الصفا")</f>
        <v>مستشفى الصفا</v>
      </c>
      <c r="H3691" s="5" t="str">
        <f ca="1">IFERROR(__xludf.DUMMYFUNCTION("""COMPUTED_VALUE"""),"ألماظة باي - الساحل الشمالي")</f>
        <v>ألماظة باي - الساحل الشمالي</v>
      </c>
      <c r="I3691" s="6" t="str">
        <f ca="1">IFERROR(__xludf.DUMMYFUNCTION("""COMPUTED_VALUE"""),"20233361051")</f>
        <v>20233361051</v>
      </c>
      <c r="J3691" s="6" t="str">
        <f ca="1">IFERROR(__xludf.DUMMYFUNCTION("""COMPUTED_VALUE"""),"16181")</f>
        <v>16181</v>
      </c>
      <c r="K3691" s="6" t="str">
        <f ca="1">IFERROR(__xludf.DUMMYFUNCTION("""COMPUTED_VALUE"""),"50% الكشف ,20% على خدمات الداخلى والطوارئ,عدا بنك الدم والقسطرة والأدوية واتعاب الأطباء")</f>
        <v>50% الكشف ,20% على خدمات الداخلى والطوارئ,عدا بنك الدم والقسطرة والأدوية واتعاب الأطباء</v>
      </c>
    </row>
    <row r="3692" spans="1:11" x14ac:dyDescent="0.25">
      <c r="A3692" s="4" t="str">
        <f ca="1">IFERROR(__xludf.DUMMYFUNCTION("""COMPUTED_VALUE"""),"103478-B")</f>
        <v>103478-B</v>
      </c>
      <c r="B3692" s="5" t="str">
        <f ca="1">IFERROR(__xludf.DUMMYFUNCTION("""COMPUTED_VALUE"""),"مرسى مطروح")</f>
        <v>مرسى مطروح</v>
      </c>
      <c r="C3692" s="5" t="str">
        <f ca="1">IFERROR(__xludf.DUMMYFUNCTION("""COMPUTED_VALUE"""),"الساحل الشمالي")</f>
        <v>الساحل الشمالي</v>
      </c>
      <c r="D3692" s="5" t="str">
        <f ca="1">IFERROR(__xludf.DUMMYFUNCTION("""COMPUTED_VALUE"""),"مستشفى")</f>
        <v>مستشفى</v>
      </c>
      <c r="E3692" s="5" t="str">
        <f ca="1">IFERROR(__xludf.DUMMYFUNCTION("""COMPUTED_VALUE"""),"مستشفي طبي متكامل")</f>
        <v>مستشفي طبي متكامل</v>
      </c>
      <c r="F3692" s="5" t="str">
        <f ca="1">IFERROR(__xludf.DUMMYFUNCTION("""COMPUTED_VALUE"""),"جميع التخصصات الطبية")</f>
        <v>جميع التخصصات الطبية</v>
      </c>
      <c r="G3692" s="5" t="str">
        <f ca="1">IFERROR(__xludf.DUMMYFUNCTION("""COMPUTED_VALUE"""),"مستشفى الصفا")</f>
        <v>مستشفى الصفا</v>
      </c>
      <c r="H3692" s="5" t="str">
        <f ca="1">IFERROR(__xludf.DUMMYFUNCTION("""COMPUTED_VALUE"""),"سوان ليك - الساحل الشمالي")</f>
        <v>سوان ليك - الساحل الشمالي</v>
      </c>
      <c r="I3692" s="6" t="str">
        <f ca="1">IFERROR(__xludf.DUMMYFUNCTION("""COMPUTED_VALUE"""),"20233361051")</f>
        <v>20233361051</v>
      </c>
      <c r="J3692" s="6" t="str">
        <f ca="1">IFERROR(__xludf.DUMMYFUNCTION("""COMPUTED_VALUE"""),"16181")</f>
        <v>16181</v>
      </c>
      <c r="K3692" s="6" t="str">
        <f ca="1">IFERROR(__xludf.DUMMYFUNCTION("""COMPUTED_VALUE"""),"50% الكشف ,20% على خدمات الداخلى والطوارئ,عدا بنك الدم والقسطرة والأدوية واتعاب الأطباء")</f>
        <v>50% الكشف ,20% على خدمات الداخلى والطوارئ,عدا بنك الدم والقسطرة والأدوية واتعاب الأطباء</v>
      </c>
    </row>
    <row r="3693" spans="1:11" x14ac:dyDescent="0.25">
      <c r="A3693" s="4" t="str">
        <f ca="1">IFERROR(__xludf.DUMMYFUNCTION("""COMPUTED_VALUE"""),"103478-B")</f>
        <v>103478-B</v>
      </c>
      <c r="B3693" s="5" t="str">
        <f ca="1">IFERROR(__xludf.DUMMYFUNCTION("""COMPUTED_VALUE"""),"الجيزة")</f>
        <v>الجيزة</v>
      </c>
      <c r="C3693" s="5" t="str">
        <f ca="1">IFERROR(__xludf.DUMMYFUNCTION("""COMPUTED_VALUE"""),"الشيخ زايد")</f>
        <v>الشيخ زايد</v>
      </c>
      <c r="D3693" s="5" t="str">
        <f ca="1">IFERROR(__xludf.DUMMYFUNCTION("""COMPUTED_VALUE"""),"مجمع عيادات")</f>
        <v>مجمع عيادات</v>
      </c>
      <c r="E3693" s="5" t="str">
        <f ca="1">IFERROR(__xludf.DUMMYFUNCTION("""COMPUTED_VALUE"""),"جميع التخصصات")</f>
        <v>جميع التخصصات</v>
      </c>
      <c r="F3693" s="5" t="str">
        <f ca="1">IFERROR(__xludf.DUMMYFUNCTION("""COMPUTED_VALUE"""),"جميع التخصصات الطبية")</f>
        <v>جميع التخصصات الطبية</v>
      </c>
      <c r="G3693" s="5" t="str">
        <f ca="1">IFERROR(__xludf.DUMMYFUNCTION("""COMPUTED_VALUE"""),"مستشفى الصفا")</f>
        <v>مستشفى الصفا</v>
      </c>
      <c r="H3693" s="5" t="str">
        <f ca="1">IFERROR(__xludf.DUMMYFUNCTION("""COMPUTED_VALUE"""),"بالم هيلز الشيخ زايد")</f>
        <v>بالم هيلز الشيخ زايد</v>
      </c>
      <c r="I3693" s="6"/>
      <c r="J3693" s="6" t="str">
        <f ca="1">IFERROR(__xludf.DUMMYFUNCTION("""COMPUTED_VALUE"""),"16181")</f>
        <v>16181</v>
      </c>
      <c r="K3693" s="6" t="str">
        <f ca="1">IFERROR(__xludf.DUMMYFUNCTION("""COMPUTED_VALUE"""),"50% الكشف ,20% على خدمات الداخلى والطوارئ,عدا بنك الدم والقسطرة والأدوية واتعاب الأطباء")</f>
        <v>50% الكشف ,20% على خدمات الداخلى والطوارئ,عدا بنك الدم والقسطرة والأدوية واتعاب الأطباء</v>
      </c>
    </row>
    <row r="3694" spans="1:11" x14ac:dyDescent="0.25">
      <c r="A3694" s="4" t="str">
        <f ca="1">IFERROR(__xludf.DUMMYFUNCTION("""COMPUTED_VALUE"""),"107719")</f>
        <v>107719</v>
      </c>
      <c r="B3694" s="5" t="str">
        <f ca="1">IFERROR(__xludf.DUMMYFUNCTION("""COMPUTED_VALUE"""),"القاهرة")</f>
        <v>القاهرة</v>
      </c>
      <c r="C3694" s="5" t="str">
        <f ca="1">IFERROR(__xludf.DUMMYFUNCTION("""COMPUTED_VALUE"""),"القاهرة الجديدة")</f>
        <v>القاهرة الجديدة</v>
      </c>
      <c r="D3694" s="5" t="str">
        <f ca="1">IFERROR(__xludf.DUMMYFUNCTION("""COMPUTED_VALUE"""),"مجمع عيادات")</f>
        <v>مجمع عيادات</v>
      </c>
      <c r="E3694" s="5" t="str">
        <f ca="1">IFERROR(__xludf.DUMMYFUNCTION("""COMPUTED_VALUE"""),"مركز التجميل ")</f>
        <v xml:space="preserve">مركز التجميل </v>
      </c>
      <c r="F3694" s="5" t="str">
        <f ca="1">IFERROR(__xludf.DUMMYFUNCTION("""COMPUTED_VALUE"""),"مركز التجميل ")</f>
        <v xml:space="preserve">مركز التجميل </v>
      </c>
      <c r="G3694" s="5" t="str">
        <f ca="1">IFERROR(__xludf.DUMMYFUNCTION("""COMPUTED_VALUE"""),"شركة ان شيب للمراكز المتخصصة")</f>
        <v>شركة ان شيب للمراكز المتخصصة</v>
      </c>
      <c r="H3694" s="5" t="str">
        <f ca="1">IFERROR(__xludf.DUMMYFUNCTION("""COMPUTED_VALUE""")," trivium business complex شارع التسعين الشمالي عيادة رقم 109  الدور الاول أعلي بافاريا للسيارات BAVARIA AUTO عند جامعه المستقبل فوق BMW")</f>
        <v xml:space="preserve"> trivium business complex شارع التسعين الشمالي عيادة رقم 109  الدور الاول أعلي بافاريا للسيارات BAVARIA AUTO عند جامعه المستقبل فوق BMW</v>
      </c>
      <c r="I3694" s="6" t="str">
        <f ca="1">IFERROR(__xludf.DUMMYFUNCTION("""COMPUTED_VALUE"""),"01091933338")</f>
        <v>01091933338</v>
      </c>
      <c r="J3694" s="6"/>
      <c r="K3694"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695" spans="1:11" x14ac:dyDescent="0.25">
      <c r="A3695" s="4" t="str">
        <f ca="1">IFERROR(__xludf.DUMMYFUNCTION("""COMPUTED_VALUE"""),"107719-B")</f>
        <v>107719-B</v>
      </c>
      <c r="B3695" s="5" t="str">
        <f ca="1">IFERROR(__xludf.DUMMYFUNCTION("""COMPUTED_VALUE"""),"القاهرة")</f>
        <v>القاهرة</v>
      </c>
      <c r="C3695" s="5" t="str">
        <f ca="1">IFERROR(__xludf.DUMMYFUNCTION("""COMPUTED_VALUE"""),"القاهرة الجديدة")</f>
        <v>القاهرة الجديدة</v>
      </c>
      <c r="D3695" s="5" t="str">
        <f ca="1">IFERROR(__xludf.DUMMYFUNCTION("""COMPUTED_VALUE"""),"مجمع عيادات")</f>
        <v>مجمع عيادات</v>
      </c>
      <c r="E3695" s="5" t="str">
        <f ca="1">IFERROR(__xludf.DUMMYFUNCTION("""COMPUTED_VALUE"""),"مركز التجميل ")</f>
        <v xml:space="preserve">مركز التجميل </v>
      </c>
      <c r="F3695" s="5" t="str">
        <f ca="1">IFERROR(__xludf.DUMMYFUNCTION("""COMPUTED_VALUE"""),"مركز التجميل ")</f>
        <v xml:space="preserve">مركز التجميل </v>
      </c>
      <c r="G3695" s="5" t="str">
        <f ca="1">IFERROR(__xludf.DUMMYFUNCTION("""COMPUTED_VALUE"""),"شركة ان شيب للمراكز المتخصصة")</f>
        <v>شركة ان شيب للمراكز المتخصصة</v>
      </c>
      <c r="H3695" s="5" t="str">
        <f ca="1">IFERROR(__xludf.DUMMYFUNCTION("""COMPUTED_VALUE"""),"مول water way 5A-مبني D1 اسم الوحده D-f02 التجمع الخامس")</f>
        <v>مول water way 5A-مبني D1 اسم الوحده D-f02 التجمع الخامس</v>
      </c>
      <c r="I3695" s="6" t="str">
        <f ca="1">IFERROR(__xludf.DUMMYFUNCTION("""COMPUTED_VALUE"""),"1022006761")</f>
        <v>1022006761</v>
      </c>
      <c r="J3695" s="6"/>
      <c r="K3695"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696" spans="1:11" x14ac:dyDescent="0.25">
      <c r="A3696" s="4" t="str">
        <f ca="1">IFERROR(__xludf.DUMMYFUNCTION("""COMPUTED_VALUE"""),"107719-B")</f>
        <v>107719-B</v>
      </c>
      <c r="B3696" s="5" t="str">
        <f ca="1">IFERROR(__xludf.DUMMYFUNCTION("""COMPUTED_VALUE"""),"القاهرة")</f>
        <v>القاهرة</v>
      </c>
      <c r="C3696" s="5" t="str">
        <f ca="1">IFERROR(__xludf.DUMMYFUNCTION("""COMPUTED_VALUE"""),"القاهرة الجديدة")</f>
        <v>القاهرة الجديدة</v>
      </c>
      <c r="D3696" s="5" t="str">
        <f ca="1">IFERROR(__xludf.DUMMYFUNCTION("""COMPUTED_VALUE"""),"مجمع عيادات")</f>
        <v>مجمع عيادات</v>
      </c>
      <c r="E3696" s="5" t="str">
        <f ca="1">IFERROR(__xludf.DUMMYFUNCTION("""COMPUTED_VALUE"""),"مركز التجميل ")</f>
        <v xml:space="preserve">مركز التجميل </v>
      </c>
      <c r="F3696" s="5" t="str">
        <f ca="1">IFERROR(__xludf.DUMMYFUNCTION("""COMPUTED_VALUE"""),"مركز التجميل ")</f>
        <v xml:space="preserve">مركز التجميل </v>
      </c>
      <c r="G3696" s="5" t="str">
        <f ca="1">IFERROR(__xludf.DUMMYFUNCTION("""COMPUTED_VALUE"""),"شركة ان شيب للمراكز المتخصصة")</f>
        <v>شركة ان شيب للمراكز المتخصصة</v>
      </c>
      <c r="H3696" s="5" t="str">
        <f ca="1">IFERROR(__xludf.DUMMYFUNCTION("""COMPUTED_VALUE"""),"عيادة رقم 1 مبنى رقم 4 ديستريكت 5 مراكز التجمع الخامس اول طريق العين السخنه")</f>
        <v>عيادة رقم 1 مبنى رقم 4 ديستريكت 5 مراكز التجمع الخامس اول طريق العين السخنه</v>
      </c>
      <c r="I3696" s="6"/>
      <c r="J3696" s="6"/>
      <c r="K3696"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697" spans="1:11" x14ac:dyDescent="0.25">
      <c r="A3697" s="4" t="str">
        <f ca="1">IFERROR(__xludf.DUMMYFUNCTION("""COMPUTED_VALUE"""),"107719-B")</f>
        <v>107719-B</v>
      </c>
      <c r="B3697" s="5" t="str">
        <f ca="1">IFERROR(__xludf.DUMMYFUNCTION("""COMPUTED_VALUE"""),"القاهرة")</f>
        <v>القاهرة</v>
      </c>
      <c r="C3697" s="5" t="str">
        <f ca="1">IFERROR(__xludf.DUMMYFUNCTION("""COMPUTED_VALUE"""),"القاهرة الجديدة")</f>
        <v>القاهرة الجديدة</v>
      </c>
      <c r="D3697" s="5" t="str">
        <f ca="1">IFERROR(__xludf.DUMMYFUNCTION("""COMPUTED_VALUE"""),"مجمع عيادات")</f>
        <v>مجمع عيادات</v>
      </c>
      <c r="E3697" s="5" t="str">
        <f ca="1">IFERROR(__xludf.DUMMYFUNCTION("""COMPUTED_VALUE"""),"مركز التجميل ")</f>
        <v xml:space="preserve">مركز التجميل </v>
      </c>
      <c r="F3697" s="5" t="str">
        <f ca="1">IFERROR(__xludf.DUMMYFUNCTION("""COMPUTED_VALUE"""),"مركز التجميل ")</f>
        <v xml:space="preserve">مركز التجميل </v>
      </c>
      <c r="G3697" s="5" t="str">
        <f ca="1">IFERROR(__xludf.DUMMYFUNCTION("""COMPUTED_VALUE"""),"شركة ان شيب للمراكز المتخصصة")</f>
        <v>شركة ان شيب للمراكز المتخصصة</v>
      </c>
      <c r="H3697" s="5" t="str">
        <f ca="1">IFERROR(__xludf.DUMMYFUNCTION("""COMPUTED_VALUE"""),"Eterna helath care - Ark A8 الدور التانى")</f>
        <v>Eterna helath care - Ark A8 الدور التانى</v>
      </c>
      <c r="I3697" s="6"/>
      <c r="J3697" s="6"/>
      <c r="K3697"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698" spans="1:11" x14ac:dyDescent="0.25">
      <c r="A3698" s="4" t="str">
        <f ca="1">IFERROR(__xludf.DUMMYFUNCTION("""COMPUTED_VALUE"""),"107719-B")</f>
        <v>107719-B</v>
      </c>
      <c r="B3698" s="5" t="str">
        <f ca="1">IFERROR(__xludf.DUMMYFUNCTION("""COMPUTED_VALUE"""),"القاهرة")</f>
        <v>القاهرة</v>
      </c>
      <c r="C3698" s="5" t="str">
        <f ca="1">IFERROR(__xludf.DUMMYFUNCTION("""COMPUTED_VALUE"""),"القاهرة الجديدة")</f>
        <v>القاهرة الجديدة</v>
      </c>
      <c r="D3698" s="5" t="str">
        <f ca="1">IFERROR(__xludf.DUMMYFUNCTION("""COMPUTED_VALUE"""),"مجمع عيادات")</f>
        <v>مجمع عيادات</v>
      </c>
      <c r="E3698" s="5" t="str">
        <f ca="1">IFERROR(__xludf.DUMMYFUNCTION("""COMPUTED_VALUE"""),"مركز التجميل ")</f>
        <v xml:space="preserve">مركز التجميل </v>
      </c>
      <c r="F3698" s="5" t="str">
        <f ca="1">IFERROR(__xludf.DUMMYFUNCTION("""COMPUTED_VALUE"""),"مركز التجميل ")</f>
        <v xml:space="preserve">مركز التجميل </v>
      </c>
      <c r="G3698" s="5" t="str">
        <f ca="1">IFERROR(__xludf.DUMMYFUNCTION("""COMPUTED_VALUE"""),"شركة ان شيب للمراكز المتخصصة")</f>
        <v>شركة ان شيب للمراكز المتخصصة</v>
      </c>
      <c r="H3698" s="5" t="str">
        <f ca="1">IFERROR(__xludf.DUMMYFUNCTION("""COMPUTED_VALUE"""),"مول HCC خلف المستشفى الجوى الدور الاول و حده 103و 104و 105المدخل الجانبي رويال كوينز ( royal queens )")</f>
        <v>مول HCC خلف المستشفى الجوى الدور الاول و حده 103و 104و 105المدخل الجانبي رويال كوينز ( royal queens )</v>
      </c>
      <c r="I3698" s="6" t="str">
        <f ca="1">IFERROR(__xludf.DUMMYFUNCTION("""COMPUTED_VALUE"""),"1033007980")</f>
        <v>1033007980</v>
      </c>
      <c r="J3698" s="6"/>
      <c r="K3698"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699" spans="1:11" x14ac:dyDescent="0.25">
      <c r="A3699" s="4" t="str">
        <f ca="1">IFERROR(__xludf.DUMMYFUNCTION("""COMPUTED_VALUE"""),"107719-B")</f>
        <v>107719-B</v>
      </c>
      <c r="B3699" s="5" t="str">
        <f ca="1">IFERROR(__xludf.DUMMYFUNCTION("""COMPUTED_VALUE"""),"القاهرة")</f>
        <v>القاهرة</v>
      </c>
      <c r="C3699" s="5" t="str">
        <f ca="1">IFERROR(__xludf.DUMMYFUNCTION("""COMPUTED_VALUE"""),"القاهرة الجديدة")</f>
        <v>القاهرة الجديدة</v>
      </c>
      <c r="D3699" s="5" t="str">
        <f ca="1">IFERROR(__xludf.DUMMYFUNCTION("""COMPUTED_VALUE"""),"مجمع عيادات")</f>
        <v>مجمع عيادات</v>
      </c>
      <c r="E3699" s="5" t="str">
        <f ca="1">IFERROR(__xludf.DUMMYFUNCTION("""COMPUTED_VALUE"""),"مركز التجميل ")</f>
        <v xml:space="preserve">مركز التجميل </v>
      </c>
      <c r="F3699" s="5" t="str">
        <f ca="1">IFERROR(__xludf.DUMMYFUNCTION("""COMPUTED_VALUE"""),"مركز التجميل ")</f>
        <v xml:space="preserve">مركز التجميل </v>
      </c>
      <c r="G3699" s="5" t="str">
        <f ca="1">IFERROR(__xludf.DUMMYFUNCTION("""COMPUTED_VALUE"""),"شركة ان شيب للمراكز المتخصصة")</f>
        <v>شركة ان شيب للمراكز المتخصصة</v>
      </c>
      <c r="H3699" s="5" t="str">
        <f ca="1">IFERROR(__xludf.DUMMYFUNCTION("""COMPUTED_VALUE"""),"38 القرنفل الجنوبية خلف النائب العام")</f>
        <v>38 القرنفل الجنوبية خلف النائب العام</v>
      </c>
      <c r="I3699" s="6" t="str">
        <f ca="1">IFERROR(__xludf.DUMMYFUNCTION("""COMPUTED_VALUE"""),"1066693724")</f>
        <v>1066693724</v>
      </c>
      <c r="J3699" s="6"/>
      <c r="K3699"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00" spans="1:11" x14ac:dyDescent="0.25">
      <c r="A3700" s="4" t="str">
        <f ca="1">IFERROR(__xludf.DUMMYFUNCTION("""COMPUTED_VALUE"""),"107719-B")</f>
        <v>107719-B</v>
      </c>
      <c r="B3700" s="5" t="str">
        <f ca="1">IFERROR(__xludf.DUMMYFUNCTION("""COMPUTED_VALUE"""),"القاهرة")</f>
        <v>القاهرة</v>
      </c>
      <c r="C3700" s="5" t="str">
        <f ca="1">IFERROR(__xludf.DUMMYFUNCTION("""COMPUTED_VALUE"""),"الرحاب")</f>
        <v>الرحاب</v>
      </c>
      <c r="D3700" s="5" t="str">
        <f ca="1">IFERROR(__xludf.DUMMYFUNCTION("""COMPUTED_VALUE"""),"مجمع عيادات")</f>
        <v>مجمع عيادات</v>
      </c>
      <c r="E3700" s="5" t="str">
        <f ca="1">IFERROR(__xludf.DUMMYFUNCTION("""COMPUTED_VALUE"""),"مركز التجميل ")</f>
        <v xml:space="preserve">مركز التجميل </v>
      </c>
      <c r="F3700" s="5" t="str">
        <f ca="1">IFERROR(__xludf.DUMMYFUNCTION("""COMPUTED_VALUE"""),"مركز التجميل ")</f>
        <v xml:space="preserve">مركز التجميل </v>
      </c>
      <c r="G3700" s="5" t="str">
        <f ca="1">IFERROR(__xludf.DUMMYFUNCTION("""COMPUTED_VALUE"""),"شركة ان شيب للمراكز المتخصصة")</f>
        <v>شركة ان شيب للمراكز المتخصصة</v>
      </c>
      <c r="H3700" s="5" t="str">
        <f ca="1">IFERROR(__xludf.DUMMYFUNCTION("""COMPUTED_VALUE"""),"عياده 108 المركز الطبي 1 الدور الاول - South Park -بجوار جهاز المدينه")</f>
        <v>عياده 108 المركز الطبي 1 الدور الاول - South Park -بجوار جهاز المدينه</v>
      </c>
      <c r="I3700" s="6" t="str">
        <f ca="1">IFERROR(__xludf.DUMMYFUNCTION("""COMPUTED_VALUE"""),"1064091100")</f>
        <v>1064091100</v>
      </c>
      <c r="J3700" s="6"/>
      <c r="K3700"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01" spans="1:11" x14ac:dyDescent="0.25">
      <c r="A3701" s="4" t="str">
        <f ca="1">IFERROR(__xludf.DUMMYFUNCTION("""COMPUTED_VALUE"""),"107719-B")</f>
        <v>107719-B</v>
      </c>
      <c r="B3701" s="5" t="str">
        <f ca="1">IFERROR(__xludf.DUMMYFUNCTION("""COMPUTED_VALUE"""),"القاهرة")</f>
        <v>القاهرة</v>
      </c>
      <c r="C3701" s="5" t="str">
        <f ca="1">IFERROR(__xludf.DUMMYFUNCTION("""COMPUTED_VALUE"""),"الرحاب")</f>
        <v>الرحاب</v>
      </c>
      <c r="D3701" s="5" t="str">
        <f ca="1">IFERROR(__xludf.DUMMYFUNCTION("""COMPUTED_VALUE"""),"مجمع عيادات")</f>
        <v>مجمع عيادات</v>
      </c>
      <c r="E3701" s="5" t="str">
        <f ca="1">IFERROR(__xludf.DUMMYFUNCTION("""COMPUTED_VALUE"""),"مركز التجميل ")</f>
        <v xml:space="preserve">مركز التجميل </v>
      </c>
      <c r="F3701" s="5" t="str">
        <f ca="1">IFERROR(__xludf.DUMMYFUNCTION("""COMPUTED_VALUE"""),"مركز التجميل ")</f>
        <v xml:space="preserve">مركز التجميل </v>
      </c>
      <c r="G3701" s="5" t="str">
        <f ca="1">IFERROR(__xludf.DUMMYFUNCTION("""COMPUTED_VALUE"""),"شركة ان شيب للمراكز المتخصصة")</f>
        <v>شركة ان شيب للمراكز المتخصصة</v>
      </c>
      <c r="H3701" s="5" t="str">
        <f ca="1">IFERROR(__xludf.DUMMYFUNCTION("""COMPUTED_VALUE"""),"عياده 212 المركز الطبي 1 الدور التانى - South Park -بجوار جهاز المدينه")</f>
        <v>عياده 212 المركز الطبي 1 الدور التانى - South Park -بجوار جهاز المدينه</v>
      </c>
      <c r="I3701" s="6" t="str">
        <f ca="1">IFERROR(__xludf.DUMMYFUNCTION("""COMPUTED_VALUE"""),"1064100577")</f>
        <v>1064100577</v>
      </c>
      <c r="J3701" s="6"/>
      <c r="K3701"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02" spans="1:11" x14ac:dyDescent="0.25">
      <c r="A3702" s="4" t="str">
        <f ca="1">IFERROR(__xludf.DUMMYFUNCTION("""COMPUTED_VALUE"""),"107719-B")</f>
        <v>107719-B</v>
      </c>
      <c r="B3702" s="5" t="str">
        <f ca="1">IFERROR(__xludf.DUMMYFUNCTION("""COMPUTED_VALUE"""),"القاهرة")</f>
        <v>القاهرة</v>
      </c>
      <c r="C3702" s="5" t="str">
        <f ca="1">IFERROR(__xludf.DUMMYFUNCTION("""COMPUTED_VALUE"""),"الرحاب")</f>
        <v>الرحاب</v>
      </c>
      <c r="D3702" s="5" t="str">
        <f ca="1">IFERROR(__xludf.DUMMYFUNCTION("""COMPUTED_VALUE"""),"مجمع عيادات")</f>
        <v>مجمع عيادات</v>
      </c>
      <c r="E3702" s="5" t="str">
        <f ca="1">IFERROR(__xludf.DUMMYFUNCTION("""COMPUTED_VALUE"""),"مركز التجميل ")</f>
        <v xml:space="preserve">مركز التجميل </v>
      </c>
      <c r="F3702" s="5" t="str">
        <f ca="1">IFERROR(__xludf.DUMMYFUNCTION("""COMPUTED_VALUE"""),"مركز التجميل ")</f>
        <v xml:space="preserve">مركز التجميل </v>
      </c>
      <c r="G3702" s="5" t="str">
        <f ca="1">IFERROR(__xludf.DUMMYFUNCTION("""COMPUTED_VALUE"""),"شركة ان شيب للمراكز المتخصصة")</f>
        <v>شركة ان شيب للمراكز المتخصصة</v>
      </c>
      <c r="H3702" s="5" t="str">
        <f ca="1">IFERROR(__xludf.DUMMYFUNCTION("""COMPUTED_VALUE"""),"المركز الطبي (1) - الدور الاول - وحدة 109")</f>
        <v>المركز الطبي (1) - الدور الاول - وحدة 109</v>
      </c>
      <c r="I3702" s="6" t="str">
        <f ca="1">IFERROR(__xludf.DUMMYFUNCTION("""COMPUTED_VALUE"""),"01064100887")</f>
        <v>01064100887</v>
      </c>
      <c r="J3702" s="6"/>
      <c r="K3702"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03" spans="1:11" x14ac:dyDescent="0.25">
      <c r="A3703" s="4" t="str">
        <f ca="1">IFERROR(__xludf.DUMMYFUNCTION("""COMPUTED_VALUE"""),"107719-B")</f>
        <v>107719-B</v>
      </c>
      <c r="B3703" s="5" t="str">
        <f ca="1">IFERROR(__xludf.DUMMYFUNCTION("""COMPUTED_VALUE"""),"الجيزة")</f>
        <v>الجيزة</v>
      </c>
      <c r="C3703" s="5" t="str">
        <f ca="1">IFERROR(__xludf.DUMMYFUNCTION("""COMPUTED_VALUE"""),"الشيخ زايد")</f>
        <v>الشيخ زايد</v>
      </c>
      <c r="D3703" s="5" t="str">
        <f ca="1">IFERROR(__xludf.DUMMYFUNCTION("""COMPUTED_VALUE"""),"مجمع عيادات")</f>
        <v>مجمع عيادات</v>
      </c>
      <c r="E3703" s="5" t="str">
        <f ca="1">IFERROR(__xludf.DUMMYFUNCTION("""COMPUTED_VALUE"""),"مركز التجميل ")</f>
        <v xml:space="preserve">مركز التجميل </v>
      </c>
      <c r="F3703" s="5" t="str">
        <f ca="1">IFERROR(__xludf.DUMMYFUNCTION("""COMPUTED_VALUE"""),"مركز التجميل ")</f>
        <v xml:space="preserve">مركز التجميل </v>
      </c>
      <c r="G3703" s="5" t="str">
        <f ca="1">IFERROR(__xludf.DUMMYFUNCTION("""COMPUTED_VALUE"""),"شركة ان شيب للمراكز المتخصصة")</f>
        <v>شركة ان شيب للمراكز المتخصصة</v>
      </c>
      <c r="H3703" s="5" t="str">
        <f ca="1">IFERROR(__xludf.DUMMYFUNCTION("""COMPUTED_VALUE"""),"وحدة C5-2 الدور الخامس Building 7 - close to McDonald’s")</f>
        <v>وحدة C5-2 الدور الخامس Building 7 - close to McDonald’s</v>
      </c>
      <c r="I3703" s="6" t="str">
        <f ca="1">IFERROR(__xludf.DUMMYFUNCTION("""COMPUTED_VALUE"""),"1022006568")</f>
        <v>1022006568</v>
      </c>
      <c r="J3703" s="6"/>
      <c r="K3703"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04" spans="1:11" x14ac:dyDescent="0.25">
      <c r="A3704" s="4" t="str">
        <f ca="1">IFERROR(__xludf.DUMMYFUNCTION("""COMPUTED_VALUE"""),"107719-B")</f>
        <v>107719-B</v>
      </c>
      <c r="B3704" s="5" t="str">
        <f ca="1">IFERROR(__xludf.DUMMYFUNCTION("""COMPUTED_VALUE"""),"الجيزة")</f>
        <v>الجيزة</v>
      </c>
      <c r="C3704" s="5" t="str">
        <f ca="1">IFERROR(__xludf.DUMMYFUNCTION("""COMPUTED_VALUE"""),"الشيخ زايد")</f>
        <v>الشيخ زايد</v>
      </c>
      <c r="D3704" s="5" t="str">
        <f ca="1">IFERROR(__xludf.DUMMYFUNCTION("""COMPUTED_VALUE"""),"مجمع عيادات")</f>
        <v>مجمع عيادات</v>
      </c>
      <c r="E3704" s="5" t="str">
        <f ca="1">IFERROR(__xludf.DUMMYFUNCTION("""COMPUTED_VALUE"""),"مركز التجميل ")</f>
        <v xml:space="preserve">مركز التجميل </v>
      </c>
      <c r="F3704" s="5" t="str">
        <f ca="1">IFERROR(__xludf.DUMMYFUNCTION("""COMPUTED_VALUE"""),"مركز التجميل ")</f>
        <v xml:space="preserve">مركز التجميل </v>
      </c>
      <c r="G3704" s="5" t="str">
        <f ca="1">IFERROR(__xludf.DUMMYFUNCTION("""COMPUTED_VALUE"""),"شركة ان شيب للمراكز المتخصصة")</f>
        <v>شركة ان شيب للمراكز المتخصصة</v>
      </c>
      <c r="H3704" s="5" t="str">
        <f ca="1">IFERROR(__xludf.DUMMYFUNCTION("""COMPUTED_VALUE"""),"كابيتال بيزنس بارك مبني b6 الدور الخامس - علي المحور المركزي للشيخ زايد بجوار ترافكو")</f>
        <v>كابيتال بيزنس بارك مبني b6 الدور الخامس - علي المحور المركزي للشيخ زايد بجوار ترافكو</v>
      </c>
      <c r="I3704" s="6" t="str">
        <f ca="1">IFERROR(__xludf.DUMMYFUNCTION("""COMPUTED_VALUE"""),"1011125853")</f>
        <v>1011125853</v>
      </c>
      <c r="J3704" s="6"/>
      <c r="K3704"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05" spans="1:11" x14ac:dyDescent="0.25">
      <c r="A3705" s="4" t="str">
        <f ca="1">IFERROR(__xludf.DUMMYFUNCTION("""COMPUTED_VALUE"""),"107719-B")</f>
        <v>107719-B</v>
      </c>
      <c r="B3705" s="5" t="str">
        <f ca="1">IFERROR(__xludf.DUMMYFUNCTION("""COMPUTED_VALUE"""),"الجيزة")</f>
        <v>الجيزة</v>
      </c>
      <c r="C3705" s="5" t="str">
        <f ca="1">IFERROR(__xludf.DUMMYFUNCTION("""COMPUTED_VALUE"""),"السادس من اكتوبر")</f>
        <v>السادس من اكتوبر</v>
      </c>
      <c r="D3705" s="5" t="str">
        <f ca="1">IFERROR(__xludf.DUMMYFUNCTION("""COMPUTED_VALUE"""),"مجمع عيادات")</f>
        <v>مجمع عيادات</v>
      </c>
      <c r="E3705" s="5" t="str">
        <f ca="1">IFERROR(__xludf.DUMMYFUNCTION("""COMPUTED_VALUE"""),"مركز التجميل ")</f>
        <v xml:space="preserve">مركز التجميل </v>
      </c>
      <c r="F3705" s="5" t="str">
        <f ca="1">IFERROR(__xludf.DUMMYFUNCTION("""COMPUTED_VALUE"""),"مركز التجميل ")</f>
        <v xml:space="preserve">مركز التجميل </v>
      </c>
      <c r="G3705" s="5" t="str">
        <f ca="1">IFERROR(__xludf.DUMMYFUNCTION("""COMPUTED_VALUE"""),"شركة ان شيب للمراكز المتخصصة")</f>
        <v>شركة ان شيب للمراكز المتخصصة</v>
      </c>
      <c r="H3705" s="5" t="str">
        <f ca="1">IFERROR(__xludf.DUMMYFUNCTION("""COMPUTED_VALUE"""),"محور 26 يوليو مول اكتوبر بلازا الدور الرابع بجوار لابوار")</f>
        <v>محور 26 يوليو مول اكتوبر بلازا الدور الرابع بجوار لابوار</v>
      </c>
      <c r="I3705" s="6" t="str">
        <f ca="1">IFERROR(__xludf.DUMMYFUNCTION("""COMPUTED_VALUE"""),"1023504433")</f>
        <v>1023504433</v>
      </c>
      <c r="J3705" s="6"/>
      <c r="K3705"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06" spans="1:11" x14ac:dyDescent="0.25">
      <c r="A3706" s="4" t="str">
        <f ca="1">IFERROR(__xludf.DUMMYFUNCTION("""COMPUTED_VALUE"""),"107719-B")</f>
        <v>107719-B</v>
      </c>
      <c r="B3706" s="5" t="str">
        <f ca="1">IFERROR(__xludf.DUMMYFUNCTION("""COMPUTED_VALUE"""),"القاهرة")</f>
        <v>القاهرة</v>
      </c>
      <c r="C3706" s="5" t="str">
        <f ca="1">IFERROR(__xludf.DUMMYFUNCTION("""COMPUTED_VALUE"""),"مدينة الشروق")</f>
        <v>مدينة الشروق</v>
      </c>
      <c r="D3706" s="5" t="str">
        <f ca="1">IFERROR(__xludf.DUMMYFUNCTION("""COMPUTED_VALUE"""),"مجمع عيادات")</f>
        <v>مجمع عيادات</v>
      </c>
      <c r="E3706" s="5" t="str">
        <f ca="1">IFERROR(__xludf.DUMMYFUNCTION("""COMPUTED_VALUE"""),"مركز التجميل ")</f>
        <v xml:space="preserve">مركز التجميل </v>
      </c>
      <c r="F3706" s="5" t="str">
        <f ca="1">IFERROR(__xludf.DUMMYFUNCTION("""COMPUTED_VALUE"""),"مركز التجميل ")</f>
        <v xml:space="preserve">مركز التجميل </v>
      </c>
      <c r="G3706" s="5" t="str">
        <f ca="1">IFERROR(__xludf.DUMMYFUNCTION("""COMPUTED_VALUE"""),"شركة ان شيب للمراكز المتخصصة")</f>
        <v>شركة ان شيب للمراكز المتخصصة</v>
      </c>
      <c r="H3706" s="5" t="str">
        <f ca="1">IFERROR(__xludf.DUMMYFUNCTION("""COMPUTED_VALUE"""),"تاون سنتر مول الدور الثالث عياده رقم F 329")</f>
        <v>تاون سنتر مول الدور الثالث عياده رقم F 329</v>
      </c>
      <c r="I3706" s="6" t="str">
        <f ca="1">IFERROR(__xludf.DUMMYFUNCTION("""COMPUTED_VALUE"""),"1022008189")</f>
        <v>1022008189</v>
      </c>
      <c r="J3706" s="6"/>
      <c r="K3706"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07" spans="1:11" x14ac:dyDescent="0.25">
      <c r="A3707" s="4" t="str">
        <f ca="1">IFERROR(__xludf.DUMMYFUNCTION("""COMPUTED_VALUE"""),"107719-B")</f>
        <v>107719-B</v>
      </c>
      <c r="B3707" s="5" t="str">
        <f ca="1">IFERROR(__xludf.DUMMYFUNCTION("""COMPUTED_VALUE"""),"القاهرة")</f>
        <v>القاهرة</v>
      </c>
      <c r="C3707" s="5" t="str">
        <f ca="1">IFERROR(__xludf.DUMMYFUNCTION("""COMPUTED_VALUE"""),"الرحاب")</f>
        <v>الرحاب</v>
      </c>
      <c r="D3707" s="5" t="str">
        <f ca="1">IFERROR(__xludf.DUMMYFUNCTION("""COMPUTED_VALUE"""),"مجمع عيادات")</f>
        <v>مجمع عيادات</v>
      </c>
      <c r="E3707" s="5" t="str">
        <f ca="1">IFERROR(__xludf.DUMMYFUNCTION("""COMPUTED_VALUE"""),"مركز التجميل ")</f>
        <v xml:space="preserve">مركز التجميل </v>
      </c>
      <c r="F3707" s="5" t="str">
        <f ca="1">IFERROR(__xludf.DUMMYFUNCTION("""COMPUTED_VALUE"""),"مركز التجميل ")</f>
        <v xml:space="preserve">مركز التجميل </v>
      </c>
      <c r="G3707" s="5" t="str">
        <f ca="1">IFERROR(__xludf.DUMMYFUNCTION("""COMPUTED_VALUE"""),"شركة ان شيب للمراكز المتخصصة")</f>
        <v>شركة ان شيب للمراكز المتخصصة</v>
      </c>
      <c r="H3707" s="5" t="str">
        <f ca="1">IFERROR(__xludf.DUMMYFUNCTION("""COMPUTED_VALUE"""),"بوابه 6 مول ذا يارد الدور التاني عياده رقم 2045")</f>
        <v>بوابه 6 مول ذا يارد الدور التاني عياده رقم 2045</v>
      </c>
      <c r="I3707" s="6" t="str">
        <f ca="1">IFERROR(__xludf.DUMMYFUNCTION("""COMPUTED_VALUE"""),"226933364")</f>
        <v>226933364</v>
      </c>
      <c r="J3707" s="6"/>
      <c r="K3707"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08" spans="1:11" x14ac:dyDescent="0.25">
      <c r="A3708" s="4" t="str">
        <f ca="1">IFERROR(__xludf.DUMMYFUNCTION("""COMPUTED_VALUE"""),"107719-B")</f>
        <v>107719-B</v>
      </c>
      <c r="B3708" s="5" t="str">
        <f ca="1">IFERROR(__xludf.DUMMYFUNCTION("""COMPUTED_VALUE"""),"القاهرة")</f>
        <v>القاهرة</v>
      </c>
      <c r="C3708" s="5" t="str">
        <f ca="1">IFERROR(__xludf.DUMMYFUNCTION("""COMPUTED_VALUE"""),"مصر الجديدة")</f>
        <v>مصر الجديدة</v>
      </c>
      <c r="D3708" s="5" t="str">
        <f ca="1">IFERROR(__xludf.DUMMYFUNCTION("""COMPUTED_VALUE"""),"مجمع عيادات")</f>
        <v>مجمع عيادات</v>
      </c>
      <c r="E3708" s="5" t="str">
        <f ca="1">IFERROR(__xludf.DUMMYFUNCTION("""COMPUTED_VALUE"""),"مركز التجميل ")</f>
        <v xml:space="preserve">مركز التجميل </v>
      </c>
      <c r="F3708" s="5" t="str">
        <f ca="1">IFERROR(__xludf.DUMMYFUNCTION("""COMPUTED_VALUE"""),"مركز التجميل ")</f>
        <v xml:space="preserve">مركز التجميل </v>
      </c>
      <c r="G3708" s="5" t="str">
        <f ca="1">IFERROR(__xludf.DUMMYFUNCTION("""COMPUTED_VALUE"""),"شركة ان شيب للمراكز المتخصصة")</f>
        <v>شركة ان شيب للمراكز المتخصصة</v>
      </c>
      <c r="H3708" s="5" t="str">
        <f ca="1">IFERROR(__xludf.DUMMYFUNCTION("""COMPUTED_VALUE"""),"8 شارع خالد بن وليد مساكن شيراتون الدور التاني اعلي حلوان تسباس")</f>
        <v>8 شارع خالد بن وليد مساكن شيراتون الدور التاني اعلي حلوان تسباس</v>
      </c>
      <c r="I3708" s="6" t="str">
        <f ca="1">IFERROR(__xludf.DUMMYFUNCTION("""COMPUTED_VALUE"""),"1066937775")</f>
        <v>1066937775</v>
      </c>
      <c r="J3708" s="6"/>
      <c r="K3708"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09" spans="1:11" x14ac:dyDescent="0.25">
      <c r="A3709" s="4" t="str">
        <f ca="1">IFERROR(__xludf.DUMMYFUNCTION("""COMPUTED_VALUE"""),"107719-B")</f>
        <v>107719-B</v>
      </c>
      <c r="B3709" s="5" t="str">
        <f ca="1">IFERROR(__xludf.DUMMYFUNCTION("""COMPUTED_VALUE"""),"القاهرة")</f>
        <v>القاهرة</v>
      </c>
      <c r="C3709" s="5" t="str">
        <f ca="1">IFERROR(__xludf.DUMMYFUNCTION("""COMPUTED_VALUE"""),"مصر الجديدة")</f>
        <v>مصر الجديدة</v>
      </c>
      <c r="D3709" s="5" t="str">
        <f ca="1">IFERROR(__xludf.DUMMYFUNCTION("""COMPUTED_VALUE"""),"مجمع عيادات")</f>
        <v>مجمع عيادات</v>
      </c>
      <c r="E3709" s="5" t="str">
        <f ca="1">IFERROR(__xludf.DUMMYFUNCTION("""COMPUTED_VALUE"""),"مركز التجميل ")</f>
        <v xml:space="preserve">مركز التجميل </v>
      </c>
      <c r="F3709" s="5" t="str">
        <f ca="1">IFERROR(__xludf.DUMMYFUNCTION("""COMPUTED_VALUE"""),"مركز التجميل ")</f>
        <v xml:space="preserve">مركز التجميل </v>
      </c>
      <c r="G3709" s="5" t="str">
        <f ca="1">IFERROR(__xludf.DUMMYFUNCTION("""COMPUTED_VALUE"""),"شركة ان شيب للمراكز المتخصصة")</f>
        <v>شركة ان شيب للمراكز المتخصصة</v>
      </c>
      <c r="H3709" s="5" t="str">
        <f ca="1">IFERROR(__xludf.DUMMYFUNCTION("""COMPUTED_VALUE"""),"رقم 60 ش الحرية الدور التاني بعد تريدكو الصياد قريبه من موقف سوبر جيت الماظة بجوار تيفولي امام سوبر ماركت اوسكار")</f>
        <v>رقم 60 ش الحرية الدور التاني بعد تريدكو الصياد قريبه من موقف سوبر جيت الماظة بجوار تيفولي امام سوبر ماركت اوسكار</v>
      </c>
      <c r="I3709" s="6" t="str">
        <f ca="1">IFERROR(__xludf.DUMMYFUNCTION("""COMPUTED_VALUE"""),"1066932229")</f>
        <v>1066932229</v>
      </c>
      <c r="J3709" s="6"/>
      <c r="K3709"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10" spans="1:11" x14ac:dyDescent="0.25">
      <c r="A3710" s="4" t="str">
        <f ca="1">IFERROR(__xludf.DUMMYFUNCTION("""COMPUTED_VALUE"""),"107719-B")</f>
        <v>107719-B</v>
      </c>
      <c r="B3710" s="5" t="str">
        <f ca="1">IFERROR(__xludf.DUMMYFUNCTION("""COMPUTED_VALUE"""),"القاهرة")</f>
        <v>القاهرة</v>
      </c>
      <c r="C3710" s="5" t="str">
        <f ca="1">IFERROR(__xludf.DUMMYFUNCTION("""COMPUTED_VALUE"""),"مدينة نصر")</f>
        <v>مدينة نصر</v>
      </c>
      <c r="D3710" s="5" t="str">
        <f ca="1">IFERROR(__xludf.DUMMYFUNCTION("""COMPUTED_VALUE"""),"مجمع عيادات")</f>
        <v>مجمع عيادات</v>
      </c>
      <c r="E3710" s="5" t="str">
        <f ca="1">IFERROR(__xludf.DUMMYFUNCTION("""COMPUTED_VALUE"""),"مركز التجميل ")</f>
        <v xml:space="preserve">مركز التجميل </v>
      </c>
      <c r="F3710" s="5" t="str">
        <f ca="1">IFERROR(__xludf.DUMMYFUNCTION("""COMPUTED_VALUE"""),"مركز التجميل ")</f>
        <v xml:space="preserve">مركز التجميل </v>
      </c>
      <c r="G3710" s="5" t="str">
        <f ca="1">IFERROR(__xludf.DUMMYFUNCTION("""COMPUTED_VALUE"""),"شركة ان شيب للمراكز المتخصصة")</f>
        <v>شركة ان شيب للمراكز المتخصصة</v>
      </c>
      <c r="H3710" s="5" t="str">
        <f ca="1">IFERROR(__xludf.DUMMYFUNCTION("""COMPUTED_VALUE"""),"رقم 52 شارع احمد فخري فوق بنك التجاري وفا خلف حديقة الطفل باب العمارة امام بوابة مكتبة الطفل الدور الرابع - مدينة نصر")</f>
        <v>رقم 52 شارع احمد فخري فوق بنك التجاري وفا خلف حديقة الطفل باب العمارة امام بوابة مكتبة الطفل الدور الرابع - مدينة نصر</v>
      </c>
      <c r="I3710" s="6" t="str">
        <f ca="1">IFERROR(__xludf.DUMMYFUNCTION("""COMPUTED_VALUE"""),"1094777001")</f>
        <v>1094777001</v>
      </c>
      <c r="J3710" s="6"/>
      <c r="K3710"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11" spans="1:11" x14ac:dyDescent="0.25">
      <c r="A3711" s="4" t="str">
        <f ca="1">IFERROR(__xludf.DUMMYFUNCTION("""COMPUTED_VALUE"""),"107719-B")</f>
        <v>107719-B</v>
      </c>
      <c r="B3711" s="5" t="str">
        <f ca="1">IFERROR(__xludf.DUMMYFUNCTION("""COMPUTED_VALUE"""),"القاهرة")</f>
        <v>القاهرة</v>
      </c>
      <c r="C3711" s="5" t="str">
        <f ca="1">IFERROR(__xludf.DUMMYFUNCTION("""COMPUTED_VALUE"""),"المقطم")</f>
        <v>المقطم</v>
      </c>
      <c r="D3711" s="5" t="str">
        <f ca="1">IFERROR(__xludf.DUMMYFUNCTION("""COMPUTED_VALUE"""),"مجمع عيادات")</f>
        <v>مجمع عيادات</v>
      </c>
      <c r="E3711" s="5" t="str">
        <f ca="1">IFERROR(__xludf.DUMMYFUNCTION("""COMPUTED_VALUE"""),"مركز التجميل ")</f>
        <v xml:space="preserve">مركز التجميل </v>
      </c>
      <c r="F3711" s="5" t="str">
        <f ca="1">IFERROR(__xludf.DUMMYFUNCTION("""COMPUTED_VALUE"""),"مركز التجميل ")</f>
        <v xml:space="preserve">مركز التجميل </v>
      </c>
      <c r="G3711" s="5" t="str">
        <f ca="1">IFERROR(__xludf.DUMMYFUNCTION("""COMPUTED_VALUE"""),"شركة ان شيب للمراكز المتخصصة")</f>
        <v>شركة ان شيب للمراكز المتخصصة</v>
      </c>
      <c r="H3711" s="5" t="str">
        <f ca="1">IFERROR(__xludf.DUMMYFUNCTION("""COMPUTED_VALUE"""),"عمارة 10 شارع 9 المقطم شقة 301 الدور الثالت فوق سبينيز")</f>
        <v>عمارة 10 شارع 9 المقطم شقة 301 الدور الثالت فوق سبينيز</v>
      </c>
      <c r="I3711" s="6" t="str">
        <f ca="1">IFERROR(__xludf.DUMMYFUNCTION("""COMPUTED_VALUE"""),"1099866930")</f>
        <v>1099866930</v>
      </c>
      <c r="J3711" s="6"/>
      <c r="K3711"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12" spans="1:11" x14ac:dyDescent="0.25">
      <c r="A3712" s="4" t="str">
        <f ca="1">IFERROR(__xludf.DUMMYFUNCTION("""COMPUTED_VALUE"""),"107719-B")</f>
        <v>107719-B</v>
      </c>
      <c r="B3712" s="5" t="str">
        <f ca="1">IFERROR(__xludf.DUMMYFUNCTION("""COMPUTED_VALUE"""),"القاهرة")</f>
        <v>القاهرة</v>
      </c>
      <c r="C3712" s="5" t="str">
        <f ca="1">IFERROR(__xludf.DUMMYFUNCTION("""COMPUTED_VALUE"""),"المعادى")</f>
        <v>المعادى</v>
      </c>
      <c r="D3712" s="5" t="str">
        <f ca="1">IFERROR(__xludf.DUMMYFUNCTION("""COMPUTED_VALUE"""),"مجمع عيادات")</f>
        <v>مجمع عيادات</v>
      </c>
      <c r="E3712" s="5" t="str">
        <f ca="1">IFERROR(__xludf.DUMMYFUNCTION("""COMPUTED_VALUE"""),"مركز التجميل ")</f>
        <v xml:space="preserve">مركز التجميل </v>
      </c>
      <c r="F3712" s="5" t="str">
        <f ca="1">IFERROR(__xludf.DUMMYFUNCTION("""COMPUTED_VALUE"""),"مركز التجميل ")</f>
        <v xml:space="preserve">مركز التجميل </v>
      </c>
      <c r="G3712" s="5" t="str">
        <f ca="1">IFERROR(__xludf.DUMMYFUNCTION("""COMPUTED_VALUE"""),"شركة ان شيب للمراكز المتخصصة")</f>
        <v>شركة ان شيب للمراكز المتخصصة</v>
      </c>
      <c r="H3712" s="5" t="str">
        <f ca="1">IFERROR(__xludf.DUMMYFUNCTION("""COMPUTED_VALUE"""),"رقم 25 شارع 250 دجلة - المعادي فيلا عامر نسأل علي ميدان فكيتوريا بعد المزلقان شمال nbd على اليمين نكمل الشارع لاخرة ميدان دجلة")</f>
        <v>رقم 25 شارع 250 دجلة - المعادي فيلا عامر نسأل علي ميدان فكيتوريا بعد المزلقان شمال nbd على اليمين نكمل الشارع لاخرة ميدان دجلة</v>
      </c>
      <c r="I3712" s="6" t="str">
        <f ca="1">IFERROR(__xludf.DUMMYFUNCTION("""COMPUTED_VALUE"""),"1094777006")</f>
        <v>1094777006</v>
      </c>
      <c r="J3712" s="6"/>
      <c r="K3712"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13" spans="1:11" x14ac:dyDescent="0.25">
      <c r="A3713" s="4" t="str">
        <f ca="1">IFERROR(__xludf.DUMMYFUNCTION("""COMPUTED_VALUE"""),"107719-B")</f>
        <v>107719-B</v>
      </c>
      <c r="B3713" s="5" t="str">
        <f ca="1">IFERROR(__xludf.DUMMYFUNCTION("""COMPUTED_VALUE"""),"القاهرة")</f>
        <v>القاهرة</v>
      </c>
      <c r="C3713" s="5" t="str">
        <f ca="1">IFERROR(__xludf.DUMMYFUNCTION("""COMPUTED_VALUE"""),"شبرا")</f>
        <v>شبرا</v>
      </c>
      <c r="D3713" s="5" t="str">
        <f ca="1">IFERROR(__xludf.DUMMYFUNCTION("""COMPUTED_VALUE"""),"مجمع عيادات")</f>
        <v>مجمع عيادات</v>
      </c>
      <c r="E3713" s="5" t="str">
        <f ca="1">IFERROR(__xludf.DUMMYFUNCTION("""COMPUTED_VALUE"""),"مركز التجميل ")</f>
        <v xml:space="preserve">مركز التجميل </v>
      </c>
      <c r="F3713" s="5" t="str">
        <f ca="1">IFERROR(__xludf.DUMMYFUNCTION("""COMPUTED_VALUE"""),"مركز التجميل ")</f>
        <v xml:space="preserve">مركز التجميل </v>
      </c>
      <c r="G3713" s="5" t="str">
        <f ca="1">IFERROR(__xludf.DUMMYFUNCTION("""COMPUTED_VALUE"""),"شركة ان شيب للمراكز المتخصصة")</f>
        <v>شركة ان شيب للمراكز المتخصصة</v>
      </c>
      <c r="H3713" s="5" t="str">
        <f ca="1">IFERROR(__xludf.DUMMYFUNCTION("""COMPUTED_VALUE"""),"عمارة رقم 305 شارع شبرا (برج الريهام) الدور الثاني شقة 204 ( الخلفاوي )فوق ايتوال - شبرا مصر")</f>
        <v>عمارة رقم 305 شارع شبرا (برج الريهام) الدور الثاني شقة 204 ( الخلفاوي )فوق ايتوال - شبرا مصر</v>
      </c>
      <c r="I3713" s="6" t="str">
        <f ca="1">IFERROR(__xludf.DUMMYFUNCTION("""COMPUTED_VALUE"""),"1121118977")</f>
        <v>1121118977</v>
      </c>
      <c r="J3713" s="6"/>
      <c r="K3713"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14" spans="1:11" x14ac:dyDescent="0.25">
      <c r="A3714" s="4" t="str">
        <f ca="1">IFERROR(__xludf.DUMMYFUNCTION("""COMPUTED_VALUE"""),"107719-B")</f>
        <v>107719-B</v>
      </c>
      <c r="B3714" s="5" t="str">
        <f ca="1">IFERROR(__xludf.DUMMYFUNCTION("""COMPUTED_VALUE"""),"الجيزة")</f>
        <v>الجيزة</v>
      </c>
      <c r="C3714" s="5" t="str">
        <f ca="1">IFERROR(__xludf.DUMMYFUNCTION("""COMPUTED_VALUE"""),"المهندسين")</f>
        <v>المهندسين</v>
      </c>
      <c r="D3714" s="5" t="str">
        <f ca="1">IFERROR(__xludf.DUMMYFUNCTION("""COMPUTED_VALUE"""),"مجمع عيادات")</f>
        <v>مجمع عيادات</v>
      </c>
      <c r="E3714" s="5" t="str">
        <f ca="1">IFERROR(__xludf.DUMMYFUNCTION("""COMPUTED_VALUE"""),"مركز التجميل ")</f>
        <v xml:space="preserve">مركز التجميل </v>
      </c>
      <c r="F3714" s="5" t="str">
        <f ca="1">IFERROR(__xludf.DUMMYFUNCTION("""COMPUTED_VALUE"""),"مركز التجميل ")</f>
        <v xml:space="preserve">مركز التجميل </v>
      </c>
      <c r="G3714" s="5" t="str">
        <f ca="1">IFERROR(__xludf.DUMMYFUNCTION("""COMPUTED_VALUE"""),"شركة ان شيب للمراكز المتخصصة")</f>
        <v>شركة ان شيب للمراكز المتخصصة</v>
      </c>
      <c r="H3714" s="5" t="str">
        <f ca="1">IFERROR(__xludf.DUMMYFUNCTION("""COMPUTED_VALUE"""),"52ش جامعه الدول العربيه برج الخليج ميدان مصطفى محمود عماره رضوان العجيل والعربى الدور 21")</f>
        <v>52ش جامعه الدول العربيه برج الخليج ميدان مصطفى محمود عماره رضوان العجيل والعربى الدور 21</v>
      </c>
      <c r="I3714" s="6" t="str">
        <f ca="1">IFERROR(__xludf.DUMMYFUNCTION("""COMPUTED_VALUE"""),"1022009193")</f>
        <v>1022009193</v>
      </c>
      <c r="J3714" s="6"/>
      <c r="K3714"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15" spans="1:11" x14ac:dyDescent="0.25">
      <c r="A3715" s="4" t="str">
        <f ca="1">IFERROR(__xludf.DUMMYFUNCTION("""COMPUTED_VALUE"""),"107719-B")</f>
        <v>107719-B</v>
      </c>
      <c r="B3715" s="5" t="str">
        <f ca="1">IFERROR(__xludf.DUMMYFUNCTION("""COMPUTED_VALUE"""),"الجيزة")</f>
        <v>الجيزة</v>
      </c>
      <c r="C3715" s="5" t="str">
        <f ca="1">IFERROR(__xludf.DUMMYFUNCTION("""COMPUTED_VALUE"""),"الدقي")</f>
        <v>الدقي</v>
      </c>
      <c r="D3715" s="5" t="str">
        <f ca="1">IFERROR(__xludf.DUMMYFUNCTION("""COMPUTED_VALUE"""),"مجمع عيادات")</f>
        <v>مجمع عيادات</v>
      </c>
      <c r="E3715" s="5" t="str">
        <f ca="1">IFERROR(__xludf.DUMMYFUNCTION("""COMPUTED_VALUE"""),"مركز التجميل ")</f>
        <v xml:space="preserve">مركز التجميل </v>
      </c>
      <c r="F3715" s="5" t="str">
        <f ca="1">IFERROR(__xludf.DUMMYFUNCTION("""COMPUTED_VALUE"""),"مركز التجميل ")</f>
        <v xml:space="preserve">مركز التجميل </v>
      </c>
      <c r="G3715" s="5" t="str">
        <f ca="1">IFERROR(__xludf.DUMMYFUNCTION("""COMPUTED_VALUE"""),"شركة ان شيب للمراكز المتخصصة")</f>
        <v>شركة ان شيب للمراكز المتخصصة</v>
      </c>
      <c r="H3715" s="5" t="str">
        <f ca="1">IFERROR(__xludf.DUMMYFUNCTION("""COMPUTED_VALUE"""),"شقه رقم 52_2 سيلمان اباظه الدقي ميدان الثوره الفرع فوق محل بيت ورد")</f>
        <v>شقه رقم 52_2 سيلمان اباظه الدقي ميدان الثوره الفرع فوق محل بيت ورد</v>
      </c>
      <c r="I3715" s="6" t="str">
        <f ca="1">IFERROR(__xludf.DUMMYFUNCTION("""COMPUTED_VALUE"""),"1121144388")</f>
        <v>1121144388</v>
      </c>
      <c r="J3715" s="6"/>
      <c r="K3715"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16" spans="1:11" x14ac:dyDescent="0.25">
      <c r="A3716" s="4" t="str">
        <f ca="1">IFERROR(__xludf.DUMMYFUNCTION("""COMPUTED_VALUE"""),"107719-B")</f>
        <v>107719-B</v>
      </c>
      <c r="B3716" s="5" t="str">
        <f ca="1">IFERROR(__xludf.DUMMYFUNCTION("""COMPUTED_VALUE"""),"القاهرة")</f>
        <v>القاهرة</v>
      </c>
      <c r="C3716" s="5" t="str">
        <f ca="1">IFERROR(__xludf.DUMMYFUNCTION("""COMPUTED_VALUE"""),"الزمالك")</f>
        <v>الزمالك</v>
      </c>
      <c r="D3716" s="5" t="str">
        <f ca="1">IFERROR(__xludf.DUMMYFUNCTION("""COMPUTED_VALUE"""),"مجمع عيادات")</f>
        <v>مجمع عيادات</v>
      </c>
      <c r="E3716" s="5" t="str">
        <f ca="1">IFERROR(__xludf.DUMMYFUNCTION("""COMPUTED_VALUE"""),"مركز التجميل ")</f>
        <v xml:space="preserve">مركز التجميل </v>
      </c>
      <c r="F3716" s="5" t="str">
        <f ca="1">IFERROR(__xludf.DUMMYFUNCTION("""COMPUTED_VALUE"""),"مركز التجميل ")</f>
        <v xml:space="preserve">مركز التجميل </v>
      </c>
      <c r="G3716" s="5" t="str">
        <f ca="1">IFERROR(__xludf.DUMMYFUNCTION("""COMPUTED_VALUE"""),"شركة ان شيب للمراكز المتخصصة")</f>
        <v>شركة ان شيب للمراكز المتخصصة</v>
      </c>
      <c r="H3716" s="5" t="str">
        <f ca="1">IFERROR(__xludf.DUMMYFUNCTION("""COMPUTED_VALUE"""),"21شارع المنصور محمد امتداد 26 يوليو اخر يمين قبل طلعة كوبري 15مايو الدور الاول 16507 Fostok فوق فوستوك(محل ملابس)")</f>
        <v>21شارع المنصور محمد امتداد 26 يوليو اخر يمين قبل طلعة كوبري 15مايو الدور الاول 16507 Fostok فوق فوستوك(محل ملابس)</v>
      </c>
      <c r="I3716" s="6" t="str">
        <f ca="1">IFERROR(__xludf.DUMMYFUNCTION("""COMPUTED_VALUE"""),"1009336555")</f>
        <v>1009336555</v>
      </c>
      <c r="J3716" s="6"/>
      <c r="K3716"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17" spans="1:11" x14ac:dyDescent="0.25">
      <c r="A3717" s="4" t="str">
        <f ca="1">IFERROR(__xludf.DUMMYFUNCTION("""COMPUTED_VALUE"""),"107719-B")</f>
        <v>107719-B</v>
      </c>
      <c r="B3717" s="5" t="str">
        <f ca="1">IFERROR(__xludf.DUMMYFUNCTION("""COMPUTED_VALUE"""),"الاسكندرية")</f>
        <v>الاسكندرية</v>
      </c>
      <c r="C3717" s="5" t="str">
        <f ca="1">IFERROR(__xludf.DUMMYFUNCTION("""COMPUTED_VALUE"""),"جليم")</f>
        <v>جليم</v>
      </c>
      <c r="D3717" s="5" t="str">
        <f ca="1">IFERROR(__xludf.DUMMYFUNCTION("""COMPUTED_VALUE"""),"مجمع عيادات")</f>
        <v>مجمع عيادات</v>
      </c>
      <c r="E3717" s="5" t="str">
        <f ca="1">IFERROR(__xludf.DUMMYFUNCTION("""COMPUTED_VALUE"""),"مركز التجميل ")</f>
        <v xml:space="preserve">مركز التجميل </v>
      </c>
      <c r="F3717" s="5" t="str">
        <f ca="1">IFERROR(__xludf.DUMMYFUNCTION("""COMPUTED_VALUE"""),"مركز التجميل ")</f>
        <v xml:space="preserve">مركز التجميل </v>
      </c>
      <c r="G3717" s="5" t="str">
        <f ca="1">IFERROR(__xludf.DUMMYFUNCTION("""COMPUTED_VALUE"""),"شركة ان شيب للمراكز المتخصصة")</f>
        <v>شركة ان شيب للمراكز المتخصصة</v>
      </c>
      <c r="H3717" s="5" t="str">
        <f ca="1">IFERROR(__xludf.DUMMYFUNCTION("""COMPUTED_VALUE"""),"رقم 585 ج طريق الحرية جليم بجوار مستشفى الجهاز الهضمي شارع ابوقير بجوار بنزينة مصر داخل الممر الدور الأول")</f>
        <v>رقم 585 ج طريق الحرية جليم بجوار مستشفى الجهاز الهضمي شارع ابوقير بجوار بنزينة مصر داخل الممر الدور الأول</v>
      </c>
      <c r="I3717" s="6" t="str">
        <f ca="1">IFERROR(__xludf.DUMMYFUNCTION("""COMPUTED_VALUE"""),"1002377123")</f>
        <v>1002377123</v>
      </c>
      <c r="J3717" s="6"/>
      <c r="K3717"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18" spans="1:11" x14ac:dyDescent="0.25">
      <c r="A3718" s="4" t="str">
        <f ca="1">IFERROR(__xludf.DUMMYFUNCTION("""COMPUTED_VALUE"""),"107719-B")</f>
        <v>107719-B</v>
      </c>
      <c r="B3718" s="5" t="str">
        <f ca="1">IFERROR(__xludf.DUMMYFUNCTION("""COMPUTED_VALUE"""),"الاسكندرية")</f>
        <v>الاسكندرية</v>
      </c>
      <c r="C3718" s="5" t="str">
        <f ca="1">IFERROR(__xludf.DUMMYFUNCTION("""COMPUTED_VALUE"""),"سموحة")</f>
        <v>سموحة</v>
      </c>
      <c r="D3718" s="5" t="str">
        <f ca="1">IFERROR(__xludf.DUMMYFUNCTION("""COMPUTED_VALUE"""),"مجمع عيادات")</f>
        <v>مجمع عيادات</v>
      </c>
      <c r="E3718" s="5" t="str">
        <f ca="1">IFERROR(__xludf.DUMMYFUNCTION("""COMPUTED_VALUE"""),"مركز التجميل ")</f>
        <v xml:space="preserve">مركز التجميل </v>
      </c>
      <c r="F3718" s="5" t="str">
        <f ca="1">IFERROR(__xludf.DUMMYFUNCTION("""COMPUTED_VALUE"""),"مركز التجميل ")</f>
        <v xml:space="preserve">مركز التجميل </v>
      </c>
      <c r="G3718" s="5" t="str">
        <f ca="1">IFERROR(__xludf.DUMMYFUNCTION("""COMPUTED_VALUE"""),"شركة ان شيب للمراكز المتخصصة")</f>
        <v>شركة ان شيب للمراكز المتخصصة</v>
      </c>
      <c r="H3718" s="5" t="str">
        <f ca="1">IFERROR(__xludf.DUMMYFUNCTION("""COMPUTED_VALUE"""),"عمارة 4 شارع توت عنخ امون ستار تاور الدور التالت امام مستشفى سموحه الدولى بجوار كوبرى الابراميه اعلى صيدليه العربي")</f>
        <v>عمارة 4 شارع توت عنخ امون ستار تاور الدور التالت امام مستشفى سموحه الدولى بجوار كوبرى الابراميه اعلى صيدليه العربي</v>
      </c>
      <c r="I3718" s="6" t="str">
        <f ca="1">IFERROR(__xludf.DUMMYFUNCTION("""COMPUTED_VALUE"""),"1022008279")</f>
        <v>1022008279</v>
      </c>
      <c r="J3718" s="6"/>
      <c r="K3718"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19" spans="1:11" x14ac:dyDescent="0.25">
      <c r="A3719" s="4" t="str">
        <f ca="1">IFERROR(__xludf.DUMMYFUNCTION("""COMPUTED_VALUE"""),"107719-B")</f>
        <v>107719-B</v>
      </c>
      <c r="B3719" s="5" t="str">
        <f ca="1">IFERROR(__xludf.DUMMYFUNCTION("""COMPUTED_VALUE"""),"الغربية")</f>
        <v>الغربية</v>
      </c>
      <c r="C3719" s="5" t="str">
        <f ca="1">IFERROR(__xludf.DUMMYFUNCTION("""COMPUTED_VALUE"""),"طنطا")</f>
        <v>طنطا</v>
      </c>
      <c r="D3719" s="5" t="str">
        <f ca="1">IFERROR(__xludf.DUMMYFUNCTION("""COMPUTED_VALUE"""),"مجمع عيادات")</f>
        <v>مجمع عيادات</v>
      </c>
      <c r="E3719" s="5" t="str">
        <f ca="1">IFERROR(__xludf.DUMMYFUNCTION("""COMPUTED_VALUE"""),"مركز التجميل ")</f>
        <v xml:space="preserve">مركز التجميل </v>
      </c>
      <c r="F3719" s="5" t="str">
        <f ca="1">IFERROR(__xludf.DUMMYFUNCTION("""COMPUTED_VALUE"""),"مركز التجميل ")</f>
        <v xml:space="preserve">مركز التجميل </v>
      </c>
      <c r="G3719" s="5" t="str">
        <f ca="1">IFERROR(__xludf.DUMMYFUNCTION("""COMPUTED_VALUE"""),"شركة ان شيب للمراكز المتخصصة")</f>
        <v>شركة ان شيب للمراكز المتخصصة</v>
      </c>
      <c r="H3719" s="5" t="str">
        <f ca="1">IFERROR(__xludf.DUMMYFUNCTION("""COMPUTED_VALUE"""),"مستشفى الكنانه الدور التانى منطقة الاستاد")</f>
        <v>مستشفى الكنانه الدور التانى منطقة الاستاد</v>
      </c>
      <c r="I3719" s="6"/>
      <c r="J3719" s="6"/>
      <c r="K3719"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20" spans="1:11" x14ac:dyDescent="0.25">
      <c r="A3720" s="4" t="str">
        <f ca="1">IFERROR(__xludf.DUMMYFUNCTION("""COMPUTED_VALUE"""),"107719-B")</f>
        <v>107719-B</v>
      </c>
      <c r="B3720" s="5" t="str">
        <f ca="1">IFERROR(__xludf.DUMMYFUNCTION("""COMPUTED_VALUE"""),"الغربية")</f>
        <v>الغربية</v>
      </c>
      <c r="C3720" s="5" t="str">
        <f ca="1">IFERROR(__xludf.DUMMYFUNCTION("""COMPUTED_VALUE"""),"المحلة الكبرى")</f>
        <v>المحلة الكبرى</v>
      </c>
      <c r="D3720" s="5" t="str">
        <f ca="1">IFERROR(__xludf.DUMMYFUNCTION("""COMPUTED_VALUE"""),"مجمع عيادات")</f>
        <v>مجمع عيادات</v>
      </c>
      <c r="E3720" s="5" t="str">
        <f ca="1">IFERROR(__xludf.DUMMYFUNCTION("""COMPUTED_VALUE"""),"مركز التجميل ")</f>
        <v xml:space="preserve">مركز التجميل </v>
      </c>
      <c r="F3720" s="5" t="str">
        <f ca="1">IFERROR(__xludf.DUMMYFUNCTION("""COMPUTED_VALUE"""),"مركز التجميل ")</f>
        <v xml:space="preserve">مركز التجميل </v>
      </c>
      <c r="G3720" s="5" t="str">
        <f ca="1">IFERROR(__xludf.DUMMYFUNCTION("""COMPUTED_VALUE"""),"شركة ان شيب للمراكز المتخصصة")</f>
        <v>شركة ان شيب للمراكز المتخصصة</v>
      </c>
      <c r="H3720" s="5" t="str">
        <f ca="1">IFERROR(__xludf.DUMMYFUNCTION("""COMPUTED_VALUE"""),"منطقة 6 اكتوبر شارع البحر بجوار معرض مكه و القلللى برج الدكتور جمال عوض الدور الخامس")</f>
        <v>منطقة 6 اكتوبر شارع البحر بجوار معرض مكه و القلللى برج الدكتور جمال عوض الدور الخامس</v>
      </c>
      <c r="I3720" s="6" t="str">
        <f ca="1">IFERROR(__xludf.DUMMYFUNCTION("""COMPUTED_VALUE"""),"1022009342")</f>
        <v>1022009342</v>
      </c>
      <c r="J3720" s="6"/>
      <c r="K3720"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21" spans="1:11" x14ac:dyDescent="0.25">
      <c r="A3721" s="4" t="str">
        <f ca="1">IFERROR(__xludf.DUMMYFUNCTION("""COMPUTED_VALUE"""),"107719-B")</f>
        <v>107719-B</v>
      </c>
      <c r="B3721" s="5" t="str">
        <f ca="1">IFERROR(__xludf.DUMMYFUNCTION("""COMPUTED_VALUE"""),"الدقهلية")</f>
        <v>الدقهلية</v>
      </c>
      <c r="C3721" s="5" t="str">
        <f ca="1">IFERROR(__xludf.DUMMYFUNCTION("""COMPUTED_VALUE"""),"المنصورة")</f>
        <v>المنصورة</v>
      </c>
      <c r="D3721" s="5" t="str">
        <f ca="1">IFERROR(__xludf.DUMMYFUNCTION("""COMPUTED_VALUE"""),"مجمع عيادات")</f>
        <v>مجمع عيادات</v>
      </c>
      <c r="E3721" s="5" t="str">
        <f ca="1">IFERROR(__xludf.DUMMYFUNCTION("""COMPUTED_VALUE"""),"مركز التجميل ")</f>
        <v xml:space="preserve">مركز التجميل </v>
      </c>
      <c r="F3721" s="5" t="str">
        <f ca="1">IFERROR(__xludf.DUMMYFUNCTION("""COMPUTED_VALUE"""),"مركز التجميل ")</f>
        <v xml:space="preserve">مركز التجميل </v>
      </c>
      <c r="G3721" s="5" t="str">
        <f ca="1">IFERROR(__xludf.DUMMYFUNCTION("""COMPUTED_VALUE"""),"شركة ان شيب للمراكز المتخصصة")</f>
        <v>شركة ان شيب للمراكز المتخصصة</v>
      </c>
      <c r="H3721" s="5" t="str">
        <f ca="1">IFERROR(__xludf.DUMMYFUNCTION("""COMPUTED_VALUE"""),"المشاية السفليه امام بيبو لاند فوق محل كريز للحلويات برج الاميرات الدور الاول بالكامل")</f>
        <v>المشاية السفليه امام بيبو لاند فوق محل كريز للحلويات برج الاميرات الدور الاول بالكامل</v>
      </c>
      <c r="I3721" s="6" t="str">
        <f ca="1">IFERROR(__xludf.DUMMYFUNCTION("""COMPUTED_VALUE"""),"1022009291")</f>
        <v>1022009291</v>
      </c>
      <c r="J3721" s="6"/>
      <c r="K3721"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22" spans="1:11" x14ac:dyDescent="0.25">
      <c r="A3722" s="4" t="str">
        <f ca="1">IFERROR(__xludf.DUMMYFUNCTION("""COMPUTED_VALUE"""),"107719-B")</f>
        <v>107719-B</v>
      </c>
      <c r="B3722" s="5" t="str">
        <f ca="1">IFERROR(__xludf.DUMMYFUNCTION("""COMPUTED_VALUE"""),"الشرقية")</f>
        <v>الشرقية</v>
      </c>
      <c r="C3722" s="5" t="str">
        <f ca="1">IFERROR(__xludf.DUMMYFUNCTION("""COMPUTED_VALUE"""),"الزقازيق")</f>
        <v>الزقازيق</v>
      </c>
      <c r="D3722" s="5" t="str">
        <f ca="1">IFERROR(__xludf.DUMMYFUNCTION("""COMPUTED_VALUE"""),"مجمع عيادات")</f>
        <v>مجمع عيادات</v>
      </c>
      <c r="E3722" s="5" t="str">
        <f ca="1">IFERROR(__xludf.DUMMYFUNCTION("""COMPUTED_VALUE"""),"مركز التجميل ")</f>
        <v xml:space="preserve">مركز التجميل </v>
      </c>
      <c r="F3722" s="5" t="str">
        <f ca="1">IFERROR(__xludf.DUMMYFUNCTION("""COMPUTED_VALUE"""),"مركز التجميل ")</f>
        <v xml:space="preserve">مركز التجميل </v>
      </c>
      <c r="G3722" s="5" t="str">
        <f ca="1">IFERROR(__xludf.DUMMYFUNCTION("""COMPUTED_VALUE"""),"شركة ان شيب للمراكز المتخصصة")</f>
        <v>شركة ان شيب للمراكز المتخصصة</v>
      </c>
      <c r="H3722" s="5" t="str">
        <f ca="1">IFERROR(__xludf.DUMMYFUNCTION("""COMPUTED_VALUE"""),"امتداد شارع طلبة عويضة امام مستشفى صلاح سالم برج بورتو الدور الثالث")</f>
        <v>امتداد شارع طلبة عويضة امام مستشفى صلاح سالم برج بورتو الدور الثالث</v>
      </c>
      <c r="I3722" s="6" t="str">
        <f ca="1">IFERROR(__xludf.DUMMYFUNCTION("""COMPUTED_VALUE"""),"1064003559")</f>
        <v>1064003559</v>
      </c>
      <c r="J3722" s="6"/>
      <c r="K3722"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23" spans="1:11" x14ac:dyDescent="0.25">
      <c r="A3723" s="4" t="str">
        <f ca="1">IFERROR(__xludf.DUMMYFUNCTION("""COMPUTED_VALUE"""),"107719-B")</f>
        <v>107719-B</v>
      </c>
      <c r="B3723" s="5" t="str">
        <f ca="1">IFERROR(__xludf.DUMMYFUNCTION("""COMPUTED_VALUE"""),"القليوبية")</f>
        <v>القليوبية</v>
      </c>
      <c r="C3723" s="5" t="str">
        <f ca="1">IFERROR(__xludf.DUMMYFUNCTION("""COMPUTED_VALUE"""),"بنها")</f>
        <v>بنها</v>
      </c>
      <c r="D3723" s="5" t="str">
        <f ca="1">IFERROR(__xludf.DUMMYFUNCTION("""COMPUTED_VALUE"""),"مجمع عيادات")</f>
        <v>مجمع عيادات</v>
      </c>
      <c r="E3723" s="5" t="str">
        <f ca="1">IFERROR(__xludf.DUMMYFUNCTION("""COMPUTED_VALUE"""),"مركز التجميل ")</f>
        <v xml:space="preserve">مركز التجميل </v>
      </c>
      <c r="F3723" s="5" t="str">
        <f ca="1">IFERROR(__xludf.DUMMYFUNCTION("""COMPUTED_VALUE"""),"مركز التجميل ")</f>
        <v xml:space="preserve">مركز التجميل </v>
      </c>
      <c r="G3723" s="5" t="str">
        <f ca="1">IFERROR(__xludf.DUMMYFUNCTION("""COMPUTED_VALUE"""),"شركة ان شيب للمراكز المتخصصة")</f>
        <v>شركة ان شيب للمراكز المتخصصة</v>
      </c>
      <c r="H3723" s="5" t="str">
        <f ca="1">IFERROR(__xludf.DUMMYFUNCTION("""COMPUTED_VALUE"""),"برج الياسمين فوق ماكدونالدز الدور السادس خلف مدرسة الشبان المسلمين")</f>
        <v>برج الياسمين فوق ماكدونالدز الدور السادس خلف مدرسة الشبان المسلمين</v>
      </c>
      <c r="I3723" s="6" t="str">
        <f ca="1">IFERROR(__xludf.DUMMYFUNCTION("""COMPUTED_VALUE"""),"1010237222")</f>
        <v>1010237222</v>
      </c>
      <c r="J3723" s="6"/>
      <c r="K3723"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24" spans="1:11" x14ac:dyDescent="0.25">
      <c r="A3724" s="4" t="str">
        <f ca="1">IFERROR(__xludf.DUMMYFUNCTION("""COMPUTED_VALUE"""),"107719-B")</f>
        <v>107719-B</v>
      </c>
      <c r="B3724" s="5" t="str">
        <f ca="1">IFERROR(__xludf.DUMMYFUNCTION("""COMPUTED_VALUE"""),"الإسماعيلية")</f>
        <v>الإسماعيلية</v>
      </c>
      <c r="C3724" s="5" t="str">
        <f ca="1">IFERROR(__xludf.DUMMYFUNCTION("""COMPUTED_VALUE"""),"الإسماعيلية")</f>
        <v>الإسماعيلية</v>
      </c>
      <c r="D3724" s="5" t="str">
        <f ca="1">IFERROR(__xludf.DUMMYFUNCTION("""COMPUTED_VALUE"""),"مجمع عيادات")</f>
        <v>مجمع عيادات</v>
      </c>
      <c r="E3724" s="5" t="str">
        <f ca="1">IFERROR(__xludf.DUMMYFUNCTION("""COMPUTED_VALUE"""),"مركز التجميل ")</f>
        <v xml:space="preserve">مركز التجميل </v>
      </c>
      <c r="F3724" s="5" t="str">
        <f ca="1">IFERROR(__xludf.DUMMYFUNCTION("""COMPUTED_VALUE"""),"مركز التجميل ")</f>
        <v xml:space="preserve">مركز التجميل </v>
      </c>
      <c r="G3724" s="5" t="str">
        <f ca="1">IFERROR(__xludf.DUMMYFUNCTION("""COMPUTED_VALUE"""),"شركة ان شيب للمراكز المتخصصة")</f>
        <v>شركة ان شيب للمراكز المتخصصة</v>
      </c>
      <c r="H3724" s="5" t="str">
        <f ca="1">IFERROR(__xludf.DUMMYFUNCTION("""COMPUTED_VALUE"""),"مول اعمار- 140 شارع الجيش، السلطان حسين- حى الافرنج- الدور الرابع")</f>
        <v>مول اعمار- 140 شارع الجيش، السلطان حسين- حى الافرنج- الدور الرابع</v>
      </c>
      <c r="I3724" s="6" t="str">
        <f ca="1">IFERROR(__xludf.DUMMYFUNCTION("""COMPUTED_VALUE"""),"1064002399")</f>
        <v>1064002399</v>
      </c>
      <c r="J3724" s="6"/>
      <c r="K3724"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25" spans="1:11" x14ac:dyDescent="0.25">
      <c r="A3725" s="4" t="str">
        <f ca="1">IFERROR(__xludf.DUMMYFUNCTION("""COMPUTED_VALUE"""),"107719-B")</f>
        <v>107719-B</v>
      </c>
      <c r="B3725" s="5" t="str">
        <f ca="1">IFERROR(__xludf.DUMMYFUNCTION("""COMPUTED_VALUE"""),"بورسعيد")</f>
        <v>بورسعيد</v>
      </c>
      <c r="C3725" s="5" t="str">
        <f ca="1">IFERROR(__xludf.DUMMYFUNCTION("""COMPUTED_VALUE"""),"بورسعيد")</f>
        <v>بورسعيد</v>
      </c>
      <c r="D3725" s="5" t="str">
        <f ca="1">IFERROR(__xludf.DUMMYFUNCTION("""COMPUTED_VALUE"""),"مجمع عيادات")</f>
        <v>مجمع عيادات</v>
      </c>
      <c r="E3725" s="5" t="str">
        <f ca="1">IFERROR(__xludf.DUMMYFUNCTION("""COMPUTED_VALUE"""),"مركز التجميل ")</f>
        <v xml:space="preserve">مركز التجميل </v>
      </c>
      <c r="F3725" s="5" t="str">
        <f ca="1">IFERROR(__xludf.DUMMYFUNCTION("""COMPUTED_VALUE"""),"مركز التجميل ")</f>
        <v xml:space="preserve">مركز التجميل </v>
      </c>
      <c r="G3725" s="5" t="str">
        <f ca="1">IFERROR(__xludf.DUMMYFUNCTION("""COMPUTED_VALUE"""),"شركة ان شيب للمراكز المتخصصة")</f>
        <v>شركة ان شيب للمراكز المتخصصة</v>
      </c>
      <c r="H3725" s="5" t="str">
        <f ca="1">IFERROR(__xludf.DUMMYFUNCTION("""COMPUTED_VALUE"""),"فرع بورسعيد عنوان شارع الجمهوريه 23يوليو امام بيتزا بينو فوق ابو عوف الدور الاول")</f>
        <v>فرع بورسعيد عنوان شارع الجمهوريه 23يوليو امام بيتزا بينو فوق ابو عوف الدور الاول</v>
      </c>
      <c r="I3725" s="6" t="str">
        <f ca="1">IFERROR(__xludf.DUMMYFUNCTION("""COMPUTED_VALUE"""),"1064009986")</f>
        <v>1064009986</v>
      </c>
      <c r="J3725" s="6"/>
      <c r="K3725"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26" spans="1:11" x14ac:dyDescent="0.25">
      <c r="A3726" s="4" t="str">
        <f ca="1">IFERROR(__xludf.DUMMYFUNCTION("""COMPUTED_VALUE"""),"107719-B")</f>
        <v>107719-B</v>
      </c>
      <c r="B3726" s="5" t="str">
        <f ca="1">IFERROR(__xludf.DUMMYFUNCTION("""COMPUTED_VALUE"""),"السويس")</f>
        <v>السويس</v>
      </c>
      <c r="C3726" s="5" t="str">
        <f ca="1">IFERROR(__xludf.DUMMYFUNCTION("""COMPUTED_VALUE"""),"السويس")</f>
        <v>السويس</v>
      </c>
      <c r="D3726" s="5" t="str">
        <f ca="1">IFERROR(__xludf.DUMMYFUNCTION("""COMPUTED_VALUE"""),"مجمع عيادات")</f>
        <v>مجمع عيادات</v>
      </c>
      <c r="E3726" s="5" t="str">
        <f ca="1">IFERROR(__xludf.DUMMYFUNCTION("""COMPUTED_VALUE"""),"مركز التجميل ")</f>
        <v xml:space="preserve">مركز التجميل </v>
      </c>
      <c r="F3726" s="5" t="str">
        <f ca="1">IFERROR(__xludf.DUMMYFUNCTION("""COMPUTED_VALUE"""),"مركز التجميل ")</f>
        <v xml:space="preserve">مركز التجميل </v>
      </c>
      <c r="G3726" s="5" t="str">
        <f ca="1">IFERROR(__xludf.DUMMYFUNCTION("""COMPUTED_VALUE"""),"شركة ان شيب للمراكز المتخصصة")</f>
        <v>شركة ان شيب للمراكز المتخصصة</v>
      </c>
      <c r="H3726" s="5" t="str">
        <f ca="1">IFERROR(__xludf.DUMMYFUNCTION("""COMPUTED_VALUE"""),"1 شارع جاسر برج راتب- من شارع المدينه الرياضيه - الملاحه - شقه رقم 4 الدور الاول علوي")</f>
        <v>1 شارع جاسر برج راتب- من شارع المدينه الرياضيه - الملاحه - شقه رقم 4 الدور الاول علوي</v>
      </c>
      <c r="I3726" s="6" t="str">
        <f ca="1">IFERROR(__xludf.DUMMYFUNCTION("""COMPUTED_VALUE"""),"1064008993")</f>
        <v>1064008993</v>
      </c>
      <c r="J3726" s="6"/>
      <c r="K3726"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27" spans="1:11" x14ac:dyDescent="0.25">
      <c r="A3727" s="4" t="str">
        <f ca="1">IFERROR(__xludf.DUMMYFUNCTION("""COMPUTED_VALUE"""),"107719-B")</f>
        <v>107719-B</v>
      </c>
      <c r="B3727" s="5" t="str">
        <f ca="1">IFERROR(__xludf.DUMMYFUNCTION("""COMPUTED_VALUE"""),"بني سويف")</f>
        <v>بني سويف</v>
      </c>
      <c r="C3727" s="5" t="str">
        <f ca="1">IFERROR(__xludf.DUMMYFUNCTION("""COMPUTED_VALUE"""),"بني سويف")</f>
        <v>بني سويف</v>
      </c>
      <c r="D3727" s="5" t="str">
        <f ca="1">IFERROR(__xludf.DUMMYFUNCTION("""COMPUTED_VALUE"""),"مجمع عيادات")</f>
        <v>مجمع عيادات</v>
      </c>
      <c r="E3727" s="5" t="str">
        <f ca="1">IFERROR(__xludf.DUMMYFUNCTION("""COMPUTED_VALUE"""),"مركز التجميل ")</f>
        <v xml:space="preserve">مركز التجميل </v>
      </c>
      <c r="F3727" s="5" t="str">
        <f ca="1">IFERROR(__xludf.DUMMYFUNCTION("""COMPUTED_VALUE"""),"مركز التجميل ")</f>
        <v xml:space="preserve">مركز التجميل </v>
      </c>
      <c r="G3727" s="5" t="str">
        <f ca="1">IFERROR(__xludf.DUMMYFUNCTION("""COMPUTED_VALUE"""),"شركة ان شيب للمراكز المتخصصة")</f>
        <v>شركة ان شيب للمراكز المتخصصة</v>
      </c>
      <c r="H3727" s="5" t="str">
        <f ca="1">IFERROR(__xludf.DUMMYFUNCTION("""COMPUTED_VALUE"""),"53شارع كورنيش النيل الدور الاول فوق مطعم كافيلوااا فوق صيدليه الكورنيش")</f>
        <v>53شارع كورنيش النيل الدور الاول فوق مطعم كافيلوااا فوق صيدليه الكورنيش</v>
      </c>
      <c r="I3727" s="6" t="str">
        <f ca="1">IFERROR(__xludf.DUMMYFUNCTION("""COMPUTED_VALUE"""),"1063994006")</f>
        <v>1063994006</v>
      </c>
      <c r="J3727" s="6"/>
      <c r="K3727"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28" spans="1:11" x14ac:dyDescent="0.25">
      <c r="A3728" s="4" t="str">
        <f ca="1">IFERROR(__xludf.DUMMYFUNCTION("""COMPUTED_VALUE"""),"107719-B")</f>
        <v>107719-B</v>
      </c>
      <c r="B3728" s="5" t="str">
        <f ca="1">IFERROR(__xludf.DUMMYFUNCTION("""COMPUTED_VALUE"""),"المنيا")</f>
        <v>المنيا</v>
      </c>
      <c r="C3728" s="5" t="str">
        <f ca="1">IFERROR(__xludf.DUMMYFUNCTION("""COMPUTED_VALUE"""),"المنيا")</f>
        <v>المنيا</v>
      </c>
      <c r="D3728" s="5" t="str">
        <f ca="1">IFERROR(__xludf.DUMMYFUNCTION("""COMPUTED_VALUE"""),"مجمع عيادات")</f>
        <v>مجمع عيادات</v>
      </c>
      <c r="E3728" s="5" t="str">
        <f ca="1">IFERROR(__xludf.DUMMYFUNCTION("""COMPUTED_VALUE"""),"مركز التجميل ")</f>
        <v xml:space="preserve">مركز التجميل </v>
      </c>
      <c r="F3728" s="5" t="str">
        <f ca="1">IFERROR(__xludf.DUMMYFUNCTION("""COMPUTED_VALUE"""),"مركز التجميل ")</f>
        <v xml:space="preserve">مركز التجميل </v>
      </c>
      <c r="G3728" s="5" t="str">
        <f ca="1">IFERROR(__xludf.DUMMYFUNCTION("""COMPUTED_VALUE"""),"شركة ان شيب للمراكز المتخصصة")</f>
        <v>شركة ان شيب للمراكز المتخصصة</v>
      </c>
      <c r="H3728" s="5" t="str">
        <f ca="1">IFERROR(__xludf.DUMMYFUNCTION("""COMPUTED_VALUE"""),"برج مصر للتامين قدام فندق كليوباترا الدور الرابع بعد بنك ناصر او تيفال زهران")</f>
        <v>برج مصر للتامين قدام فندق كليوباترا الدور الرابع بعد بنك ناصر او تيفال زهران</v>
      </c>
      <c r="I3728" s="6" t="str">
        <f ca="1">IFERROR(__xludf.DUMMYFUNCTION("""COMPUTED_VALUE"""),"01002193629")</f>
        <v>01002193629</v>
      </c>
      <c r="J3728" s="6"/>
      <c r="K3728"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29" spans="1:11" x14ac:dyDescent="0.25">
      <c r="A3729" s="4" t="str">
        <f ca="1">IFERROR(__xludf.DUMMYFUNCTION("""COMPUTED_VALUE"""),"107719-B")</f>
        <v>107719-B</v>
      </c>
      <c r="B3729" s="5" t="str">
        <f ca="1">IFERROR(__xludf.DUMMYFUNCTION("""COMPUTED_VALUE"""),"سوهاج")</f>
        <v>سوهاج</v>
      </c>
      <c r="C3729" s="5" t="str">
        <f ca="1">IFERROR(__xludf.DUMMYFUNCTION("""COMPUTED_VALUE"""),"سوهاج")</f>
        <v>سوهاج</v>
      </c>
      <c r="D3729" s="5" t="str">
        <f ca="1">IFERROR(__xludf.DUMMYFUNCTION("""COMPUTED_VALUE"""),"مجمع عيادات")</f>
        <v>مجمع عيادات</v>
      </c>
      <c r="E3729" s="5" t="str">
        <f ca="1">IFERROR(__xludf.DUMMYFUNCTION("""COMPUTED_VALUE"""),"مركز التجميل ")</f>
        <v xml:space="preserve">مركز التجميل </v>
      </c>
      <c r="F3729" s="5" t="str">
        <f ca="1">IFERROR(__xludf.DUMMYFUNCTION("""COMPUTED_VALUE"""),"مركز التجميل ")</f>
        <v xml:space="preserve">مركز التجميل </v>
      </c>
      <c r="G3729" s="5" t="str">
        <f ca="1">IFERROR(__xludf.DUMMYFUNCTION("""COMPUTED_VALUE"""),"شركة ان شيب للمراكز المتخصصة")</f>
        <v>شركة ان شيب للمراكز المتخصصة</v>
      </c>
      <c r="H3729" s="5" t="str">
        <f ca="1">IFERROR(__xludf.DUMMYFUNCTION("""COMPUTED_VALUE"""),"شارع الجمهورية- امام محطة مياه غرب سوهاج- اعلى كافيه بلانيت")</f>
        <v>شارع الجمهورية- امام محطة مياه غرب سوهاج- اعلى كافيه بلانيت</v>
      </c>
      <c r="I3729" s="6" t="str">
        <f ca="1">IFERROR(__xludf.DUMMYFUNCTION("""COMPUTED_VALUE"""),"1064001422")</f>
        <v>1064001422</v>
      </c>
      <c r="J3729" s="6"/>
      <c r="K3729"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30" spans="1:11" x14ac:dyDescent="0.25">
      <c r="A3730" s="4" t="str">
        <f ca="1">IFERROR(__xludf.DUMMYFUNCTION("""COMPUTED_VALUE"""),"107719-B")</f>
        <v>107719-B</v>
      </c>
      <c r="B3730" s="5" t="str">
        <f ca="1">IFERROR(__xludf.DUMMYFUNCTION("""COMPUTED_VALUE"""),"المنوفية")</f>
        <v>المنوفية</v>
      </c>
      <c r="C3730" s="5" t="str">
        <f ca="1">IFERROR(__xludf.DUMMYFUNCTION("""COMPUTED_VALUE"""),"شبين الكوم")</f>
        <v>شبين الكوم</v>
      </c>
      <c r="D3730" s="5" t="str">
        <f ca="1">IFERROR(__xludf.DUMMYFUNCTION("""COMPUTED_VALUE"""),"مجمع عيادات")</f>
        <v>مجمع عيادات</v>
      </c>
      <c r="E3730" s="5" t="str">
        <f ca="1">IFERROR(__xludf.DUMMYFUNCTION("""COMPUTED_VALUE"""),"مركز التجميل ")</f>
        <v xml:space="preserve">مركز التجميل </v>
      </c>
      <c r="F3730" s="5" t="str">
        <f ca="1">IFERROR(__xludf.DUMMYFUNCTION("""COMPUTED_VALUE"""),"مركز التجميل ")</f>
        <v xml:space="preserve">مركز التجميل </v>
      </c>
      <c r="G3730" s="5" t="str">
        <f ca="1">IFERROR(__xludf.DUMMYFUNCTION("""COMPUTED_VALUE"""),"شركة ان شيب للمراكز المتخصصة")</f>
        <v>شركة ان شيب للمراكز المتخصصة</v>
      </c>
      <c r="H3730" s="5" t="str">
        <f ca="1">IFERROR(__xludf.DUMMYFUNCTION("""COMPUTED_VALUE"""),"برج الديوان شارع جمال عبد الناصر امام الكوبرى العلوى ميدان شرف شبين الكوم الدور السابع وحده 33 عماره رقم 64")</f>
        <v>برج الديوان شارع جمال عبد الناصر امام الكوبرى العلوى ميدان شرف شبين الكوم الدور السابع وحده 33 عماره رقم 64</v>
      </c>
      <c r="I3730" s="6" t="str">
        <f ca="1">IFERROR(__xludf.DUMMYFUNCTION("""COMPUTED_VALUE"""),"1022009293")</f>
        <v>1022009293</v>
      </c>
      <c r="J3730" s="6"/>
      <c r="K3730" s="6" t="str">
        <f ca="1">IFERROR(__xludf.DUMMYFUNCTION("""COMPUTED_VALUE"""),"خصم 10% علي الزيارة الاولي (عميل جديد) ثم 5% للزيارات التالية علي الاسعار النقدي")</f>
        <v>خصم 10% علي الزيارة الاولي (عميل جديد) ثم 5% للزيارات التالية علي الاسعار النقدي</v>
      </c>
    </row>
    <row r="3731" spans="1:11" x14ac:dyDescent="0.25">
      <c r="A3731" s="4"/>
      <c r="B3731" s="5"/>
      <c r="C3731" s="5"/>
      <c r="D3731" s="5"/>
      <c r="E3731" s="5"/>
      <c r="F3731" s="5"/>
      <c r="G3731" s="5"/>
      <c r="H3731" s="5"/>
    </row>
    <row r="3732" spans="1:11" x14ac:dyDescent="0.25">
      <c r="A3732" s="4"/>
      <c r="B3732" s="5"/>
      <c r="C3732" s="5"/>
      <c r="D3732" s="5"/>
      <c r="E3732" s="5"/>
      <c r="F3732" s="5"/>
      <c r="G3732" s="5"/>
      <c r="H3732" s="5"/>
    </row>
    <row r="3733" spans="1:11" x14ac:dyDescent="0.25">
      <c r="A3733" s="4"/>
      <c r="B3733" s="5"/>
      <c r="C3733" s="5"/>
      <c r="D3733" s="5"/>
      <c r="E3733" s="5"/>
      <c r="F3733" s="5"/>
      <c r="G3733" s="5"/>
      <c r="H3733" s="5"/>
    </row>
    <row r="3734" spans="1:11" x14ac:dyDescent="0.25">
      <c r="A3734" s="4"/>
      <c r="B3734" s="5"/>
      <c r="C3734" s="5"/>
      <c r="D3734" s="5"/>
      <c r="E3734" s="5"/>
      <c r="F3734" s="5"/>
      <c r="G3734" s="5"/>
      <c r="H3734" s="5"/>
    </row>
    <row r="3735" spans="1:11" x14ac:dyDescent="0.25">
      <c r="A3735" s="4"/>
      <c r="B3735" s="5"/>
      <c r="C3735" s="5"/>
      <c r="D3735" s="5"/>
      <c r="E3735" s="5"/>
      <c r="F3735" s="5"/>
      <c r="G3735" s="5"/>
      <c r="H3735" s="5"/>
    </row>
    <row r="3736" spans="1:11" x14ac:dyDescent="0.25">
      <c r="A3736" s="4"/>
      <c r="B3736" s="5"/>
      <c r="C3736" s="5"/>
      <c r="D3736" s="5"/>
      <c r="E3736" s="5"/>
      <c r="F3736" s="5"/>
      <c r="G3736" s="5"/>
      <c r="H3736" s="5"/>
    </row>
    <row r="3737" spans="1:11" x14ac:dyDescent="0.25">
      <c r="A3737" s="4"/>
      <c r="B3737" s="5"/>
      <c r="C3737" s="5"/>
      <c r="D3737" s="5"/>
      <c r="E3737" s="5"/>
      <c r="F3737" s="5"/>
      <c r="G3737" s="5"/>
      <c r="H3737" s="5"/>
    </row>
    <row r="3738" spans="1:11" x14ac:dyDescent="0.25">
      <c r="A3738" s="4"/>
      <c r="B3738" s="5"/>
      <c r="C3738" s="5"/>
      <c r="D3738" s="5"/>
      <c r="E3738" s="5"/>
      <c r="F3738" s="5"/>
      <c r="G3738" s="5"/>
      <c r="H3738" s="5"/>
    </row>
    <row r="3739" spans="1:11" x14ac:dyDescent="0.25">
      <c r="A3739" s="4"/>
      <c r="B3739" s="5"/>
      <c r="C3739" s="5"/>
      <c r="D3739" s="5"/>
      <c r="E3739" s="5"/>
      <c r="F3739" s="5"/>
      <c r="G3739" s="5"/>
      <c r="H3739" s="5"/>
    </row>
    <row r="3740" spans="1:11" x14ac:dyDescent="0.25">
      <c r="A3740" s="4"/>
      <c r="B3740" s="5"/>
      <c r="C3740" s="5"/>
      <c r="D3740" s="5"/>
      <c r="E3740" s="5"/>
      <c r="F3740" s="5"/>
      <c r="G3740" s="5"/>
      <c r="H3740" s="5"/>
    </row>
    <row r="3741" spans="1:11" x14ac:dyDescent="0.25">
      <c r="A3741" s="4"/>
      <c r="B3741" s="5"/>
      <c r="C3741" s="5"/>
      <c r="D3741" s="5"/>
      <c r="E3741" s="5"/>
      <c r="F3741" s="5"/>
      <c r="G3741" s="5"/>
      <c r="H3741" s="5"/>
    </row>
    <row r="3742" spans="1:11" x14ac:dyDescent="0.25">
      <c r="A3742" s="4"/>
      <c r="B3742" s="5"/>
      <c r="C3742" s="5"/>
      <c r="D3742" s="5"/>
      <c r="E3742" s="5"/>
      <c r="F3742" s="5"/>
      <c r="G3742" s="5"/>
      <c r="H3742" s="5"/>
    </row>
    <row r="3743" spans="1:11" x14ac:dyDescent="0.25">
      <c r="A3743" s="4"/>
      <c r="B3743" s="5"/>
      <c r="C3743" s="5"/>
      <c r="D3743" s="5"/>
      <c r="E3743" s="5"/>
      <c r="F3743" s="5"/>
      <c r="G3743" s="5"/>
      <c r="H3743" s="5"/>
    </row>
    <row r="3744" spans="1:11" x14ac:dyDescent="0.25">
      <c r="A3744" s="4"/>
      <c r="B3744" s="5"/>
      <c r="C3744" s="5"/>
      <c r="D3744" s="5"/>
      <c r="E3744" s="5"/>
      <c r="F3744" s="5"/>
      <c r="G3744" s="5"/>
      <c r="H3744" s="5"/>
    </row>
    <row r="3745" spans="1:8" x14ac:dyDescent="0.25">
      <c r="A3745" s="4"/>
      <c r="B3745" s="5"/>
      <c r="C3745" s="5"/>
      <c r="D3745" s="5"/>
      <c r="E3745" s="5"/>
      <c r="F3745" s="5"/>
      <c r="G3745" s="5"/>
      <c r="H3745" s="5"/>
    </row>
    <row r="3746" spans="1:8" x14ac:dyDescent="0.25">
      <c r="A3746" s="4"/>
      <c r="B3746" s="5"/>
      <c r="C3746" s="5"/>
      <c r="D3746" s="5"/>
      <c r="E3746" s="5"/>
      <c r="F3746" s="5"/>
      <c r="G3746" s="5"/>
      <c r="H3746" s="5"/>
    </row>
    <row r="3747" spans="1:8" x14ac:dyDescent="0.25">
      <c r="A3747" s="4"/>
      <c r="B3747" s="5"/>
      <c r="C3747" s="5"/>
      <c r="D3747" s="5"/>
      <c r="E3747" s="5"/>
      <c r="F3747" s="5"/>
      <c r="G3747" s="5"/>
      <c r="H3747" s="5"/>
    </row>
    <row r="3748" spans="1:8" x14ac:dyDescent="0.25">
      <c r="A3748" s="4"/>
      <c r="B3748" s="5"/>
      <c r="C3748" s="5"/>
      <c r="D3748" s="5"/>
      <c r="E3748" s="5"/>
      <c r="F3748" s="5"/>
      <c r="G3748" s="5"/>
      <c r="H3748" s="5"/>
    </row>
    <row r="3749" spans="1:8" x14ac:dyDescent="0.25">
      <c r="A3749" s="4"/>
      <c r="B3749" s="5"/>
      <c r="C3749" s="5"/>
      <c r="D3749" s="5"/>
      <c r="E3749" s="5"/>
      <c r="F3749" s="5"/>
      <c r="G3749" s="5"/>
      <c r="H3749" s="5"/>
    </row>
    <row r="3750" spans="1:8" x14ac:dyDescent="0.25">
      <c r="A3750" s="4"/>
      <c r="B3750" s="5"/>
      <c r="C3750" s="5"/>
      <c r="D3750" s="5"/>
      <c r="E3750" s="5"/>
      <c r="F3750" s="5"/>
      <c r="G3750" s="5"/>
      <c r="H3750" s="5"/>
    </row>
    <row r="3751" spans="1:8" x14ac:dyDescent="0.25">
      <c r="A3751" s="4"/>
      <c r="B3751" s="5"/>
      <c r="C3751" s="5"/>
      <c r="D3751" s="5"/>
      <c r="E3751" s="5"/>
      <c r="F3751" s="5"/>
      <c r="G3751" s="5"/>
      <c r="H3751" s="5"/>
    </row>
    <row r="3752" spans="1:8" x14ac:dyDescent="0.25">
      <c r="A3752" s="4"/>
      <c r="B3752" s="5"/>
      <c r="C3752" s="5"/>
      <c r="D3752" s="5"/>
      <c r="E3752" s="5"/>
      <c r="F3752" s="5"/>
      <c r="G3752" s="5"/>
      <c r="H3752" s="5"/>
    </row>
    <row r="3753" spans="1:8" x14ac:dyDescent="0.25">
      <c r="A3753" s="4"/>
      <c r="B3753" s="5"/>
      <c r="C3753" s="5"/>
      <c r="D3753" s="5"/>
      <c r="E3753" s="5"/>
      <c r="F3753" s="5"/>
      <c r="G3753" s="5"/>
      <c r="H3753" s="5"/>
    </row>
    <row r="3754" spans="1:8" x14ac:dyDescent="0.25">
      <c r="A3754" s="4"/>
      <c r="B3754" s="5"/>
      <c r="C3754" s="5"/>
      <c r="D3754" s="5"/>
      <c r="E3754" s="5"/>
      <c r="F3754" s="5"/>
      <c r="G3754" s="5"/>
      <c r="H3754" s="5"/>
    </row>
    <row r="3755" spans="1:8" x14ac:dyDescent="0.25">
      <c r="A3755" s="4"/>
      <c r="B3755" s="5"/>
      <c r="C3755" s="5"/>
      <c r="D3755" s="5"/>
      <c r="E3755" s="5"/>
      <c r="F3755" s="5"/>
      <c r="G3755" s="5"/>
      <c r="H3755" s="5"/>
    </row>
    <row r="3756" spans="1:8" x14ac:dyDescent="0.25">
      <c r="A3756" s="4"/>
      <c r="B3756" s="5"/>
      <c r="C3756" s="5"/>
      <c r="D3756" s="5"/>
      <c r="E3756" s="5"/>
      <c r="F3756" s="5"/>
      <c r="G3756" s="5"/>
      <c r="H3756" s="5"/>
    </row>
    <row r="3757" spans="1:8" x14ac:dyDescent="0.25">
      <c r="A3757" s="4"/>
      <c r="B3757" s="5"/>
      <c r="C3757" s="5"/>
      <c r="D3757" s="5"/>
      <c r="E3757" s="5"/>
      <c r="F3757" s="5"/>
      <c r="G3757" s="5"/>
      <c r="H3757" s="5"/>
    </row>
    <row r="3758" spans="1:8" x14ac:dyDescent="0.25">
      <c r="A3758" s="4"/>
      <c r="B3758" s="5"/>
      <c r="C3758" s="5"/>
      <c r="D3758" s="5"/>
      <c r="E3758" s="5"/>
      <c r="F3758" s="5"/>
      <c r="G3758" s="5"/>
      <c r="H3758" s="5"/>
    </row>
    <row r="3759" spans="1:8" x14ac:dyDescent="0.25">
      <c r="A3759" s="4"/>
      <c r="B3759" s="5"/>
      <c r="C3759" s="5"/>
      <c r="D3759" s="5"/>
      <c r="E3759" s="5"/>
      <c r="F3759" s="5"/>
      <c r="G3759" s="5"/>
      <c r="H3759" s="5"/>
    </row>
    <row r="3760" spans="1:8" x14ac:dyDescent="0.25">
      <c r="A3760" s="4"/>
      <c r="B3760" s="5"/>
      <c r="C3760" s="5"/>
      <c r="D3760" s="5"/>
      <c r="E3760" s="5"/>
      <c r="F3760" s="5"/>
      <c r="G3760" s="5"/>
      <c r="H3760" s="5"/>
    </row>
    <row r="3761" spans="1:8" x14ac:dyDescent="0.25">
      <c r="A3761" s="4"/>
      <c r="B3761" s="5"/>
      <c r="C3761" s="5"/>
      <c r="D3761" s="5"/>
      <c r="E3761" s="5"/>
      <c r="F3761" s="5"/>
      <c r="G3761" s="5"/>
      <c r="H3761" s="5"/>
    </row>
    <row r="3762" spans="1:8" x14ac:dyDescent="0.25">
      <c r="A3762" s="4"/>
      <c r="B3762" s="5"/>
      <c r="C3762" s="5"/>
      <c r="D3762" s="5"/>
      <c r="E3762" s="5"/>
      <c r="F3762" s="5"/>
      <c r="G3762" s="5"/>
      <c r="H3762" s="5"/>
    </row>
    <row r="3763" spans="1:8" x14ac:dyDescent="0.25">
      <c r="A3763" s="4"/>
      <c r="B3763" s="5"/>
      <c r="C3763" s="5"/>
      <c r="D3763" s="5"/>
      <c r="E3763" s="5"/>
      <c r="F3763" s="5"/>
      <c r="G3763" s="5"/>
      <c r="H3763" s="5"/>
    </row>
    <row r="3764" spans="1:8" x14ac:dyDescent="0.25">
      <c r="A3764" s="4"/>
      <c r="B3764" s="5"/>
      <c r="C3764" s="5"/>
      <c r="D3764" s="5"/>
      <c r="E3764" s="5"/>
      <c r="F3764" s="5"/>
      <c r="G3764" s="5"/>
      <c r="H3764" s="5"/>
    </row>
    <row r="3765" spans="1:8" x14ac:dyDescent="0.25">
      <c r="A3765" s="4"/>
      <c r="B3765" s="5"/>
      <c r="C3765" s="5"/>
      <c r="D3765" s="5"/>
      <c r="E3765" s="5"/>
      <c r="F3765" s="5"/>
      <c r="G3765" s="5"/>
      <c r="H3765" s="5"/>
    </row>
    <row r="3766" spans="1:8" x14ac:dyDescent="0.25">
      <c r="A3766" s="4"/>
      <c r="B3766" s="5"/>
      <c r="C3766" s="5"/>
      <c r="D3766" s="5"/>
      <c r="E3766" s="5"/>
      <c r="F3766" s="5"/>
      <c r="G3766" s="5"/>
      <c r="H3766" s="5"/>
    </row>
    <row r="3767" spans="1:8" x14ac:dyDescent="0.25">
      <c r="A3767" s="4"/>
      <c r="B3767" s="5"/>
      <c r="C3767" s="5"/>
      <c r="D3767" s="5"/>
      <c r="E3767" s="5"/>
      <c r="F3767" s="5"/>
      <c r="G3767" s="5"/>
      <c r="H3767" s="5"/>
    </row>
    <row r="3768" spans="1:8" x14ac:dyDescent="0.25">
      <c r="A3768" s="4"/>
      <c r="B3768" s="5"/>
      <c r="C3768" s="5"/>
      <c r="D3768" s="5"/>
      <c r="E3768" s="5"/>
      <c r="F3768" s="5"/>
      <c r="G3768" s="5"/>
      <c r="H3768" s="5"/>
    </row>
    <row r="3769" spans="1:8" x14ac:dyDescent="0.25">
      <c r="A3769" s="4"/>
      <c r="B3769" s="5"/>
      <c r="C3769" s="5"/>
      <c r="D3769" s="5"/>
      <c r="E3769" s="5"/>
      <c r="F3769" s="5"/>
      <c r="G3769" s="5"/>
      <c r="H3769" s="5"/>
    </row>
    <row r="3770" spans="1:8" x14ac:dyDescent="0.25">
      <c r="A3770" s="4"/>
      <c r="B3770" s="5"/>
      <c r="C3770" s="5"/>
      <c r="D3770" s="5"/>
      <c r="E3770" s="5"/>
      <c r="F3770" s="5"/>
      <c r="G3770" s="5"/>
      <c r="H3770" s="5"/>
    </row>
    <row r="3771" spans="1:8" x14ac:dyDescent="0.25">
      <c r="A3771" s="4"/>
      <c r="B3771" s="5"/>
      <c r="C3771" s="5"/>
      <c r="D3771" s="5"/>
      <c r="E3771" s="5"/>
      <c r="F3771" s="5"/>
      <c r="G3771" s="5"/>
      <c r="H3771" s="5"/>
    </row>
    <row r="3772" spans="1:8" x14ac:dyDescent="0.25">
      <c r="A3772" s="4"/>
      <c r="B3772" s="5"/>
      <c r="C3772" s="5"/>
      <c r="D3772" s="5"/>
      <c r="E3772" s="5"/>
      <c r="F3772" s="5"/>
      <c r="G3772" s="5"/>
      <c r="H3772" s="5"/>
    </row>
    <row r="3773" spans="1:8" x14ac:dyDescent="0.25">
      <c r="A3773" s="4"/>
      <c r="B3773" s="5"/>
      <c r="C3773" s="5"/>
      <c r="D3773" s="5"/>
      <c r="E3773" s="5"/>
      <c r="F3773" s="5"/>
      <c r="G3773" s="5"/>
      <c r="H3773" s="5"/>
    </row>
    <row r="3774" spans="1:8" x14ac:dyDescent="0.25">
      <c r="A3774" s="4"/>
      <c r="B3774" s="5"/>
      <c r="C3774" s="5"/>
      <c r="D3774" s="5"/>
      <c r="E3774" s="5"/>
      <c r="F3774" s="5"/>
      <c r="G3774" s="5"/>
      <c r="H3774" s="5"/>
    </row>
    <row r="3775" spans="1:8" x14ac:dyDescent="0.25">
      <c r="A3775" s="4"/>
      <c r="B3775" s="5"/>
      <c r="C3775" s="5"/>
      <c r="D3775" s="5"/>
      <c r="E3775" s="5"/>
      <c r="F3775" s="5"/>
      <c r="G3775" s="5"/>
      <c r="H3775" s="5"/>
    </row>
    <row r="3776" spans="1:8" x14ac:dyDescent="0.25">
      <c r="A3776" s="4"/>
      <c r="B3776" s="5"/>
      <c r="C3776" s="5"/>
      <c r="D3776" s="5"/>
      <c r="E3776" s="5"/>
      <c r="F3776" s="5"/>
      <c r="G3776" s="5"/>
      <c r="H3776" s="5"/>
    </row>
    <row r="3777" spans="1:8" x14ac:dyDescent="0.25">
      <c r="A3777" s="4"/>
      <c r="B3777" s="5"/>
      <c r="C3777" s="5"/>
      <c r="D3777" s="5"/>
      <c r="E3777" s="5"/>
      <c r="F3777" s="5"/>
      <c r="G3777" s="5"/>
      <c r="H3777" s="5"/>
    </row>
    <row r="3778" spans="1:8" x14ac:dyDescent="0.25">
      <c r="A3778" s="4"/>
      <c r="B3778" s="5"/>
      <c r="C3778" s="5"/>
      <c r="D3778" s="5"/>
      <c r="E3778" s="5"/>
      <c r="F3778" s="5"/>
      <c r="G3778" s="5"/>
      <c r="H3778" s="5"/>
    </row>
    <row r="3779" spans="1:8" x14ac:dyDescent="0.25">
      <c r="A3779" s="4"/>
      <c r="B3779" s="5"/>
      <c r="C3779" s="5"/>
      <c r="D3779" s="5"/>
      <c r="E3779" s="5"/>
      <c r="F3779" s="5"/>
      <c r="G3779" s="5"/>
      <c r="H3779" s="5"/>
    </row>
    <row r="3780" spans="1:8" x14ac:dyDescent="0.25">
      <c r="A3780" s="4"/>
      <c r="B3780" s="5"/>
      <c r="C3780" s="5"/>
      <c r="D3780" s="5"/>
      <c r="E3780" s="5"/>
      <c r="F3780" s="5"/>
      <c r="G3780" s="5"/>
      <c r="H3780" s="5"/>
    </row>
    <row r="3781" spans="1:8" x14ac:dyDescent="0.25">
      <c r="A3781" s="4"/>
      <c r="B3781" s="5"/>
      <c r="C3781" s="5"/>
      <c r="D3781" s="5"/>
      <c r="E3781" s="5"/>
      <c r="F3781" s="5"/>
      <c r="G3781" s="5"/>
      <c r="H3781" s="5"/>
    </row>
    <row r="3782" spans="1:8" x14ac:dyDescent="0.25">
      <c r="A3782" s="4"/>
      <c r="B3782" s="5"/>
      <c r="C3782" s="5"/>
      <c r="D3782" s="5"/>
      <c r="E3782" s="5"/>
      <c r="F3782" s="5"/>
      <c r="G3782" s="5"/>
      <c r="H3782" s="5"/>
    </row>
    <row r="3783" spans="1:8" x14ac:dyDescent="0.25">
      <c r="A3783" s="4"/>
      <c r="B3783" s="5"/>
      <c r="C3783" s="5"/>
      <c r="D3783" s="5"/>
      <c r="E3783" s="5"/>
      <c r="F3783" s="5"/>
      <c r="G3783" s="5"/>
      <c r="H3783" s="5"/>
    </row>
    <row r="3784" spans="1:8" x14ac:dyDescent="0.25">
      <c r="A3784" s="4"/>
      <c r="B3784" s="5"/>
      <c r="C3784" s="5"/>
      <c r="D3784" s="5"/>
      <c r="E3784" s="5"/>
      <c r="F3784" s="5"/>
      <c r="G3784" s="5"/>
      <c r="H3784" s="5"/>
    </row>
    <row r="3785" spans="1:8" x14ac:dyDescent="0.25">
      <c r="A3785" s="4"/>
      <c r="B3785" s="5"/>
      <c r="C3785" s="5"/>
      <c r="D3785" s="5"/>
      <c r="E3785" s="5"/>
      <c r="F3785" s="5"/>
      <c r="G3785" s="5"/>
      <c r="H3785" s="5"/>
    </row>
    <row r="3786" spans="1:8" x14ac:dyDescent="0.25">
      <c r="A3786" s="4"/>
      <c r="B3786" s="5"/>
      <c r="C3786" s="5"/>
      <c r="D3786" s="5"/>
      <c r="E3786" s="5"/>
      <c r="F3786" s="5"/>
      <c r="G3786" s="5"/>
      <c r="H3786" s="5"/>
    </row>
    <row r="3787" spans="1:8" x14ac:dyDescent="0.25">
      <c r="A3787" s="4"/>
      <c r="B3787" s="5"/>
      <c r="C3787" s="5"/>
      <c r="D3787" s="5"/>
      <c r="E3787" s="5"/>
      <c r="F3787" s="5"/>
      <c r="G3787" s="5"/>
      <c r="H3787" s="5"/>
    </row>
    <row r="3788" spans="1:8" x14ac:dyDescent="0.25">
      <c r="A3788" s="4"/>
      <c r="B3788" s="5"/>
      <c r="C3788" s="5"/>
      <c r="D3788" s="5"/>
      <c r="E3788" s="5"/>
      <c r="F3788" s="5"/>
      <c r="G3788" s="5"/>
      <c r="H3788" s="5"/>
    </row>
    <row r="3789" spans="1:8" x14ac:dyDescent="0.25">
      <c r="A3789" s="4"/>
      <c r="B3789" s="5"/>
      <c r="C3789" s="5"/>
      <c r="D3789" s="5"/>
      <c r="E3789" s="5"/>
      <c r="F3789" s="5"/>
      <c r="G3789" s="5"/>
      <c r="H3789" s="5"/>
    </row>
    <row r="3790" spans="1:8" x14ac:dyDescent="0.25">
      <c r="A3790" s="4"/>
      <c r="B3790" s="5"/>
      <c r="C3790" s="5"/>
      <c r="D3790" s="5"/>
      <c r="E3790" s="5"/>
      <c r="F3790" s="5"/>
      <c r="G3790" s="5"/>
      <c r="H3790" s="5"/>
    </row>
    <row r="3791" spans="1:8" x14ac:dyDescent="0.25">
      <c r="A3791" s="4"/>
      <c r="B3791" s="5"/>
      <c r="C3791" s="5"/>
      <c r="D3791" s="5"/>
      <c r="E3791" s="5"/>
      <c r="F3791" s="5"/>
      <c r="G3791" s="5"/>
      <c r="H3791" s="5"/>
    </row>
    <row r="3792" spans="1:8" x14ac:dyDescent="0.25">
      <c r="A3792" s="4"/>
      <c r="B3792" s="5"/>
      <c r="C3792" s="5"/>
      <c r="D3792" s="5"/>
      <c r="E3792" s="5"/>
      <c r="F3792" s="5"/>
      <c r="G3792" s="5"/>
      <c r="H3792" s="5"/>
    </row>
    <row r="3793" spans="1:8" x14ac:dyDescent="0.25">
      <c r="A3793" s="4"/>
      <c r="B3793" s="5"/>
      <c r="C3793" s="5"/>
      <c r="D3793" s="5"/>
      <c r="E3793" s="5"/>
      <c r="F3793" s="5"/>
      <c r="G3793" s="5"/>
      <c r="H3793" s="5"/>
    </row>
    <row r="3794" spans="1:8" x14ac:dyDescent="0.25">
      <c r="A3794" s="4"/>
      <c r="B3794" s="5"/>
      <c r="C3794" s="5"/>
      <c r="D3794" s="5"/>
      <c r="E3794" s="5"/>
      <c r="F3794" s="5"/>
      <c r="G3794" s="5"/>
      <c r="H3794" s="5"/>
    </row>
    <row r="3795" spans="1:8" x14ac:dyDescent="0.25">
      <c r="A3795" s="4"/>
      <c r="B3795" s="5"/>
      <c r="C3795" s="5"/>
      <c r="D3795" s="5"/>
      <c r="E3795" s="5"/>
      <c r="F3795" s="5"/>
      <c r="G3795" s="5"/>
      <c r="H3795" s="5"/>
    </row>
    <row r="3796" spans="1:8" x14ac:dyDescent="0.25">
      <c r="A3796" s="4"/>
      <c r="B3796" s="5"/>
      <c r="C3796" s="5"/>
      <c r="D3796" s="5"/>
      <c r="E3796" s="5"/>
      <c r="F3796" s="5"/>
      <c r="G3796" s="5"/>
      <c r="H3796" s="5"/>
    </row>
    <row r="3797" spans="1:8" x14ac:dyDescent="0.25">
      <c r="A3797" s="4"/>
      <c r="B3797" s="5"/>
      <c r="C3797" s="5"/>
      <c r="D3797" s="5"/>
      <c r="E3797" s="5"/>
      <c r="F3797" s="5"/>
      <c r="G3797" s="5"/>
      <c r="H3797" s="5"/>
    </row>
    <row r="3798" spans="1:8" x14ac:dyDescent="0.25">
      <c r="A3798" s="4"/>
      <c r="B3798" s="5"/>
      <c r="C3798" s="5"/>
      <c r="D3798" s="5"/>
      <c r="E3798" s="5"/>
      <c r="F3798" s="5"/>
      <c r="G3798" s="5"/>
      <c r="H3798" s="5"/>
    </row>
    <row r="3799" spans="1:8" x14ac:dyDescent="0.25">
      <c r="A3799" s="4"/>
      <c r="B3799" s="5"/>
      <c r="C3799" s="5"/>
      <c r="D3799" s="5"/>
      <c r="E3799" s="5"/>
      <c r="F3799" s="5"/>
      <c r="G3799" s="5"/>
      <c r="H3799" s="5"/>
    </row>
    <row r="3800" spans="1:8" x14ac:dyDescent="0.25">
      <c r="A3800" s="4"/>
      <c r="B3800" s="5"/>
      <c r="C3800" s="5"/>
      <c r="D3800" s="5"/>
      <c r="E3800" s="5"/>
      <c r="F3800" s="5"/>
      <c r="G3800" s="5"/>
      <c r="H3800" s="5"/>
    </row>
    <row r="3801" spans="1:8" x14ac:dyDescent="0.25">
      <c r="A3801" s="4"/>
      <c r="B3801" s="5"/>
      <c r="C3801" s="5"/>
      <c r="D3801" s="5"/>
      <c r="E3801" s="5"/>
      <c r="F3801" s="5"/>
      <c r="G3801" s="5"/>
      <c r="H3801" s="5"/>
    </row>
    <row r="3802" spans="1:8" x14ac:dyDescent="0.25">
      <c r="A3802" s="4"/>
      <c r="B3802" s="5"/>
      <c r="C3802" s="5"/>
      <c r="D3802" s="5"/>
      <c r="E3802" s="5"/>
      <c r="F3802" s="5"/>
      <c r="G3802" s="5"/>
      <c r="H3802" s="5"/>
    </row>
    <row r="3803" spans="1:8" x14ac:dyDescent="0.25">
      <c r="A3803" s="4"/>
      <c r="B3803" s="5"/>
      <c r="C3803" s="5"/>
      <c r="D3803" s="5"/>
      <c r="E3803" s="5"/>
      <c r="F3803" s="5"/>
      <c r="G3803" s="5"/>
      <c r="H3803" s="5"/>
    </row>
    <row r="3804" spans="1:8" x14ac:dyDescent="0.25">
      <c r="A3804" s="4"/>
      <c r="B3804" s="5"/>
      <c r="C3804" s="5"/>
      <c r="D3804" s="5"/>
      <c r="E3804" s="5"/>
      <c r="F3804" s="5"/>
      <c r="G3804" s="5"/>
      <c r="H3804" s="5"/>
    </row>
    <row r="3805" spans="1:8" x14ac:dyDescent="0.25">
      <c r="A3805" s="4"/>
      <c r="B3805" s="5"/>
      <c r="C3805" s="5"/>
      <c r="D3805" s="5"/>
      <c r="E3805" s="5"/>
      <c r="F3805" s="5"/>
      <c r="G3805" s="5"/>
      <c r="H3805" s="5"/>
    </row>
    <row r="3806" spans="1:8" x14ac:dyDescent="0.25">
      <c r="A3806" s="4"/>
      <c r="B3806" s="5"/>
      <c r="C3806" s="5"/>
      <c r="D3806" s="5"/>
      <c r="E3806" s="5"/>
      <c r="F3806" s="5"/>
      <c r="G3806" s="5"/>
      <c r="H3806" s="5"/>
    </row>
    <row r="3807" spans="1:8" x14ac:dyDescent="0.25">
      <c r="A3807" s="4"/>
      <c r="B3807" s="5"/>
      <c r="C3807" s="5"/>
      <c r="D3807" s="5"/>
      <c r="E3807" s="5"/>
      <c r="F3807" s="5"/>
      <c r="G3807" s="5"/>
      <c r="H3807" s="5"/>
    </row>
    <row r="3808" spans="1:8" x14ac:dyDescent="0.25">
      <c r="A3808" s="4"/>
      <c r="B3808" s="5"/>
      <c r="C3808" s="5"/>
      <c r="D3808" s="5"/>
      <c r="E3808" s="5"/>
      <c r="F3808" s="5"/>
      <c r="G3808" s="5"/>
      <c r="H3808" s="5"/>
    </row>
    <row r="3809" spans="1:8" x14ac:dyDescent="0.25">
      <c r="A3809" s="4"/>
      <c r="B3809" s="5"/>
      <c r="C3809" s="5"/>
      <c r="D3809" s="5"/>
      <c r="E3809" s="5"/>
      <c r="F3809" s="5"/>
      <c r="G3809" s="5"/>
      <c r="H3809" s="5"/>
    </row>
    <row r="3810" spans="1:8" x14ac:dyDescent="0.25">
      <c r="A3810" s="4"/>
      <c r="B3810" s="5"/>
      <c r="C3810" s="5"/>
      <c r="D3810" s="5"/>
      <c r="E3810" s="5"/>
      <c r="F3810" s="5"/>
      <c r="G3810" s="5"/>
      <c r="H3810" s="5"/>
    </row>
    <row r="3811" spans="1:8" x14ac:dyDescent="0.25">
      <c r="A3811" s="4"/>
      <c r="B3811" s="5"/>
      <c r="C3811" s="5"/>
      <c r="D3811" s="5"/>
      <c r="E3811" s="5"/>
      <c r="F3811" s="5"/>
      <c r="G3811" s="5"/>
      <c r="H3811" s="5"/>
    </row>
    <row r="3812" spans="1:8" x14ac:dyDescent="0.25">
      <c r="A3812" s="4"/>
      <c r="B3812" s="5"/>
      <c r="C3812" s="5"/>
      <c r="D3812" s="5"/>
      <c r="E3812" s="5"/>
      <c r="F3812" s="5"/>
      <c r="G3812" s="5"/>
      <c r="H3812" s="5"/>
    </row>
    <row r="3813" spans="1:8" x14ac:dyDescent="0.25">
      <c r="A3813" s="4"/>
      <c r="B3813" s="5"/>
      <c r="C3813" s="5"/>
      <c r="D3813" s="5"/>
      <c r="E3813" s="5"/>
      <c r="F3813" s="5"/>
      <c r="G3813" s="5"/>
      <c r="H3813" s="5"/>
    </row>
    <row r="3814" spans="1:8" x14ac:dyDescent="0.25">
      <c r="A3814" s="4"/>
      <c r="B3814" s="5"/>
      <c r="C3814" s="5"/>
      <c r="D3814" s="5"/>
      <c r="E3814" s="5"/>
      <c r="F3814" s="5"/>
      <c r="G3814" s="5"/>
      <c r="H3814" s="5"/>
    </row>
    <row r="3815" spans="1:8" x14ac:dyDescent="0.25">
      <c r="A3815" s="4"/>
      <c r="B3815" s="5"/>
      <c r="C3815" s="5"/>
      <c r="D3815" s="5"/>
      <c r="E3815" s="5"/>
      <c r="F3815" s="5"/>
      <c r="G3815" s="5"/>
      <c r="H3815" s="5"/>
    </row>
    <row r="3816" spans="1:8" x14ac:dyDescent="0.25">
      <c r="A3816" s="4"/>
      <c r="B3816" s="5"/>
      <c r="C3816" s="5"/>
      <c r="D3816" s="5"/>
      <c r="E3816" s="5"/>
      <c r="F3816" s="5"/>
      <c r="G3816" s="5"/>
      <c r="H3816" s="5"/>
    </row>
    <row r="3817" spans="1:8" x14ac:dyDescent="0.25">
      <c r="A3817" s="4"/>
      <c r="B3817" s="5"/>
      <c r="C3817" s="5"/>
      <c r="D3817" s="5"/>
      <c r="E3817" s="5"/>
      <c r="F3817" s="5"/>
      <c r="G3817" s="5"/>
      <c r="H3817" s="5"/>
    </row>
    <row r="3818" spans="1:8" x14ac:dyDescent="0.25">
      <c r="A3818" s="4"/>
      <c r="B3818" s="5"/>
      <c r="C3818" s="5"/>
      <c r="D3818" s="5"/>
      <c r="E3818" s="5"/>
      <c r="F3818" s="5"/>
      <c r="G3818" s="5"/>
      <c r="H3818" s="5"/>
    </row>
    <row r="3819" spans="1:8" x14ac:dyDescent="0.25">
      <c r="A3819" s="4"/>
      <c r="B3819" s="5"/>
      <c r="C3819" s="5"/>
      <c r="D3819" s="5"/>
      <c r="E3819" s="5"/>
      <c r="F3819" s="5"/>
      <c r="G3819" s="5"/>
      <c r="H3819" s="5"/>
    </row>
    <row r="3820" spans="1:8" x14ac:dyDescent="0.25">
      <c r="A3820" s="4"/>
      <c r="B3820" s="5"/>
      <c r="C3820" s="5"/>
      <c r="D3820" s="5"/>
      <c r="E3820" s="5"/>
      <c r="F3820" s="5"/>
      <c r="G3820" s="5"/>
      <c r="H3820" s="5"/>
    </row>
    <row r="3821" spans="1:8" x14ac:dyDescent="0.25">
      <c r="A3821" s="4"/>
      <c r="B3821" s="5"/>
      <c r="C3821" s="5"/>
      <c r="D3821" s="5"/>
      <c r="E3821" s="5"/>
      <c r="F3821" s="5"/>
      <c r="G3821" s="5"/>
      <c r="H3821" s="5"/>
    </row>
    <row r="3822" spans="1:8" x14ac:dyDescent="0.25">
      <c r="A3822" s="4"/>
      <c r="B3822" s="5"/>
      <c r="C3822" s="5"/>
      <c r="D3822" s="5"/>
      <c r="E3822" s="5"/>
      <c r="F3822" s="5"/>
      <c r="G3822" s="5"/>
      <c r="H3822" s="5"/>
    </row>
    <row r="3823" spans="1:8" x14ac:dyDescent="0.25">
      <c r="A3823" s="4"/>
      <c r="B3823" s="5"/>
      <c r="C3823" s="5"/>
      <c r="D3823" s="5"/>
      <c r="E3823" s="5"/>
      <c r="F3823" s="5"/>
      <c r="G3823" s="5"/>
      <c r="H3823" s="5"/>
    </row>
    <row r="3824" spans="1:8" x14ac:dyDescent="0.25">
      <c r="A3824" s="4"/>
      <c r="B3824" s="5"/>
      <c r="C3824" s="5"/>
      <c r="D3824" s="5"/>
      <c r="E3824" s="5"/>
      <c r="F3824" s="5"/>
      <c r="G3824" s="5"/>
      <c r="H3824" s="5"/>
    </row>
    <row r="3825" spans="1:8" x14ac:dyDescent="0.25">
      <c r="A3825" s="4"/>
      <c r="B3825" s="5"/>
      <c r="C3825" s="5"/>
      <c r="D3825" s="5"/>
      <c r="E3825" s="5"/>
      <c r="F3825" s="5"/>
      <c r="G3825" s="5"/>
      <c r="H3825" s="5"/>
    </row>
    <row r="3826" spans="1:8" x14ac:dyDescent="0.25">
      <c r="A3826" s="4"/>
      <c r="B3826" s="5"/>
      <c r="C3826" s="5"/>
      <c r="D3826" s="5"/>
      <c r="E3826" s="5"/>
      <c r="F3826" s="5"/>
      <c r="G3826" s="5"/>
      <c r="H3826" s="5"/>
    </row>
    <row r="3827" spans="1:8" x14ac:dyDescent="0.25">
      <c r="A3827" s="4"/>
      <c r="B3827" s="5"/>
      <c r="C3827" s="5"/>
      <c r="D3827" s="5"/>
      <c r="E3827" s="5"/>
      <c r="F3827" s="5"/>
      <c r="G3827" s="5"/>
      <c r="H3827" s="5"/>
    </row>
    <row r="3828" spans="1:8" x14ac:dyDescent="0.25">
      <c r="A3828" s="4"/>
      <c r="B3828" s="5"/>
      <c r="C3828" s="5"/>
      <c r="D3828" s="5"/>
      <c r="E3828" s="5"/>
      <c r="F3828" s="5"/>
      <c r="G3828" s="5"/>
      <c r="H3828" s="5"/>
    </row>
    <row r="3829" spans="1:8" x14ac:dyDescent="0.25">
      <c r="A3829" s="4"/>
      <c r="B3829" s="5"/>
      <c r="C3829" s="5"/>
      <c r="D3829" s="5"/>
      <c r="E3829" s="5"/>
      <c r="F3829" s="5"/>
      <c r="G3829" s="5"/>
      <c r="H3829" s="5"/>
    </row>
    <row r="3830" spans="1:8" x14ac:dyDescent="0.25">
      <c r="A3830" s="4"/>
      <c r="B3830" s="5"/>
      <c r="C3830" s="5"/>
      <c r="D3830" s="5"/>
      <c r="E3830" s="5"/>
      <c r="F3830" s="5"/>
      <c r="G3830" s="5"/>
      <c r="H3830" s="5"/>
    </row>
    <row r="3831" spans="1:8" x14ac:dyDescent="0.25">
      <c r="A3831" s="4"/>
      <c r="B3831" s="5"/>
      <c r="C3831" s="5"/>
      <c r="D3831" s="5"/>
      <c r="E3831" s="5"/>
      <c r="F3831" s="5"/>
      <c r="G3831" s="5"/>
      <c r="H3831" s="5"/>
    </row>
    <row r="3832" spans="1:8" x14ac:dyDescent="0.25">
      <c r="A3832" s="4"/>
      <c r="B3832" s="5"/>
      <c r="C3832" s="5"/>
      <c r="D3832" s="5"/>
      <c r="E3832" s="5"/>
      <c r="F3832" s="5"/>
      <c r="G3832" s="5"/>
      <c r="H3832" s="5"/>
    </row>
    <row r="3833" spans="1:8" x14ac:dyDescent="0.25">
      <c r="A3833" s="4"/>
      <c r="B3833" s="5"/>
      <c r="C3833" s="5"/>
      <c r="D3833" s="5"/>
      <c r="E3833" s="5"/>
      <c r="F3833" s="5"/>
      <c r="G3833" s="5"/>
      <c r="H3833" s="5"/>
    </row>
    <row r="3834" spans="1:8" x14ac:dyDescent="0.25">
      <c r="A3834" s="4"/>
      <c r="B3834" s="5"/>
      <c r="C3834" s="5"/>
      <c r="D3834" s="5"/>
      <c r="E3834" s="5"/>
      <c r="F3834" s="5"/>
      <c r="G3834" s="5"/>
      <c r="H3834" s="5"/>
    </row>
    <row r="3835" spans="1:8" x14ac:dyDescent="0.25">
      <c r="A3835" s="4"/>
      <c r="B3835" s="5"/>
      <c r="C3835" s="5"/>
      <c r="D3835" s="5"/>
      <c r="E3835" s="5"/>
      <c r="F3835" s="5"/>
      <c r="G3835" s="5"/>
      <c r="H3835" s="5"/>
    </row>
    <row r="3836" spans="1:8" x14ac:dyDescent="0.25">
      <c r="A3836" s="4"/>
      <c r="B3836" s="5"/>
      <c r="C3836" s="5"/>
      <c r="D3836" s="5"/>
      <c r="E3836" s="5"/>
      <c r="F3836" s="5"/>
      <c r="G3836" s="5"/>
      <c r="H3836" s="5"/>
    </row>
    <row r="3837" spans="1:8" x14ac:dyDescent="0.25">
      <c r="A3837" s="4"/>
      <c r="B3837" s="5"/>
      <c r="C3837" s="5"/>
      <c r="D3837" s="5"/>
      <c r="E3837" s="5"/>
      <c r="F3837" s="5"/>
      <c r="G3837" s="5"/>
      <c r="H3837" s="5"/>
    </row>
    <row r="3838" spans="1:8" x14ac:dyDescent="0.25">
      <c r="A3838" s="4"/>
      <c r="B3838" s="5"/>
      <c r="C3838" s="5"/>
      <c r="D3838" s="5"/>
      <c r="E3838" s="5"/>
      <c r="F3838" s="5"/>
      <c r="G3838" s="5"/>
      <c r="H3838" s="5"/>
    </row>
    <row r="3839" spans="1:8" x14ac:dyDescent="0.25">
      <c r="A3839" s="4"/>
      <c r="B3839" s="5"/>
      <c r="C3839" s="5"/>
      <c r="D3839" s="5"/>
      <c r="E3839" s="5"/>
      <c r="F3839" s="5"/>
      <c r="G3839" s="5"/>
      <c r="H3839" s="5"/>
    </row>
    <row r="3840" spans="1:8" x14ac:dyDescent="0.25">
      <c r="A3840" s="4"/>
      <c r="B3840" s="5"/>
      <c r="C3840" s="5"/>
      <c r="D3840" s="5"/>
      <c r="E3840" s="5"/>
      <c r="F3840" s="5"/>
      <c r="G3840" s="5"/>
      <c r="H3840" s="5"/>
    </row>
    <row r="3841" spans="1:8" x14ac:dyDescent="0.25">
      <c r="A3841" s="4"/>
      <c r="B3841" s="5"/>
      <c r="C3841" s="5"/>
      <c r="D3841" s="5"/>
      <c r="E3841" s="5"/>
      <c r="F3841" s="5"/>
      <c r="G3841" s="5"/>
      <c r="H3841" s="5"/>
    </row>
    <row r="3842" spans="1:8" x14ac:dyDescent="0.25">
      <c r="A3842" s="4"/>
      <c r="B3842" s="5"/>
      <c r="C3842" s="5"/>
      <c r="D3842" s="5"/>
      <c r="E3842" s="5"/>
      <c r="F3842" s="5"/>
      <c r="G3842" s="5"/>
      <c r="H3842" s="5"/>
    </row>
    <row r="3843" spans="1:8" x14ac:dyDescent="0.25">
      <c r="A3843" s="4"/>
      <c r="B3843" s="5"/>
      <c r="C3843" s="5"/>
      <c r="D3843" s="5"/>
      <c r="E3843" s="5"/>
      <c r="F3843" s="5"/>
      <c r="G3843" s="5"/>
      <c r="H3843" s="5"/>
    </row>
    <row r="3844" spans="1:8" x14ac:dyDescent="0.25">
      <c r="A3844" s="4"/>
      <c r="B3844" s="5"/>
      <c r="C3844" s="5"/>
      <c r="D3844" s="5"/>
      <c r="E3844" s="5"/>
      <c r="F3844" s="5"/>
      <c r="G3844" s="5"/>
      <c r="H3844" s="5"/>
    </row>
    <row r="3845" spans="1:8" x14ac:dyDescent="0.25">
      <c r="A3845" s="4"/>
      <c r="B3845" s="5"/>
      <c r="C3845" s="5"/>
      <c r="D3845" s="5"/>
      <c r="E3845" s="5"/>
      <c r="F3845" s="5"/>
      <c r="G3845" s="5"/>
      <c r="H3845" s="5"/>
    </row>
    <row r="3846" spans="1:8" x14ac:dyDescent="0.25">
      <c r="A3846" s="4"/>
      <c r="B3846" s="5"/>
      <c r="C3846" s="5"/>
      <c r="D3846" s="5"/>
      <c r="E3846" s="5"/>
      <c r="F3846" s="5"/>
      <c r="G3846" s="5"/>
      <c r="H3846" s="5"/>
    </row>
    <row r="3847" spans="1:8" x14ac:dyDescent="0.25">
      <c r="A3847" s="4"/>
      <c r="B3847" s="5"/>
      <c r="C3847" s="5"/>
      <c r="D3847" s="5"/>
      <c r="E3847" s="5"/>
      <c r="F3847" s="5"/>
      <c r="G3847" s="5"/>
      <c r="H3847" s="5"/>
    </row>
    <row r="3848" spans="1:8" x14ac:dyDescent="0.25">
      <c r="A3848" s="4"/>
      <c r="B3848" s="5"/>
      <c r="C3848" s="5"/>
      <c r="D3848" s="5"/>
      <c r="E3848" s="5"/>
      <c r="F3848" s="5"/>
      <c r="G3848" s="5"/>
      <c r="H3848" s="5"/>
    </row>
    <row r="3849" spans="1:8" x14ac:dyDescent="0.25">
      <c r="A3849" s="4"/>
      <c r="B3849" s="5"/>
      <c r="C3849" s="5"/>
      <c r="D3849" s="5"/>
      <c r="E3849" s="5"/>
      <c r="F3849" s="5"/>
      <c r="G3849" s="5"/>
      <c r="H3849" s="5"/>
    </row>
    <row r="3850" spans="1:8" x14ac:dyDescent="0.25">
      <c r="A3850" s="4"/>
      <c r="B3850" s="5"/>
      <c r="C3850" s="5"/>
      <c r="D3850" s="5"/>
      <c r="E3850" s="5"/>
      <c r="F3850" s="5"/>
      <c r="G3850" s="5"/>
      <c r="H3850" s="5"/>
    </row>
    <row r="3851" spans="1:8" x14ac:dyDescent="0.25">
      <c r="A3851" s="4"/>
      <c r="B3851" s="5"/>
      <c r="C3851" s="5"/>
      <c r="D3851" s="5"/>
      <c r="E3851" s="5"/>
      <c r="F3851" s="5"/>
      <c r="G3851" s="5"/>
      <c r="H3851" s="5"/>
    </row>
    <row r="3852" spans="1:8" x14ac:dyDescent="0.25">
      <c r="A3852" s="4"/>
      <c r="B3852" s="5"/>
      <c r="C3852" s="5"/>
      <c r="D3852" s="5"/>
      <c r="E3852" s="5"/>
      <c r="F3852" s="5"/>
      <c r="G3852" s="5"/>
      <c r="H3852" s="5"/>
    </row>
    <row r="3853" spans="1:8" x14ac:dyDescent="0.25">
      <c r="A3853" s="4"/>
      <c r="B3853" s="5"/>
      <c r="C3853" s="5"/>
      <c r="D3853" s="5"/>
      <c r="E3853" s="5"/>
      <c r="F3853" s="5"/>
      <c r="G3853" s="5"/>
      <c r="H3853" s="5"/>
    </row>
    <row r="3854" spans="1:8" x14ac:dyDescent="0.25">
      <c r="A3854" s="4"/>
      <c r="B3854" s="5"/>
      <c r="C3854" s="5"/>
      <c r="D3854" s="5"/>
      <c r="E3854" s="5"/>
      <c r="F3854" s="5"/>
      <c r="G3854" s="5"/>
      <c r="H3854" s="5"/>
    </row>
    <row r="3855" spans="1:8" x14ac:dyDescent="0.25">
      <c r="A3855" s="4"/>
      <c r="B3855" s="5"/>
      <c r="C3855" s="5"/>
      <c r="D3855" s="5"/>
      <c r="E3855" s="5"/>
      <c r="F3855" s="5"/>
      <c r="G3855" s="5"/>
      <c r="H3855" s="5"/>
    </row>
    <row r="3856" spans="1:8" x14ac:dyDescent="0.25">
      <c r="A3856" s="4"/>
      <c r="B3856" s="5"/>
      <c r="C3856" s="5"/>
      <c r="D3856" s="5"/>
      <c r="E3856" s="5"/>
      <c r="F3856" s="5"/>
      <c r="G3856" s="5"/>
      <c r="H3856" s="5"/>
    </row>
    <row r="3857" spans="1:8" x14ac:dyDescent="0.25">
      <c r="A3857" s="4"/>
      <c r="B3857" s="5"/>
      <c r="C3857" s="5"/>
      <c r="D3857" s="5"/>
      <c r="E3857" s="5"/>
      <c r="F3857" s="5"/>
      <c r="G3857" s="5"/>
      <c r="H3857" s="5"/>
    </row>
    <row r="3858" spans="1:8" x14ac:dyDescent="0.25">
      <c r="A3858" s="4"/>
      <c r="B3858" s="5"/>
      <c r="C3858" s="5"/>
      <c r="D3858" s="5"/>
      <c r="E3858" s="5"/>
      <c r="F3858" s="5"/>
      <c r="G3858" s="5"/>
      <c r="H3858" s="5"/>
    </row>
    <row r="3859" spans="1:8" x14ac:dyDescent="0.25">
      <c r="A3859" s="4"/>
      <c r="B3859" s="5"/>
      <c r="C3859" s="5"/>
      <c r="D3859" s="5"/>
      <c r="E3859" s="5"/>
      <c r="F3859" s="5"/>
      <c r="G3859" s="5"/>
      <c r="H3859" s="5"/>
    </row>
    <row r="3860" spans="1:8" x14ac:dyDescent="0.25">
      <c r="A3860" s="4"/>
      <c r="B3860" s="5"/>
      <c r="C3860" s="5"/>
      <c r="D3860" s="5"/>
      <c r="E3860" s="5"/>
      <c r="F3860" s="5"/>
      <c r="G3860" s="5"/>
      <c r="H3860" s="5"/>
    </row>
    <row r="3861" spans="1:8" x14ac:dyDescent="0.25">
      <c r="A3861" s="4"/>
      <c r="B3861" s="5"/>
      <c r="C3861" s="5"/>
      <c r="D3861" s="5"/>
      <c r="E3861" s="5"/>
      <c r="F3861" s="5"/>
      <c r="G3861" s="5"/>
      <c r="H3861" s="5"/>
    </row>
    <row r="3862" spans="1:8" x14ac:dyDescent="0.25">
      <c r="A3862" s="4"/>
      <c r="B3862" s="5"/>
      <c r="C3862" s="5"/>
      <c r="D3862" s="5"/>
      <c r="E3862" s="5"/>
      <c r="F3862" s="5"/>
      <c r="G3862" s="5"/>
      <c r="H3862" s="5"/>
    </row>
    <row r="3863" spans="1:8" x14ac:dyDescent="0.25">
      <c r="A3863" s="4"/>
      <c r="B3863" s="5"/>
      <c r="C3863" s="5"/>
      <c r="D3863" s="5"/>
      <c r="E3863" s="5"/>
      <c r="F3863" s="5"/>
      <c r="G3863" s="5"/>
      <c r="H3863" s="5"/>
    </row>
    <row r="3864" spans="1:8" x14ac:dyDescent="0.25">
      <c r="A3864" s="4"/>
      <c r="B3864" s="5"/>
      <c r="C3864" s="5"/>
      <c r="D3864" s="5"/>
      <c r="E3864" s="5"/>
      <c r="F3864" s="5"/>
      <c r="G3864" s="5"/>
      <c r="H3864" s="5"/>
    </row>
    <row r="3865" spans="1:8" x14ac:dyDescent="0.25">
      <c r="A3865" s="4"/>
      <c r="B3865" s="5"/>
      <c r="C3865" s="5"/>
      <c r="D3865" s="5"/>
      <c r="E3865" s="5"/>
      <c r="F3865" s="5"/>
      <c r="G3865" s="5"/>
      <c r="H3865" s="5"/>
    </row>
    <row r="3866" spans="1:8" x14ac:dyDescent="0.25">
      <c r="A3866" s="4"/>
      <c r="B3866" s="5"/>
      <c r="C3866" s="5"/>
      <c r="D3866" s="5"/>
      <c r="E3866" s="5"/>
      <c r="F3866" s="5"/>
      <c r="G3866" s="5"/>
      <c r="H3866" s="5"/>
    </row>
    <row r="3867" spans="1:8" x14ac:dyDescent="0.25">
      <c r="A3867" s="4"/>
      <c r="B3867" s="5"/>
      <c r="C3867" s="5"/>
      <c r="D3867" s="5"/>
      <c r="E3867" s="5"/>
      <c r="F3867" s="5"/>
      <c r="G3867" s="5"/>
      <c r="H3867" s="5"/>
    </row>
    <row r="3868" spans="1:8" x14ac:dyDescent="0.25">
      <c r="A3868" s="4"/>
      <c r="B3868" s="5"/>
      <c r="C3868" s="5"/>
      <c r="D3868" s="5"/>
      <c r="E3868" s="5"/>
      <c r="F3868" s="5"/>
      <c r="G3868" s="5"/>
      <c r="H3868" s="5"/>
    </row>
    <row r="3869" spans="1:8" x14ac:dyDescent="0.25">
      <c r="A3869" s="4"/>
      <c r="B3869" s="5"/>
      <c r="C3869" s="5"/>
      <c r="D3869" s="5"/>
      <c r="E3869" s="5"/>
      <c r="F3869" s="5"/>
      <c r="G3869" s="5"/>
      <c r="H3869" s="5"/>
    </row>
    <row r="3870" spans="1:8" x14ac:dyDescent="0.25">
      <c r="A3870" s="4"/>
      <c r="B3870" s="5"/>
      <c r="C3870" s="5"/>
      <c r="D3870" s="5"/>
      <c r="E3870" s="5"/>
      <c r="F3870" s="5"/>
      <c r="G3870" s="5"/>
      <c r="H3870" s="5"/>
    </row>
    <row r="3871" spans="1:8" x14ac:dyDescent="0.25">
      <c r="A3871" s="4"/>
      <c r="B3871" s="5"/>
      <c r="C3871" s="5"/>
      <c r="D3871" s="5"/>
      <c r="E3871" s="5"/>
      <c r="F3871" s="5"/>
      <c r="G3871" s="5"/>
      <c r="H3871" s="5"/>
    </row>
    <row r="3872" spans="1:8" x14ac:dyDescent="0.25">
      <c r="A3872" s="4"/>
      <c r="B3872" s="5"/>
      <c r="C3872" s="5"/>
      <c r="D3872" s="5"/>
      <c r="E3872" s="5"/>
      <c r="F3872" s="5"/>
      <c r="G3872" s="5"/>
      <c r="H3872" s="5"/>
    </row>
    <row r="3873" spans="1:8" x14ac:dyDescent="0.25">
      <c r="A3873" s="4"/>
      <c r="B3873" s="5"/>
      <c r="C3873" s="5"/>
      <c r="D3873" s="5"/>
      <c r="E3873" s="5"/>
      <c r="F3873" s="5"/>
      <c r="G3873" s="5"/>
      <c r="H3873" s="5"/>
    </row>
    <row r="3874" spans="1:8" x14ac:dyDescent="0.25">
      <c r="A3874" s="4"/>
      <c r="B3874" s="5"/>
      <c r="C3874" s="5"/>
      <c r="D3874" s="5"/>
      <c r="E3874" s="5"/>
      <c r="F3874" s="5"/>
      <c r="G3874" s="5"/>
      <c r="H3874" s="5"/>
    </row>
    <row r="3875" spans="1:8" x14ac:dyDescent="0.25">
      <c r="A3875" s="4"/>
      <c r="B3875" s="5"/>
      <c r="C3875" s="5"/>
      <c r="D3875" s="5"/>
      <c r="E3875" s="5"/>
      <c r="F3875" s="5"/>
      <c r="G3875" s="5"/>
      <c r="H3875" s="5"/>
    </row>
    <row r="3876" spans="1:8" x14ac:dyDescent="0.25">
      <c r="A3876" s="4"/>
      <c r="B3876" s="5"/>
      <c r="C3876" s="5"/>
      <c r="D3876" s="5"/>
      <c r="E3876" s="5"/>
      <c r="F3876" s="5"/>
      <c r="G3876" s="5"/>
      <c r="H3876" s="5"/>
    </row>
    <row r="3877" spans="1:8" x14ac:dyDescent="0.25">
      <c r="A3877" s="4"/>
      <c r="B3877" s="5"/>
      <c r="C3877" s="5"/>
      <c r="D3877" s="5"/>
      <c r="E3877" s="5"/>
      <c r="F3877" s="5"/>
      <c r="G3877" s="5"/>
      <c r="H3877" s="5"/>
    </row>
    <row r="3878" spans="1:8" x14ac:dyDescent="0.25">
      <c r="A3878" s="4"/>
      <c r="B3878" s="5"/>
      <c r="C3878" s="5"/>
      <c r="D3878" s="5"/>
      <c r="E3878" s="5"/>
      <c r="F3878" s="5"/>
      <c r="G3878" s="5"/>
      <c r="H3878" s="5"/>
    </row>
    <row r="3879" spans="1:8" x14ac:dyDescent="0.25">
      <c r="A3879" s="4"/>
      <c r="B3879" s="5"/>
      <c r="C3879" s="5"/>
      <c r="D3879" s="5"/>
      <c r="E3879" s="5"/>
      <c r="F3879" s="5"/>
      <c r="G3879" s="5"/>
      <c r="H3879" s="5"/>
    </row>
    <row r="3880" spans="1:8" x14ac:dyDescent="0.25">
      <c r="A3880" s="4"/>
      <c r="B3880" s="5"/>
      <c r="C3880" s="5"/>
      <c r="D3880" s="5"/>
      <c r="E3880" s="5"/>
      <c r="F3880" s="5"/>
      <c r="G3880" s="5"/>
      <c r="H3880" s="5"/>
    </row>
    <row r="3881" spans="1:8" x14ac:dyDescent="0.25">
      <c r="A3881" s="4"/>
      <c r="B3881" s="5"/>
      <c r="C3881" s="5"/>
      <c r="D3881" s="5"/>
      <c r="E3881" s="5"/>
      <c r="F3881" s="5"/>
      <c r="G3881" s="5"/>
      <c r="H3881" s="5"/>
    </row>
    <row r="3882" spans="1:8" x14ac:dyDescent="0.25">
      <c r="A3882" s="4"/>
      <c r="B3882" s="5"/>
      <c r="C3882" s="5"/>
      <c r="D3882" s="5"/>
      <c r="E3882" s="5"/>
      <c r="F3882" s="5"/>
      <c r="G3882" s="5"/>
      <c r="H3882" s="5"/>
    </row>
    <row r="3883" spans="1:8" x14ac:dyDescent="0.25">
      <c r="A3883" s="4"/>
      <c r="B3883" s="5"/>
      <c r="C3883" s="5"/>
      <c r="D3883" s="5"/>
      <c r="E3883" s="5"/>
      <c r="F3883" s="5"/>
      <c r="G3883" s="5"/>
      <c r="H3883" s="5"/>
    </row>
    <row r="3884" spans="1:8" x14ac:dyDescent="0.25">
      <c r="A3884" s="4"/>
      <c r="B3884" s="5"/>
      <c r="C3884" s="5"/>
      <c r="D3884" s="5"/>
      <c r="E3884" s="5"/>
      <c r="F3884" s="5"/>
      <c r="G3884" s="5"/>
      <c r="H3884" s="5"/>
    </row>
    <row r="3885" spans="1:8" x14ac:dyDescent="0.25">
      <c r="A3885" s="4"/>
      <c r="B3885" s="5"/>
      <c r="C3885" s="5"/>
      <c r="D3885" s="5"/>
      <c r="E3885" s="5"/>
      <c r="F3885" s="5"/>
      <c r="G3885" s="5"/>
      <c r="H3885" s="5"/>
    </row>
    <row r="3886" spans="1:8" x14ac:dyDescent="0.25">
      <c r="A3886" s="4"/>
      <c r="B3886" s="5"/>
      <c r="C3886" s="5"/>
      <c r="D3886" s="5"/>
      <c r="E3886" s="5"/>
      <c r="F3886" s="5"/>
      <c r="G3886" s="5"/>
      <c r="H3886" s="5"/>
    </row>
    <row r="3887" spans="1:8" x14ac:dyDescent="0.25">
      <c r="A3887" s="4"/>
      <c r="B3887" s="5"/>
      <c r="C3887" s="5"/>
      <c r="D3887" s="5"/>
      <c r="E3887" s="5"/>
      <c r="F3887" s="5"/>
      <c r="G3887" s="5"/>
      <c r="H3887" s="5"/>
    </row>
    <row r="3888" spans="1:8" x14ac:dyDescent="0.25">
      <c r="A3888" s="4"/>
      <c r="B3888" s="5"/>
      <c r="C3888" s="5"/>
      <c r="D3888" s="5"/>
      <c r="E3888" s="5"/>
      <c r="F3888" s="5"/>
      <c r="G3888" s="5"/>
      <c r="H3888" s="5"/>
    </row>
    <row r="3889" spans="1:8" x14ac:dyDescent="0.25">
      <c r="A3889" s="4"/>
      <c r="B3889" s="5"/>
      <c r="C3889" s="5"/>
      <c r="D3889" s="5"/>
      <c r="E3889" s="5"/>
      <c r="F3889" s="5"/>
      <c r="G3889" s="5"/>
      <c r="H3889" s="5"/>
    </row>
    <row r="3890" spans="1:8" x14ac:dyDescent="0.25">
      <c r="A3890" s="4"/>
      <c r="B3890" s="5"/>
      <c r="C3890" s="5"/>
      <c r="D3890" s="5"/>
      <c r="E3890" s="5"/>
      <c r="F3890" s="5"/>
      <c r="G3890" s="5"/>
      <c r="H3890" s="5"/>
    </row>
    <row r="3891" spans="1:8" x14ac:dyDescent="0.25">
      <c r="A3891" s="4"/>
      <c r="B3891" s="5"/>
      <c r="C3891" s="5"/>
      <c r="D3891" s="5"/>
      <c r="E3891" s="5"/>
      <c r="F3891" s="5"/>
      <c r="G3891" s="5"/>
      <c r="H3891" s="5"/>
    </row>
    <row r="3892" spans="1:8" x14ac:dyDescent="0.25">
      <c r="A3892" s="4"/>
      <c r="B3892" s="5"/>
      <c r="C3892" s="5"/>
      <c r="D3892" s="5"/>
      <c r="E3892" s="5"/>
      <c r="F3892" s="5"/>
      <c r="G3892" s="5"/>
      <c r="H3892" s="5"/>
    </row>
    <row r="3893" spans="1:8" x14ac:dyDescent="0.25">
      <c r="A3893" s="4"/>
      <c r="B3893" s="5"/>
      <c r="C3893" s="5"/>
      <c r="D3893" s="5"/>
      <c r="E3893" s="5"/>
      <c r="F3893" s="5"/>
      <c r="G3893" s="5"/>
      <c r="H3893" s="5"/>
    </row>
    <row r="3894" spans="1:8" x14ac:dyDescent="0.25">
      <c r="A3894" s="4"/>
      <c r="B3894" s="5"/>
      <c r="C3894" s="5"/>
      <c r="D3894" s="5"/>
      <c r="E3894" s="5"/>
      <c r="F3894" s="5"/>
      <c r="G3894" s="5"/>
      <c r="H3894" s="5"/>
    </row>
    <row r="3895" spans="1:8" x14ac:dyDescent="0.25">
      <c r="A3895" s="4"/>
      <c r="B3895" s="5"/>
      <c r="C3895" s="5"/>
      <c r="D3895" s="5"/>
      <c r="E3895" s="5"/>
      <c r="F3895" s="5"/>
      <c r="G3895" s="5"/>
      <c r="H3895" s="5"/>
    </row>
    <row r="3896" spans="1:8" x14ac:dyDescent="0.25">
      <c r="A3896" s="4"/>
      <c r="B3896" s="5"/>
      <c r="C3896" s="5"/>
      <c r="D3896" s="5"/>
      <c r="E3896" s="5"/>
      <c r="F3896" s="5"/>
      <c r="G3896" s="5"/>
      <c r="H3896" s="5"/>
    </row>
    <row r="3897" spans="1:8" x14ac:dyDescent="0.25">
      <c r="A3897" s="4"/>
      <c r="B3897" s="5"/>
      <c r="C3897" s="5"/>
      <c r="D3897" s="5"/>
      <c r="E3897" s="5"/>
      <c r="F3897" s="5"/>
      <c r="G3897" s="5"/>
      <c r="H3897" s="5"/>
    </row>
    <row r="3898" spans="1:8" x14ac:dyDescent="0.25">
      <c r="A3898" s="4"/>
      <c r="B3898" s="5"/>
      <c r="C3898" s="5"/>
      <c r="D3898" s="5"/>
      <c r="E3898" s="5"/>
      <c r="F3898" s="5"/>
      <c r="G3898" s="5"/>
      <c r="H3898" s="5"/>
    </row>
    <row r="3899" spans="1:8" x14ac:dyDescent="0.25">
      <c r="A3899" s="4"/>
      <c r="B3899" s="5"/>
      <c r="C3899" s="5"/>
      <c r="D3899" s="5"/>
      <c r="E3899" s="5"/>
      <c r="F3899" s="5"/>
      <c r="G3899" s="5"/>
      <c r="H3899" s="5"/>
    </row>
    <row r="3900" spans="1:8" x14ac:dyDescent="0.25">
      <c r="A3900" s="4"/>
      <c r="B3900" s="5"/>
      <c r="C3900" s="5"/>
      <c r="D3900" s="5"/>
      <c r="E3900" s="5"/>
      <c r="F3900" s="5"/>
      <c r="G3900" s="5"/>
      <c r="H3900" s="5"/>
    </row>
    <row r="3901" spans="1:8" x14ac:dyDescent="0.25">
      <c r="A3901" s="4"/>
      <c r="B3901" s="5"/>
      <c r="C3901" s="5"/>
      <c r="D3901" s="5"/>
      <c r="E3901" s="5"/>
      <c r="F3901" s="5"/>
      <c r="G3901" s="5"/>
      <c r="H3901" s="5"/>
    </row>
    <row r="3902" spans="1:8" x14ac:dyDescent="0.25">
      <c r="A3902" s="4"/>
      <c r="B3902" s="5"/>
      <c r="C3902" s="5"/>
      <c r="D3902" s="5"/>
      <c r="E3902" s="5"/>
      <c r="F3902" s="5"/>
      <c r="G3902" s="5"/>
      <c r="H3902" s="5"/>
    </row>
    <row r="3903" spans="1:8" x14ac:dyDescent="0.25">
      <c r="A3903" s="4"/>
      <c r="B3903" s="5"/>
      <c r="C3903" s="5"/>
      <c r="D3903" s="5"/>
      <c r="E3903" s="5"/>
      <c r="F3903" s="5"/>
      <c r="G3903" s="5"/>
      <c r="H3903" s="5"/>
    </row>
    <row r="3904" spans="1:8" x14ac:dyDescent="0.25">
      <c r="A3904" s="4"/>
      <c r="B3904" s="5"/>
      <c r="C3904" s="5"/>
      <c r="D3904" s="5"/>
      <c r="E3904" s="5"/>
      <c r="F3904" s="5"/>
      <c r="G3904" s="5"/>
      <c r="H3904" s="5"/>
    </row>
    <row r="3905" spans="1:8" x14ac:dyDescent="0.25">
      <c r="A3905" s="4"/>
      <c r="B3905" s="5"/>
      <c r="C3905" s="5"/>
      <c r="D3905" s="5"/>
      <c r="E3905" s="5"/>
      <c r="F3905" s="5"/>
      <c r="G3905" s="5"/>
      <c r="H3905" s="5"/>
    </row>
    <row r="3906" spans="1:8" x14ac:dyDescent="0.25">
      <c r="A3906" s="4"/>
      <c r="B3906" s="5"/>
      <c r="C3906" s="5"/>
      <c r="D3906" s="5"/>
      <c r="E3906" s="5"/>
      <c r="F3906" s="5"/>
      <c r="G3906" s="5"/>
      <c r="H3906" s="5"/>
    </row>
    <row r="3907" spans="1:8" x14ac:dyDescent="0.25">
      <c r="A3907" s="4"/>
      <c r="B3907" s="5"/>
      <c r="C3907" s="5"/>
      <c r="D3907" s="5"/>
      <c r="E3907" s="5"/>
      <c r="F3907" s="5"/>
      <c r="G3907" s="5"/>
      <c r="H3907" s="5"/>
    </row>
    <row r="3908" spans="1:8" x14ac:dyDescent="0.25">
      <c r="A3908" s="4"/>
      <c r="B3908" s="5"/>
      <c r="C3908" s="5"/>
      <c r="D3908" s="5"/>
      <c r="E3908" s="5"/>
      <c r="F3908" s="5"/>
      <c r="G3908" s="5"/>
      <c r="H3908" s="5"/>
    </row>
    <row r="3909" spans="1:8" x14ac:dyDescent="0.25">
      <c r="A3909" s="4"/>
      <c r="B3909" s="5"/>
      <c r="C3909" s="5"/>
      <c r="D3909" s="5"/>
      <c r="E3909" s="5"/>
      <c r="F3909" s="5"/>
      <c r="G3909" s="5"/>
      <c r="H3909" s="5"/>
    </row>
    <row r="3910" spans="1:8" x14ac:dyDescent="0.25">
      <c r="A3910" s="4"/>
      <c r="B3910" s="5"/>
      <c r="C3910" s="5"/>
      <c r="D3910" s="5"/>
      <c r="E3910" s="5"/>
      <c r="F3910" s="5"/>
      <c r="G3910" s="5"/>
      <c r="H3910" s="5"/>
    </row>
    <row r="3911" spans="1:8" x14ac:dyDescent="0.25">
      <c r="A3911" s="4"/>
      <c r="B3911" s="5"/>
      <c r="C3911" s="5"/>
      <c r="D3911" s="5"/>
      <c r="E3911" s="5"/>
      <c r="F3911" s="5"/>
      <c r="G3911" s="5"/>
      <c r="H3911" s="5"/>
    </row>
    <row r="3912" spans="1:8" x14ac:dyDescent="0.25">
      <c r="A3912" s="4"/>
      <c r="B3912" s="5"/>
      <c r="C3912" s="5"/>
      <c r="D3912" s="5"/>
      <c r="E3912" s="5"/>
      <c r="F3912" s="5"/>
      <c r="G3912" s="5"/>
      <c r="H3912" s="5"/>
    </row>
    <row r="3913" spans="1:8" x14ac:dyDescent="0.25">
      <c r="A3913" s="4"/>
      <c r="B3913" s="5"/>
      <c r="C3913" s="5"/>
      <c r="D3913" s="5"/>
      <c r="E3913" s="5"/>
      <c r="F3913" s="5"/>
      <c r="G3913" s="5"/>
      <c r="H3913" s="5"/>
    </row>
    <row r="3914" spans="1:8" x14ac:dyDescent="0.25">
      <c r="A3914" s="4"/>
      <c r="B3914" s="5"/>
      <c r="C3914" s="5"/>
      <c r="D3914" s="5"/>
      <c r="E3914" s="5"/>
      <c r="F3914" s="5"/>
      <c r="G3914" s="5"/>
      <c r="H3914" s="5"/>
    </row>
    <row r="3915" spans="1:8" x14ac:dyDescent="0.25">
      <c r="A3915" s="4"/>
      <c r="B3915" s="5"/>
      <c r="C3915" s="5"/>
      <c r="D3915" s="5"/>
      <c r="E3915" s="5"/>
      <c r="F3915" s="5"/>
      <c r="G3915" s="5"/>
      <c r="H3915" s="5"/>
    </row>
    <row r="3916" spans="1:8" x14ac:dyDescent="0.25">
      <c r="A3916" s="4"/>
      <c r="B3916" s="5"/>
      <c r="C3916" s="5"/>
      <c r="D3916" s="5"/>
      <c r="E3916" s="5"/>
      <c r="F3916" s="5"/>
      <c r="G3916" s="5"/>
      <c r="H3916" s="5"/>
    </row>
    <row r="3917" spans="1:8" x14ac:dyDescent="0.25">
      <c r="A3917" s="4"/>
      <c r="B3917" s="5"/>
      <c r="C3917" s="5"/>
      <c r="D3917" s="5"/>
      <c r="E3917" s="5"/>
      <c r="F3917" s="5"/>
      <c r="G3917" s="5"/>
      <c r="H3917" s="5"/>
    </row>
    <row r="3918" spans="1:8" x14ac:dyDescent="0.25">
      <c r="A3918" s="4"/>
      <c r="B3918" s="5"/>
      <c r="C3918" s="5"/>
      <c r="D3918" s="5"/>
      <c r="E3918" s="5"/>
      <c r="F3918" s="5"/>
      <c r="G3918" s="5"/>
      <c r="H3918" s="5"/>
    </row>
    <row r="3919" spans="1:8" x14ac:dyDescent="0.25">
      <c r="A3919" s="4"/>
      <c r="B3919" s="5"/>
      <c r="C3919" s="5"/>
      <c r="D3919" s="5"/>
      <c r="E3919" s="5"/>
      <c r="F3919" s="5"/>
      <c r="G3919" s="5"/>
      <c r="H3919" s="5"/>
    </row>
    <row r="3920" spans="1:8" x14ac:dyDescent="0.25">
      <c r="A3920" s="4"/>
      <c r="B3920" s="5"/>
      <c r="C3920" s="5"/>
      <c r="D3920" s="5"/>
      <c r="E3920" s="5"/>
      <c r="F3920" s="5"/>
      <c r="G3920" s="5"/>
      <c r="H3920" s="5"/>
    </row>
    <row r="3921" spans="1:8" x14ac:dyDescent="0.25">
      <c r="A3921" s="4"/>
      <c r="B3921" s="5"/>
      <c r="C3921" s="5"/>
      <c r="D3921" s="5"/>
      <c r="E3921" s="5"/>
      <c r="F3921" s="5"/>
      <c r="G3921" s="5"/>
      <c r="H3921" s="5"/>
    </row>
    <row r="3922" spans="1:8" x14ac:dyDescent="0.25">
      <c r="A3922" s="4"/>
      <c r="B3922" s="5"/>
      <c r="C3922" s="5"/>
      <c r="D3922" s="5"/>
      <c r="E3922" s="5"/>
      <c r="F3922" s="5"/>
      <c r="G3922" s="5"/>
      <c r="H3922" s="5"/>
    </row>
    <row r="3923" spans="1:8" x14ac:dyDescent="0.25">
      <c r="A3923" s="4"/>
      <c r="B3923" s="5"/>
      <c r="C3923" s="5"/>
      <c r="D3923" s="5"/>
      <c r="E3923" s="5"/>
      <c r="F3923" s="5"/>
      <c r="G3923" s="5"/>
      <c r="H3923" s="5"/>
    </row>
    <row r="3924" spans="1:8" x14ac:dyDescent="0.25">
      <c r="A3924" s="4"/>
      <c r="B3924" s="5"/>
      <c r="C3924" s="5"/>
      <c r="D3924" s="5"/>
      <c r="E3924" s="5"/>
      <c r="F3924" s="5"/>
      <c r="G3924" s="5"/>
      <c r="H3924" s="5"/>
    </row>
    <row r="3925" spans="1:8" x14ac:dyDescent="0.25">
      <c r="A3925" s="4"/>
      <c r="B3925" s="5"/>
      <c r="C3925" s="5"/>
      <c r="D3925" s="5"/>
      <c r="E3925" s="5"/>
      <c r="F3925" s="5"/>
      <c r="G3925" s="5"/>
      <c r="H3925" s="5"/>
    </row>
    <row r="3926" spans="1:8" x14ac:dyDescent="0.25">
      <c r="A3926" s="4"/>
      <c r="B3926" s="5"/>
      <c r="C3926" s="5"/>
      <c r="D3926" s="5"/>
      <c r="E3926" s="5"/>
      <c r="F3926" s="5"/>
      <c r="G3926" s="5"/>
      <c r="H3926" s="5"/>
    </row>
    <row r="3927" spans="1:8" x14ac:dyDescent="0.25">
      <c r="A3927" s="4"/>
      <c r="B3927" s="5"/>
      <c r="C3927" s="5"/>
      <c r="D3927" s="5"/>
      <c r="E3927" s="5"/>
      <c r="F3927" s="5"/>
      <c r="G3927" s="5"/>
      <c r="H3927" s="5"/>
    </row>
    <row r="3928" spans="1:8" x14ac:dyDescent="0.25">
      <c r="A3928" s="4"/>
      <c r="B3928" s="5"/>
      <c r="C3928" s="5"/>
      <c r="D3928" s="5"/>
      <c r="E3928" s="5"/>
      <c r="F3928" s="5"/>
      <c r="G3928" s="5"/>
      <c r="H3928" s="5"/>
    </row>
    <row r="3929" spans="1:8" x14ac:dyDescent="0.25">
      <c r="A3929" s="4"/>
      <c r="B3929" s="5"/>
      <c r="C3929" s="5"/>
      <c r="D3929" s="5"/>
      <c r="E3929" s="5"/>
      <c r="F3929" s="5"/>
      <c r="G3929" s="5"/>
      <c r="H3929" s="5"/>
    </row>
    <row r="3930" spans="1:8" x14ac:dyDescent="0.25">
      <c r="A3930" s="4"/>
      <c r="B3930" s="5"/>
      <c r="C3930" s="5"/>
      <c r="D3930" s="5"/>
      <c r="E3930" s="5"/>
      <c r="F3930" s="5"/>
      <c r="G3930" s="5"/>
      <c r="H3930" s="5"/>
    </row>
    <row r="3931" spans="1:8" x14ac:dyDescent="0.25">
      <c r="A3931" s="4"/>
      <c r="B3931" s="5"/>
      <c r="C3931" s="5"/>
      <c r="D3931" s="5"/>
      <c r="E3931" s="5"/>
      <c r="F3931" s="5"/>
      <c r="G3931" s="5"/>
      <c r="H3931" s="5"/>
    </row>
    <row r="3932" spans="1:8" x14ac:dyDescent="0.25">
      <c r="A3932" s="4"/>
      <c r="B3932" s="5"/>
      <c r="C3932" s="5"/>
      <c r="D3932" s="5"/>
      <c r="E3932" s="5"/>
      <c r="F3932" s="5"/>
      <c r="G3932" s="5"/>
      <c r="H3932" s="5"/>
    </row>
    <row r="3933" spans="1:8" x14ac:dyDescent="0.25">
      <c r="A3933" s="4"/>
      <c r="B3933" s="5"/>
      <c r="C3933" s="5"/>
      <c r="D3933" s="5"/>
      <c r="E3933" s="5"/>
      <c r="F3933" s="5"/>
      <c r="G3933" s="5"/>
      <c r="H3933" s="5"/>
    </row>
    <row r="3934" spans="1:8" x14ac:dyDescent="0.25">
      <c r="A3934" s="4"/>
      <c r="B3934" s="5"/>
      <c r="C3934" s="5"/>
      <c r="D3934" s="5"/>
      <c r="E3934" s="5"/>
      <c r="F3934" s="5"/>
      <c r="G3934" s="5"/>
      <c r="H3934" s="5"/>
    </row>
    <row r="3935" spans="1:8" x14ac:dyDescent="0.25">
      <c r="A3935" s="4"/>
      <c r="B3935" s="5"/>
      <c r="C3935" s="5"/>
      <c r="D3935" s="5"/>
      <c r="E3935" s="5"/>
      <c r="F3935" s="5"/>
      <c r="G3935" s="5"/>
      <c r="H3935" s="5"/>
    </row>
    <row r="3936" spans="1:8" x14ac:dyDescent="0.25">
      <c r="A3936" s="4"/>
      <c r="B3936" s="5"/>
      <c r="C3936" s="5"/>
      <c r="D3936" s="5"/>
      <c r="E3936" s="5"/>
      <c r="F3936" s="5"/>
      <c r="G3936" s="5"/>
      <c r="H3936" s="5"/>
    </row>
    <row r="3937" spans="1:8" x14ac:dyDescent="0.25">
      <c r="A3937" s="4"/>
      <c r="B3937" s="5"/>
      <c r="C3937" s="5"/>
      <c r="D3937" s="5"/>
      <c r="E3937" s="5"/>
      <c r="F3937" s="5"/>
      <c r="G3937" s="5"/>
      <c r="H3937" s="5"/>
    </row>
    <row r="3938" spans="1:8" x14ac:dyDescent="0.25">
      <c r="A3938" s="4"/>
      <c r="B3938" s="5"/>
      <c r="C3938" s="5"/>
      <c r="D3938" s="5"/>
      <c r="E3938" s="5"/>
      <c r="F3938" s="5"/>
      <c r="G3938" s="5"/>
      <c r="H3938" s="5"/>
    </row>
    <row r="3939" spans="1:8" x14ac:dyDescent="0.25">
      <c r="A3939" s="4"/>
      <c r="B3939" s="5"/>
      <c r="C3939" s="5"/>
      <c r="D3939" s="5"/>
      <c r="E3939" s="5"/>
      <c r="F3939" s="5"/>
      <c r="G3939" s="5"/>
      <c r="H3939" s="5"/>
    </row>
    <row r="3940" spans="1:8" x14ac:dyDescent="0.25">
      <c r="A3940" s="4"/>
      <c r="B3940" s="5"/>
      <c r="C3940" s="5"/>
      <c r="D3940" s="5"/>
      <c r="E3940" s="5"/>
      <c r="F3940" s="5"/>
      <c r="G3940" s="5"/>
      <c r="H3940" s="5"/>
    </row>
    <row r="3941" spans="1:8" x14ac:dyDescent="0.25">
      <c r="A3941" s="4"/>
      <c r="B3941" s="5"/>
      <c r="C3941" s="5"/>
      <c r="D3941" s="5"/>
      <c r="E3941" s="5"/>
      <c r="F3941" s="5"/>
      <c r="G3941" s="5"/>
      <c r="H3941" s="5"/>
    </row>
    <row r="3942" spans="1:8" x14ac:dyDescent="0.25">
      <c r="A3942" s="4"/>
      <c r="B3942" s="5"/>
      <c r="C3942" s="5"/>
      <c r="D3942" s="5"/>
      <c r="E3942" s="5"/>
      <c r="F3942" s="5"/>
      <c r="G3942" s="5"/>
      <c r="H3942" s="5"/>
    </row>
    <row r="3943" spans="1:8" x14ac:dyDescent="0.25">
      <c r="A3943" s="4"/>
      <c r="B3943" s="5"/>
      <c r="C3943" s="5"/>
      <c r="D3943" s="5"/>
      <c r="E3943" s="5"/>
      <c r="F3943" s="5"/>
      <c r="G3943" s="5"/>
      <c r="H3943" s="5"/>
    </row>
    <row r="3944" spans="1:8" x14ac:dyDescent="0.25">
      <c r="A3944" s="4"/>
      <c r="B3944" s="5"/>
      <c r="C3944" s="5"/>
      <c r="D3944" s="5"/>
      <c r="E3944" s="5"/>
      <c r="F3944" s="5"/>
      <c r="G3944" s="5"/>
      <c r="H3944" s="5"/>
    </row>
    <row r="3945" spans="1:8" x14ac:dyDescent="0.25">
      <c r="A3945" s="4"/>
      <c r="B3945" s="5"/>
      <c r="C3945" s="5"/>
      <c r="D3945" s="5"/>
      <c r="E3945" s="5"/>
      <c r="F3945" s="5"/>
      <c r="G3945" s="5"/>
      <c r="H3945" s="5"/>
    </row>
    <row r="3946" spans="1:8" x14ac:dyDescent="0.25">
      <c r="A3946" s="4"/>
      <c r="B3946" s="5"/>
      <c r="C3946" s="5"/>
      <c r="D3946" s="5"/>
      <c r="E3946" s="5"/>
      <c r="F3946" s="5"/>
      <c r="G3946" s="5"/>
      <c r="H3946" s="5"/>
    </row>
    <row r="3947" spans="1:8" x14ac:dyDescent="0.25">
      <c r="A3947" s="4"/>
      <c r="B3947" s="5"/>
      <c r="C3947" s="5"/>
      <c r="D3947" s="5"/>
      <c r="E3947" s="5"/>
      <c r="F3947" s="5"/>
      <c r="G3947" s="5"/>
      <c r="H3947" s="5"/>
    </row>
    <row r="3948" spans="1:8" x14ac:dyDescent="0.25">
      <c r="A3948" s="4"/>
      <c r="B3948" s="5"/>
      <c r="C3948" s="5"/>
      <c r="D3948" s="5"/>
      <c r="E3948" s="5"/>
      <c r="F3948" s="5"/>
      <c r="G3948" s="5"/>
      <c r="H3948" s="5"/>
    </row>
    <row r="3949" spans="1:8" x14ac:dyDescent="0.25">
      <c r="A3949" s="4"/>
      <c r="B3949" s="5"/>
      <c r="C3949" s="5"/>
      <c r="D3949" s="5"/>
      <c r="E3949" s="5"/>
      <c r="F3949" s="5"/>
      <c r="G3949" s="5"/>
      <c r="H3949" s="5"/>
    </row>
    <row r="3950" spans="1:8" x14ac:dyDescent="0.25">
      <c r="A3950" s="4"/>
      <c r="B3950" s="5"/>
      <c r="C3950" s="5"/>
      <c r="D3950" s="5"/>
      <c r="E3950" s="5"/>
      <c r="F3950" s="5"/>
      <c r="G3950" s="5"/>
      <c r="H3950" s="5"/>
    </row>
    <row r="3951" spans="1:8" x14ac:dyDescent="0.25">
      <c r="A3951" s="4"/>
      <c r="B3951" s="5"/>
      <c r="C3951" s="5"/>
      <c r="D3951" s="5"/>
      <c r="E3951" s="5"/>
      <c r="F3951" s="5"/>
      <c r="G3951" s="5"/>
      <c r="H3951" s="5"/>
    </row>
    <row r="3952" spans="1:8" x14ac:dyDescent="0.25">
      <c r="A3952" s="4"/>
      <c r="B3952" s="5"/>
      <c r="C3952" s="5"/>
      <c r="D3952" s="5"/>
      <c r="E3952" s="5"/>
      <c r="F3952" s="5"/>
      <c r="G3952" s="5"/>
      <c r="H3952" s="5"/>
    </row>
    <row r="3953" spans="1:8" x14ac:dyDescent="0.25">
      <c r="A3953" s="4"/>
      <c r="B3953" s="5"/>
      <c r="C3953" s="5"/>
      <c r="D3953" s="5"/>
      <c r="E3953" s="5"/>
      <c r="F3953" s="5"/>
      <c r="G3953" s="5"/>
      <c r="H3953" s="5"/>
    </row>
    <row r="3954" spans="1:8" x14ac:dyDescent="0.25">
      <c r="A3954" s="4"/>
      <c r="B3954" s="5"/>
      <c r="C3954" s="5"/>
      <c r="D3954" s="5"/>
      <c r="E3954" s="5"/>
      <c r="F3954" s="5"/>
      <c r="G3954" s="5"/>
      <c r="H3954" s="5"/>
    </row>
    <row r="3955" spans="1:8" x14ac:dyDescent="0.25">
      <c r="A3955" s="4"/>
      <c r="B3955" s="5"/>
      <c r="C3955" s="5"/>
      <c r="D3955" s="5"/>
      <c r="E3955" s="5"/>
      <c r="F3955" s="5"/>
      <c r="G3955" s="5"/>
      <c r="H3955" s="5"/>
    </row>
    <row r="3956" spans="1:8" x14ac:dyDescent="0.25">
      <c r="A3956" s="4"/>
      <c r="B3956" s="5"/>
      <c r="C3956" s="5"/>
      <c r="D3956" s="5"/>
      <c r="E3956" s="5"/>
      <c r="F3956" s="5"/>
      <c r="G3956" s="5"/>
      <c r="H3956" s="5"/>
    </row>
    <row r="3957" spans="1:8" x14ac:dyDescent="0.25">
      <c r="A3957" s="4"/>
      <c r="B3957" s="5"/>
      <c r="C3957" s="5"/>
      <c r="D3957" s="5"/>
      <c r="E3957" s="5"/>
      <c r="F3957" s="5"/>
      <c r="G3957" s="5"/>
      <c r="H3957" s="5"/>
    </row>
    <row r="3958" spans="1:8" x14ac:dyDescent="0.25">
      <c r="A3958" s="4"/>
      <c r="B3958" s="5"/>
      <c r="C3958" s="5"/>
      <c r="D3958" s="5"/>
      <c r="E3958" s="5"/>
      <c r="F3958" s="5"/>
      <c r="G3958" s="5"/>
      <c r="H3958" s="5"/>
    </row>
    <row r="3959" spans="1:8" x14ac:dyDescent="0.25">
      <c r="A3959" s="4"/>
      <c r="B3959" s="5"/>
      <c r="C3959" s="5"/>
      <c r="D3959" s="5"/>
      <c r="E3959" s="5"/>
      <c r="F3959" s="5"/>
      <c r="G3959" s="5"/>
      <c r="H3959" s="5"/>
    </row>
    <row r="3960" spans="1:8" x14ac:dyDescent="0.25">
      <c r="A3960" s="4"/>
      <c r="B3960" s="5"/>
      <c r="C3960" s="5"/>
      <c r="D3960" s="5"/>
      <c r="E3960" s="5"/>
      <c r="F3960" s="5"/>
      <c r="G3960" s="5"/>
      <c r="H3960" s="5"/>
    </row>
    <row r="3961" spans="1:8" x14ac:dyDescent="0.25">
      <c r="A3961" s="4"/>
      <c r="B3961" s="5"/>
      <c r="C3961" s="5"/>
      <c r="D3961" s="5"/>
      <c r="E3961" s="5"/>
      <c r="F3961" s="5"/>
      <c r="G3961" s="5"/>
      <c r="H3961" s="5"/>
    </row>
    <row r="3962" spans="1:8" x14ac:dyDescent="0.25">
      <c r="A3962" s="4"/>
      <c r="B3962" s="5"/>
      <c r="C3962" s="5"/>
      <c r="D3962" s="5"/>
      <c r="E3962" s="5"/>
      <c r="F3962" s="5"/>
      <c r="G3962" s="5"/>
      <c r="H3962" s="5"/>
    </row>
    <row r="3963" spans="1:8" x14ac:dyDescent="0.25">
      <c r="A3963" s="4"/>
      <c r="B3963" s="5"/>
      <c r="C3963" s="5"/>
      <c r="D3963" s="5"/>
      <c r="E3963" s="5"/>
      <c r="F3963" s="5"/>
      <c r="G3963" s="5"/>
      <c r="H3963" s="5"/>
    </row>
    <row r="3964" spans="1:8" x14ac:dyDescent="0.25">
      <c r="A3964" s="4"/>
      <c r="B3964" s="5"/>
      <c r="C3964" s="5"/>
      <c r="D3964" s="5"/>
      <c r="E3964" s="5"/>
      <c r="F3964" s="5"/>
      <c r="G3964" s="5"/>
      <c r="H3964" s="5"/>
    </row>
    <row r="3965" spans="1:8" x14ac:dyDescent="0.25">
      <c r="A3965" s="4"/>
      <c r="B3965" s="5"/>
      <c r="C3965" s="5"/>
      <c r="D3965" s="5"/>
      <c r="E3965" s="5"/>
      <c r="F3965" s="5"/>
      <c r="G3965" s="5"/>
      <c r="H3965" s="5"/>
    </row>
    <row r="3966" spans="1:8" x14ac:dyDescent="0.25">
      <c r="A3966" s="4"/>
      <c r="B3966" s="5"/>
      <c r="C3966" s="5"/>
      <c r="D3966" s="5"/>
      <c r="E3966" s="5"/>
      <c r="F3966" s="5"/>
      <c r="G3966" s="5"/>
      <c r="H3966" s="5"/>
    </row>
    <row r="3967" spans="1:8" x14ac:dyDescent="0.25">
      <c r="A3967" s="4"/>
      <c r="B3967" s="5"/>
      <c r="C3967" s="5"/>
      <c r="D3967" s="5"/>
      <c r="E3967" s="5"/>
      <c r="F3967" s="5"/>
      <c r="G3967" s="5"/>
      <c r="H3967" s="5"/>
    </row>
    <row r="3968" spans="1:8" x14ac:dyDescent="0.25">
      <c r="A3968" s="4"/>
      <c r="B3968" s="5"/>
      <c r="C3968" s="5"/>
      <c r="D3968" s="5"/>
      <c r="E3968" s="5"/>
      <c r="F3968" s="5"/>
      <c r="G3968" s="5"/>
      <c r="H3968" s="5"/>
    </row>
    <row r="3969" spans="1:8" x14ac:dyDescent="0.25">
      <c r="A3969" s="4"/>
      <c r="B3969" s="5"/>
      <c r="C3969" s="5"/>
      <c r="D3969" s="5"/>
      <c r="E3969" s="5"/>
      <c r="F3969" s="5"/>
      <c r="G3969" s="5"/>
      <c r="H3969" s="5"/>
    </row>
    <row r="3970" spans="1:8" x14ac:dyDescent="0.25">
      <c r="A3970" s="4"/>
      <c r="B3970" s="5"/>
      <c r="C3970" s="5"/>
      <c r="D3970" s="5"/>
      <c r="E3970" s="5"/>
      <c r="F3970" s="5"/>
      <c r="G3970" s="5"/>
      <c r="H3970" s="5"/>
    </row>
    <row r="3971" spans="1:8" x14ac:dyDescent="0.25">
      <c r="A3971" s="4"/>
      <c r="B3971" s="5"/>
      <c r="C3971" s="5"/>
      <c r="D3971" s="5"/>
      <c r="E3971" s="5"/>
      <c r="F3971" s="5"/>
      <c r="G3971" s="5"/>
      <c r="H3971" s="5"/>
    </row>
    <row r="3972" spans="1:8" x14ac:dyDescent="0.25">
      <c r="A3972" s="4"/>
      <c r="B3972" s="5"/>
      <c r="C3972" s="5"/>
      <c r="D3972" s="5"/>
      <c r="E3972" s="5"/>
      <c r="F3972" s="5"/>
      <c r="G3972" s="5"/>
      <c r="H3972" s="5"/>
    </row>
    <row r="3973" spans="1:8" x14ac:dyDescent="0.25">
      <c r="A3973" s="4"/>
      <c r="B3973" s="5"/>
      <c r="C3973" s="5"/>
      <c r="D3973" s="5"/>
      <c r="E3973" s="5"/>
      <c r="F3973" s="5"/>
      <c r="G3973" s="5"/>
      <c r="H3973" s="5"/>
    </row>
    <row r="3974" spans="1:8" x14ac:dyDescent="0.25">
      <c r="A3974" s="4"/>
      <c r="B3974" s="5"/>
      <c r="C3974" s="5"/>
      <c r="D3974" s="5"/>
      <c r="E3974" s="5"/>
      <c r="F3974" s="5"/>
      <c r="G3974" s="5"/>
      <c r="H3974" s="5"/>
    </row>
    <row r="3975" spans="1:8" x14ac:dyDescent="0.25">
      <c r="A3975" s="4"/>
      <c r="B3975" s="5"/>
      <c r="C3975" s="5"/>
      <c r="D3975" s="5"/>
      <c r="E3975" s="5"/>
      <c r="F3975" s="5"/>
      <c r="G3975" s="5"/>
      <c r="H3975" s="5"/>
    </row>
    <row r="3976" spans="1:8" x14ac:dyDescent="0.25">
      <c r="A3976" s="4"/>
      <c r="B3976" s="5"/>
      <c r="C3976" s="5"/>
      <c r="D3976" s="5"/>
      <c r="E3976" s="5"/>
      <c r="F3976" s="5"/>
      <c r="G3976" s="5"/>
      <c r="H3976" s="5"/>
    </row>
    <row r="3977" spans="1:8" x14ac:dyDescent="0.25">
      <c r="A3977" s="4"/>
      <c r="B3977" s="5"/>
      <c r="C3977" s="5"/>
      <c r="D3977" s="5"/>
      <c r="E3977" s="5"/>
      <c r="F3977" s="5"/>
      <c r="G3977" s="5"/>
      <c r="H3977" s="5"/>
    </row>
    <row r="3978" spans="1:8" x14ac:dyDescent="0.25">
      <c r="A3978" s="4"/>
      <c r="B3978" s="5"/>
      <c r="C3978" s="5"/>
      <c r="D3978" s="5"/>
      <c r="E3978" s="5"/>
      <c r="F3978" s="5"/>
      <c r="G3978" s="5"/>
      <c r="H3978" s="5"/>
    </row>
    <row r="3979" spans="1:8" x14ac:dyDescent="0.25">
      <c r="A3979" s="4"/>
      <c r="B3979" s="5"/>
      <c r="C3979" s="5"/>
      <c r="D3979" s="5"/>
      <c r="E3979" s="5"/>
      <c r="F3979" s="5"/>
      <c r="G3979" s="5"/>
      <c r="H3979" s="5"/>
    </row>
    <row r="3980" spans="1:8" x14ac:dyDescent="0.25">
      <c r="A3980" s="4"/>
      <c r="B3980" s="5"/>
      <c r="C3980" s="5"/>
      <c r="D3980" s="5"/>
      <c r="E3980" s="5"/>
      <c r="F3980" s="5"/>
      <c r="G3980" s="5"/>
      <c r="H3980" s="5"/>
    </row>
    <row r="3981" spans="1:8" x14ac:dyDescent="0.25">
      <c r="A3981" s="4"/>
      <c r="B3981" s="5"/>
      <c r="C3981" s="5"/>
      <c r="D3981" s="5"/>
      <c r="E3981" s="5"/>
      <c r="F3981" s="5"/>
      <c r="G3981" s="5"/>
      <c r="H3981" s="5"/>
    </row>
    <row r="3982" spans="1:8" x14ac:dyDescent="0.25">
      <c r="A3982" s="4"/>
      <c r="B3982" s="5"/>
      <c r="C3982" s="5"/>
      <c r="D3982" s="5"/>
      <c r="E3982" s="5"/>
      <c r="F3982" s="5"/>
      <c r="G3982" s="5"/>
      <c r="H3982" s="5"/>
    </row>
    <row r="3983" spans="1:8" x14ac:dyDescent="0.25">
      <c r="A3983" s="4"/>
      <c r="B3983" s="5"/>
      <c r="C3983" s="5"/>
      <c r="D3983" s="5"/>
      <c r="E3983" s="5"/>
      <c r="F3983" s="5"/>
      <c r="G3983" s="5"/>
      <c r="H3983" s="5"/>
    </row>
    <row r="3984" spans="1:8" x14ac:dyDescent="0.25">
      <c r="A3984" s="4"/>
      <c r="B3984" s="5"/>
      <c r="C3984" s="5"/>
      <c r="D3984" s="5"/>
      <c r="E3984" s="5"/>
      <c r="F3984" s="5"/>
      <c r="G3984" s="5"/>
      <c r="H3984" s="5"/>
    </row>
    <row r="3985" spans="1:8" x14ac:dyDescent="0.25">
      <c r="A3985" s="4"/>
      <c r="B3985" s="5"/>
      <c r="C3985" s="5"/>
      <c r="D3985" s="5"/>
      <c r="E3985" s="5"/>
      <c r="F3985" s="5"/>
      <c r="G3985" s="5"/>
      <c r="H3985" s="5"/>
    </row>
    <row r="3986" spans="1:8" x14ac:dyDescent="0.25">
      <c r="A3986" s="4"/>
      <c r="B3986" s="5"/>
      <c r="C3986" s="5"/>
      <c r="D3986" s="5"/>
      <c r="E3986" s="5"/>
      <c r="F3986" s="5"/>
      <c r="G3986" s="5"/>
      <c r="H3986" s="5"/>
    </row>
    <row r="3987" spans="1:8" x14ac:dyDescent="0.25">
      <c r="A3987" s="4"/>
      <c r="B3987" s="5"/>
      <c r="C3987" s="5"/>
      <c r="D3987" s="5"/>
      <c r="E3987" s="5"/>
      <c r="F3987" s="5"/>
      <c r="G3987" s="5"/>
      <c r="H3987" s="5"/>
    </row>
    <row r="3988" spans="1:8" x14ac:dyDescent="0.25">
      <c r="A3988" s="4"/>
      <c r="B3988" s="5"/>
      <c r="C3988" s="5"/>
      <c r="D3988" s="5"/>
      <c r="E3988" s="5"/>
      <c r="F3988" s="5"/>
      <c r="G3988" s="5"/>
      <c r="H3988" s="5"/>
    </row>
    <row r="3989" spans="1:8" x14ac:dyDescent="0.25">
      <c r="A3989" s="4"/>
      <c r="B3989" s="5"/>
      <c r="C3989" s="5"/>
      <c r="D3989" s="5"/>
      <c r="E3989" s="5"/>
      <c r="F3989" s="5"/>
      <c r="G3989" s="5"/>
      <c r="H3989" s="5"/>
    </row>
    <row r="3990" spans="1:8" x14ac:dyDescent="0.25">
      <c r="A3990" s="4"/>
      <c r="B3990" s="5"/>
      <c r="C3990" s="5"/>
      <c r="D3990" s="5"/>
      <c r="E3990" s="5"/>
      <c r="F3990" s="5"/>
      <c r="G3990" s="5"/>
      <c r="H3990" s="5"/>
    </row>
    <row r="3991" spans="1:8" x14ac:dyDescent="0.25">
      <c r="A3991" s="4"/>
      <c r="B3991" s="5"/>
      <c r="C3991" s="5"/>
      <c r="D3991" s="5"/>
      <c r="E3991" s="5"/>
      <c r="F3991" s="5"/>
      <c r="G3991" s="5"/>
      <c r="H3991" s="5"/>
    </row>
    <row r="3992" spans="1:8" x14ac:dyDescent="0.25">
      <c r="A3992" s="4"/>
      <c r="B3992" s="5"/>
      <c r="C3992" s="5"/>
      <c r="D3992" s="5"/>
      <c r="E3992" s="5"/>
      <c r="F3992" s="5"/>
      <c r="G3992" s="5"/>
      <c r="H3992" s="5"/>
    </row>
    <row r="3993" spans="1:8" x14ac:dyDescent="0.25">
      <c r="A3993" s="4"/>
      <c r="B3993" s="5"/>
      <c r="C3993" s="5"/>
      <c r="D3993" s="5"/>
      <c r="E3993" s="5"/>
      <c r="F3993" s="5"/>
      <c r="G3993" s="5"/>
      <c r="H3993" s="5"/>
    </row>
    <row r="3994" spans="1:8" x14ac:dyDescent="0.25">
      <c r="A3994" s="4"/>
      <c r="B3994" s="5"/>
      <c r="C3994" s="5"/>
      <c r="D3994" s="5"/>
      <c r="E3994" s="5"/>
      <c r="F3994" s="5"/>
      <c r="G3994" s="5"/>
      <c r="H3994" s="5"/>
    </row>
    <row r="3995" spans="1:8" x14ac:dyDescent="0.25">
      <c r="A3995" s="4"/>
      <c r="B3995" s="5"/>
      <c r="C3995" s="5"/>
      <c r="D3995" s="5"/>
      <c r="E3995" s="5"/>
      <c r="F3995" s="5"/>
      <c r="G3995" s="5"/>
      <c r="H3995" s="5"/>
    </row>
    <row r="3996" spans="1:8" x14ac:dyDescent="0.25">
      <c r="A3996" s="4"/>
      <c r="B3996" s="5"/>
      <c r="C3996" s="5"/>
      <c r="D3996" s="5"/>
      <c r="E3996" s="5"/>
      <c r="F3996" s="5"/>
      <c r="G3996" s="5"/>
      <c r="H3996" s="5"/>
    </row>
    <row r="3997" spans="1:8" x14ac:dyDescent="0.25">
      <c r="A3997" s="4"/>
      <c r="B3997" s="5"/>
      <c r="C3997" s="5"/>
      <c r="D3997" s="5"/>
      <c r="E3997" s="5"/>
      <c r="F3997" s="5"/>
      <c r="G3997" s="5"/>
      <c r="H3997" s="5"/>
    </row>
    <row r="3998" spans="1:8" x14ac:dyDescent="0.25">
      <c r="A3998" s="4"/>
      <c r="B3998" s="5"/>
      <c r="C3998" s="5"/>
      <c r="D3998" s="5"/>
      <c r="E3998" s="5"/>
      <c r="F3998" s="5"/>
      <c r="G3998" s="5"/>
      <c r="H3998" s="5"/>
    </row>
    <row r="3999" spans="1:8" x14ac:dyDescent="0.25">
      <c r="A3999" s="4"/>
      <c r="B3999" s="5"/>
      <c r="C3999" s="5"/>
      <c r="D3999" s="5"/>
      <c r="E3999" s="5"/>
      <c r="F3999" s="5"/>
      <c r="G3999" s="5"/>
      <c r="H3999" s="5"/>
    </row>
    <row r="4000" spans="1:8" x14ac:dyDescent="0.25">
      <c r="A4000" s="4"/>
      <c r="B4000" s="5"/>
      <c r="C4000" s="5"/>
      <c r="D4000" s="5"/>
      <c r="E4000" s="5"/>
      <c r="F4000" s="5"/>
      <c r="G4000" s="5"/>
      <c r="H4000" s="5"/>
    </row>
    <row r="4001" spans="1:8" x14ac:dyDescent="0.25">
      <c r="A4001" s="4"/>
      <c r="B4001" s="5"/>
      <c r="C4001" s="5"/>
      <c r="D4001" s="5"/>
      <c r="E4001" s="5"/>
      <c r="F4001" s="5"/>
      <c r="G4001" s="5"/>
      <c r="H4001" s="5"/>
    </row>
    <row r="4002" spans="1:8" x14ac:dyDescent="0.25">
      <c r="A4002" s="4"/>
      <c r="B4002" s="5"/>
      <c r="C4002" s="5"/>
      <c r="D4002" s="5"/>
      <c r="E4002" s="5"/>
      <c r="F4002" s="5"/>
      <c r="G4002" s="5"/>
      <c r="H4002" s="5"/>
    </row>
    <row r="4003" spans="1:8" x14ac:dyDescent="0.25">
      <c r="A4003" s="4"/>
      <c r="B4003" s="5"/>
      <c r="C4003" s="5"/>
      <c r="D4003" s="5"/>
      <c r="E4003" s="5"/>
      <c r="F4003" s="5"/>
      <c r="G4003" s="5"/>
      <c r="H4003" s="5"/>
    </row>
    <row r="4004" spans="1:8" x14ac:dyDescent="0.25">
      <c r="A4004" s="4"/>
      <c r="B4004" s="5"/>
      <c r="C4004" s="5"/>
      <c r="D4004" s="5"/>
      <c r="E4004" s="5"/>
      <c r="F4004" s="5"/>
      <c r="G4004" s="5"/>
      <c r="H4004" s="5"/>
    </row>
    <row r="4005" spans="1:8" x14ac:dyDescent="0.25">
      <c r="A4005" s="4"/>
      <c r="B4005" s="5"/>
      <c r="C4005" s="5"/>
      <c r="D4005" s="5"/>
      <c r="E4005" s="5"/>
      <c r="F4005" s="5"/>
      <c r="G4005" s="5"/>
      <c r="H4005" s="5"/>
    </row>
    <row r="4006" spans="1:8" x14ac:dyDescent="0.25">
      <c r="A4006" s="4"/>
      <c r="B4006" s="5"/>
      <c r="C4006" s="5"/>
      <c r="D4006" s="5"/>
      <c r="E4006" s="5"/>
      <c r="F4006" s="5"/>
      <c r="G4006" s="5"/>
      <c r="H4006" s="5"/>
    </row>
    <row r="4007" spans="1:8" x14ac:dyDescent="0.25">
      <c r="A4007" s="4"/>
      <c r="B4007" s="5"/>
      <c r="C4007" s="5"/>
      <c r="D4007" s="5"/>
      <c r="E4007" s="5"/>
      <c r="F4007" s="5"/>
      <c r="G4007" s="5"/>
      <c r="H4007" s="5"/>
    </row>
    <row r="4008" spans="1:8" x14ac:dyDescent="0.25">
      <c r="A4008" s="4"/>
      <c r="B4008" s="5"/>
      <c r="C4008" s="5"/>
      <c r="D4008" s="5"/>
      <c r="E4008" s="5"/>
      <c r="F4008" s="5"/>
      <c r="G4008" s="5"/>
      <c r="H4008" s="5"/>
    </row>
    <row r="4009" spans="1:8" x14ac:dyDescent="0.25">
      <c r="A4009" s="4"/>
      <c r="B4009" s="5"/>
      <c r="C4009" s="5"/>
      <c r="D4009" s="5"/>
      <c r="E4009" s="5"/>
      <c r="F4009" s="5"/>
      <c r="G4009" s="5"/>
      <c r="H4009" s="5"/>
    </row>
    <row r="4010" spans="1:8" x14ac:dyDescent="0.25">
      <c r="A4010" s="4"/>
      <c r="B4010" s="5"/>
      <c r="C4010" s="5"/>
      <c r="D4010" s="5"/>
      <c r="E4010" s="5"/>
      <c r="F4010" s="5"/>
      <c r="G4010" s="5"/>
      <c r="H4010" s="5"/>
    </row>
    <row r="4011" spans="1:8" x14ac:dyDescent="0.25">
      <c r="A4011" s="4"/>
      <c r="B4011" s="5"/>
      <c r="C4011" s="5"/>
      <c r="D4011" s="5"/>
      <c r="E4011" s="5"/>
      <c r="F4011" s="5"/>
      <c r="G4011" s="5"/>
      <c r="H4011" s="5"/>
    </row>
    <row r="4012" spans="1:8" x14ac:dyDescent="0.25">
      <c r="A4012" s="4"/>
      <c r="B4012" s="5"/>
      <c r="C4012" s="5"/>
      <c r="D4012" s="5"/>
      <c r="E4012" s="5"/>
      <c r="F4012" s="5"/>
      <c r="G4012" s="5"/>
      <c r="H4012" s="5"/>
    </row>
    <row r="4013" spans="1:8" x14ac:dyDescent="0.25">
      <c r="A4013" s="4"/>
      <c r="B4013" s="5"/>
      <c r="C4013" s="5"/>
      <c r="D4013" s="5"/>
      <c r="E4013" s="5"/>
      <c r="F4013" s="5"/>
      <c r="G4013" s="5"/>
      <c r="H4013" s="5"/>
    </row>
    <row r="4014" spans="1:8" x14ac:dyDescent="0.25">
      <c r="A4014" s="4"/>
      <c r="B4014" s="5"/>
      <c r="C4014" s="5"/>
      <c r="D4014" s="5"/>
      <c r="E4014" s="5"/>
      <c r="F4014" s="5"/>
      <c r="G4014" s="5"/>
      <c r="H4014" s="5"/>
    </row>
    <row r="4015" spans="1:8" x14ac:dyDescent="0.25">
      <c r="A4015" s="4"/>
      <c r="B4015" s="5"/>
      <c r="C4015" s="5"/>
      <c r="D4015" s="5"/>
      <c r="E4015" s="5"/>
      <c r="F4015" s="5"/>
      <c r="G4015" s="5"/>
      <c r="H4015" s="5"/>
    </row>
    <row r="4016" spans="1:8" x14ac:dyDescent="0.25">
      <c r="A4016" s="4"/>
      <c r="B4016" s="5"/>
      <c r="C4016" s="5"/>
      <c r="D4016" s="5"/>
      <c r="E4016" s="5"/>
      <c r="F4016" s="5"/>
      <c r="G4016" s="5"/>
      <c r="H4016" s="5"/>
    </row>
    <row r="4017" spans="1:8" x14ac:dyDescent="0.25">
      <c r="A4017" s="4"/>
      <c r="B4017" s="5"/>
      <c r="C4017" s="5"/>
      <c r="D4017" s="5"/>
      <c r="E4017" s="5"/>
      <c r="F4017" s="5"/>
      <c r="G4017" s="5"/>
      <c r="H4017" s="5"/>
    </row>
    <row r="4018" spans="1:8" x14ac:dyDescent="0.25">
      <c r="A4018" s="4"/>
      <c r="B4018" s="5"/>
      <c r="C4018" s="5"/>
      <c r="D4018" s="5"/>
      <c r="E4018" s="5"/>
      <c r="F4018" s="5"/>
      <c r="G4018" s="5"/>
      <c r="H4018" s="5"/>
    </row>
    <row r="4019" spans="1:8" x14ac:dyDescent="0.25">
      <c r="A4019" s="4"/>
      <c r="B4019" s="5"/>
      <c r="C4019" s="5"/>
      <c r="D4019" s="5"/>
      <c r="E4019" s="5"/>
      <c r="F4019" s="5"/>
      <c r="G4019" s="5"/>
      <c r="H4019" s="5"/>
    </row>
    <row r="4020" spans="1:8" x14ac:dyDescent="0.25">
      <c r="A4020" s="4"/>
      <c r="B4020" s="5"/>
      <c r="C4020" s="5"/>
      <c r="D4020" s="5"/>
      <c r="E4020" s="5"/>
      <c r="F4020" s="5"/>
      <c r="G4020" s="5"/>
      <c r="H4020" s="5"/>
    </row>
    <row r="4021" spans="1:8" x14ac:dyDescent="0.25">
      <c r="A4021" s="4"/>
      <c r="B4021" s="5"/>
      <c r="C4021" s="5"/>
      <c r="D4021" s="5"/>
      <c r="E4021" s="5"/>
      <c r="F4021" s="5"/>
      <c r="G4021" s="5"/>
      <c r="H4021" s="5"/>
    </row>
    <row r="4022" spans="1:8" x14ac:dyDescent="0.25">
      <c r="A4022" s="4"/>
      <c r="B4022" s="5"/>
      <c r="C4022" s="5"/>
      <c r="D4022" s="5"/>
      <c r="E4022" s="5"/>
      <c r="F4022" s="5"/>
      <c r="G4022" s="5"/>
      <c r="H4022" s="5"/>
    </row>
    <row r="4023" spans="1:8" x14ac:dyDescent="0.25">
      <c r="A4023" s="4"/>
      <c r="B4023" s="5"/>
      <c r="C4023" s="5"/>
      <c r="D4023" s="5"/>
      <c r="E4023" s="5"/>
      <c r="F4023" s="5"/>
      <c r="G4023" s="5"/>
      <c r="H4023" s="5"/>
    </row>
    <row r="4024" spans="1:8" x14ac:dyDescent="0.25">
      <c r="A4024" s="4"/>
      <c r="B4024" s="5"/>
      <c r="C4024" s="5"/>
      <c r="D4024" s="5"/>
      <c r="E4024" s="5"/>
      <c r="F4024" s="5"/>
      <c r="G4024" s="5"/>
      <c r="H4024" s="5"/>
    </row>
    <row r="4025" spans="1:8" x14ac:dyDescent="0.25">
      <c r="A4025" s="4"/>
      <c r="B4025" s="5"/>
      <c r="C4025" s="5"/>
      <c r="D4025" s="5"/>
      <c r="E4025" s="5"/>
      <c r="F4025" s="5"/>
      <c r="G4025" s="5"/>
      <c r="H4025" s="5"/>
    </row>
    <row r="4026" spans="1:8" x14ac:dyDescent="0.25">
      <c r="A4026" s="4"/>
      <c r="B4026" s="5"/>
      <c r="C4026" s="5"/>
      <c r="D4026" s="5"/>
      <c r="E4026" s="5"/>
      <c r="F4026" s="5"/>
      <c r="G4026" s="5"/>
      <c r="H4026" s="5"/>
    </row>
    <row r="4027" spans="1:8" x14ac:dyDescent="0.25">
      <c r="A4027" s="4"/>
      <c r="B4027" s="5"/>
      <c r="C4027" s="5"/>
      <c r="D4027" s="5"/>
      <c r="E4027" s="5"/>
      <c r="F4027" s="5"/>
      <c r="G4027" s="5"/>
      <c r="H4027" s="5"/>
    </row>
    <row r="4028" spans="1:8" x14ac:dyDescent="0.25">
      <c r="A4028" s="4"/>
      <c r="B4028" s="5"/>
      <c r="C4028" s="5"/>
      <c r="D4028" s="5"/>
      <c r="E4028" s="5"/>
      <c r="F4028" s="5"/>
      <c r="G4028" s="5"/>
      <c r="H4028" s="5"/>
    </row>
    <row r="4029" spans="1:8" x14ac:dyDescent="0.25">
      <c r="A4029" s="4"/>
      <c r="B4029" s="5"/>
      <c r="C4029" s="5"/>
      <c r="D4029" s="5"/>
      <c r="E4029" s="5"/>
      <c r="F4029" s="5"/>
      <c r="G4029" s="5"/>
      <c r="H4029" s="5"/>
    </row>
    <row r="4030" spans="1:8" x14ac:dyDescent="0.25">
      <c r="A4030" s="4"/>
      <c r="B4030" s="5"/>
      <c r="C4030" s="5"/>
      <c r="D4030" s="5"/>
      <c r="E4030" s="5"/>
      <c r="F4030" s="5"/>
      <c r="G4030" s="5"/>
      <c r="H4030" s="5"/>
    </row>
    <row r="4031" spans="1:8" x14ac:dyDescent="0.25">
      <c r="A4031" s="4"/>
      <c r="B4031" s="5"/>
      <c r="C4031" s="5"/>
      <c r="D4031" s="5"/>
      <c r="E4031" s="5"/>
      <c r="F4031" s="5"/>
      <c r="G4031" s="5"/>
      <c r="H4031" s="5"/>
    </row>
    <row r="4032" spans="1:8" x14ac:dyDescent="0.25">
      <c r="A4032" s="4"/>
      <c r="B4032" s="5"/>
      <c r="C4032" s="5"/>
      <c r="D4032" s="5"/>
      <c r="E4032" s="5"/>
      <c r="F4032" s="5"/>
      <c r="G4032" s="5"/>
      <c r="H4032" s="5"/>
    </row>
    <row r="4033" spans="1:8" x14ac:dyDescent="0.25">
      <c r="A4033" s="4"/>
      <c r="B4033" s="5"/>
      <c r="C4033" s="5"/>
      <c r="D4033" s="5"/>
      <c r="E4033" s="5"/>
      <c r="F4033" s="5"/>
      <c r="G4033" s="5"/>
      <c r="H4033" s="5"/>
    </row>
    <row r="4034" spans="1:8" x14ac:dyDescent="0.25">
      <c r="A4034" s="4"/>
      <c r="B4034" s="5"/>
      <c r="C4034" s="5"/>
      <c r="D4034" s="5"/>
      <c r="E4034" s="5"/>
      <c r="F4034" s="5"/>
      <c r="G4034" s="5"/>
      <c r="H4034" s="5"/>
    </row>
    <row r="4035" spans="1:8" x14ac:dyDescent="0.25">
      <c r="A4035" s="4"/>
      <c r="B4035" s="5"/>
      <c r="C4035" s="5"/>
      <c r="D4035" s="5"/>
      <c r="E4035" s="5"/>
      <c r="F4035" s="5"/>
      <c r="G4035" s="5"/>
      <c r="H4035" s="5"/>
    </row>
    <row r="4036" spans="1:8" x14ac:dyDescent="0.25">
      <c r="A4036" s="4"/>
      <c r="B4036" s="5"/>
      <c r="C4036" s="5"/>
      <c r="D4036" s="5"/>
      <c r="E4036" s="5"/>
      <c r="F4036" s="5"/>
      <c r="G4036" s="5"/>
      <c r="H4036" s="5"/>
    </row>
    <row r="4037" spans="1:8" x14ac:dyDescent="0.25">
      <c r="A4037" s="4"/>
      <c r="B4037" s="5"/>
      <c r="C4037" s="5"/>
      <c r="D4037" s="5"/>
      <c r="E4037" s="5"/>
      <c r="F4037" s="5"/>
      <c r="G4037" s="5"/>
      <c r="H4037" s="5"/>
    </row>
    <row r="4038" spans="1:8" x14ac:dyDescent="0.25">
      <c r="A4038" s="4"/>
      <c r="B4038" s="5"/>
      <c r="C4038" s="5"/>
      <c r="D4038" s="5"/>
      <c r="E4038" s="5"/>
      <c r="F4038" s="5"/>
      <c r="G4038" s="5"/>
      <c r="H4038" s="5"/>
    </row>
    <row r="4039" spans="1:8" x14ac:dyDescent="0.25">
      <c r="A4039" s="4"/>
      <c r="B4039" s="5"/>
      <c r="C4039" s="5"/>
      <c r="D4039" s="5"/>
      <c r="E4039" s="5"/>
      <c r="F4039" s="5"/>
      <c r="G4039" s="5"/>
      <c r="H4039" s="5"/>
    </row>
    <row r="4040" spans="1:8" x14ac:dyDescent="0.25">
      <c r="A4040" s="4"/>
      <c r="B4040" s="5"/>
      <c r="C4040" s="5"/>
      <c r="D4040" s="5"/>
      <c r="E4040" s="5"/>
      <c r="F4040" s="5"/>
      <c r="G4040" s="5"/>
      <c r="H4040" s="5"/>
    </row>
    <row r="4041" spans="1:8" x14ac:dyDescent="0.25">
      <c r="A4041" s="4"/>
      <c r="B4041" s="5"/>
      <c r="C4041" s="5"/>
      <c r="D4041" s="5"/>
      <c r="E4041" s="5"/>
      <c r="F4041" s="5"/>
      <c r="G4041" s="5"/>
      <c r="H4041" s="5"/>
    </row>
    <row r="4042" spans="1:8" x14ac:dyDescent="0.25">
      <c r="A4042" s="4"/>
      <c r="B4042" s="5"/>
      <c r="C4042" s="5"/>
      <c r="D4042" s="5"/>
      <c r="E4042" s="5"/>
      <c r="F4042" s="5"/>
      <c r="G4042" s="5"/>
      <c r="H4042" s="5"/>
    </row>
    <row r="4043" spans="1:8" x14ac:dyDescent="0.25">
      <c r="A4043" s="4"/>
      <c r="B4043" s="5"/>
      <c r="C4043" s="5"/>
      <c r="D4043" s="5"/>
      <c r="E4043" s="5"/>
      <c r="F4043" s="5"/>
      <c r="G4043" s="5"/>
      <c r="H4043" s="5"/>
    </row>
    <row r="4044" spans="1:8" x14ac:dyDescent="0.25">
      <c r="A4044" s="4"/>
      <c r="B4044" s="5"/>
      <c r="C4044" s="5"/>
      <c r="D4044" s="5"/>
      <c r="E4044" s="5"/>
      <c r="F4044" s="5"/>
      <c r="G4044" s="5"/>
      <c r="H4044" s="5"/>
    </row>
    <row r="4045" spans="1:8" x14ac:dyDescent="0.25">
      <c r="A4045" s="4"/>
      <c r="B4045" s="5"/>
      <c r="C4045" s="5"/>
      <c r="D4045" s="5"/>
      <c r="E4045" s="5"/>
      <c r="F4045" s="5"/>
      <c r="G4045" s="5"/>
      <c r="H4045" s="5"/>
    </row>
    <row r="4046" spans="1:8" x14ac:dyDescent="0.25">
      <c r="A4046" s="4"/>
      <c r="B4046" s="5"/>
      <c r="C4046" s="5"/>
      <c r="D4046" s="5"/>
      <c r="E4046" s="5"/>
      <c r="F4046" s="5"/>
      <c r="G4046" s="5"/>
      <c r="H4046" s="5"/>
    </row>
    <row r="4047" spans="1:8" x14ac:dyDescent="0.25">
      <c r="A4047" s="4"/>
      <c r="B4047" s="5"/>
      <c r="C4047" s="5"/>
      <c r="D4047" s="5"/>
      <c r="E4047" s="5"/>
      <c r="F4047" s="5"/>
      <c r="G4047" s="5"/>
      <c r="H4047" s="5"/>
    </row>
    <row r="4048" spans="1:8" x14ac:dyDescent="0.25">
      <c r="A4048" s="4"/>
      <c r="B4048" s="5"/>
      <c r="C4048" s="5"/>
      <c r="D4048" s="5"/>
      <c r="E4048" s="5"/>
      <c r="F4048" s="5"/>
      <c r="G4048" s="5"/>
      <c r="H4048" s="5"/>
    </row>
    <row r="4049" spans="1:8" x14ac:dyDescent="0.25">
      <c r="A4049" s="4"/>
      <c r="B4049" s="5"/>
      <c r="C4049" s="5"/>
      <c r="D4049" s="5"/>
      <c r="E4049" s="5"/>
      <c r="F4049" s="5"/>
      <c r="G4049" s="5"/>
      <c r="H4049" s="5"/>
    </row>
    <row r="4050" spans="1:8" x14ac:dyDescent="0.25">
      <c r="A4050" s="4"/>
      <c r="B4050" s="5"/>
      <c r="C4050" s="5"/>
      <c r="D4050" s="5"/>
      <c r="E4050" s="5"/>
      <c r="F4050" s="5"/>
      <c r="G4050" s="5"/>
      <c r="H4050" s="5"/>
    </row>
    <row r="4051" spans="1:8" x14ac:dyDescent="0.25">
      <c r="A4051" s="4"/>
      <c r="B4051" s="5"/>
      <c r="C4051" s="5"/>
      <c r="D4051" s="5"/>
      <c r="E4051" s="5"/>
      <c r="F4051" s="5"/>
      <c r="G4051" s="5"/>
      <c r="H4051" s="5"/>
    </row>
    <row r="4052" spans="1:8" x14ac:dyDescent="0.25">
      <c r="A4052" s="4"/>
      <c r="B4052" s="5"/>
      <c r="C4052" s="5"/>
      <c r="D4052" s="5"/>
      <c r="E4052" s="5"/>
      <c r="F4052" s="5"/>
      <c r="G4052" s="5"/>
      <c r="H4052" s="5"/>
    </row>
    <row r="4053" spans="1:8" x14ac:dyDescent="0.25">
      <c r="A4053" s="4"/>
      <c r="B4053" s="5"/>
      <c r="C4053" s="5"/>
      <c r="D4053" s="5"/>
      <c r="E4053" s="5"/>
      <c r="F4053" s="5"/>
      <c r="G4053" s="5"/>
      <c r="H4053" s="5"/>
    </row>
    <row r="4054" spans="1:8" x14ac:dyDescent="0.25">
      <c r="A4054" s="4"/>
      <c r="B4054" s="5"/>
      <c r="C4054" s="5"/>
      <c r="D4054" s="5"/>
      <c r="E4054" s="5"/>
      <c r="F4054" s="5"/>
      <c r="G4054" s="5"/>
      <c r="H4054" s="5"/>
    </row>
    <row r="4055" spans="1:8" x14ac:dyDescent="0.25">
      <c r="A4055" s="4"/>
      <c r="B4055" s="5"/>
      <c r="C4055" s="5"/>
      <c r="D4055" s="5"/>
      <c r="E4055" s="5"/>
      <c r="F4055" s="5"/>
      <c r="G4055" s="5"/>
      <c r="H4055" s="5"/>
    </row>
    <row r="4056" spans="1:8" x14ac:dyDescent="0.25">
      <c r="A4056" s="4"/>
      <c r="B4056" s="5"/>
      <c r="C4056" s="5"/>
      <c r="D4056" s="5"/>
      <c r="E4056" s="5"/>
      <c r="F4056" s="5"/>
      <c r="G4056" s="5"/>
      <c r="H4056" s="5"/>
    </row>
    <row r="4057" spans="1:8" x14ac:dyDescent="0.25">
      <c r="A4057" s="4"/>
      <c r="B4057" s="5"/>
      <c r="C4057" s="5"/>
      <c r="D4057" s="5"/>
      <c r="E4057" s="5"/>
      <c r="F4057" s="5"/>
      <c r="G4057" s="5"/>
      <c r="H4057" s="5"/>
    </row>
    <row r="4058" spans="1:8" x14ac:dyDescent="0.25">
      <c r="A4058" s="4"/>
      <c r="B4058" s="5"/>
      <c r="C4058" s="5"/>
      <c r="D4058" s="5"/>
      <c r="E4058" s="5"/>
      <c r="F4058" s="5"/>
      <c r="G4058" s="5"/>
      <c r="H4058" s="5"/>
    </row>
    <row r="4059" spans="1:8" x14ac:dyDescent="0.25">
      <c r="A4059" s="4"/>
      <c r="B4059" s="5"/>
      <c r="C4059" s="5"/>
      <c r="D4059" s="5"/>
      <c r="E4059" s="5"/>
      <c r="F4059" s="5"/>
      <c r="G4059" s="5"/>
      <c r="H4059" s="5"/>
    </row>
    <row r="4060" spans="1:8" x14ac:dyDescent="0.25">
      <c r="A4060" s="4"/>
      <c r="B4060" s="5"/>
      <c r="C4060" s="5"/>
      <c r="D4060" s="5"/>
      <c r="E4060" s="5"/>
      <c r="F4060" s="5"/>
      <c r="G4060" s="5"/>
      <c r="H4060" s="5"/>
    </row>
    <row r="4061" spans="1:8" x14ac:dyDescent="0.25">
      <c r="A4061" s="4"/>
      <c r="B4061" s="5"/>
      <c r="C4061" s="5"/>
      <c r="D4061" s="5"/>
      <c r="E4061" s="5"/>
      <c r="F4061" s="5"/>
      <c r="G4061" s="5"/>
      <c r="H4061" s="5"/>
    </row>
    <row r="4062" spans="1:8" x14ac:dyDescent="0.25">
      <c r="A4062" s="4"/>
      <c r="B4062" s="5"/>
      <c r="C4062" s="5"/>
      <c r="D4062" s="5"/>
      <c r="E4062" s="5"/>
      <c r="F4062" s="5"/>
      <c r="G4062" s="5"/>
      <c r="H4062" s="5"/>
    </row>
    <row r="4063" spans="1:8" x14ac:dyDescent="0.25">
      <c r="A4063" s="4"/>
      <c r="B4063" s="5"/>
      <c r="C4063" s="5"/>
      <c r="D4063" s="5"/>
      <c r="E4063" s="5"/>
      <c r="F4063" s="5"/>
      <c r="G4063" s="5"/>
      <c r="H4063" s="5"/>
    </row>
    <row r="4064" spans="1:8" x14ac:dyDescent="0.25">
      <c r="A4064" s="4"/>
      <c r="B4064" s="5"/>
      <c r="C4064" s="5"/>
      <c r="D4064" s="5"/>
      <c r="E4064" s="5"/>
      <c r="F4064" s="5"/>
      <c r="G4064" s="5"/>
      <c r="H4064" s="5"/>
    </row>
    <row r="4065" spans="1:8" x14ac:dyDescent="0.25">
      <c r="A4065" s="4"/>
      <c r="B4065" s="5"/>
      <c r="C4065" s="5"/>
      <c r="D4065" s="5"/>
      <c r="E4065" s="5"/>
      <c r="F4065" s="5"/>
      <c r="G4065" s="5"/>
      <c r="H4065" s="5"/>
    </row>
    <row r="4066" spans="1:8" x14ac:dyDescent="0.25">
      <c r="A4066" s="4"/>
      <c r="B4066" s="5"/>
      <c r="C4066" s="5"/>
      <c r="D4066" s="5"/>
      <c r="E4066" s="5"/>
      <c r="F4066" s="5"/>
      <c r="G4066" s="5"/>
      <c r="H4066" s="5"/>
    </row>
    <row r="4067" spans="1:8" x14ac:dyDescent="0.25">
      <c r="A4067" s="4"/>
      <c r="B4067" s="5"/>
      <c r="C4067" s="5"/>
      <c r="D4067" s="5"/>
      <c r="E4067" s="5"/>
      <c r="F4067" s="5"/>
      <c r="G4067" s="5"/>
      <c r="H4067" s="5"/>
    </row>
    <row r="4068" spans="1:8" x14ac:dyDescent="0.25">
      <c r="A4068" s="4"/>
      <c r="B4068" s="5"/>
      <c r="C4068" s="5"/>
      <c r="D4068" s="5"/>
      <c r="E4068" s="5"/>
      <c r="F4068" s="5"/>
      <c r="G4068" s="5"/>
      <c r="H4068" s="5"/>
    </row>
    <row r="4069" spans="1:8" x14ac:dyDescent="0.25">
      <c r="A4069" s="4"/>
      <c r="B4069" s="5"/>
      <c r="C4069" s="5"/>
      <c r="D4069" s="5"/>
      <c r="E4069" s="5"/>
      <c r="F4069" s="5"/>
      <c r="G4069" s="5"/>
      <c r="H4069" s="5"/>
    </row>
    <row r="4070" spans="1:8" x14ac:dyDescent="0.25">
      <c r="A4070" s="4"/>
      <c r="B4070" s="5"/>
      <c r="C4070" s="5"/>
      <c r="D4070" s="5"/>
      <c r="E4070" s="5"/>
      <c r="F4070" s="5"/>
      <c r="G4070" s="5"/>
      <c r="H4070" s="5"/>
    </row>
    <row r="4071" spans="1:8" x14ac:dyDescent="0.25">
      <c r="A4071" s="4"/>
      <c r="B4071" s="5"/>
      <c r="C4071" s="5"/>
      <c r="D4071" s="5"/>
      <c r="E4071" s="5"/>
      <c r="F4071" s="5"/>
      <c r="G4071" s="5"/>
      <c r="H4071" s="5"/>
    </row>
    <row r="4072" spans="1:8" x14ac:dyDescent="0.25">
      <c r="A4072" s="4"/>
      <c r="B4072" s="5"/>
      <c r="C4072" s="5"/>
      <c r="D4072" s="5"/>
      <c r="E4072" s="5"/>
      <c r="F4072" s="5"/>
      <c r="G4072" s="5"/>
      <c r="H4072" s="5"/>
    </row>
    <row r="4073" spans="1:8" x14ac:dyDescent="0.25">
      <c r="A4073" s="4"/>
      <c r="B4073" s="5"/>
      <c r="C4073" s="5"/>
      <c r="D4073" s="5"/>
      <c r="E4073" s="5"/>
      <c r="F4073" s="5"/>
      <c r="G4073" s="5"/>
      <c r="H4073" s="5"/>
    </row>
    <row r="4074" spans="1:8" x14ac:dyDescent="0.25">
      <c r="A4074" s="4"/>
      <c r="B4074" s="5"/>
      <c r="C4074" s="5"/>
      <c r="D4074" s="5"/>
      <c r="E4074" s="5"/>
      <c r="F4074" s="5"/>
      <c r="G4074" s="5"/>
      <c r="H4074" s="5"/>
    </row>
    <row r="4075" spans="1:8" x14ac:dyDescent="0.25">
      <c r="A4075" s="4"/>
      <c r="B4075" s="5"/>
      <c r="C4075" s="5"/>
      <c r="D4075" s="5"/>
      <c r="E4075" s="5"/>
      <c r="F4075" s="5"/>
      <c r="G4075" s="5"/>
      <c r="H4075" s="5"/>
    </row>
    <row r="4076" spans="1:8" x14ac:dyDescent="0.25">
      <c r="A4076" s="4"/>
      <c r="B4076" s="5"/>
      <c r="C4076" s="5"/>
      <c r="D4076" s="5"/>
      <c r="E4076" s="5"/>
      <c r="F4076" s="5"/>
      <c r="G4076" s="5"/>
      <c r="H4076" s="5"/>
    </row>
    <row r="4077" spans="1:8" x14ac:dyDescent="0.25">
      <c r="A4077" s="4"/>
      <c r="B4077" s="5"/>
      <c r="C4077" s="5"/>
      <c r="D4077" s="5"/>
      <c r="E4077" s="5"/>
      <c r="F4077" s="5"/>
      <c r="G4077" s="5"/>
      <c r="H4077" s="5"/>
    </row>
    <row r="4078" spans="1:8" x14ac:dyDescent="0.25">
      <c r="A4078" s="4"/>
      <c r="B4078" s="5"/>
      <c r="C4078" s="5"/>
      <c r="D4078" s="5"/>
      <c r="E4078" s="5"/>
      <c r="F4078" s="5"/>
      <c r="G4078" s="5"/>
      <c r="H4078" s="5"/>
    </row>
    <row r="4079" spans="1:8" x14ac:dyDescent="0.25">
      <c r="A4079" s="4"/>
      <c r="B4079" s="5"/>
      <c r="C4079" s="5"/>
      <c r="D4079" s="5"/>
      <c r="E4079" s="5"/>
      <c r="F4079" s="5"/>
      <c r="G4079" s="5"/>
      <c r="H4079" s="5"/>
    </row>
    <row r="4080" spans="1:8" x14ac:dyDescent="0.25">
      <c r="A4080" s="4"/>
      <c r="B4080" s="5"/>
      <c r="C4080" s="5"/>
      <c r="D4080" s="5"/>
      <c r="E4080" s="5"/>
      <c r="F4080" s="5"/>
      <c r="G4080" s="5"/>
      <c r="H4080" s="5"/>
    </row>
    <row r="4081" spans="1:8" x14ac:dyDescent="0.25">
      <c r="A4081" s="4"/>
      <c r="B4081" s="5"/>
      <c r="C4081" s="5"/>
      <c r="D4081" s="5"/>
      <c r="E4081" s="5"/>
      <c r="F4081" s="5"/>
      <c r="G4081" s="5"/>
      <c r="H4081" s="5"/>
    </row>
    <row r="4082" spans="1:8" x14ac:dyDescent="0.25">
      <c r="A4082" s="4"/>
      <c r="B4082" s="5"/>
      <c r="C4082" s="5"/>
      <c r="D4082" s="5"/>
      <c r="E4082" s="5"/>
      <c r="F4082" s="5"/>
      <c r="G4082" s="5"/>
      <c r="H4082" s="5"/>
    </row>
    <row r="4083" spans="1:8" x14ac:dyDescent="0.25">
      <c r="A4083" s="4"/>
      <c r="B4083" s="5"/>
      <c r="C4083" s="5"/>
      <c r="D4083" s="5"/>
      <c r="E4083" s="5"/>
      <c r="F4083" s="5"/>
      <c r="G4083" s="5"/>
      <c r="H4083" s="5"/>
    </row>
    <row r="4084" spans="1:8" x14ac:dyDescent="0.25">
      <c r="A4084" s="4"/>
      <c r="B4084" s="5"/>
      <c r="C4084" s="5"/>
      <c r="D4084" s="5"/>
      <c r="E4084" s="5"/>
      <c r="F4084" s="5"/>
      <c r="G4084" s="5"/>
      <c r="H4084" s="5"/>
    </row>
    <row r="4085" spans="1:8" x14ac:dyDescent="0.25">
      <c r="A4085" s="4"/>
      <c r="B4085" s="5"/>
      <c r="C4085" s="5"/>
      <c r="D4085" s="5"/>
      <c r="E4085" s="5"/>
      <c r="F4085" s="5"/>
      <c r="G4085" s="5"/>
      <c r="H4085" s="5"/>
    </row>
    <row r="4086" spans="1:8" x14ac:dyDescent="0.25">
      <c r="A4086" s="4"/>
      <c r="B4086" s="5"/>
      <c r="C4086" s="5"/>
      <c r="D4086" s="5"/>
      <c r="E4086" s="5"/>
      <c r="F4086" s="5"/>
      <c r="G4086" s="5"/>
      <c r="H4086" s="5"/>
    </row>
    <row r="4087" spans="1:8" x14ac:dyDescent="0.25">
      <c r="A4087" s="4"/>
      <c r="B4087" s="5"/>
      <c r="C4087" s="5"/>
      <c r="D4087" s="5"/>
      <c r="E4087" s="5"/>
      <c r="F4087" s="5"/>
      <c r="G4087" s="5"/>
      <c r="H4087" s="5"/>
    </row>
    <row r="4088" spans="1:8" x14ac:dyDescent="0.25">
      <c r="A4088" s="4"/>
      <c r="B4088" s="5"/>
      <c r="C4088" s="5"/>
      <c r="D4088" s="5"/>
      <c r="E4088" s="5"/>
      <c r="F4088" s="5"/>
      <c r="G4088" s="5"/>
      <c r="H4088" s="5"/>
    </row>
    <row r="4089" spans="1:8" x14ac:dyDescent="0.25">
      <c r="A4089" s="4"/>
      <c r="B4089" s="5"/>
      <c r="C4089" s="5"/>
      <c r="D4089" s="5"/>
      <c r="E4089" s="5"/>
      <c r="F4089" s="5"/>
      <c r="G4089" s="5"/>
      <c r="H4089" s="5"/>
    </row>
    <row r="4090" spans="1:8" x14ac:dyDescent="0.25">
      <c r="A4090" s="4"/>
      <c r="B4090" s="5"/>
      <c r="C4090" s="5"/>
      <c r="D4090" s="5"/>
      <c r="E4090" s="5"/>
      <c r="F4090" s="5"/>
      <c r="G4090" s="5"/>
      <c r="H4090" s="5"/>
    </row>
    <row r="4091" spans="1:8" x14ac:dyDescent="0.25">
      <c r="A4091" s="4"/>
      <c r="B4091" s="5"/>
      <c r="C4091" s="5"/>
      <c r="D4091" s="5"/>
      <c r="E4091" s="5"/>
      <c r="F4091" s="5"/>
      <c r="G4091" s="5"/>
      <c r="H4091" s="5"/>
    </row>
    <row r="4092" spans="1:8" x14ac:dyDescent="0.25">
      <c r="A4092" s="4"/>
      <c r="B4092" s="5"/>
      <c r="C4092" s="5"/>
      <c r="D4092" s="5"/>
      <c r="E4092" s="5"/>
      <c r="F4092" s="5"/>
      <c r="G4092" s="5"/>
      <c r="H4092" s="5"/>
    </row>
    <row r="4093" spans="1:8" x14ac:dyDescent="0.25">
      <c r="A4093" s="4"/>
      <c r="B4093" s="5"/>
      <c r="C4093" s="5"/>
      <c r="D4093" s="5"/>
      <c r="E4093" s="5"/>
      <c r="F4093" s="5"/>
      <c r="G4093" s="5"/>
      <c r="H4093" s="5"/>
    </row>
    <row r="4094" spans="1:8" x14ac:dyDescent="0.25">
      <c r="A4094" s="4"/>
      <c r="B4094" s="5"/>
      <c r="C4094" s="5"/>
      <c r="D4094" s="5"/>
      <c r="E4094" s="5"/>
      <c r="F4094" s="5"/>
      <c r="G4094" s="5"/>
      <c r="H4094" s="5"/>
    </row>
    <row r="4095" spans="1:8" x14ac:dyDescent="0.25">
      <c r="A4095" s="4"/>
      <c r="B4095" s="5"/>
      <c r="C4095" s="5"/>
      <c r="D4095" s="5"/>
      <c r="E4095" s="5"/>
      <c r="F4095" s="5"/>
      <c r="G4095" s="5"/>
      <c r="H4095" s="5"/>
    </row>
    <row r="4096" spans="1:8" x14ac:dyDescent="0.25">
      <c r="A4096" s="4"/>
      <c r="B4096" s="5"/>
      <c r="C4096" s="5"/>
      <c r="D4096" s="5"/>
      <c r="E4096" s="5"/>
      <c r="F4096" s="5"/>
      <c r="G4096" s="5"/>
      <c r="H4096" s="5"/>
    </row>
    <row r="4097" spans="1:8" x14ac:dyDescent="0.25">
      <c r="A4097" s="4"/>
      <c r="B4097" s="5"/>
      <c r="C4097" s="5"/>
      <c r="D4097" s="5"/>
      <c r="E4097" s="5"/>
      <c r="F4097" s="5"/>
      <c r="G4097" s="5"/>
      <c r="H4097" s="5"/>
    </row>
    <row r="4098" spans="1:8" x14ac:dyDescent="0.25">
      <c r="A4098" s="4"/>
      <c r="B4098" s="5"/>
      <c r="C4098" s="5"/>
      <c r="D4098" s="5"/>
      <c r="E4098" s="5"/>
      <c r="F4098" s="5"/>
      <c r="G4098" s="5"/>
      <c r="H4098" s="5"/>
    </row>
    <row r="4099" spans="1:8" x14ac:dyDescent="0.25">
      <c r="A4099" s="4"/>
      <c r="B4099" s="5"/>
      <c r="C4099" s="5"/>
      <c r="D4099" s="5"/>
      <c r="E4099" s="5"/>
      <c r="F4099" s="5"/>
      <c r="G4099" s="5"/>
      <c r="H4099" s="5"/>
    </row>
    <row r="4100" spans="1:8" x14ac:dyDescent="0.25">
      <c r="A4100" s="4"/>
      <c r="B4100" s="5"/>
      <c r="C4100" s="5"/>
      <c r="D4100" s="5"/>
      <c r="E4100" s="5"/>
      <c r="F4100" s="5"/>
      <c r="G4100" s="5"/>
      <c r="H4100" s="5"/>
    </row>
    <row r="4101" spans="1:8" x14ac:dyDescent="0.25">
      <c r="A4101" s="4"/>
      <c r="B4101" s="5"/>
      <c r="C4101" s="5"/>
      <c r="D4101" s="5"/>
      <c r="E4101" s="5"/>
      <c r="F4101" s="5"/>
      <c r="G4101" s="5"/>
      <c r="H4101" s="5"/>
    </row>
    <row r="4102" spans="1:8" x14ac:dyDescent="0.25">
      <c r="A4102" s="4"/>
      <c r="B4102" s="5"/>
      <c r="C4102" s="5"/>
      <c r="D4102" s="5"/>
      <c r="E4102" s="5"/>
      <c r="F4102" s="5"/>
      <c r="G4102" s="5"/>
      <c r="H4102" s="5"/>
    </row>
    <row r="4103" spans="1:8" x14ac:dyDescent="0.25">
      <c r="A4103" s="4"/>
      <c r="B4103" s="5"/>
      <c r="C4103" s="5"/>
      <c r="D4103" s="5"/>
      <c r="E4103" s="5"/>
      <c r="F4103" s="5"/>
      <c r="G4103" s="5"/>
      <c r="H4103" s="5"/>
    </row>
    <row r="4104" spans="1:8" x14ac:dyDescent="0.25">
      <c r="A4104" s="4"/>
      <c r="B4104" s="5"/>
      <c r="C4104" s="5"/>
      <c r="D4104" s="5"/>
      <c r="E4104" s="5"/>
      <c r="F4104" s="5"/>
      <c r="G4104" s="5"/>
      <c r="H4104" s="5"/>
    </row>
    <row r="4105" spans="1:8" x14ac:dyDescent="0.25">
      <c r="A4105" s="4"/>
      <c r="B4105" s="5"/>
      <c r="C4105" s="5"/>
      <c r="D4105" s="5"/>
      <c r="E4105" s="5"/>
      <c r="F4105" s="5"/>
      <c r="G4105" s="5"/>
      <c r="H4105" s="5"/>
    </row>
    <row r="4106" spans="1:8" x14ac:dyDescent="0.25">
      <c r="A4106" s="4"/>
      <c r="B4106" s="5"/>
      <c r="C4106" s="5"/>
      <c r="D4106" s="5"/>
      <c r="E4106" s="5"/>
      <c r="F4106" s="5"/>
      <c r="G4106" s="5"/>
      <c r="H4106" s="5"/>
    </row>
    <row r="4107" spans="1:8" x14ac:dyDescent="0.25">
      <c r="A4107" s="4"/>
      <c r="B4107" s="5"/>
      <c r="C4107" s="5"/>
      <c r="D4107" s="5"/>
      <c r="E4107" s="5"/>
      <c r="F4107" s="5"/>
      <c r="G4107" s="5"/>
      <c r="H4107" s="5"/>
    </row>
    <row r="4108" spans="1:8" x14ac:dyDescent="0.25">
      <c r="A4108" s="4"/>
      <c r="B4108" s="5"/>
      <c r="C4108" s="5"/>
      <c r="D4108" s="5"/>
      <c r="E4108" s="5"/>
      <c r="F4108" s="5"/>
      <c r="G4108" s="5"/>
      <c r="H4108" s="5"/>
    </row>
    <row r="4109" spans="1:8" x14ac:dyDescent="0.25">
      <c r="A4109" s="4"/>
      <c r="B4109" s="5"/>
      <c r="C4109" s="5"/>
      <c r="D4109" s="5"/>
      <c r="E4109" s="5"/>
      <c r="F4109" s="5"/>
      <c r="G4109" s="5"/>
      <c r="H4109" s="5"/>
    </row>
    <row r="4110" spans="1:8" x14ac:dyDescent="0.25">
      <c r="A4110" s="4"/>
      <c r="B4110" s="5"/>
      <c r="C4110" s="5"/>
      <c r="D4110" s="5"/>
      <c r="E4110" s="5"/>
      <c r="F4110" s="5"/>
      <c r="G4110" s="5"/>
      <c r="H4110" s="5"/>
    </row>
    <row r="4111" spans="1:8" x14ac:dyDescent="0.25">
      <c r="A4111" s="4"/>
      <c r="B4111" s="5"/>
      <c r="C4111" s="5"/>
      <c r="D4111" s="5"/>
      <c r="E4111" s="5"/>
      <c r="F4111" s="5"/>
      <c r="G4111" s="5"/>
      <c r="H4111" s="5"/>
    </row>
    <row r="4112" spans="1:8" x14ac:dyDescent="0.25">
      <c r="A4112" s="4"/>
      <c r="B4112" s="5"/>
      <c r="C4112" s="5"/>
      <c r="D4112" s="5"/>
      <c r="E4112" s="5"/>
      <c r="F4112" s="5"/>
      <c r="G4112" s="5"/>
      <c r="H4112" s="5"/>
    </row>
    <row r="4113" spans="1:8" x14ac:dyDescent="0.25">
      <c r="A4113" s="4"/>
      <c r="B4113" s="5"/>
      <c r="C4113" s="5"/>
      <c r="D4113" s="5"/>
      <c r="E4113" s="5"/>
      <c r="F4113" s="5"/>
      <c r="G4113" s="5"/>
      <c r="H4113" s="5"/>
    </row>
    <row r="4114" spans="1:8" x14ac:dyDescent="0.25">
      <c r="A4114" s="4"/>
      <c r="B4114" s="5"/>
      <c r="C4114" s="5"/>
      <c r="D4114" s="5"/>
      <c r="E4114" s="5"/>
      <c r="F4114" s="5"/>
      <c r="G4114" s="5"/>
      <c r="H4114" s="5"/>
    </row>
    <row r="4115" spans="1:8" x14ac:dyDescent="0.25">
      <c r="A4115" s="4"/>
      <c r="B4115" s="5"/>
      <c r="C4115" s="5"/>
      <c r="D4115" s="5"/>
      <c r="E4115" s="5"/>
      <c r="F4115" s="5"/>
      <c r="G4115" s="5"/>
      <c r="H4115" s="5"/>
    </row>
    <row r="4116" spans="1:8" x14ac:dyDescent="0.25">
      <c r="A4116" s="4"/>
      <c r="B4116" s="5"/>
      <c r="C4116" s="5"/>
      <c r="D4116" s="5"/>
      <c r="E4116" s="5"/>
      <c r="F4116" s="5"/>
      <c r="G4116" s="5"/>
      <c r="H4116" s="5"/>
    </row>
    <row r="4117" spans="1:8" x14ac:dyDescent="0.25">
      <c r="A4117" s="4"/>
      <c r="B4117" s="5"/>
      <c r="C4117" s="5"/>
      <c r="D4117" s="5"/>
      <c r="E4117" s="5"/>
      <c r="F4117" s="5"/>
      <c r="G4117" s="5"/>
      <c r="H4117" s="5"/>
    </row>
    <row r="4118" spans="1:8" x14ac:dyDescent="0.25">
      <c r="A4118" s="4"/>
      <c r="B4118" s="5"/>
      <c r="C4118" s="5"/>
      <c r="D4118" s="5"/>
      <c r="E4118" s="5"/>
      <c r="F4118" s="5"/>
      <c r="G4118" s="5"/>
      <c r="H4118" s="5"/>
    </row>
    <row r="4119" spans="1:8" x14ac:dyDescent="0.25">
      <c r="A4119" s="4"/>
      <c r="B4119" s="5"/>
      <c r="C4119" s="5"/>
      <c r="D4119" s="5"/>
      <c r="E4119" s="5"/>
      <c r="F4119" s="5"/>
      <c r="G4119" s="5"/>
      <c r="H4119" s="5"/>
    </row>
    <row r="4120" spans="1:8" x14ac:dyDescent="0.25">
      <c r="A4120" s="4"/>
      <c r="B4120" s="5"/>
      <c r="C4120" s="5"/>
      <c r="D4120" s="5"/>
      <c r="E4120" s="5"/>
      <c r="F4120" s="5"/>
      <c r="G4120" s="5"/>
      <c r="H4120" s="5"/>
    </row>
    <row r="4121" spans="1:8" x14ac:dyDescent="0.25">
      <c r="A4121" s="4"/>
      <c r="B4121" s="5"/>
      <c r="C4121" s="5"/>
      <c r="D4121" s="5"/>
      <c r="E4121" s="5"/>
      <c r="F4121" s="5"/>
      <c r="G4121" s="5"/>
      <c r="H4121" s="5"/>
    </row>
    <row r="4122" spans="1:8" x14ac:dyDescent="0.25">
      <c r="A4122" s="4"/>
      <c r="B4122" s="5"/>
      <c r="C4122" s="5"/>
      <c r="D4122" s="5"/>
      <c r="E4122" s="5"/>
      <c r="F4122" s="5"/>
      <c r="G4122" s="5"/>
      <c r="H4122" s="5"/>
    </row>
    <row r="4123" spans="1:8" x14ac:dyDescent="0.25">
      <c r="A4123" s="4"/>
      <c r="B4123" s="5"/>
      <c r="C4123" s="5"/>
      <c r="D4123" s="5"/>
      <c r="E4123" s="5"/>
      <c r="F4123" s="5"/>
      <c r="G4123" s="5"/>
      <c r="H4123" s="5"/>
    </row>
    <row r="4124" spans="1:8" x14ac:dyDescent="0.25">
      <c r="A4124" s="4"/>
      <c r="B4124" s="5"/>
      <c r="C4124" s="5"/>
      <c r="D4124" s="5"/>
      <c r="E4124" s="5"/>
      <c r="F4124" s="5"/>
      <c r="G4124" s="5"/>
      <c r="H4124" s="5"/>
    </row>
    <row r="4125" spans="1:8" x14ac:dyDescent="0.25">
      <c r="A4125" s="4"/>
      <c r="B4125" s="5"/>
      <c r="C4125" s="5"/>
      <c r="D4125" s="5"/>
      <c r="E4125" s="5"/>
      <c r="F4125" s="5"/>
      <c r="G4125" s="5"/>
      <c r="H4125" s="5"/>
    </row>
    <row r="4126" spans="1:8" x14ac:dyDescent="0.25">
      <c r="A4126" s="4"/>
      <c r="B4126" s="5"/>
      <c r="C4126" s="5"/>
      <c r="D4126" s="5"/>
      <c r="E4126" s="5"/>
      <c r="F4126" s="5"/>
      <c r="G4126" s="5"/>
      <c r="H4126" s="5"/>
    </row>
    <row r="4127" spans="1:8" x14ac:dyDescent="0.25">
      <c r="A4127" s="4"/>
      <c r="B4127" s="5"/>
      <c r="C4127" s="5"/>
      <c r="D4127" s="5"/>
      <c r="E4127" s="5"/>
      <c r="F4127" s="5"/>
      <c r="G4127" s="5"/>
      <c r="H4127" s="5"/>
    </row>
    <row r="4128" spans="1:8" x14ac:dyDescent="0.25">
      <c r="A4128" s="4"/>
      <c r="B4128" s="5"/>
      <c r="C4128" s="5"/>
      <c r="D4128" s="5"/>
      <c r="E4128" s="5"/>
      <c r="F4128" s="5"/>
      <c r="G4128" s="5"/>
      <c r="H4128" s="5"/>
    </row>
    <row r="4129" spans="1:8" x14ac:dyDescent="0.25">
      <c r="A4129" s="4"/>
      <c r="B4129" s="5"/>
      <c r="C4129" s="5"/>
      <c r="D4129" s="5"/>
      <c r="E4129" s="5"/>
      <c r="F4129" s="5"/>
      <c r="G4129" s="5"/>
      <c r="H4129" s="5"/>
    </row>
    <row r="4130" spans="1:8" x14ac:dyDescent="0.25">
      <c r="A4130" s="4"/>
      <c r="B4130" s="5"/>
      <c r="C4130" s="5"/>
      <c r="D4130" s="5"/>
      <c r="E4130" s="5"/>
      <c r="F4130" s="5"/>
      <c r="G4130" s="5"/>
      <c r="H4130" s="5"/>
    </row>
    <row r="4131" spans="1:8" x14ac:dyDescent="0.25">
      <c r="A4131" s="4"/>
      <c r="B4131" s="5"/>
      <c r="C4131" s="5"/>
      <c r="D4131" s="5"/>
      <c r="E4131" s="5"/>
      <c r="F4131" s="5"/>
      <c r="G4131" s="5"/>
      <c r="H4131" s="5"/>
    </row>
    <row r="4132" spans="1:8" x14ac:dyDescent="0.25">
      <c r="A4132" s="4"/>
      <c r="B4132" s="5"/>
      <c r="C4132" s="5"/>
      <c r="D4132" s="5"/>
      <c r="E4132" s="5"/>
      <c r="F4132" s="5"/>
      <c r="G4132" s="5"/>
      <c r="H4132" s="5"/>
    </row>
    <row r="4133" spans="1:8" x14ac:dyDescent="0.25">
      <c r="A4133" s="4"/>
      <c r="B4133" s="5"/>
      <c r="C4133" s="5"/>
      <c r="D4133" s="5"/>
      <c r="E4133" s="5"/>
      <c r="F4133" s="5"/>
      <c r="G4133" s="5"/>
      <c r="H4133" s="5"/>
    </row>
    <row r="4134" spans="1:8" x14ac:dyDescent="0.25">
      <c r="A4134" s="4"/>
      <c r="B4134" s="5"/>
      <c r="C4134" s="5"/>
      <c r="D4134" s="5"/>
      <c r="E4134" s="5"/>
      <c r="F4134" s="5"/>
      <c r="G4134" s="5"/>
      <c r="H4134" s="5"/>
    </row>
    <row r="4135" spans="1:8" x14ac:dyDescent="0.25">
      <c r="A4135" s="4"/>
      <c r="B4135" s="5"/>
      <c r="C4135" s="5"/>
      <c r="D4135" s="5"/>
      <c r="E4135" s="5"/>
      <c r="F4135" s="5"/>
      <c r="G4135" s="5"/>
      <c r="H4135" s="5"/>
    </row>
    <row r="4136" spans="1:8" x14ac:dyDescent="0.25">
      <c r="A4136" s="4"/>
      <c r="B4136" s="5"/>
      <c r="C4136" s="5"/>
      <c r="D4136" s="5"/>
      <c r="E4136" s="5"/>
      <c r="F4136" s="5"/>
      <c r="G4136" s="5"/>
      <c r="H4136" s="5"/>
    </row>
    <row r="4137" spans="1:8" x14ac:dyDescent="0.25">
      <c r="A4137" s="4"/>
      <c r="B4137" s="5"/>
      <c r="C4137" s="5"/>
      <c r="D4137" s="5"/>
      <c r="E4137" s="5"/>
      <c r="F4137" s="5"/>
      <c r="G4137" s="5"/>
      <c r="H4137" s="5"/>
    </row>
    <row r="4138" spans="1:8" x14ac:dyDescent="0.25">
      <c r="A4138" s="4"/>
      <c r="B4138" s="5"/>
      <c r="C4138" s="5"/>
      <c r="D4138" s="5"/>
      <c r="E4138" s="5"/>
      <c r="F4138" s="5"/>
      <c r="G4138" s="5"/>
      <c r="H4138" s="5"/>
    </row>
    <row r="4139" spans="1:8" x14ac:dyDescent="0.25">
      <c r="A4139" s="4"/>
      <c r="B4139" s="5"/>
      <c r="C4139" s="5"/>
      <c r="D4139" s="5"/>
      <c r="E4139" s="5"/>
      <c r="F4139" s="5"/>
      <c r="G4139" s="5"/>
      <c r="H4139" s="5"/>
    </row>
    <row r="4140" spans="1:8" x14ac:dyDescent="0.25">
      <c r="A4140" s="4"/>
      <c r="B4140" s="5"/>
      <c r="C4140" s="5"/>
      <c r="D4140" s="5"/>
      <c r="E4140" s="5"/>
      <c r="F4140" s="5"/>
      <c r="G4140" s="5"/>
      <c r="H4140" s="5"/>
    </row>
    <row r="4141" spans="1:8" x14ac:dyDescent="0.25">
      <c r="A4141" s="4"/>
      <c r="B4141" s="5"/>
      <c r="C4141" s="5"/>
      <c r="D4141" s="5"/>
      <c r="E4141" s="5"/>
      <c r="F4141" s="5"/>
      <c r="G4141" s="5"/>
      <c r="H4141" s="5"/>
    </row>
    <row r="4142" spans="1:8" x14ac:dyDescent="0.25">
      <c r="A4142" s="4"/>
      <c r="B4142" s="5"/>
      <c r="C4142" s="5"/>
      <c r="D4142" s="5"/>
      <c r="E4142" s="5"/>
      <c r="F4142" s="5"/>
      <c r="G4142" s="5"/>
      <c r="H4142" s="5"/>
    </row>
    <row r="4143" spans="1:8" x14ac:dyDescent="0.25">
      <c r="A4143" s="4"/>
      <c r="B4143" s="5"/>
      <c r="C4143" s="5"/>
      <c r="D4143" s="5"/>
      <c r="E4143" s="5"/>
      <c r="F4143" s="5"/>
      <c r="G4143" s="5"/>
      <c r="H4143" s="5"/>
    </row>
    <row r="4144" spans="1:8" x14ac:dyDescent="0.25">
      <c r="A4144" s="4"/>
      <c r="B4144" s="5"/>
      <c r="C4144" s="5"/>
      <c r="D4144" s="5"/>
      <c r="E4144" s="5"/>
      <c r="F4144" s="5"/>
      <c r="G4144" s="5"/>
      <c r="H4144" s="5"/>
    </row>
    <row r="4145" spans="1:8" x14ac:dyDescent="0.25">
      <c r="A4145" s="4"/>
      <c r="B4145" s="5"/>
      <c r="C4145" s="5"/>
      <c r="D4145" s="5"/>
      <c r="E4145" s="5"/>
      <c r="F4145" s="5"/>
      <c r="G4145" s="5"/>
      <c r="H4145" s="5"/>
    </row>
    <row r="4146" spans="1:8" x14ac:dyDescent="0.25">
      <c r="A4146" s="4"/>
      <c r="B4146" s="5"/>
      <c r="C4146" s="5"/>
      <c r="D4146" s="5"/>
      <c r="E4146" s="5"/>
      <c r="F4146" s="5"/>
      <c r="G4146" s="5"/>
      <c r="H4146" s="5"/>
    </row>
    <row r="4147" spans="1:8" x14ac:dyDescent="0.25">
      <c r="A4147" s="4"/>
      <c r="B4147" s="5"/>
      <c r="C4147" s="5"/>
      <c r="D4147" s="5"/>
      <c r="E4147" s="5"/>
      <c r="F4147" s="5"/>
      <c r="G4147" s="5"/>
      <c r="H4147" s="5"/>
    </row>
    <row r="4148" spans="1:8" x14ac:dyDescent="0.25">
      <c r="A4148" s="4"/>
      <c r="B4148" s="5"/>
      <c r="C4148" s="5"/>
      <c r="D4148" s="5"/>
      <c r="E4148" s="5"/>
      <c r="F4148" s="5"/>
      <c r="G4148" s="5"/>
      <c r="H4148" s="5"/>
    </row>
    <row r="4149" spans="1:8" x14ac:dyDescent="0.25">
      <c r="A4149" s="4"/>
      <c r="B4149" s="5"/>
      <c r="C4149" s="5"/>
      <c r="D4149" s="5"/>
      <c r="E4149" s="5"/>
      <c r="F4149" s="5"/>
      <c r="G4149" s="5"/>
      <c r="H4149" s="5"/>
    </row>
    <row r="4150" spans="1:8" x14ac:dyDescent="0.25">
      <c r="A4150" s="4"/>
      <c r="B4150" s="5"/>
      <c r="C4150" s="5"/>
      <c r="D4150" s="5"/>
      <c r="E4150" s="5"/>
      <c r="F4150" s="5"/>
      <c r="G4150" s="5"/>
      <c r="H4150" s="5"/>
    </row>
    <row r="4151" spans="1:8" x14ac:dyDescent="0.25">
      <c r="A4151" s="4"/>
      <c r="B4151" s="5"/>
      <c r="C4151" s="5"/>
      <c r="D4151" s="5"/>
      <c r="E4151" s="5"/>
      <c r="F4151" s="5"/>
      <c r="G4151" s="5"/>
      <c r="H4151" s="5"/>
    </row>
    <row r="4152" spans="1:8" x14ac:dyDescent="0.25">
      <c r="A4152" s="4"/>
      <c r="B4152" s="5"/>
      <c r="C4152" s="5"/>
      <c r="D4152" s="5"/>
      <c r="E4152" s="5"/>
      <c r="F4152" s="5"/>
      <c r="G4152" s="5"/>
      <c r="H4152" s="5"/>
    </row>
    <row r="4153" spans="1:8" x14ac:dyDescent="0.25">
      <c r="A4153" s="4"/>
      <c r="B4153" s="5"/>
      <c r="C4153" s="5"/>
      <c r="D4153" s="5"/>
      <c r="E4153" s="5"/>
      <c r="F4153" s="5"/>
      <c r="G4153" s="5"/>
      <c r="H4153" s="5"/>
    </row>
    <row r="4154" spans="1:8" x14ac:dyDescent="0.25">
      <c r="A4154" s="4"/>
      <c r="B4154" s="5"/>
      <c r="C4154" s="5"/>
      <c r="D4154" s="5"/>
      <c r="E4154" s="5"/>
      <c r="F4154" s="5"/>
      <c r="G4154" s="5"/>
      <c r="H4154" s="5"/>
    </row>
    <row r="4155" spans="1:8" x14ac:dyDescent="0.25">
      <c r="A4155" s="4"/>
      <c r="B4155" s="5"/>
      <c r="C4155" s="5"/>
      <c r="D4155" s="5"/>
      <c r="E4155" s="5"/>
      <c r="F4155" s="5"/>
      <c r="G4155" s="5"/>
      <c r="H4155" s="5"/>
    </row>
    <row r="4156" spans="1:8" x14ac:dyDescent="0.25">
      <c r="A4156" s="4"/>
      <c r="B4156" s="5"/>
      <c r="C4156" s="5"/>
      <c r="D4156" s="5"/>
      <c r="E4156" s="5"/>
      <c r="F4156" s="5"/>
      <c r="G4156" s="5"/>
      <c r="H4156" s="5"/>
    </row>
    <row r="4157" spans="1:8" x14ac:dyDescent="0.25">
      <c r="A4157" s="4"/>
      <c r="B4157" s="5"/>
      <c r="C4157" s="5"/>
      <c r="D4157" s="5"/>
      <c r="E4157" s="5"/>
      <c r="F4157" s="5"/>
      <c r="G4157" s="5"/>
      <c r="H4157" s="5"/>
    </row>
    <row r="4158" spans="1:8" x14ac:dyDescent="0.25">
      <c r="A4158" s="4"/>
      <c r="B4158" s="5"/>
      <c r="C4158" s="5"/>
      <c r="D4158" s="5"/>
      <c r="E4158" s="5"/>
      <c r="F4158" s="5"/>
      <c r="G4158" s="5"/>
      <c r="H4158" s="5"/>
    </row>
    <row r="4159" spans="1:8" x14ac:dyDescent="0.25">
      <c r="A4159" s="4"/>
      <c r="B4159" s="5"/>
      <c r="C4159" s="5"/>
      <c r="D4159" s="5"/>
      <c r="E4159" s="5"/>
      <c r="F4159" s="5"/>
      <c r="G4159" s="5"/>
      <c r="H4159" s="5"/>
    </row>
    <row r="4160" spans="1:8" x14ac:dyDescent="0.25">
      <c r="A4160" s="4"/>
      <c r="B4160" s="5"/>
      <c r="C4160" s="5"/>
      <c r="D4160" s="5"/>
      <c r="E4160" s="5"/>
      <c r="F4160" s="5"/>
      <c r="G4160" s="5"/>
      <c r="H4160" s="5"/>
    </row>
    <row r="4161" spans="1:8" x14ac:dyDescent="0.25">
      <c r="A4161" s="4"/>
      <c r="B4161" s="5"/>
      <c r="C4161" s="5"/>
      <c r="D4161" s="5"/>
      <c r="E4161" s="5"/>
      <c r="F4161" s="5"/>
      <c r="G4161" s="5"/>
      <c r="H4161" s="5"/>
    </row>
    <row r="4162" spans="1:8" x14ac:dyDescent="0.25">
      <c r="A4162" s="4"/>
      <c r="B4162" s="5"/>
      <c r="C4162" s="5"/>
      <c r="D4162" s="5"/>
      <c r="E4162" s="5"/>
      <c r="F4162" s="5"/>
      <c r="G4162" s="5"/>
      <c r="H4162" s="5"/>
    </row>
    <row r="4163" spans="1:8" x14ac:dyDescent="0.25">
      <c r="A4163" s="4"/>
      <c r="B4163" s="5"/>
      <c r="C4163" s="5"/>
      <c r="D4163" s="5"/>
      <c r="E4163" s="5"/>
      <c r="F4163" s="5"/>
      <c r="G4163" s="5"/>
      <c r="H4163" s="5"/>
    </row>
    <row r="4164" spans="1:8" x14ac:dyDescent="0.25">
      <c r="A4164" s="4"/>
      <c r="B4164" s="5"/>
      <c r="C4164" s="5"/>
      <c r="D4164" s="5"/>
      <c r="E4164" s="5"/>
      <c r="F4164" s="5"/>
      <c r="G4164" s="5"/>
      <c r="H4164" s="5"/>
    </row>
    <row r="4165" spans="1:8" x14ac:dyDescent="0.25">
      <c r="A4165" s="4"/>
      <c r="B4165" s="5"/>
      <c r="C4165" s="5"/>
      <c r="D4165" s="5"/>
      <c r="E4165" s="5"/>
      <c r="F4165" s="5"/>
      <c r="G4165" s="5"/>
      <c r="H4165" s="5"/>
    </row>
    <row r="4166" spans="1:8" x14ac:dyDescent="0.25">
      <c r="A4166" s="4"/>
      <c r="B4166" s="5"/>
      <c r="C4166" s="5"/>
      <c r="D4166" s="5"/>
      <c r="E4166" s="5"/>
      <c r="F4166" s="5"/>
      <c r="G4166" s="5"/>
      <c r="H4166" s="5"/>
    </row>
    <row r="4167" spans="1:8" x14ac:dyDescent="0.25">
      <c r="A4167" s="4"/>
      <c r="B4167" s="5"/>
      <c r="C4167" s="5"/>
      <c r="D4167" s="5"/>
      <c r="E4167" s="5"/>
      <c r="F4167" s="5"/>
      <c r="G4167" s="5"/>
      <c r="H4167" s="5"/>
    </row>
    <row r="4168" spans="1:8" x14ac:dyDescent="0.25">
      <c r="A4168" s="4"/>
      <c r="B4168" s="5"/>
      <c r="C4168" s="5"/>
      <c r="D4168" s="5"/>
      <c r="E4168" s="5"/>
      <c r="F4168" s="5"/>
      <c r="G4168" s="5"/>
      <c r="H4168" s="5"/>
    </row>
    <row r="4169" spans="1:8" x14ac:dyDescent="0.25">
      <c r="A4169" s="4"/>
      <c r="B4169" s="5"/>
      <c r="C4169" s="5"/>
      <c r="D4169" s="5"/>
      <c r="E4169" s="5"/>
      <c r="F4169" s="5"/>
      <c r="G4169" s="5"/>
      <c r="H4169" s="5"/>
    </row>
    <row r="4170" spans="1:8" x14ac:dyDescent="0.25">
      <c r="A4170" s="4"/>
      <c r="B4170" s="5"/>
      <c r="C4170" s="5"/>
      <c r="D4170" s="5"/>
      <c r="E4170" s="5"/>
      <c r="F4170" s="5"/>
      <c r="G4170" s="5"/>
      <c r="H4170" s="5"/>
    </row>
    <row r="4171" spans="1:8" x14ac:dyDescent="0.25">
      <c r="A4171" s="4"/>
      <c r="B4171" s="5"/>
      <c r="C4171" s="5"/>
      <c r="D4171" s="5"/>
      <c r="E4171" s="5"/>
      <c r="F4171" s="5"/>
      <c r="G4171" s="5"/>
      <c r="H4171" s="5"/>
    </row>
    <row r="4172" spans="1:8" x14ac:dyDescent="0.25">
      <c r="A4172" s="4"/>
      <c r="B4172" s="5"/>
      <c r="C4172" s="5"/>
      <c r="D4172" s="5"/>
      <c r="E4172" s="5"/>
      <c r="F4172" s="5"/>
      <c r="G4172" s="5"/>
      <c r="H4172" s="5"/>
    </row>
    <row r="4173" spans="1:8" x14ac:dyDescent="0.25">
      <c r="A4173" s="4"/>
      <c r="B4173" s="5"/>
      <c r="C4173" s="5"/>
      <c r="D4173" s="5"/>
      <c r="E4173" s="5"/>
      <c r="F4173" s="5"/>
      <c r="G4173" s="5"/>
      <c r="H4173" s="5"/>
    </row>
    <row r="4174" spans="1:8" x14ac:dyDescent="0.25">
      <c r="A4174" s="4"/>
      <c r="B4174" s="5"/>
      <c r="C4174" s="5"/>
      <c r="D4174" s="5"/>
      <c r="E4174" s="5"/>
      <c r="F4174" s="5"/>
      <c r="G4174" s="5"/>
      <c r="H4174" s="5"/>
    </row>
    <row r="4175" spans="1:8" x14ac:dyDescent="0.25">
      <c r="A4175" s="4"/>
      <c r="B4175" s="5"/>
      <c r="C4175" s="5"/>
      <c r="D4175" s="5"/>
      <c r="E4175" s="5"/>
      <c r="F4175" s="5"/>
      <c r="G4175" s="5"/>
      <c r="H4175" s="5"/>
    </row>
    <row r="4176" spans="1:8" x14ac:dyDescent="0.25">
      <c r="A4176" s="4"/>
      <c r="B4176" s="5"/>
      <c r="C4176" s="5"/>
      <c r="D4176" s="5"/>
      <c r="E4176" s="5"/>
      <c r="F4176" s="5"/>
      <c r="G4176" s="5"/>
      <c r="H4176" s="5"/>
    </row>
    <row r="4177" spans="1:8" x14ac:dyDescent="0.25">
      <c r="A4177" s="4"/>
      <c r="B4177" s="5"/>
      <c r="C4177" s="5"/>
      <c r="D4177" s="5"/>
      <c r="E4177" s="5"/>
      <c r="F4177" s="5"/>
      <c r="G4177" s="5"/>
      <c r="H4177" s="5"/>
    </row>
    <row r="4178" spans="1:8" x14ac:dyDescent="0.25">
      <c r="A4178" s="4"/>
      <c r="B4178" s="5"/>
      <c r="C4178" s="5"/>
      <c r="D4178" s="5"/>
      <c r="E4178" s="5"/>
      <c r="F4178" s="5"/>
      <c r="G4178" s="5"/>
      <c r="H4178" s="5"/>
    </row>
    <row r="4179" spans="1:8" x14ac:dyDescent="0.25">
      <c r="A4179" s="4"/>
      <c r="B4179" s="5"/>
      <c r="C4179" s="5"/>
      <c r="D4179" s="5"/>
      <c r="E4179" s="5"/>
      <c r="F4179" s="5"/>
      <c r="G4179" s="5"/>
      <c r="H4179" s="5"/>
    </row>
    <row r="4180" spans="1:8" x14ac:dyDescent="0.25">
      <c r="A4180" s="4"/>
      <c r="B4180" s="5"/>
      <c r="C4180" s="5"/>
      <c r="D4180" s="5"/>
      <c r="E4180" s="5"/>
      <c r="F4180" s="5"/>
      <c r="G4180" s="5"/>
      <c r="H4180" s="5"/>
    </row>
    <row r="4181" spans="1:8" x14ac:dyDescent="0.25">
      <c r="A4181" s="4"/>
      <c r="B4181" s="5"/>
      <c r="C4181" s="5"/>
      <c r="D4181" s="5"/>
      <c r="E4181" s="5"/>
      <c r="F4181" s="5"/>
      <c r="G4181" s="5"/>
      <c r="H4181" s="5"/>
    </row>
    <row r="4182" spans="1:8" x14ac:dyDescent="0.25">
      <c r="A4182" s="4"/>
      <c r="B4182" s="5"/>
      <c r="C4182" s="5"/>
      <c r="D4182" s="5"/>
      <c r="E4182" s="5"/>
      <c r="F4182" s="5"/>
      <c r="G4182" s="5"/>
      <c r="H4182" s="5"/>
    </row>
    <row r="4183" spans="1:8" x14ac:dyDescent="0.25">
      <c r="A4183" s="4"/>
      <c r="B4183" s="5"/>
      <c r="C4183" s="5"/>
      <c r="D4183" s="5"/>
      <c r="E4183" s="5"/>
      <c r="F4183" s="5"/>
      <c r="G4183" s="5"/>
      <c r="H4183" s="5"/>
    </row>
    <row r="4184" spans="1:8" x14ac:dyDescent="0.25">
      <c r="A4184" s="4"/>
      <c r="B4184" s="5"/>
      <c r="C4184" s="5"/>
      <c r="D4184" s="5"/>
      <c r="E4184" s="5"/>
      <c r="F4184" s="5"/>
      <c r="G4184" s="5"/>
      <c r="H4184" s="5"/>
    </row>
    <row r="4185" spans="1:8" x14ac:dyDescent="0.25">
      <c r="A4185" s="4"/>
      <c r="B4185" s="5"/>
      <c r="C4185" s="5"/>
      <c r="D4185" s="5"/>
      <c r="E4185" s="5"/>
      <c r="F4185" s="5"/>
      <c r="G4185" s="5"/>
      <c r="H4185" s="5"/>
    </row>
    <row r="4186" spans="1:8" x14ac:dyDescent="0.25">
      <c r="A4186" s="4"/>
      <c r="B4186" s="5"/>
      <c r="C4186" s="5"/>
      <c r="D4186" s="5"/>
      <c r="E4186" s="5"/>
      <c r="F4186" s="5"/>
      <c r="G4186" s="5"/>
      <c r="H4186" s="5"/>
    </row>
    <row r="4187" spans="1:8" x14ac:dyDescent="0.25">
      <c r="A4187" s="4"/>
      <c r="B4187" s="5"/>
      <c r="C4187" s="5"/>
      <c r="D4187" s="5"/>
      <c r="E4187" s="5"/>
      <c r="F4187" s="5"/>
      <c r="G4187" s="5"/>
      <c r="H4187" s="5"/>
    </row>
    <row r="4188" spans="1:8" x14ac:dyDescent="0.25">
      <c r="A4188" s="4"/>
      <c r="B4188" s="5"/>
      <c r="C4188" s="5"/>
      <c r="D4188" s="5"/>
      <c r="E4188" s="5"/>
      <c r="F4188" s="5"/>
      <c r="G4188" s="5"/>
      <c r="H4188" s="5"/>
    </row>
    <row r="4189" spans="1:8" x14ac:dyDescent="0.25">
      <c r="A4189" s="4"/>
      <c r="B4189" s="5"/>
      <c r="C4189" s="5"/>
      <c r="D4189" s="5"/>
      <c r="E4189" s="5"/>
      <c r="F4189" s="5"/>
      <c r="G4189" s="5"/>
      <c r="H4189" s="5"/>
    </row>
    <row r="4190" spans="1:8" x14ac:dyDescent="0.25">
      <c r="A4190" s="4"/>
      <c r="B4190" s="5"/>
      <c r="C4190" s="5"/>
      <c r="D4190" s="5"/>
      <c r="E4190" s="5"/>
      <c r="F4190" s="5"/>
      <c r="G4190" s="5"/>
      <c r="H4190" s="5"/>
    </row>
    <row r="4191" spans="1:8" x14ac:dyDescent="0.25">
      <c r="A4191" s="4"/>
      <c r="B4191" s="5"/>
      <c r="C4191" s="5"/>
      <c r="D4191" s="5"/>
      <c r="E4191" s="5"/>
      <c r="F4191" s="5"/>
      <c r="G4191" s="5"/>
      <c r="H4191" s="5"/>
    </row>
    <row r="4192" spans="1:8" x14ac:dyDescent="0.25">
      <c r="A4192" s="4"/>
      <c r="B4192" s="5"/>
      <c r="C4192" s="5"/>
      <c r="D4192" s="5"/>
      <c r="E4192" s="5"/>
      <c r="F4192" s="5"/>
      <c r="G4192" s="5"/>
      <c r="H4192" s="5"/>
    </row>
    <row r="4193" spans="1:8" x14ac:dyDescent="0.25">
      <c r="A4193" s="4"/>
      <c r="B4193" s="5"/>
      <c r="C4193" s="5"/>
      <c r="D4193" s="5"/>
      <c r="E4193" s="5"/>
      <c r="F4193" s="5"/>
      <c r="G4193" s="5"/>
      <c r="H4193" s="5"/>
    </row>
    <row r="4194" spans="1:8" x14ac:dyDescent="0.25">
      <c r="A4194" s="4"/>
      <c r="B4194" s="5"/>
      <c r="C4194" s="5"/>
      <c r="D4194" s="5"/>
      <c r="E4194" s="5"/>
      <c r="F4194" s="5"/>
      <c r="G4194" s="5"/>
      <c r="H4194" s="5"/>
    </row>
    <row r="4195" spans="1:8" x14ac:dyDescent="0.25">
      <c r="A4195" s="4"/>
      <c r="B4195" s="5"/>
      <c r="C4195" s="5"/>
      <c r="D4195" s="5"/>
      <c r="E4195" s="5"/>
      <c r="F4195" s="5"/>
      <c r="G4195" s="5"/>
      <c r="H4195" s="5"/>
    </row>
    <row r="4196" spans="1:8" x14ac:dyDescent="0.25">
      <c r="A4196" s="4"/>
      <c r="B4196" s="5"/>
      <c r="C4196" s="5"/>
      <c r="D4196" s="5"/>
      <c r="E4196" s="5"/>
      <c r="F4196" s="5"/>
      <c r="G4196" s="5"/>
      <c r="H4196" s="5"/>
    </row>
    <row r="4197" spans="1:8" x14ac:dyDescent="0.25">
      <c r="A4197" s="4"/>
      <c r="B4197" s="5"/>
      <c r="C4197" s="5"/>
      <c r="D4197" s="5"/>
      <c r="E4197" s="5"/>
      <c r="F4197" s="5"/>
      <c r="G4197" s="5"/>
      <c r="H4197" s="5"/>
    </row>
    <row r="4198" spans="1:8" x14ac:dyDescent="0.25">
      <c r="A4198" s="4"/>
      <c r="B4198" s="5"/>
      <c r="C4198" s="5"/>
      <c r="D4198" s="5"/>
      <c r="E4198" s="5"/>
      <c r="F4198" s="5"/>
      <c r="G4198" s="5"/>
      <c r="H4198" s="5"/>
    </row>
    <row r="4199" spans="1:8" x14ac:dyDescent="0.25">
      <c r="A4199" s="4"/>
      <c r="B4199" s="5"/>
      <c r="C4199" s="5"/>
      <c r="D4199" s="5"/>
      <c r="E4199" s="5"/>
      <c r="F4199" s="5"/>
      <c r="G4199" s="5"/>
      <c r="H4199" s="5"/>
    </row>
    <row r="4200" spans="1:8" x14ac:dyDescent="0.25">
      <c r="A4200" s="4"/>
      <c r="B4200" s="5"/>
      <c r="C4200" s="5"/>
      <c r="D4200" s="5"/>
      <c r="E4200" s="5"/>
      <c r="F4200" s="5"/>
      <c r="G4200" s="5"/>
      <c r="H4200" s="5"/>
    </row>
    <row r="4201" spans="1:8" x14ac:dyDescent="0.25">
      <c r="A4201" s="4"/>
      <c r="B4201" s="5"/>
      <c r="C4201" s="5"/>
      <c r="D4201" s="5"/>
      <c r="E4201" s="5"/>
      <c r="F4201" s="5"/>
      <c r="G4201" s="5"/>
      <c r="H4201" s="5"/>
    </row>
    <row r="4202" spans="1:8" x14ac:dyDescent="0.25">
      <c r="A4202" s="4"/>
      <c r="B4202" s="5"/>
      <c r="C4202" s="5"/>
      <c r="D4202" s="5"/>
      <c r="E4202" s="5"/>
      <c r="F4202" s="5"/>
      <c r="G4202" s="5"/>
      <c r="H4202" s="5"/>
    </row>
    <row r="4203" spans="1:8" x14ac:dyDescent="0.25">
      <c r="A4203" s="4"/>
      <c r="B4203" s="5"/>
      <c r="C4203" s="5"/>
      <c r="D4203" s="5"/>
      <c r="E4203" s="5"/>
      <c r="F4203" s="5"/>
      <c r="G4203" s="5"/>
      <c r="H4203" s="5"/>
    </row>
    <row r="4204" spans="1:8" x14ac:dyDescent="0.25">
      <c r="A4204" s="4"/>
      <c r="B4204" s="5"/>
      <c r="C4204" s="5"/>
      <c r="D4204" s="5"/>
      <c r="E4204" s="5"/>
      <c r="F4204" s="5"/>
      <c r="G4204" s="5"/>
      <c r="H4204" s="5"/>
    </row>
    <row r="4205" spans="1:8" x14ac:dyDescent="0.25">
      <c r="A4205" s="4"/>
      <c r="B4205" s="5"/>
      <c r="C4205" s="5"/>
      <c r="D4205" s="5"/>
      <c r="E4205" s="5"/>
      <c r="F4205" s="5"/>
      <c r="G4205" s="5"/>
      <c r="H4205" s="5"/>
    </row>
    <row r="4206" spans="1:8" x14ac:dyDescent="0.25">
      <c r="A4206" s="4"/>
      <c r="B4206" s="5"/>
      <c r="C4206" s="5"/>
      <c r="D4206" s="5"/>
      <c r="E4206" s="5"/>
      <c r="F4206" s="5"/>
      <c r="G4206" s="5"/>
      <c r="H4206" s="5"/>
    </row>
    <row r="4207" spans="1:8" x14ac:dyDescent="0.25">
      <c r="A4207" s="4"/>
      <c r="B4207" s="5"/>
      <c r="C4207" s="5"/>
      <c r="D4207" s="5"/>
      <c r="E4207" s="5"/>
      <c r="F4207" s="5"/>
      <c r="G4207" s="5"/>
      <c r="H4207" s="5"/>
    </row>
    <row r="4208" spans="1:8" x14ac:dyDescent="0.25">
      <c r="A4208" s="4"/>
      <c r="B4208" s="5"/>
      <c r="C4208" s="5"/>
      <c r="D4208" s="5"/>
      <c r="E4208" s="5"/>
      <c r="F4208" s="5"/>
      <c r="G4208" s="5"/>
      <c r="H4208" s="5"/>
    </row>
    <row r="4209" spans="1:8" x14ac:dyDescent="0.25">
      <c r="A4209" s="4"/>
      <c r="B4209" s="5"/>
      <c r="C4209" s="5"/>
      <c r="D4209" s="5"/>
      <c r="E4209" s="5"/>
      <c r="F4209" s="5"/>
      <c r="G4209" s="5"/>
      <c r="H4209" s="5"/>
    </row>
    <row r="4210" spans="1:8" x14ac:dyDescent="0.25">
      <c r="A4210" s="4"/>
      <c r="B4210" s="5"/>
      <c r="C4210" s="5"/>
      <c r="D4210" s="5"/>
      <c r="E4210" s="5"/>
      <c r="F4210" s="5"/>
      <c r="G4210" s="5"/>
      <c r="H4210" s="5"/>
    </row>
    <row r="4211" spans="1:8" x14ac:dyDescent="0.25">
      <c r="A4211" s="4"/>
      <c r="B4211" s="5"/>
      <c r="C4211" s="5"/>
      <c r="D4211" s="5"/>
      <c r="E4211" s="5"/>
      <c r="F4211" s="5"/>
      <c r="G4211" s="5"/>
      <c r="H4211" s="5"/>
    </row>
    <row r="4212" spans="1:8" x14ac:dyDescent="0.25">
      <c r="A4212" s="4"/>
      <c r="B4212" s="5"/>
      <c r="C4212" s="5"/>
      <c r="D4212" s="5"/>
      <c r="E4212" s="5"/>
      <c r="F4212" s="5"/>
      <c r="G4212" s="5"/>
      <c r="H4212" s="5"/>
    </row>
    <row r="4213" spans="1:8" x14ac:dyDescent="0.25">
      <c r="A4213" s="4"/>
      <c r="B4213" s="5"/>
      <c r="C4213" s="5"/>
      <c r="D4213" s="5"/>
      <c r="E4213" s="5"/>
      <c r="F4213" s="5"/>
      <c r="G4213" s="5"/>
      <c r="H4213" s="5"/>
    </row>
    <row r="4214" spans="1:8" x14ac:dyDescent="0.25">
      <c r="A4214" s="4"/>
      <c r="B4214" s="5"/>
      <c r="C4214" s="5"/>
      <c r="D4214" s="5"/>
      <c r="E4214" s="5"/>
      <c r="F4214" s="5"/>
      <c r="G4214" s="5"/>
      <c r="H4214" s="5"/>
    </row>
    <row r="4215" spans="1:8" x14ac:dyDescent="0.25">
      <c r="A4215" s="4"/>
      <c r="B4215" s="5"/>
      <c r="C4215" s="5"/>
      <c r="D4215" s="5"/>
      <c r="E4215" s="5"/>
      <c r="F4215" s="5"/>
      <c r="G4215" s="5"/>
      <c r="H4215" s="5"/>
    </row>
    <row r="4216" spans="1:8" x14ac:dyDescent="0.25">
      <c r="A4216" s="4"/>
      <c r="B4216" s="5"/>
      <c r="C4216" s="5"/>
      <c r="D4216" s="5"/>
      <c r="E4216" s="5"/>
      <c r="F4216" s="5"/>
      <c r="G4216" s="5"/>
      <c r="H4216" s="5"/>
    </row>
    <row r="4217" spans="1:8" x14ac:dyDescent="0.25">
      <c r="A4217" s="4"/>
      <c r="B4217" s="5"/>
      <c r="C4217" s="5"/>
      <c r="D4217" s="5"/>
      <c r="E4217" s="5"/>
      <c r="F4217" s="5"/>
      <c r="G4217" s="5"/>
      <c r="H4217" s="5"/>
    </row>
    <row r="4218" spans="1:8" x14ac:dyDescent="0.25">
      <c r="A4218" s="4"/>
      <c r="B4218" s="5"/>
      <c r="C4218" s="5"/>
      <c r="D4218" s="5"/>
      <c r="E4218" s="5"/>
      <c r="F4218" s="5"/>
      <c r="G4218" s="5"/>
      <c r="H4218" s="5"/>
    </row>
    <row r="4219" spans="1:8" x14ac:dyDescent="0.25">
      <c r="A4219" s="4"/>
      <c r="B4219" s="5"/>
      <c r="C4219" s="5"/>
      <c r="D4219" s="5"/>
      <c r="E4219" s="5"/>
      <c r="F4219" s="5"/>
      <c r="G4219" s="5"/>
      <c r="H4219" s="5"/>
    </row>
    <row r="4220" spans="1:8" x14ac:dyDescent="0.25">
      <c r="A4220" s="4"/>
      <c r="B4220" s="5"/>
      <c r="C4220" s="5"/>
      <c r="D4220" s="5"/>
      <c r="E4220" s="5"/>
      <c r="F4220" s="5"/>
      <c r="G4220" s="5"/>
      <c r="H4220" s="5"/>
    </row>
    <row r="4221" spans="1:8" x14ac:dyDescent="0.25">
      <c r="A4221" s="4"/>
      <c r="B4221" s="5"/>
      <c r="C4221" s="5"/>
      <c r="D4221" s="5"/>
      <c r="E4221" s="5"/>
      <c r="F4221" s="5"/>
      <c r="G4221" s="5"/>
      <c r="H4221" s="5"/>
    </row>
    <row r="4222" spans="1:8" x14ac:dyDescent="0.25">
      <c r="A4222" s="4"/>
      <c r="B4222" s="5"/>
      <c r="C4222" s="5"/>
      <c r="D4222" s="5"/>
      <c r="E4222" s="5"/>
      <c r="F4222" s="5"/>
      <c r="G4222" s="5"/>
      <c r="H4222" s="5"/>
    </row>
    <row r="4223" spans="1:8" x14ac:dyDescent="0.25">
      <c r="A4223" s="4"/>
      <c r="B4223" s="5"/>
      <c r="C4223" s="5"/>
      <c r="D4223" s="5"/>
      <c r="E4223" s="5"/>
      <c r="F4223" s="5"/>
      <c r="G4223" s="5"/>
      <c r="H4223" s="5"/>
    </row>
    <row r="4224" spans="1:8" x14ac:dyDescent="0.25">
      <c r="A4224" s="4"/>
      <c r="B4224" s="5"/>
      <c r="C4224" s="5"/>
      <c r="D4224" s="5"/>
      <c r="E4224" s="5"/>
      <c r="F4224" s="5"/>
      <c r="G4224" s="5"/>
      <c r="H4224" s="5"/>
    </row>
    <row r="4225" spans="1:8" x14ac:dyDescent="0.25">
      <c r="A4225" s="4"/>
      <c r="B4225" s="5"/>
      <c r="C4225" s="5"/>
      <c r="D4225" s="5"/>
      <c r="E4225" s="5"/>
      <c r="F4225" s="5"/>
      <c r="G4225" s="5"/>
      <c r="H4225" s="5"/>
    </row>
    <row r="4226" spans="1:8" x14ac:dyDescent="0.25">
      <c r="A4226" s="4"/>
      <c r="B4226" s="5"/>
      <c r="C4226" s="5"/>
      <c r="D4226" s="5"/>
      <c r="E4226" s="5"/>
      <c r="F4226" s="5"/>
      <c r="G4226" s="5"/>
      <c r="H4226" s="5"/>
    </row>
    <row r="4227" spans="1:8" x14ac:dyDescent="0.25">
      <c r="A4227" s="4"/>
      <c r="B4227" s="5"/>
      <c r="C4227" s="5"/>
      <c r="D4227" s="5"/>
      <c r="E4227" s="5"/>
      <c r="F4227" s="5"/>
      <c r="G4227" s="5"/>
      <c r="H4227" s="5"/>
    </row>
    <row r="4228" spans="1:8" x14ac:dyDescent="0.25">
      <c r="A4228" s="4"/>
      <c r="B4228" s="5"/>
      <c r="C4228" s="5"/>
      <c r="D4228" s="5"/>
      <c r="E4228" s="5"/>
      <c r="F4228" s="5"/>
      <c r="G4228" s="5"/>
      <c r="H4228" s="5"/>
    </row>
    <row r="4229" spans="1:8" x14ac:dyDescent="0.25">
      <c r="A4229" s="4"/>
      <c r="B4229" s="5"/>
      <c r="C4229" s="5"/>
      <c r="D4229" s="5"/>
      <c r="E4229" s="5"/>
      <c r="F4229" s="5"/>
      <c r="G4229" s="5"/>
      <c r="H4229" s="5"/>
    </row>
    <row r="4230" spans="1:8" x14ac:dyDescent="0.25">
      <c r="A4230" s="4"/>
      <c r="B4230" s="5"/>
      <c r="C4230" s="5"/>
      <c r="D4230" s="5"/>
      <c r="E4230" s="5"/>
      <c r="F4230" s="5"/>
      <c r="G4230" s="5"/>
      <c r="H4230" s="5"/>
    </row>
    <row r="4231" spans="1:8" x14ac:dyDescent="0.25">
      <c r="A4231" s="4"/>
      <c r="B4231" s="5"/>
      <c r="C4231" s="5"/>
      <c r="D4231" s="5"/>
      <c r="E4231" s="5"/>
      <c r="F4231" s="5"/>
      <c r="G4231" s="5"/>
      <c r="H4231" s="5"/>
    </row>
    <row r="4232" spans="1:8" x14ac:dyDescent="0.25">
      <c r="A4232" s="4"/>
      <c r="B4232" s="5"/>
      <c r="C4232" s="5"/>
      <c r="D4232" s="5"/>
      <c r="E4232" s="5"/>
      <c r="F4232" s="5"/>
      <c r="G4232" s="5"/>
      <c r="H4232" s="5"/>
    </row>
    <row r="4233" spans="1:8" x14ac:dyDescent="0.25">
      <c r="A4233" s="4"/>
      <c r="B4233" s="5"/>
      <c r="C4233" s="5"/>
      <c r="D4233" s="5"/>
      <c r="E4233" s="5"/>
      <c r="F4233" s="5"/>
      <c r="G4233" s="5"/>
      <c r="H4233" s="5"/>
    </row>
    <row r="4234" spans="1:8" x14ac:dyDescent="0.25">
      <c r="A4234" s="4"/>
      <c r="B4234" s="5"/>
      <c r="C4234" s="5"/>
      <c r="D4234" s="5"/>
      <c r="E4234" s="5"/>
      <c r="F4234" s="5"/>
      <c r="G4234" s="5"/>
      <c r="H4234" s="5"/>
    </row>
    <row r="4235" spans="1:8" x14ac:dyDescent="0.25">
      <c r="A4235" s="4"/>
      <c r="B4235" s="5"/>
      <c r="C4235" s="5"/>
      <c r="D4235" s="5"/>
      <c r="E4235" s="5"/>
      <c r="F4235" s="5"/>
      <c r="G4235" s="5"/>
      <c r="H4235" s="5"/>
    </row>
    <row r="4236" spans="1:8" x14ac:dyDescent="0.25">
      <c r="A4236" s="4"/>
      <c r="B4236" s="5"/>
      <c r="C4236" s="5"/>
      <c r="D4236" s="5"/>
      <c r="E4236" s="5"/>
      <c r="F4236" s="5"/>
      <c r="G4236" s="5"/>
      <c r="H4236" s="5"/>
    </row>
    <row r="4237" spans="1:8" x14ac:dyDescent="0.25">
      <c r="A4237" s="4"/>
      <c r="B4237" s="5"/>
      <c r="C4237" s="5"/>
      <c r="D4237" s="5"/>
      <c r="E4237" s="5"/>
      <c r="F4237" s="5"/>
      <c r="G4237" s="5"/>
      <c r="H4237" s="5"/>
    </row>
    <row r="4238" spans="1:8" x14ac:dyDescent="0.25">
      <c r="A4238" s="4"/>
      <c r="B4238" s="5"/>
      <c r="C4238" s="5"/>
      <c r="D4238" s="5"/>
      <c r="E4238" s="5"/>
      <c r="F4238" s="5"/>
      <c r="G4238" s="5"/>
      <c r="H4238" s="5"/>
    </row>
    <row r="4239" spans="1:8" x14ac:dyDescent="0.25">
      <c r="A4239" s="4"/>
      <c r="B4239" s="5"/>
      <c r="C4239" s="5"/>
      <c r="D4239" s="5"/>
      <c r="E4239" s="5"/>
      <c r="F4239" s="5"/>
      <c r="G4239" s="5"/>
      <c r="H4239" s="5"/>
    </row>
    <row r="4240" spans="1:8" x14ac:dyDescent="0.25">
      <c r="A4240" s="4"/>
      <c r="B4240" s="5"/>
      <c r="C4240" s="5"/>
      <c r="D4240" s="5"/>
      <c r="E4240" s="5"/>
      <c r="F4240" s="5"/>
      <c r="G4240" s="5"/>
      <c r="H4240" s="5"/>
    </row>
    <row r="4241" spans="1:8" x14ac:dyDescent="0.25">
      <c r="A4241" s="4"/>
      <c r="B4241" s="5"/>
      <c r="C4241" s="5"/>
      <c r="D4241" s="5"/>
      <c r="E4241" s="5"/>
      <c r="F4241" s="5"/>
      <c r="G4241" s="5"/>
      <c r="H4241" s="5"/>
    </row>
    <row r="4242" spans="1:8" x14ac:dyDescent="0.25">
      <c r="A4242" s="4"/>
      <c r="B4242" s="5"/>
      <c r="C4242" s="5"/>
      <c r="D4242" s="5"/>
      <c r="E4242" s="5"/>
      <c r="F4242" s="5"/>
      <c r="G4242" s="5"/>
      <c r="H4242" s="5"/>
    </row>
    <row r="4243" spans="1:8" x14ac:dyDescent="0.25">
      <c r="A4243" s="4"/>
      <c r="B4243" s="5"/>
      <c r="C4243" s="5"/>
      <c r="D4243" s="5"/>
      <c r="E4243" s="5"/>
      <c r="F4243" s="5"/>
      <c r="G4243" s="5"/>
      <c r="H4243" s="5"/>
    </row>
    <row r="4244" spans="1:8" x14ac:dyDescent="0.25">
      <c r="A4244" s="4"/>
      <c r="B4244" s="5"/>
      <c r="C4244" s="5"/>
      <c r="D4244" s="5"/>
      <c r="E4244" s="5"/>
      <c r="F4244" s="5"/>
      <c r="G4244" s="5"/>
      <c r="H4244" s="5"/>
    </row>
    <row r="4245" spans="1:8" x14ac:dyDescent="0.25">
      <c r="A4245" s="4"/>
      <c r="B4245" s="5"/>
      <c r="C4245" s="5"/>
      <c r="D4245" s="5"/>
      <c r="E4245" s="5"/>
      <c r="F4245" s="5"/>
      <c r="G4245" s="5"/>
      <c r="H4245" s="5"/>
    </row>
    <row r="4246" spans="1:8" x14ac:dyDescent="0.25">
      <c r="A4246" s="4"/>
      <c r="B4246" s="5"/>
      <c r="C4246" s="5"/>
      <c r="D4246" s="5"/>
      <c r="E4246" s="5"/>
      <c r="F4246" s="5"/>
      <c r="G4246" s="5"/>
      <c r="H4246" s="5"/>
    </row>
    <row r="4247" spans="1:8" x14ac:dyDescent="0.25">
      <c r="A4247" s="4"/>
      <c r="B4247" s="5"/>
      <c r="C4247" s="5"/>
      <c r="D4247" s="5"/>
      <c r="E4247" s="5"/>
      <c r="F4247" s="5"/>
      <c r="G4247" s="5"/>
      <c r="H4247" s="5"/>
    </row>
    <row r="4248" spans="1:8" x14ac:dyDescent="0.25">
      <c r="A4248" s="4"/>
      <c r="B4248" s="5"/>
      <c r="C4248" s="5"/>
      <c r="D4248" s="5"/>
      <c r="E4248" s="5"/>
      <c r="F4248" s="5"/>
      <c r="G4248" s="5"/>
      <c r="H4248" s="5"/>
    </row>
    <row r="4249" spans="1:8" x14ac:dyDescent="0.25">
      <c r="A4249" s="4"/>
      <c r="B4249" s="5"/>
      <c r="C4249" s="5"/>
      <c r="D4249" s="5"/>
      <c r="E4249" s="5"/>
      <c r="F4249" s="5"/>
      <c r="G4249" s="5"/>
      <c r="H4249" s="5"/>
    </row>
    <row r="4250" spans="1:8" x14ac:dyDescent="0.25">
      <c r="A4250" s="4"/>
      <c r="B4250" s="5"/>
      <c r="C4250" s="5"/>
      <c r="D4250" s="5"/>
      <c r="E4250" s="5"/>
      <c r="F4250" s="5"/>
      <c r="G4250" s="5"/>
      <c r="H4250" s="5"/>
    </row>
    <row r="4251" spans="1:8" x14ac:dyDescent="0.25">
      <c r="A4251" s="4"/>
      <c r="B4251" s="5"/>
      <c r="C4251" s="5"/>
      <c r="D4251" s="5"/>
      <c r="E4251" s="5"/>
      <c r="F4251" s="5"/>
      <c r="G4251" s="5"/>
      <c r="H4251" s="5"/>
    </row>
    <row r="4252" spans="1:8" x14ac:dyDescent="0.25">
      <c r="A4252" s="4"/>
      <c r="B4252" s="5"/>
      <c r="C4252" s="5"/>
      <c r="D4252" s="5"/>
      <c r="E4252" s="5"/>
      <c r="F4252" s="5"/>
      <c r="G4252" s="5"/>
      <c r="H4252" s="5"/>
    </row>
    <row r="4253" spans="1:8" x14ac:dyDescent="0.25">
      <c r="A4253" s="4"/>
      <c r="B4253" s="5"/>
      <c r="C4253" s="5"/>
      <c r="D4253" s="5"/>
      <c r="E4253" s="5"/>
      <c r="F4253" s="5"/>
      <c r="G4253" s="5"/>
      <c r="H4253" s="5"/>
    </row>
    <row r="4254" spans="1:8" x14ac:dyDescent="0.25">
      <c r="A4254" s="4"/>
      <c r="B4254" s="5"/>
      <c r="C4254" s="5"/>
      <c r="D4254" s="5"/>
      <c r="E4254" s="5"/>
      <c r="F4254" s="5"/>
      <c r="G4254" s="5"/>
      <c r="H4254" s="5"/>
    </row>
    <row r="4255" spans="1:8" x14ac:dyDescent="0.25">
      <c r="A4255" s="4"/>
      <c r="B4255" s="5"/>
      <c r="C4255" s="5"/>
      <c r="D4255" s="5"/>
      <c r="E4255" s="5"/>
      <c r="F4255" s="5"/>
      <c r="G4255" s="5"/>
      <c r="H4255" s="5"/>
    </row>
    <row r="4256" spans="1:8" x14ac:dyDescent="0.25">
      <c r="A4256" s="4"/>
      <c r="B4256" s="5"/>
      <c r="C4256" s="5"/>
      <c r="D4256" s="5"/>
      <c r="E4256" s="5"/>
      <c r="F4256" s="5"/>
      <c r="G4256" s="5"/>
      <c r="H4256" s="5"/>
    </row>
    <row r="4257" spans="1:8" x14ac:dyDescent="0.25">
      <c r="A4257" s="4"/>
      <c r="B4257" s="5"/>
      <c r="C4257" s="5"/>
      <c r="D4257" s="5"/>
      <c r="E4257" s="5"/>
      <c r="F4257" s="5"/>
      <c r="G4257" s="5"/>
      <c r="H4257" s="5"/>
    </row>
    <row r="4258" spans="1:8" x14ac:dyDescent="0.25">
      <c r="A4258" s="4"/>
      <c r="B4258" s="5"/>
      <c r="C4258" s="5"/>
      <c r="D4258" s="5"/>
      <c r="E4258" s="5"/>
      <c r="F4258" s="5"/>
      <c r="G4258" s="5"/>
      <c r="H4258" s="5"/>
    </row>
    <row r="4259" spans="1:8" x14ac:dyDescent="0.25">
      <c r="A4259" s="4"/>
      <c r="B4259" s="5"/>
      <c r="C4259" s="5"/>
      <c r="D4259" s="5"/>
      <c r="E4259" s="5"/>
      <c r="F4259" s="5"/>
      <c r="G4259" s="5"/>
      <c r="H4259" s="5"/>
    </row>
    <row r="4260" spans="1:8" x14ac:dyDescent="0.25">
      <c r="A4260" s="4"/>
      <c r="B4260" s="5"/>
      <c r="C4260" s="5"/>
      <c r="D4260" s="5"/>
      <c r="E4260" s="5"/>
      <c r="F4260" s="5"/>
      <c r="G4260" s="5"/>
      <c r="H4260" s="5"/>
    </row>
    <row r="4261" spans="1:8" x14ac:dyDescent="0.25">
      <c r="A4261" s="4"/>
      <c r="B4261" s="5"/>
      <c r="C4261" s="5"/>
      <c r="D4261" s="5"/>
      <c r="E4261" s="5"/>
      <c r="F4261" s="5"/>
      <c r="G4261" s="5"/>
      <c r="H4261" s="5"/>
    </row>
    <row r="4262" spans="1:8" x14ac:dyDescent="0.25">
      <c r="A4262" s="4"/>
      <c r="B4262" s="5"/>
      <c r="C4262" s="5"/>
      <c r="D4262" s="5"/>
      <c r="E4262" s="5"/>
      <c r="F4262" s="5"/>
      <c r="G4262" s="5"/>
      <c r="H4262" s="5"/>
    </row>
    <row r="4263" spans="1:8" x14ac:dyDescent="0.25">
      <c r="A4263" s="4"/>
      <c r="B4263" s="5"/>
      <c r="C4263" s="5"/>
      <c r="D4263" s="5"/>
      <c r="E4263" s="5"/>
      <c r="F4263" s="5"/>
      <c r="G4263" s="5"/>
      <c r="H4263" s="5"/>
    </row>
    <row r="4264" spans="1:8" x14ac:dyDescent="0.25">
      <c r="A4264" s="4"/>
      <c r="B4264" s="5"/>
      <c r="C4264" s="5"/>
      <c r="D4264" s="5"/>
      <c r="E4264" s="5"/>
      <c r="F4264" s="5"/>
      <c r="G4264" s="5"/>
      <c r="H4264" s="5"/>
    </row>
    <row r="4265" spans="1:8" x14ac:dyDescent="0.25">
      <c r="A4265" s="4"/>
      <c r="B4265" s="5"/>
      <c r="C4265" s="5"/>
      <c r="D4265" s="5"/>
      <c r="E4265" s="5"/>
      <c r="F4265" s="5"/>
      <c r="G4265" s="5"/>
      <c r="H4265" s="5"/>
    </row>
    <row r="4266" spans="1:8" x14ac:dyDescent="0.25">
      <c r="A4266" s="4"/>
      <c r="B4266" s="5"/>
      <c r="C4266" s="5"/>
      <c r="D4266" s="5"/>
      <c r="E4266" s="5"/>
      <c r="F4266" s="5"/>
      <c r="G4266" s="5"/>
      <c r="H4266" s="5"/>
    </row>
    <row r="4267" spans="1:8" x14ac:dyDescent="0.25">
      <c r="A4267" s="4"/>
      <c r="B4267" s="5"/>
      <c r="C4267" s="5"/>
      <c r="D4267" s="5"/>
      <c r="E4267" s="5"/>
      <c r="F4267" s="5"/>
      <c r="G4267" s="5"/>
      <c r="H4267" s="5"/>
    </row>
    <row r="4268" spans="1:8" x14ac:dyDescent="0.25">
      <c r="A4268" s="4"/>
      <c r="B4268" s="5"/>
      <c r="C4268" s="5"/>
      <c r="D4268" s="5"/>
      <c r="E4268" s="5"/>
      <c r="F4268" s="5"/>
      <c r="G4268" s="5"/>
      <c r="H4268" s="5"/>
    </row>
    <row r="4269" spans="1:8" x14ac:dyDescent="0.25">
      <c r="A4269" s="4"/>
      <c r="B4269" s="5"/>
      <c r="C4269" s="5"/>
      <c r="D4269" s="5"/>
      <c r="E4269" s="5"/>
      <c r="F4269" s="5"/>
      <c r="G4269" s="5"/>
      <c r="H4269" s="5"/>
    </row>
    <row r="4270" spans="1:8" x14ac:dyDescent="0.25">
      <c r="A4270" s="4"/>
      <c r="B4270" s="5"/>
      <c r="C4270" s="5"/>
      <c r="D4270" s="5"/>
      <c r="E4270" s="5"/>
      <c r="F4270" s="5"/>
      <c r="G4270" s="5"/>
      <c r="H4270" s="5"/>
    </row>
    <row r="4271" spans="1:8" x14ac:dyDescent="0.25">
      <c r="A4271" s="4"/>
      <c r="B4271" s="5"/>
      <c r="C4271" s="5"/>
      <c r="D4271" s="5"/>
      <c r="E4271" s="5"/>
      <c r="F4271" s="5"/>
      <c r="G4271" s="5"/>
      <c r="H4271" s="5"/>
    </row>
    <row r="4272" spans="1:8" x14ac:dyDescent="0.25">
      <c r="A4272" s="4"/>
      <c r="B4272" s="5"/>
      <c r="C4272" s="5"/>
      <c r="D4272" s="5"/>
      <c r="E4272" s="5"/>
      <c r="F4272" s="5"/>
      <c r="G4272" s="5"/>
      <c r="H4272" s="5"/>
    </row>
    <row r="4273" spans="1:8" x14ac:dyDescent="0.25">
      <c r="A4273" s="4"/>
      <c r="B4273" s="5"/>
      <c r="C4273" s="5"/>
      <c r="D4273" s="5"/>
      <c r="E4273" s="5"/>
      <c r="F4273" s="5"/>
      <c r="G4273" s="5"/>
      <c r="H4273" s="5"/>
    </row>
    <row r="4274" spans="1:8" x14ac:dyDescent="0.25">
      <c r="A4274" s="4"/>
      <c r="B4274" s="5"/>
      <c r="C4274" s="5"/>
      <c r="D4274" s="5"/>
      <c r="E4274" s="5"/>
      <c r="F4274" s="5"/>
      <c r="G4274" s="5"/>
      <c r="H4274" s="5"/>
    </row>
    <row r="4275" spans="1:8" x14ac:dyDescent="0.25">
      <c r="A4275" s="4"/>
      <c r="B4275" s="5"/>
      <c r="C4275" s="5"/>
      <c r="D4275" s="5"/>
      <c r="E4275" s="5"/>
      <c r="F4275" s="5"/>
      <c r="G4275" s="5"/>
      <c r="H4275" s="5"/>
    </row>
    <row r="4276" spans="1:8" x14ac:dyDescent="0.25">
      <c r="A4276" s="4"/>
      <c r="B4276" s="5"/>
      <c r="C4276" s="5"/>
      <c r="D4276" s="5"/>
      <c r="E4276" s="5"/>
      <c r="F4276" s="5"/>
      <c r="G4276" s="5"/>
      <c r="H4276" s="5"/>
    </row>
    <row r="4277" spans="1:8" x14ac:dyDescent="0.25">
      <c r="A4277" s="4"/>
      <c r="B4277" s="5"/>
      <c r="C4277" s="5"/>
      <c r="D4277" s="5"/>
      <c r="E4277" s="5"/>
      <c r="F4277" s="5"/>
      <c r="G4277" s="5"/>
      <c r="H4277" s="5"/>
    </row>
    <row r="4278" spans="1:8" x14ac:dyDescent="0.25">
      <c r="A4278" s="4"/>
      <c r="B4278" s="5"/>
      <c r="C4278" s="5"/>
      <c r="D4278" s="5"/>
      <c r="E4278" s="5"/>
      <c r="F4278" s="5"/>
      <c r="G4278" s="5"/>
      <c r="H4278" s="5"/>
    </row>
    <row r="4279" spans="1:8" x14ac:dyDescent="0.25">
      <c r="A4279" s="4"/>
      <c r="B4279" s="5"/>
      <c r="C4279" s="5"/>
      <c r="D4279" s="5"/>
      <c r="E4279" s="5"/>
      <c r="F4279" s="5"/>
      <c r="G4279" s="5"/>
      <c r="H4279" s="5"/>
    </row>
    <row r="4280" spans="1:8" x14ac:dyDescent="0.25">
      <c r="A4280" s="4"/>
      <c r="B4280" s="5"/>
      <c r="C4280" s="5"/>
      <c r="D4280" s="5"/>
      <c r="E4280" s="5"/>
      <c r="F4280" s="5"/>
      <c r="G4280" s="5"/>
      <c r="H4280" s="5"/>
    </row>
    <row r="4281" spans="1:8" x14ac:dyDescent="0.25">
      <c r="A4281" s="4"/>
      <c r="B4281" s="5"/>
      <c r="C4281" s="5"/>
      <c r="D4281" s="5"/>
      <c r="E4281" s="5"/>
      <c r="F4281" s="5"/>
      <c r="G4281" s="5"/>
      <c r="H4281" s="5"/>
    </row>
    <row r="4282" spans="1:8" x14ac:dyDescent="0.25">
      <c r="A4282" s="4"/>
      <c r="B4282" s="5"/>
      <c r="C4282" s="5"/>
      <c r="D4282" s="5"/>
      <c r="E4282" s="5"/>
      <c r="F4282" s="5"/>
      <c r="G4282" s="5"/>
      <c r="H4282" s="5"/>
    </row>
    <row r="4283" spans="1:8" x14ac:dyDescent="0.25">
      <c r="A4283" s="4"/>
      <c r="B4283" s="5"/>
      <c r="C4283" s="5"/>
      <c r="D4283" s="5"/>
      <c r="E4283" s="5"/>
      <c r="F4283" s="5"/>
      <c r="G4283" s="5"/>
      <c r="H4283" s="5"/>
    </row>
    <row r="4284" spans="1:8" x14ac:dyDescent="0.25">
      <c r="A4284" s="4"/>
      <c r="B4284" s="5"/>
      <c r="C4284" s="5"/>
      <c r="D4284" s="5"/>
      <c r="E4284" s="5"/>
      <c r="F4284" s="5"/>
      <c r="G4284" s="5"/>
      <c r="H4284" s="5"/>
    </row>
    <row r="4285" spans="1:8" x14ac:dyDescent="0.25">
      <c r="A4285" s="4"/>
      <c r="B4285" s="5"/>
      <c r="C4285" s="5"/>
      <c r="D4285" s="5"/>
      <c r="E4285" s="5"/>
      <c r="F4285" s="5"/>
      <c r="G4285" s="5"/>
      <c r="H4285" s="5"/>
    </row>
    <row r="4286" spans="1:8" x14ac:dyDescent="0.25">
      <c r="A4286" s="4"/>
      <c r="B4286" s="5"/>
      <c r="C4286" s="5"/>
      <c r="D4286" s="5"/>
      <c r="E4286" s="5"/>
      <c r="F4286" s="5"/>
      <c r="G4286" s="5"/>
      <c r="H4286" s="5"/>
    </row>
    <row r="4287" spans="1:8" x14ac:dyDescent="0.25">
      <c r="A4287" s="4"/>
      <c r="B4287" s="5"/>
      <c r="C4287" s="5"/>
      <c r="D4287" s="5"/>
      <c r="E4287" s="5"/>
      <c r="F4287" s="5"/>
      <c r="G4287" s="5"/>
      <c r="H4287" s="5"/>
    </row>
    <row r="4288" spans="1:8" x14ac:dyDescent="0.25">
      <c r="A4288" s="4"/>
      <c r="B4288" s="5"/>
      <c r="C4288" s="5"/>
      <c r="D4288" s="5"/>
      <c r="E4288" s="5"/>
      <c r="F4288" s="5"/>
      <c r="G4288" s="5"/>
      <c r="H4288" s="5"/>
    </row>
    <row r="4289" spans="1:8" x14ac:dyDescent="0.25">
      <c r="A4289" s="4"/>
      <c r="B4289" s="5"/>
      <c r="C4289" s="5"/>
      <c r="D4289" s="5"/>
      <c r="E4289" s="5"/>
      <c r="F4289" s="5"/>
      <c r="G4289" s="5"/>
      <c r="H4289" s="5"/>
    </row>
    <row r="4290" spans="1:8" x14ac:dyDescent="0.25">
      <c r="A4290" s="4"/>
      <c r="B4290" s="5"/>
      <c r="C4290" s="5"/>
      <c r="D4290" s="5"/>
      <c r="E4290" s="5"/>
      <c r="F4290" s="5"/>
      <c r="G4290" s="5"/>
      <c r="H4290" s="5"/>
    </row>
    <row r="4291" spans="1:8" x14ac:dyDescent="0.25">
      <c r="A4291" s="4"/>
      <c r="B4291" s="5"/>
      <c r="C4291" s="5"/>
      <c r="D4291" s="5"/>
      <c r="E4291" s="5"/>
      <c r="F4291" s="5"/>
      <c r="G4291" s="5"/>
      <c r="H4291" s="5"/>
    </row>
    <row r="4292" spans="1:8" x14ac:dyDescent="0.25">
      <c r="A4292" s="4"/>
      <c r="B4292" s="5"/>
      <c r="C4292" s="5"/>
      <c r="D4292" s="5"/>
      <c r="E4292" s="5"/>
      <c r="F4292" s="5"/>
      <c r="G4292" s="5"/>
      <c r="H4292" s="5"/>
    </row>
    <row r="4293" spans="1:8" x14ac:dyDescent="0.25">
      <c r="A4293" s="4"/>
      <c r="B4293" s="5"/>
      <c r="C4293" s="5"/>
      <c r="D4293" s="5"/>
      <c r="E4293" s="5"/>
      <c r="F4293" s="5"/>
      <c r="G4293" s="5"/>
      <c r="H4293" s="5"/>
    </row>
    <row r="4294" spans="1:8" x14ac:dyDescent="0.25">
      <c r="A4294" s="4"/>
      <c r="B4294" s="5"/>
      <c r="C4294" s="5"/>
      <c r="D4294" s="5"/>
      <c r="E4294" s="5"/>
      <c r="F4294" s="5"/>
      <c r="G4294" s="5"/>
      <c r="H4294" s="5"/>
    </row>
    <row r="4295" spans="1:8" x14ac:dyDescent="0.25">
      <c r="A4295" s="4"/>
      <c r="B4295" s="5"/>
      <c r="C4295" s="5"/>
      <c r="D4295" s="5"/>
      <c r="E4295" s="5"/>
      <c r="F4295" s="5"/>
      <c r="G4295" s="5"/>
      <c r="H4295" s="5"/>
    </row>
    <row r="4296" spans="1:8" x14ac:dyDescent="0.25">
      <c r="A4296" s="4"/>
      <c r="B4296" s="5"/>
      <c r="C4296" s="5"/>
      <c r="D4296" s="5"/>
      <c r="E4296" s="5"/>
      <c r="F4296" s="5"/>
      <c r="G4296" s="5"/>
      <c r="H4296" s="5"/>
    </row>
    <row r="4297" spans="1:8" x14ac:dyDescent="0.25">
      <c r="A4297" s="4"/>
      <c r="B4297" s="5"/>
      <c r="C4297" s="5"/>
      <c r="D4297" s="5"/>
      <c r="E4297" s="5"/>
      <c r="F4297" s="5"/>
      <c r="G4297" s="5"/>
      <c r="H4297" s="5"/>
    </row>
    <row r="4298" spans="1:8" x14ac:dyDescent="0.25">
      <c r="A4298" s="4"/>
      <c r="B4298" s="5"/>
      <c r="C4298" s="5"/>
      <c r="D4298" s="5"/>
      <c r="E4298" s="5"/>
      <c r="F4298" s="5"/>
      <c r="G4298" s="5"/>
      <c r="H4298" s="5"/>
    </row>
    <row r="4299" spans="1:8" x14ac:dyDescent="0.25">
      <c r="A4299" s="4"/>
      <c r="B4299" s="5"/>
      <c r="C4299" s="5"/>
      <c r="D4299" s="5"/>
      <c r="E4299" s="5"/>
      <c r="F4299" s="5"/>
      <c r="G4299" s="5"/>
      <c r="H4299" s="5"/>
    </row>
    <row r="4300" spans="1:8" x14ac:dyDescent="0.25">
      <c r="A4300" s="4"/>
      <c r="B4300" s="5"/>
      <c r="C4300" s="5"/>
      <c r="D4300" s="5"/>
      <c r="E4300" s="5"/>
      <c r="F4300" s="5"/>
      <c r="G4300" s="5"/>
      <c r="H4300" s="5"/>
    </row>
    <row r="4301" spans="1:8" x14ac:dyDescent="0.25">
      <c r="A4301" s="4"/>
      <c r="B4301" s="5"/>
      <c r="C4301" s="5"/>
      <c r="D4301" s="5"/>
      <c r="E4301" s="5"/>
      <c r="F4301" s="5"/>
      <c r="G4301" s="5"/>
      <c r="H4301" s="5"/>
    </row>
    <row r="4302" spans="1:8" x14ac:dyDescent="0.25">
      <c r="A4302" s="4"/>
      <c r="B4302" s="5"/>
      <c r="C4302" s="5"/>
      <c r="D4302" s="5"/>
      <c r="E4302" s="5"/>
      <c r="F4302" s="5"/>
      <c r="G4302" s="5"/>
      <c r="H4302" s="5"/>
    </row>
    <row r="4303" spans="1:8" x14ac:dyDescent="0.25">
      <c r="A4303" s="4"/>
      <c r="B4303" s="5"/>
      <c r="C4303" s="5"/>
      <c r="D4303" s="5"/>
      <c r="E4303" s="5"/>
      <c r="F4303" s="5"/>
      <c r="G4303" s="5"/>
      <c r="H4303" s="5"/>
    </row>
    <row r="4304" spans="1:8" x14ac:dyDescent="0.25">
      <c r="A4304" s="4"/>
      <c r="B4304" s="5"/>
      <c r="C4304" s="5"/>
      <c r="D4304" s="5"/>
      <c r="E4304" s="5"/>
      <c r="F4304" s="5"/>
      <c r="G4304" s="5"/>
      <c r="H4304" s="5"/>
    </row>
    <row r="4305" spans="1:8" x14ac:dyDescent="0.25">
      <c r="A4305" s="4"/>
      <c r="B4305" s="5"/>
      <c r="C4305" s="5"/>
      <c r="D4305" s="5"/>
      <c r="E4305" s="5"/>
      <c r="F4305" s="5"/>
      <c r="G4305" s="5"/>
      <c r="H4305" s="5"/>
    </row>
    <row r="4306" spans="1:8" x14ac:dyDescent="0.25">
      <c r="A4306" s="4"/>
      <c r="B4306" s="5"/>
      <c r="C4306" s="5"/>
      <c r="D4306" s="5"/>
      <c r="E4306" s="5"/>
      <c r="F4306" s="5"/>
      <c r="G4306" s="5"/>
      <c r="H4306" s="5"/>
    </row>
    <row r="4307" spans="1:8" x14ac:dyDescent="0.25">
      <c r="A4307" s="4"/>
      <c r="B4307" s="5"/>
      <c r="C4307" s="5"/>
      <c r="D4307" s="5"/>
      <c r="E4307" s="5"/>
      <c r="F4307" s="5"/>
      <c r="G4307" s="5"/>
      <c r="H4307" s="5"/>
    </row>
    <row r="4308" spans="1:8" x14ac:dyDescent="0.25">
      <c r="A4308" s="4"/>
      <c r="B4308" s="5"/>
      <c r="C4308" s="5"/>
      <c r="D4308" s="5"/>
      <c r="E4308" s="5"/>
      <c r="F4308" s="5"/>
      <c r="G4308" s="5"/>
      <c r="H4308" s="5"/>
    </row>
    <row r="4309" spans="1:8" x14ac:dyDescent="0.25">
      <c r="A4309" s="4"/>
      <c r="B4309" s="5"/>
      <c r="C4309" s="5"/>
      <c r="D4309" s="5"/>
      <c r="E4309" s="5"/>
      <c r="F4309" s="5"/>
      <c r="G4309" s="5"/>
      <c r="H4309" s="5"/>
    </row>
    <row r="4310" spans="1:8" x14ac:dyDescent="0.25">
      <c r="A4310" s="4"/>
      <c r="B4310" s="5"/>
      <c r="C4310" s="5"/>
      <c r="D4310" s="5"/>
      <c r="E4310" s="5"/>
      <c r="F4310" s="5"/>
      <c r="G4310" s="5"/>
      <c r="H4310" s="5"/>
    </row>
    <row r="4311" spans="1:8" x14ac:dyDescent="0.25">
      <c r="A4311" s="4"/>
      <c r="B4311" s="5"/>
      <c r="C4311" s="5"/>
      <c r="D4311" s="5"/>
      <c r="E4311" s="5"/>
      <c r="F4311" s="5"/>
      <c r="G4311" s="5"/>
      <c r="H4311" s="5"/>
    </row>
    <row r="4312" spans="1:8" x14ac:dyDescent="0.25">
      <c r="A4312" s="4"/>
      <c r="B4312" s="5"/>
      <c r="C4312" s="5"/>
      <c r="D4312" s="5"/>
      <c r="E4312" s="5"/>
      <c r="F4312" s="5"/>
      <c r="G4312" s="5"/>
      <c r="H4312" s="5"/>
    </row>
    <row r="4313" spans="1:8" x14ac:dyDescent="0.25">
      <c r="A4313" s="4"/>
      <c r="B4313" s="5"/>
      <c r="C4313" s="5"/>
      <c r="D4313" s="5"/>
      <c r="E4313" s="5"/>
      <c r="F4313" s="5"/>
      <c r="G4313" s="5"/>
      <c r="H4313" s="5"/>
    </row>
    <row r="4314" spans="1:8" x14ac:dyDescent="0.25">
      <c r="A4314" s="4"/>
      <c r="B4314" s="5"/>
      <c r="C4314" s="5"/>
      <c r="D4314" s="5"/>
      <c r="E4314" s="5"/>
      <c r="F4314" s="5"/>
      <c r="G4314" s="5"/>
      <c r="H4314" s="5"/>
    </row>
    <row r="4315" spans="1:8" x14ac:dyDescent="0.25">
      <c r="A4315" s="4"/>
      <c r="B4315" s="5"/>
      <c r="C4315" s="5"/>
      <c r="D4315" s="5"/>
      <c r="E4315" s="5"/>
      <c r="F4315" s="5"/>
      <c r="G4315" s="5"/>
      <c r="H4315" s="5"/>
    </row>
    <row r="4316" spans="1:8" x14ac:dyDescent="0.25">
      <c r="A4316" s="4"/>
      <c r="B4316" s="5"/>
      <c r="C4316" s="5"/>
      <c r="D4316" s="5"/>
      <c r="E4316" s="5"/>
      <c r="F4316" s="5"/>
      <c r="G4316" s="5"/>
      <c r="H4316" s="5"/>
    </row>
    <row r="4317" spans="1:8" x14ac:dyDescent="0.25">
      <c r="A4317" s="4"/>
      <c r="B4317" s="5"/>
      <c r="C4317" s="5"/>
      <c r="D4317" s="5"/>
      <c r="E4317" s="5"/>
      <c r="F4317" s="5"/>
      <c r="G4317" s="5"/>
      <c r="H4317" s="5"/>
    </row>
    <row r="4318" spans="1:8" x14ac:dyDescent="0.25">
      <c r="A4318" s="4"/>
      <c r="B4318" s="5"/>
      <c r="C4318" s="5"/>
      <c r="D4318" s="5"/>
      <c r="E4318" s="5"/>
      <c r="F4318" s="5"/>
      <c r="G4318" s="5"/>
      <c r="H4318" s="5"/>
    </row>
    <row r="4319" spans="1:8" x14ac:dyDescent="0.25">
      <c r="A4319" s="4"/>
      <c r="B4319" s="5"/>
      <c r="C4319" s="5"/>
      <c r="D4319" s="5"/>
      <c r="E4319" s="5"/>
      <c r="F4319" s="5"/>
      <c r="G4319" s="5"/>
      <c r="H4319" s="5"/>
    </row>
    <row r="4320" spans="1:8" x14ac:dyDescent="0.25">
      <c r="A4320" s="4"/>
      <c r="B4320" s="5"/>
      <c r="C4320" s="5"/>
      <c r="D4320" s="5"/>
      <c r="E4320" s="5"/>
      <c r="F4320" s="5"/>
      <c r="G4320" s="5"/>
      <c r="H4320" s="5"/>
    </row>
    <row r="4321" spans="1:8" x14ac:dyDescent="0.25">
      <c r="A4321" s="4"/>
      <c r="B4321" s="5"/>
      <c r="C4321" s="5"/>
      <c r="D4321" s="5"/>
      <c r="E4321" s="5"/>
      <c r="F4321" s="5"/>
      <c r="G4321" s="5"/>
      <c r="H4321" s="5"/>
    </row>
    <row r="4322" spans="1:8" x14ac:dyDescent="0.25">
      <c r="A4322" s="4"/>
      <c r="B4322" s="5"/>
      <c r="C4322" s="5"/>
      <c r="D4322" s="5"/>
      <c r="E4322" s="5"/>
      <c r="F4322" s="5"/>
      <c r="G4322" s="5"/>
      <c r="H4322" s="5"/>
    </row>
    <row r="4323" spans="1:8" x14ac:dyDescent="0.25">
      <c r="A4323" s="4"/>
      <c r="B4323" s="5"/>
      <c r="C4323" s="5"/>
      <c r="D4323" s="5"/>
      <c r="E4323" s="5"/>
      <c r="F4323" s="5"/>
      <c r="G4323" s="5"/>
      <c r="H4323" s="5"/>
    </row>
    <row r="4324" spans="1:8" x14ac:dyDescent="0.25">
      <c r="A4324" s="4"/>
      <c r="B4324" s="5"/>
      <c r="C4324" s="5"/>
      <c r="D4324" s="5"/>
      <c r="E4324" s="5"/>
      <c r="F4324" s="5"/>
      <c r="G4324" s="5"/>
      <c r="H4324" s="5"/>
    </row>
    <row r="4325" spans="1:8" x14ac:dyDescent="0.25">
      <c r="A4325" s="4"/>
      <c r="B4325" s="5"/>
      <c r="C4325" s="5"/>
      <c r="D4325" s="5"/>
      <c r="E4325" s="5"/>
      <c r="F4325" s="5"/>
      <c r="G4325" s="5"/>
      <c r="H4325" s="5"/>
    </row>
    <row r="4326" spans="1:8" x14ac:dyDescent="0.25">
      <c r="A4326" s="4"/>
      <c r="B4326" s="5"/>
      <c r="C4326" s="5"/>
      <c r="D4326" s="5"/>
      <c r="E4326" s="5"/>
      <c r="F4326" s="5"/>
      <c r="G4326" s="5"/>
      <c r="H4326" s="5"/>
    </row>
    <row r="4327" spans="1:8" x14ac:dyDescent="0.25">
      <c r="A4327" s="4"/>
      <c r="B4327" s="5"/>
      <c r="C4327" s="5"/>
      <c r="D4327" s="5"/>
      <c r="E4327" s="5"/>
      <c r="F4327" s="5"/>
      <c r="G4327" s="5"/>
      <c r="H4327" s="5"/>
    </row>
    <row r="4328" spans="1:8" x14ac:dyDescent="0.25">
      <c r="A4328" s="4"/>
      <c r="B4328" s="5"/>
      <c r="C4328" s="5"/>
      <c r="D4328" s="5"/>
      <c r="E4328" s="5"/>
      <c r="F4328" s="5"/>
      <c r="G4328" s="5"/>
      <c r="H4328" s="5"/>
    </row>
    <row r="4329" spans="1:8" x14ac:dyDescent="0.25">
      <c r="A4329" s="4"/>
      <c r="B4329" s="5"/>
      <c r="C4329" s="5"/>
      <c r="D4329" s="5"/>
      <c r="E4329" s="5"/>
      <c r="F4329" s="5"/>
      <c r="G4329" s="5"/>
      <c r="H4329" s="5"/>
    </row>
    <row r="4330" spans="1:8" x14ac:dyDescent="0.25">
      <c r="A4330" s="4"/>
      <c r="B4330" s="5"/>
      <c r="C4330" s="5"/>
      <c r="D4330" s="5"/>
      <c r="E4330" s="5"/>
      <c r="F4330" s="5"/>
      <c r="G4330" s="5"/>
      <c r="H4330" s="5"/>
    </row>
    <row r="4331" spans="1:8" x14ac:dyDescent="0.25">
      <c r="A4331" s="4"/>
      <c r="B4331" s="5"/>
      <c r="C4331" s="5"/>
      <c r="D4331" s="5"/>
      <c r="E4331" s="5"/>
      <c r="F4331" s="5"/>
      <c r="G4331" s="5"/>
      <c r="H4331" s="5"/>
    </row>
    <row r="4332" spans="1:8" x14ac:dyDescent="0.25">
      <c r="A4332" s="4"/>
      <c r="B4332" s="5"/>
      <c r="C4332" s="5"/>
      <c r="D4332" s="5"/>
      <c r="E4332" s="5"/>
      <c r="F4332" s="5"/>
      <c r="G4332" s="5"/>
      <c r="H4332" s="5"/>
    </row>
    <row r="4333" spans="1:8" x14ac:dyDescent="0.25">
      <c r="A4333" s="4"/>
      <c r="B4333" s="5"/>
      <c r="C4333" s="5"/>
      <c r="D4333" s="5"/>
      <c r="E4333" s="5"/>
      <c r="F4333" s="5"/>
      <c r="G4333" s="5"/>
      <c r="H4333" s="5"/>
    </row>
    <row r="4334" spans="1:8" x14ac:dyDescent="0.25">
      <c r="A4334" s="4"/>
      <c r="B4334" s="5"/>
      <c r="C4334" s="5"/>
      <c r="D4334" s="5"/>
      <c r="E4334" s="5"/>
      <c r="F4334" s="5"/>
      <c r="G4334" s="5"/>
      <c r="H4334" s="5"/>
    </row>
    <row r="4335" spans="1:8" x14ac:dyDescent="0.25">
      <c r="A4335" s="4"/>
      <c r="B4335" s="5"/>
      <c r="C4335" s="5"/>
      <c r="D4335" s="5"/>
      <c r="E4335" s="5"/>
      <c r="F4335" s="5"/>
      <c r="G4335" s="5"/>
      <c r="H4335" s="5"/>
    </row>
    <row r="4336" spans="1:8" x14ac:dyDescent="0.25">
      <c r="A4336" s="4"/>
      <c r="B4336" s="5"/>
      <c r="C4336" s="5"/>
      <c r="D4336" s="5"/>
      <c r="E4336" s="5"/>
      <c r="F4336" s="5"/>
      <c r="G4336" s="5"/>
      <c r="H4336" s="5"/>
    </row>
    <row r="4337" spans="1:8" x14ac:dyDescent="0.25">
      <c r="A4337" s="4"/>
      <c r="B4337" s="5"/>
      <c r="C4337" s="5"/>
      <c r="D4337" s="5"/>
      <c r="E4337" s="5"/>
      <c r="F4337" s="5"/>
      <c r="G4337" s="5"/>
      <c r="H4337" s="5"/>
    </row>
    <row r="4338" spans="1:8" x14ac:dyDescent="0.25">
      <c r="A4338" s="4"/>
      <c r="B4338" s="5"/>
      <c r="C4338" s="5"/>
      <c r="D4338" s="5"/>
      <c r="E4338" s="5"/>
      <c r="F4338" s="5"/>
      <c r="G4338" s="5"/>
      <c r="H4338" s="5"/>
    </row>
    <row r="4339" spans="1:8" x14ac:dyDescent="0.25">
      <c r="A4339" s="4"/>
      <c r="B4339" s="5"/>
      <c r="C4339" s="5"/>
      <c r="D4339" s="5"/>
      <c r="E4339" s="5"/>
      <c r="F4339" s="5"/>
      <c r="G4339" s="5"/>
      <c r="H4339" s="5"/>
    </row>
    <row r="4340" spans="1:8" x14ac:dyDescent="0.25">
      <c r="A4340" s="4"/>
      <c r="B4340" s="5"/>
      <c r="C4340" s="5"/>
      <c r="D4340" s="5"/>
      <c r="E4340" s="5"/>
      <c r="F4340" s="5"/>
      <c r="G4340" s="5"/>
      <c r="H4340" s="5"/>
    </row>
    <row r="4341" spans="1:8" x14ac:dyDescent="0.25">
      <c r="A4341" s="4"/>
      <c r="B4341" s="5"/>
      <c r="C4341" s="5"/>
      <c r="D4341" s="5"/>
      <c r="E4341" s="5"/>
      <c r="F4341" s="5"/>
      <c r="G4341" s="5"/>
      <c r="H4341" s="5"/>
    </row>
    <row r="4342" spans="1:8" x14ac:dyDescent="0.25">
      <c r="A4342" s="4"/>
      <c r="B4342" s="5"/>
      <c r="C4342" s="5"/>
      <c r="D4342" s="5"/>
      <c r="E4342" s="5"/>
      <c r="F4342" s="5"/>
      <c r="G4342" s="5"/>
      <c r="H4342" s="5"/>
    </row>
    <row r="4343" spans="1:8" x14ac:dyDescent="0.25">
      <c r="A4343" s="4"/>
      <c r="B4343" s="5"/>
      <c r="C4343" s="5"/>
      <c r="D4343" s="5"/>
      <c r="E4343" s="5"/>
      <c r="F4343" s="5"/>
      <c r="G4343" s="5"/>
      <c r="H4343" s="5"/>
    </row>
    <row r="4344" spans="1:8" x14ac:dyDescent="0.25">
      <c r="A4344" s="4"/>
      <c r="B4344" s="5"/>
      <c r="C4344" s="5"/>
      <c r="D4344" s="5"/>
      <c r="E4344" s="5"/>
      <c r="F4344" s="5"/>
      <c r="G4344" s="5"/>
      <c r="H4344" s="5"/>
    </row>
    <row r="4345" spans="1:8" x14ac:dyDescent="0.25">
      <c r="A4345" s="4"/>
      <c r="B4345" s="5"/>
      <c r="C4345" s="5"/>
      <c r="D4345" s="5"/>
      <c r="E4345" s="5"/>
      <c r="F4345" s="5"/>
      <c r="G4345" s="5"/>
      <c r="H4345" s="5"/>
    </row>
    <row r="4346" spans="1:8" x14ac:dyDescent="0.25">
      <c r="A4346" s="4"/>
      <c r="B4346" s="5"/>
      <c r="C4346" s="5"/>
      <c r="D4346" s="5"/>
      <c r="E4346" s="5"/>
      <c r="F4346" s="5"/>
      <c r="G4346" s="5"/>
      <c r="H4346" s="5"/>
    </row>
    <row r="4347" spans="1:8" x14ac:dyDescent="0.25">
      <c r="A4347" s="4"/>
      <c r="B4347" s="5"/>
      <c r="C4347" s="5"/>
      <c r="D4347" s="5"/>
      <c r="E4347" s="5"/>
      <c r="F4347" s="5"/>
      <c r="G4347" s="5"/>
      <c r="H4347" s="5"/>
    </row>
    <row r="4348" spans="1:8" x14ac:dyDescent="0.25">
      <c r="A4348" s="4"/>
      <c r="B4348" s="5"/>
      <c r="C4348" s="5"/>
      <c r="D4348" s="5"/>
      <c r="E4348" s="5"/>
      <c r="F4348" s="5"/>
      <c r="G4348" s="5"/>
      <c r="H4348" s="5"/>
    </row>
    <row r="4349" spans="1:8" x14ac:dyDescent="0.25">
      <c r="A4349" s="4"/>
      <c r="B4349" s="5"/>
      <c r="C4349" s="5"/>
      <c r="D4349" s="5"/>
      <c r="E4349" s="5"/>
      <c r="F4349" s="5"/>
      <c r="G4349" s="5"/>
      <c r="H4349" s="5"/>
    </row>
    <row r="4350" spans="1:8" x14ac:dyDescent="0.25">
      <c r="A4350" s="4"/>
      <c r="B4350" s="5"/>
      <c r="C4350" s="5"/>
      <c r="D4350" s="5"/>
      <c r="E4350" s="5"/>
      <c r="F4350" s="5"/>
      <c r="G4350" s="5"/>
      <c r="H4350" s="5"/>
    </row>
    <row r="4351" spans="1:8" x14ac:dyDescent="0.25">
      <c r="A4351" s="4"/>
      <c r="B4351" s="5"/>
      <c r="C4351" s="5"/>
      <c r="D4351" s="5"/>
      <c r="E4351" s="5"/>
      <c r="F4351" s="5"/>
      <c r="G4351" s="5"/>
      <c r="H4351" s="5"/>
    </row>
    <row r="4352" spans="1:8" x14ac:dyDescent="0.25">
      <c r="A4352" s="4"/>
      <c r="B4352" s="5"/>
      <c r="C4352" s="5"/>
      <c r="D4352" s="5"/>
      <c r="E4352" s="5"/>
      <c r="F4352" s="5"/>
      <c r="G4352" s="5"/>
      <c r="H4352" s="5"/>
    </row>
    <row r="4353" spans="1:8" x14ac:dyDescent="0.25">
      <c r="A4353" s="4"/>
      <c r="B4353" s="5"/>
      <c r="C4353" s="5"/>
      <c r="D4353" s="5"/>
      <c r="E4353" s="5"/>
      <c r="F4353" s="5"/>
      <c r="G4353" s="5"/>
      <c r="H4353" s="5"/>
    </row>
    <row r="4354" spans="1:8" x14ac:dyDescent="0.25">
      <c r="A4354" s="4"/>
      <c r="B4354" s="5"/>
      <c r="C4354" s="5"/>
      <c r="D4354" s="5"/>
      <c r="E4354" s="5"/>
      <c r="F4354" s="5"/>
      <c r="G4354" s="5"/>
      <c r="H4354" s="5"/>
    </row>
    <row r="4355" spans="1:8" x14ac:dyDescent="0.25">
      <c r="A4355" s="4"/>
      <c r="B4355" s="5"/>
      <c r="C4355" s="5"/>
      <c r="D4355" s="5"/>
      <c r="E4355" s="5"/>
      <c r="F4355" s="5"/>
      <c r="G4355" s="5"/>
      <c r="H4355" s="5"/>
    </row>
    <row r="4356" spans="1:8" x14ac:dyDescent="0.25">
      <c r="A4356" s="4"/>
      <c r="B4356" s="5"/>
      <c r="C4356" s="5"/>
      <c r="D4356" s="5"/>
      <c r="E4356" s="5"/>
      <c r="F4356" s="5"/>
      <c r="G4356" s="5"/>
      <c r="H4356" s="5"/>
    </row>
    <row r="4357" spans="1:8" x14ac:dyDescent="0.25">
      <c r="A4357" s="4"/>
      <c r="B4357" s="5"/>
      <c r="C4357" s="5"/>
      <c r="D4357" s="5"/>
      <c r="E4357" s="5"/>
      <c r="F4357" s="5"/>
      <c r="G4357" s="5"/>
      <c r="H4357" s="5"/>
    </row>
    <row r="4358" spans="1:8" x14ac:dyDescent="0.25">
      <c r="A4358" s="4"/>
      <c r="B4358" s="5"/>
      <c r="C4358" s="5"/>
      <c r="D4358" s="5"/>
      <c r="E4358" s="5"/>
      <c r="F4358" s="5"/>
      <c r="G4358" s="5"/>
      <c r="H4358" s="5"/>
    </row>
    <row r="4359" spans="1:8" x14ac:dyDescent="0.25">
      <c r="A4359" s="4"/>
      <c r="B4359" s="5"/>
      <c r="C4359" s="5"/>
      <c r="D4359" s="5"/>
      <c r="E4359" s="5"/>
      <c r="F4359" s="5"/>
      <c r="G4359" s="5"/>
      <c r="H4359" s="5"/>
    </row>
    <row r="4360" spans="1:8" x14ac:dyDescent="0.25">
      <c r="A4360" s="4"/>
      <c r="B4360" s="5"/>
      <c r="C4360" s="5"/>
      <c r="D4360" s="5"/>
      <c r="E4360" s="5"/>
      <c r="F4360" s="5"/>
      <c r="G4360" s="5"/>
      <c r="H4360" s="5"/>
    </row>
    <row r="4361" spans="1:8" x14ac:dyDescent="0.25">
      <c r="A4361" s="4"/>
      <c r="B4361" s="5"/>
      <c r="C4361" s="5"/>
      <c r="D4361" s="5"/>
      <c r="E4361" s="5"/>
      <c r="F4361" s="5"/>
      <c r="G4361" s="5"/>
      <c r="H4361" s="5"/>
    </row>
    <row r="4362" spans="1:8" x14ac:dyDescent="0.25">
      <c r="A4362" s="4"/>
      <c r="B4362" s="5"/>
      <c r="C4362" s="5"/>
      <c r="D4362" s="5"/>
      <c r="E4362" s="5"/>
      <c r="F4362" s="5"/>
      <c r="G4362" s="5"/>
      <c r="H4362" s="5"/>
    </row>
    <row r="4363" spans="1:8" x14ac:dyDescent="0.25">
      <c r="A4363" s="4"/>
      <c r="B4363" s="5"/>
      <c r="C4363" s="5"/>
      <c r="D4363" s="5"/>
      <c r="E4363" s="5"/>
      <c r="F4363" s="5"/>
      <c r="G4363" s="5"/>
      <c r="H4363" s="5"/>
    </row>
    <row r="4364" spans="1:8" x14ac:dyDescent="0.25">
      <c r="A4364" s="4"/>
      <c r="B4364" s="5"/>
      <c r="C4364" s="5"/>
      <c r="D4364" s="5"/>
      <c r="E4364" s="5"/>
      <c r="F4364" s="5"/>
      <c r="G4364" s="5"/>
      <c r="H4364" s="5"/>
    </row>
    <row r="4365" spans="1:8" x14ac:dyDescent="0.25">
      <c r="A4365" s="4"/>
      <c r="B4365" s="5"/>
      <c r="C4365" s="5"/>
      <c r="D4365" s="5"/>
      <c r="E4365" s="5"/>
      <c r="F4365" s="5"/>
      <c r="G4365" s="5"/>
      <c r="H4365" s="5"/>
    </row>
    <row r="4366" spans="1:8" x14ac:dyDescent="0.25">
      <c r="A4366" s="4"/>
      <c r="B4366" s="5"/>
      <c r="C4366" s="5"/>
      <c r="D4366" s="5"/>
      <c r="E4366" s="5"/>
      <c r="F4366" s="5"/>
      <c r="G4366" s="5"/>
      <c r="H4366" s="5"/>
    </row>
    <row r="4367" spans="1:8" x14ac:dyDescent="0.25">
      <c r="A4367" s="4"/>
      <c r="B4367" s="5"/>
      <c r="C4367" s="5"/>
      <c r="D4367" s="5"/>
      <c r="E4367" s="5"/>
      <c r="F4367" s="5"/>
      <c r="G4367" s="5"/>
      <c r="H4367" s="5"/>
    </row>
    <row r="4368" spans="1:8" x14ac:dyDescent="0.25">
      <c r="A4368" s="4"/>
      <c r="B4368" s="5"/>
      <c r="C4368" s="5"/>
      <c r="D4368" s="5"/>
      <c r="E4368" s="5"/>
      <c r="F4368" s="5"/>
      <c r="G4368" s="5"/>
      <c r="H4368" s="5"/>
    </row>
    <row r="4369" spans="1:8" x14ac:dyDescent="0.25">
      <c r="A4369" s="4"/>
      <c r="B4369" s="5"/>
      <c r="C4369" s="5"/>
      <c r="D4369" s="5"/>
      <c r="E4369" s="5"/>
      <c r="F4369" s="5"/>
      <c r="G4369" s="5"/>
      <c r="H4369" s="5"/>
    </row>
    <row r="4370" spans="1:8" x14ac:dyDescent="0.25">
      <c r="A4370" s="4"/>
      <c r="B4370" s="5"/>
      <c r="C4370" s="5"/>
      <c r="D4370" s="5"/>
      <c r="E4370" s="5"/>
      <c r="F4370" s="5"/>
      <c r="G4370" s="5"/>
      <c r="H4370" s="5"/>
    </row>
    <row r="4371" spans="1:8" x14ac:dyDescent="0.25">
      <c r="A4371" s="4"/>
      <c r="B4371" s="5"/>
      <c r="C4371" s="5"/>
      <c r="D4371" s="5"/>
      <c r="E4371" s="5"/>
      <c r="F4371" s="5"/>
      <c r="G4371" s="5"/>
      <c r="H4371" s="5"/>
    </row>
    <row r="4372" spans="1:8" x14ac:dyDescent="0.25">
      <c r="A4372" s="4"/>
      <c r="B4372" s="5"/>
      <c r="C4372" s="5"/>
      <c r="D4372" s="5"/>
      <c r="E4372" s="5"/>
      <c r="F4372" s="5"/>
      <c r="G4372" s="5"/>
      <c r="H4372" s="5"/>
    </row>
    <row r="4373" spans="1:8" x14ac:dyDescent="0.25">
      <c r="A4373" s="4"/>
      <c r="B4373" s="5"/>
      <c r="C4373" s="5"/>
      <c r="D4373" s="5"/>
      <c r="E4373" s="5"/>
      <c r="F4373" s="5"/>
      <c r="G4373" s="5"/>
      <c r="H4373" s="5"/>
    </row>
    <row r="4374" spans="1:8" x14ac:dyDescent="0.25">
      <c r="A4374" s="4"/>
      <c r="B4374" s="5"/>
      <c r="C4374" s="5"/>
      <c r="D4374" s="5"/>
      <c r="E4374" s="5"/>
      <c r="F4374" s="5"/>
      <c r="G4374" s="5"/>
      <c r="H4374" s="5"/>
    </row>
    <row r="4375" spans="1:8" x14ac:dyDescent="0.25">
      <c r="A4375" s="4"/>
      <c r="B4375" s="5"/>
      <c r="C4375" s="5"/>
      <c r="D4375" s="5"/>
      <c r="E4375" s="5"/>
      <c r="F4375" s="5"/>
      <c r="G4375" s="5"/>
      <c r="H4375" s="5"/>
    </row>
    <row r="4376" spans="1:8" x14ac:dyDescent="0.25">
      <c r="A4376" s="4"/>
      <c r="B4376" s="5"/>
      <c r="C4376" s="5"/>
      <c r="D4376" s="5"/>
      <c r="E4376" s="5"/>
      <c r="F4376" s="5"/>
      <c r="G4376" s="5"/>
      <c r="H4376" s="5"/>
    </row>
    <row r="4377" spans="1:8" x14ac:dyDescent="0.25">
      <c r="A4377" s="4"/>
      <c r="B4377" s="5"/>
      <c r="C4377" s="5"/>
      <c r="D4377" s="5"/>
      <c r="E4377" s="5"/>
      <c r="F4377" s="5"/>
      <c r="G4377" s="5"/>
      <c r="H4377" s="5"/>
    </row>
    <row r="4378" spans="1:8" x14ac:dyDescent="0.25">
      <c r="A4378" s="4"/>
      <c r="B4378" s="5"/>
      <c r="C4378" s="5"/>
      <c r="D4378" s="5"/>
      <c r="E4378" s="5"/>
      <c r="F4378" s="5"/>
      <c r="G4378" s="5"/>
      <c r="H4378" s="5"/>
    </row>
    <row r="4379" spans="1:8" x14ac:dyDescent="0.25">
      <c r="A4379" s="4"/>
      <c r="B4379" s="5"/>
      <c r="C4379" s="5"/>
      <c r="D4379" s="5"/>
      <c r="E4379" s="5"/>
      <c r="F4379" s="5"/>
      <c r="G4379" s="5"/>
      <c r="H4379" s="5"/>
    </row>
    <row r="4380" spans="1:8" x14ac:dyDescent="0.25">
      <c r="A4380" s="4"/>
      <c r="B4380" s="5"/>
      <c r="C4380" s="5"/>
      <c r="D4380" s="5"/>
      <c r="E4380" s="5"/>
      <c r="F4380" s="5"/>
      <c r="G4380" s="5"/>
      <c r="H4380" s="5"/>
    </row>
    <row r="4381" spans="1:8" x14ac:dyDescent="0.25">
      <c r="A4381" s="4"/>
      <c r="B4381" s="5"/>
      <c r="C4381" s="5"/>
      <c r="D4381" s="5"/>
      <c r="E4381" s="5"/>
      <c r="F4381" s="5"/>
      <c r="G4381" s="5"/>
      <c r="H4381" s="5"/>
    </row>
    <row r="4382" spans="1:8" x14ac:dyDescent="0.25">
      <c r="A4382" s="4"/>
      <c r="B4382" s="5"/>
      <c r="C4382" s="5"/>
      <c r="D4382" s="5"/>
      <c r="E4382" s="5"/>
      <c r="F4382" s="5"/>
      <c r="G4382" s="5"/>
      <c r="H4382" s="5"/>
    </row>
    <row r="4383" spans="1:8" x14ac:dyDescent="0.25">
      <c r="A4383" s="4"/>
      <c r="B4383" s="5"/>
      <c r="C4383" s="5"/>
      <c r="D4383" s="5"/>
      <c r="E4383" s="5"/>
      <c r="F4383" s="5"/>
      <c r="G4383" s="5"/>
      <c r="H4383" s="5"/>
    </row>
    <row r="4384" spans="1:8" x14ac:dyDescent="0.25">
      <c r="A4384" s="4"/>
      <c r="B4384" s="5"/>
      <c r="C4384" s="5"/>
      <c r="D4384" s="5"/>
      <c r="E4384" s="5"/>
      <c r="F4384" s="5"/>
      <c r="G4384" s="5"/>
      <c r="H4384" s="5"/>
    </row>
    <row r="4385" spans="1:8" x14ac:dyDescent="0.25">
      <c r="A4385" s="4"/>
      <c r="B4385" s="5"/>
      <c r="C4385" s="5"/>
      <c r="D4385" s="5"/>
      <c r="E4385" s="5"/>
      <c r="F4385" s="5"/>
      <c r="G4385" s="5"/>
      <c r="H4385" s="5"/>
    </row>
    <row r="4386" spans="1:8" x14ac:dyDescent="0.25">
      <c r="A4386" s="4"/>
      <c r="B4386" s="5"/>
      <c r="C4386" s="5"/>
      <c r="D4386" s="5"/>
      <c r="E4386" s="5"/>
      <c r="F4386" s="5"/>
      <c r="G4386" s="5"/>
      <c r="H4386" s="5"/>
    </row>
    <row r="4387" spans="1:8" x14ac:dyDescent="0.25">
      <c r="A4387" s="4"/>
      <c r="B4387" s="5"/>
      <c r="C4387" s="5"/>
      <c r="D4387" s="5"/>
      <c r="E4387" s="5"/>
      <c r="F4387" s="5"/>
      <c r="G4387" s="5"/>
      <c r="H4387" s="5"/>
    </row>
    <row r="4388" spans="1:8" x14ac:dyDescent="0.25">
      <c r="A4388" s="4"/>
      <c r="B4388" s="5"/>
      <c r="C4388" s="5"/>
      <c r="D4388" s="5"/>
      <c r="E4388" s="5"/>
      <c r="F4388" s="5"/>
      <c r="G4388" s="5"/>
      <c r="H4388" s="5"/>
    </row>
    <row r="4389" spans="1:8" x14ac:dyDescent="0.25">
      <c r="A4389" s="4"/>
      <c r="B4389" s="5"/>
      <c r="C4389" s="5"/>
      <c r="D4389" s="5"/>
      <c r="E4389" s="5"/>
      <c r="F4389" s="5"/>
      <c r="G4389" s="5"/>
      <c r="H4389" s="5"/>
    </row>
    <row r="4390" spans="1:8" x14ac:dyDescent="0.25">
      <c r="A4390" s="4"/>
      <c r="B4390" s="5"/>
      <c r="C4390" s="5"/>
      <c r="D4390" s="5"/>
      <c r="E4390" s="5"/>
      <c r="F4390" s="5"/>
      <c r="G4390" s="5"/>
      <c r="H4390" s="5"/>
    </row>
    <row r="4391" spans="1:8" x14ac:dyDescent="0.25">
      <c r="A4391" s="4"/>
      <c r="B4391" s="5"/>
      <c r="C4391" s="5"/>
      <c r="D4391" s="5"/>
      <c r="E4391" s="5"/>
      <c r="F4391" s="5"/>
      <c r="G4391" s="5"/>
      <c r="H4391" s="5"/>
    </row>
    <row r="4392" spans="1:8" x14ac:dyDescent="0.25">
      <c r="A4392" s="4"/>
      <c r="B4392" s="5"/>
      <c r="C4392" s="5"/>
      <c r="D4392" s="5"/>
      <c r="E4392" s="5"/>
      <c r="F4392" s="5"/>
      <c r="G4392" s="5"/>
      <c r="H4392" s="5"/>
    </row>
    <row r="4393" spans="1:8" x14ac:dyDescent="0.25">
      <c r="A4393" s="4"/>
      <c r="B4393" s="5"/>
      <c r="C4393" s="5"/>
      <c r="D4393" s="5"/>
      <c r="E4393" s="5"/>
      <c r="F4393" s="5"/>
      <c r="G4393" s="5"/>
      <c r="H4393" s="5"/>
    </row>
    <row r="4394" spans="1:8" x14ac:dyDescent="0.25">
      <c r="A4394" s="4"/>
      <c r="B4394" s="5"/>
      <c r="C4394" s="5"/>
      <c r="D4394" s="5"/>
      <c r="E4394" s="5"/>
      <c r="F4394" s="5"/>
      <c r="G4394" s="5"/>
      <c r="H4394" s="5"/>
    </row>
    <row r="4395" spans="1:8" x14ac:dyDescent="0.25">
      <c r="A4395" s="4"/>
      <c r="B4395" s="5"/>
      <c r="C4395" s="5"/>
      <c r="D4395" s="5"/>
      <c r="E4395" s="5"/>
      <c r="F4395" s="5"/>
      <c r="G4395" s="5"/>
      <c r="H4395" s="5"/>
    </row>
    <row r="4396" spans="1:8" x14ac:dyDescent="0.25">
      <c r="A4396" s="4"/>
      <c r="B4396" s="5"/>
      <c r="C4396" s="5"/>
      <c r="D4396" s="5"/>
      <c r="E4396" s="5"/>
      <c r="F4396" s="5"/>
      <c r="G4396" s="5"/>
      <c r="H4396" s="5"/>
    </row>
    <row r="4397" spans="1:8" x14ac:dyDescent="0.25">
      <c r="A4397" s="4"/>
      <c r="B4397" s="5"/>
      <c r="C4397" s="5"/>
      <c r="D4397" s="5"/>
      <c r="E4397" s="5"/>
      <c r="F4397" s="5"/>
      <c r="G4397" s="5"/>
      <c r="H4397" s="5"/>
    </row>
    <row r="4398" spans="1:8" x14ac:dyDescent="0.25">
      <c r="A4398" s="4"/>
      <c r="B4398" s="5"/>
      <c r="C4398" s="5"/>
      <c r="D4398" s="5"/>
      <c r="E4398" s="5"/>
      <c r="F4398" s="5"/>
      <c r="G4398" s="5"/>
      <c r="H4398" s="5"/>
    </row>
    <row r="4399" spans="1:8" x14ac:dyDescent="0.25">
      <c r="A4399" s="4"/>
      <c r="B4399" s="5"/>
      <c r="C4399" s="5"/>
      <c r="D4399" s="5"/>
      <c r="E4399" s="5"/>
      <c r="F4399" s="5"/>
      <c r="G4399" s="5"/>
      <c r="H4399" s="5"/>
    </row>
    <row r="4400" spans="1:8" x14ac:dyDescent="0.25">
      <c r="A4400" s="4"/>
      <c r="B4400" s="5"/>
      <c r="C4400" s="5"/>
      <c r="D4400" s="5"/>
      <c r="E4400" s="5"/>
      <c r="F4400" s="5"/>
      <c r="G4400" s="5"/>
      <c r="H4400" s="5"/>
    </row>
    <row r="4401" spans="1:8" x14ac:dyDescent="0.25">
      <c r="A4401" s="4"/>
      <c r="B4401" s="5"/>
      <c r="C4401" s="5"/>
      <c r="D4401" s="5"/>
      <c r="E4401" s="5"/>
      <c r="F4401" s="5"/>
      <c r="G4401" s="5"/>
      <c r="H4401" s="5"/>
    </row>
    <row r="4402" spans="1:8" x14ac:dyDescent="0.25">
      <c r="A4402" s="4"/>
      <c r="B4402" s="5"/>
      <c r="C4402" s="5"/>
      <c r="D4402" s="5"/>
      <c r="E4402" s="5"/>
      <c r="F4402" s="5"/>
      <c r="G4402" s="5"/>
      <c r="H4402" s="5"/>
    </row>
    <row r="4403" spans="1:8" x14ac:dyDescent="0.25">
      <c r="A4403" s="4"/>
      <c r="B4403" s="5"/>
      <c r="C4403" s="5"/>
      <c r="D4403" s="5"/>
      <c r="E4403" s="5"/>
      <c r="F4403" s="5"/>
      <c r="G4403" s="5"/>
      <c r="H4403" s="5"/>
    </row>
    <row r="4404" spans="1:8" x14ac:dyDescent="0.25">
      <c r="A4404" s="4"/>
      <c r="B4404" s="5"/>
      <c r="C4404" s="5"/>
      <c r="D4404" s="5"/>
      <c r="E4404" s="5"/>
      <c r="F4404" s="5"/>
      <c r="G4404" s="5"/>
      <c r="H4404" s="5"/>
    </row>
    <row r="4405" spans="1:8" x14ac:dyDescent="0.25">
      <c r="A4405" s="4"/>
      <c r="B4405" s="5"/>
      <c r="C4405" s="5"/>
      <c r="D4405" s="5"/>
      <c r="E4405" s="5"/>
      <c r="F4405" s="5"/>
      <c r="G4405" s="5"/>
      <c r="H4405" s="5"/>
    </row>
    <row r="4406" spans="1:8" x14ac:dyDescent="0.25">
      <c r="A4406" s="4"/>
      <c r="B4406" s="5"/>
      <c r="C4406" s="5"/>
      <c r="D4406" s="5"/>
      <c r="E4406" s="5"/>
      <c r="F4406" s="5"/>
      <c r="G4406" s="5"/>
      <c r="H4406" s="5"/>
    </row>
    <row r="4407" spans="1:8" x14ac:dyDescent="0.25">
      <c r="A4407" s="4"/>
      <c r="B4407" s="5"/>
      <c r="C4407" s="5"/>
      <c r="D4407" s="5"/>
      <c r="E4407" s="5"/>
      <c r="F4407" s="5"/>
      <c r="G4407" s="5"/>
      <c r="H4407" s="5"/>
    </row>
    <row r="4408" spans="1:8" x14ac:dyDescent="0.25">
      <c r="A4408" s="4"/>
      <c r="B4408" s="5"/>
      <c r="C4408" s="5"/>
      <c r="D4408" s="5"/>
      <c r="E4408" s="5"/>
      <c r="F4408" s="5"/>
      <c r="G4408" s="5"/>
      <c r="H4408" s="5"/>
    </row>
    <row r="4409" spans="1:8" x14ac:dyDescent="0.25">
      <c r="A4409" s="4"/>
      <c r="B4409" s="5"/>
      <c r="C4409" s="5"/>
      <c r="D4409" s="5"/>
      <c r="E4409" s="5"/>
      <c r="F4409" s="5"/>
      <c r="G4409" s="5"/>
      <c r="H4409" s="5"/>
    </row>
    <row r="4410" spans="1:8" x14ac:dyDescent="0.25">
      <c r="A4410" s="4"/>
      <c r="B4410" s="5"/>
      <c r="C4410" s="5"/>
      <c r="D4410" s="5"/>
      <c r="E4410" s="5"/>
      <c r="F4410" s="5"/>
      <c r="G4410" s="5"/>
      <c r="H4410" s="5"/>
    </row>
    <row r="4411" spans="1:8" x14ac:dyDescent="0.25">
      <c r="A4411" s="4"/>
      <c r="B4411" s="5"/>
      <c r="C4411" s="5"/>
      <c r="D4411" s="5"/>
      <c r="E4411" s="5"/>
      <c r="F4411" s="5"/>
      <c r="G4411" s="5"/>
      <c r="H4411" s="5"/>
    </row>
    <row r="4412" spans="1:8" x14ac:dyDescent="0.25">
      <c r="A4412" s="4"/>
      <c r="B4412" s="5"/>
      <c r="C4412" s="5"/>
      <c r="D4412" s="5"/>
      <c r="E4412" s="5"/>
      <c r="F4412" s="5"/>
      <c r="G4412" s="5"/>
      <c r="H4412" s="5"/>
    </row>
    <row r="4413" spans="1:8" x14ac:dyDescent="0.25">
      <c r="A4413" s="4"/>
      <c r="B4413" s="5"/>
      <c r="C4413" s="5"/>
      <c r="D4413" s="5"/>
      <c r="E4413" s="5"/>
      <c r="F4413" s="5"/>
      <c r="G4413" s="5"/>
      <c r="H4413" s="5"/>
    </row>
    <row r="4414" spans="1:8" x14ac:dyDescent="0.25">
      <c r="A4414" s="4"/>
      <c r="B4414" s="5"/>
      <c r="C4414" s="5"/>
      <c r="D4414" s="5"/>
      <c r="E4414" s="5"/>
      <c r="F4414" s="5"/>
      <c r="G4414" s="5"/>
      <c r="H4414" s="5"/>
    </row>
    <row r="4415" spans="1:8" x14ac:dyDescent="0.25">
      <c r="A4415" s="4"/>
      <c r="B4415" s="5"/>
      <c r="C4415" s="5"/>
      <c r="D4415" s="5"/>
      <c r="E4415" s="5"/>
      <c r="F4415" s="5"/>
      <c r="G4415" s="5"/>
      <c r="H4415" s="5"/>
    </row>
    <row r="4416" spans="1:8" x14ac:dyDescent="0.25">
      <c r="A4416" s="4"/>
      <c r="B4416" s="5"/>
      <c r="C4416" s="5"/>
      <c r="D4416" s="5"/>
      <c r="E4416" s="5"/>
      <c r="F4416" s="5"/>
      <c r="G4416" s="5"/>
      <c r="H4416" s="5"/>
    </row>
    <row r="4417" spans="1:8" x14ac:dyDescent="0.25">
      <c r="A4417" s="4"/>
      <c r="B4417" s="5"/>
      <c r="C4417" s="5"/>
      <c r="D4417" s="5"/>
      <c r="E4417" s="5"/>
      <c r="F4417" s="5"/>
      <c r="G4417" s="5"/>
      <c r="H4417" s="5"/>
    </row>
    <row r="4418" spans="1:8" x14ac:dyDescent="0.25">
      <c r="A4418" s="4"/>
      <c r="B4418" s="5"/>
      <c r="C4418" s="5"/>
      <c r="D4418" s="5"/>
      <c r="E4418" s="5"/>
      <c r="F4418" s="5"/>
      <c r="G4418" s="5"/>
      <c r="H4418" s="5"/>
    </row>
    <row r="4419" spans="1:8" x14ac:dyDescent="0.25">
      <c r="A4419" s="4"/>
      <c r="B4419" s="5"/>
      <c r="C4419" s="5"/>
      <c r="D4419" s="5"/>
      <c r="E4419" s="5"/>
      <c r="F4419" s="5"/>
      <c r="G4419" s="5"/>
      <c r="H4419" s="5"/>
    </row>
    <row r="4420" spans="1:8" x14ac:dyDescent="0.25">
      <c r="A4420" s="4"/>
      <c r="B4420" s="5"/>
      <c r="C4420" s="5"/>
      <c r="D4420" s="5"/>
      <c r="E4420" s="5"/>
      <c r="F4420" s="5"/>
      <c r="G4420" s="5"/>
      <c r="H4420" s="5"/>
    </row>
    <row r="4421" spans="1:8" x14ac:dyDescent="0.25">
      <c r="A4421" s="4"/>
      <c r="B4421" s="5"/>
      <c r="C4421" s="5"/>
      <c r="D4421" s="5"/>
      <c r="E4421" s="5"/>
      <c r="F4421" s="5"/>
      <c r="G4421" s="5"/>
      <c r="H4421" s="5"/>
    </row>
    <row r="4422" spans="1:8" x14ac:dyDescent="0.25">
      <c r="A4422" s="4"/>
      <c r="B4422" s="5"/>
      <c r="C4422" s="5"/>
      <c r="D4422" s="5"/>
      <c r="E4422" s="5"/>
      <c r="F4422" s="5"/>
      <c r="G4422" s="5"/>
      <c r="H4422" s="5"/>
    </row>
    <row r="4423" spans="1:8" x14ac:dyDescent="0.25">
      <c r="A4423" s="4"/>
      <c r="B4423" s="5"/>
      <c r="C4423" s="5"/>
      <c r="D4423" s="5"/>
      <c r="E4423" s="5"/>
      <c r="F4423" s="5"/>
      <c r="G4423" s="5"/>
      <c r="H4423" s="5"/>
    </row>
    <row r="4424" spans="1:8" x14ac:dyDescent="0.25">
      <c r="A4424" s="4"/>
      <c r="B4424" s="5"/>
      <c r="C4424" s="5"/>
      <c r="D4424" s="5"/>
      <c r="E4424" s="5"/>
      <c r="F4424" s="5"/>
      <c r="G4424" s="5"/>
      <c r="H4424" s="5"/>
    </row>
    <row r="4425" spans="1:8" x14ac:dyDescent="0.25">
      <c r="A4425" s="4"/>
      <c r="B4425" s="5"/>
      <c r="C4425" s="5"/>
      <c r="D4425" s="5"/>
      <c r="E4425" s="5"/>
      <c r="F4425" s="5"/>
      <c r="G4425" s="5"/>
      <c r="H4425" s="5"/>
    </row>
    <row r="4426" spans="1:8" x14ac:dyDescent="0.25">
      <c r="A4426" s="4"/>
      <c r="B4426" s="5"/>
      <c r="C4426" s="5"/>
      <c r="D4426" s="5"/>
      <c r="E4426" s="5"/>
      <c r="F4426" s="5"/>
      <c r="G4426" s="5"/>
      <c r="H4426" s="5"/>
    </row>
    <row r="4427" spans="1:8" x14ac:dyDescent="0.25">
      <c r="A4427" s="4"/>
      <c r="B4427" s="5"/>
      <c r="C4427" s="5"/>
      <c r="D4427" s="5"/>
      <c r="E4427" s="5"/>
      <c r="F4427" s="5"/>
      <c r="G4427" s="5"/>
      <c r="H4427" s="5"/>
    </row>
    <row r="4428" spans="1:8" x14ac:dyDescent="0.25">
      <c r="A4428" s="4"/>
      <c r="B4428" s="5"/>
      <c r="C4428" s="5"/>
      <c r="D4428" s="5"/>
      <c r="E4428" s="5"/>
      <c r="F4428" s="5"/>
      <c r="G4428" s="5"/>
      <c r="H4428" s="5"/>
    </row>
    <row r="4429" spans="1:8" x14ac:dyDescent="0.25">
      <c r="A4429" s="4"/>
      <c r="B4429" s="5"/>
      <c r="C4429" s="5"/>
      <c r="D4429" s="5"/>
      <c r="E4429" s="5"/>
      <c r="F4429" s="5"/>
      <c r="G4429" s="5"/>
      <c r="H4429" s="5"/>
    </row>
    <row r="4430" spans="1:8" x14ac:dyDescent="0.25">
      <c r="A4430" s="4"/>
      <c r="B4430" s="5"/>
      <c r="C4430" s="5"/>
      <c r="D4430" s="5"/>
      <c r="E4430" s="5"/>
      <c r="F4430" s="5"/>
      <c r="G4430" s="5"/>
      <c r="H4430" s="5"/>
    </row>
    <row r="4431" spans="1:8" x14ac:dyDescent="0.25">
      <c r="A4431" s="4"/>
      <c r="B4431" s="5"/>
      <c r="C4431" s="5"/>
      <c r="D4431" s="5"/>
      <c r="E4431" s="5"/>
      <c r="F4431" s="5"/>
      <c r="G4431" s="5"/>
      <c r="H4431" s="5"/>
    </row>
    <row r="4432" spans="1:8" x14ac:dyDescent="0.25">
      <c r="A4432" s="4"/>
      <c r="B4432" s="5"/>
      <c r="C4432" s="5"/>
      <c r="D4432" s="5"/>
      <c r="E4432" s="5"/>
      <c r="F4432" s="5"/>
      <c r="G4432" s="5"/>
      <c r="H4432" s="5"/>
    </row>
    <row r="4433" spans="1:8" x14ac:dyDescent="0.25">
      <c r="A4433" s="4"/>
      <c r="B4433" s="5"/>
      <c r="C4433" s="5"/>
      <c r="D4433" s="5"/>
      <c r="E4433" s="5"/>
      <c r="F4433" s="5"/>
      <c r="G4433" s="5"/>
      <c r="H4433" s="5"/>
    </row>
    <row r="4434" spans="1:8" x14ac:dyDescent="0.25">
      <c r="A4434" s="4"/>
      <c r="B4434" s="5"/>
      <c r="C4434" s="5"/>
      <c r="D4434" s="5"/>
      <c r="E4434" s="5"/>
      <c r="F4434" s="5"/>
      <c r="G4434" s="5"/>
      <c r="H4434" s="5"/>
    </row>
    <row r="4435" spans="1:8" x14ac:dyDescent="0.25">
      <c r="A4435" s="4"/>
      <c r="B4435" s="5"/>
      <c r="C4435" s="5"/>
      <c r="D4435" s="5"/>
      <c r="E4435" s="5"/>
      <c r="F4435" s="5"/>
      <c r="G4435" s="5"/>
      <c r="H4435" s="5"/>
    </row>
    <row r="4436" spans="1:8" x14ac:dyDescent="0.25">
      <c r="A4436" s="4"/>
      <c r="B4436" s="5"/>
      <c r="C4436" s="5"/>
      <c r="D4436" s="5"/>
      <c r="E4436" s="5"/>
      <c r="F4436" s="5"/>
      <c r="G4436" s="5"/>
      <c r="H4436" s="5"/>
    </row>
    <row r="4437" spans="1:8" x14ac:dyDescent="0.25">
      <c r="A4437" s="4"/>
      <c r="B4437" s="5"/>
      <c r="C4437" s="5"/>
      <c r="D4437" s="5"/>
      <c r="E4437" s="5"/>
      <c r="F4437" s="5"/>
      <c r="G4437" s="5"/>
      <c r="H4437" s="5"/>
    </row>
    <row r="4438" spans="1:8" x14ac:dyDescent="0.25">
      <c r="A4438" s="4"/>
      <c r="B4438" s="5"/>
      <c r="C4438" s="5"/>
      <c r="D4438" s="5"/>
      <c r="E4438" s="5"/>
      <c r="F4438" s="5"/>
      <c r="G4438" s="5"/>
      <c r="H4438" s="5"/>
    </row>
    <row r="4439" spans="1:8" x14ac:dyDescent="0.25">
      <c r="A4439" s="4"/>
      <c r="B4439" s="5"/>
      <c r="C4439" s="5"/>
      <c r="D4439" s="5"/>
      <c r="E4439" s="5"/>
      <c r="F4439" s="5"/>
      <c r="G4439" s="5"/>
      <c r="H4439" s="5"/>
    </row>
    <row r="4440" spans="1:8" x14ac:dyDescent="0.25">
      <c r="A4440" s="4"/>
      <c r="B4440" s="5"/>
      <c r="C4440" s="5"/>
      <c r="D4440" s="5"/>
      <c r="E4440" s="5"/>
      <c r="F4440" s="5"/>
      <c r="G4440" s="5"/>
      <c r="H4440" s="5"/>
    </row>
    <row r="4441" spans="1:8" x14ac:dyDescent="0.25">
      <c r="A4441" s="4"/>
      <c r="B4441" s="5"/>
      <c r="C4441" s="5"/>
      <c r="D4441" s="5"/>
      <c r="E4441" s="5"/>
      <c r="F4441" s="5"/>
      <c r="G4441" s="5"/>
      <c r="H4441" s="5"/>
    </row>
    <row r="4442" spans="1:8" x14ac:dyDescent="0.25">
      <c r="A4442" s="4"/>
      <c r="B4442" s="5"/>
      <c r="C4442" s="5"/>
      <c r="D4442" s="5"/>
      <c r="E4442" s="5"/>
      <c r="F4442" s="5"/>
      <c r="G4442" s="5"/>
      <c r="H4442" s="5"/>
    </row>
    <row r="4443" spans="1:8" x14ac:dyDescent="0.25">
      <c r="A4443" s="4"/>
      <c r="B4443" s="5"/>
      <c r="C4443" s="5"/>
      <c r="D4443" s="5"/>
      <c r="E4443" s="5"/>
      <c r="F4443" s="5"/>
      <c r="G4443" s="5"/>
      <c r="H4443" s="5"/>
    </row>
    <row r="4444" spans="1:8" x14ac:dyDescent="0.25">
      <c r="A4444" s="4"/>
      <c r="B4444" s="5"/>
      <c r="C4444" s="5"/>
      <c r="D4444" s="5"/>
      <c r="E4444" s="5"/>
      <c r="F4444" s="5"/>
      <c r="G4444" s="5"/>
      <c r="H4444" s="5"/>
    </row>
    <row r="4445" spans="1:8" x14ac:dyDescent="0.25">
      <c r="A4445" s="4"/>
      <c r="B4445" s="5"/>
      <c r="C4445" s="5"/>
      <c r="D4445" s="5"/>
      <c r="E4445" s="5"/>
      <c r="F4445" s="5"/>
      <c r="G4445" s="5"/>
      <c r="H4445" s="5"/>
    </row>
    <row r="4446" spans="1:8" x14ac:dyDescent="0.25">
      <c r="A4446" s="4"/>
      <c r="B4446" s="5"/>
      <c r="C4446" s="5"/>
      <c r="D4446" s="5"/>
      <c r="E4446" s="5"/>
      <c r="F4446" s="5"/>
      <c r="G4446" s="5"/>
      <c r="H4446" s="5"/>
    </row>
    <row r="4447" spans="1:8" x14ac:dyDescent="0.25">
      <c r="A4447" s="4"/>
      <c r="B4447" s="5"/>
      <c r="C4447" s="5"/>
      <c r="D4447" s="5"/>
      <c r="E4447" s="5"/>
      <c r="F4447" s="5"/>
      <c r="G4447" s="5"/>
      <c r="H4447" s="5"/>
    </row>
    <row r="4448" spans="1:8" x14ac:dyDescent="0.25">
      <c r="A4448" s="4"/>
      <c r="B4448" s="5"/>
      <c r="C4448" s="5"/>
      <c r="D4448" s="5"/>
      <c r="E4448" s="5"/>
      <c r="F4448" s="5"/>
      <c r="G4448" s="5"/>
      <c r="H4448" s="5"/>
    </row>
    <row r="4449" spans="1:8" x14ac:dyDescent="0.25">
      <c r="A4449" s="4"/>
      <c r="B4449" s="5"/>
      <c r="C4449" s="5"/>
      <c r="D4449" s="5"/>
      <c r="E4449" s="5"/>
      <c r="F4449" s="5"/>
      <c r="G4449" s="5"/>
      <c r="H4449" s="5"/>
    </row>
    <row r="4450" spans="1:8" x14ac:dyDescent="0.25">
      <c r="A4450" s="4"/>
      <c r="B4450" s="5"/>
      <c r="C4450" s="5"/>
      <c r="D4450" s="5"/>
      <c r="E4450" s="5"/>
      <c r="F4450" s="5"/>
      <c r="G4450" s="5"/>
      <c r="H4450" s="5"/>
    </row>
    <row r="4451" spans="1:8" x14ac:dyDescent="0.25">
      <c r="A4451" s="4"/>
      <c r="B4451" s="5"/>
      <c r="C4451" s="5"/>
      <c r="D4451" s="5"/>
      <c r="E4451" s="5"/>
      <c r="F4451" s="5"/>
      <c r="G4451" s="5"/>
      <c r="H4451" s="5"/>
    </row>
    <row r="4452" spans="1:8" x14ac:dyDescent="0.25">
      <c r="A4452" s="4"/>
      <c r="B4452" s="5"/>
      <c r="C4452" s="5"/>
      <c r="D4452" s="5"/>
      <c r="E4452" s="5"/>
      <c r="F4452" s="5"/>
      <c r="G4452" s="5"/>
      <c r="H4452" s="5"/>
    </row>
    <row r="4453" spans="1:8" x14ac:dyDescent="0.25">
      <c r="A4453" s="4"/>
      <c r="B4453" s="5"/>
      <c r="C4453" s="5"/>
      <c r="D4453" s="5"/>
      <c r="E4453" s="5"/>
      <c r="F4453" s="5"/>
      <c r="G4453" s="5"/>
      <c r="H4453" s="5"/>
    </row>
    <row r="4454" spans="1:8" x14ac:dyDescent="0.25">
      <c r="A4454" s="4"/>
      <c r="B4454" s="5"/>
      <c r="C4454" s="5"/>
      <c r="D4454" s="5"/>
      <c r="E4454" s="5"/>
      <c r="F4454" s="5"/>
      <c r="G4454" s="5"/>
      <c r="H4454" s="5"/>
    </row>
    <row r="4455" spans="1:8" x14ac:dyDescent="0.25">
      <c r="A4455" s="4"/>
      <c r="B4455" s="5"/>
      <c r="C4455" s="5"/>
      <c r="D4455" s="5"/>
      <c r="E4455" s="5"/>
      <c r="F4455" s="5"/>
      <c r="G4455" s="5"/>
      <c r="H4455" s="5"/>
    </row>
    <row r="4456" spans="1:8" x14ac:dyDescent="0.25">
      <c r="A4456" s="4"/>
      <c r="B4456" s="5"/>
      <c r="C4456" s="5"/>
      <c r="D4456" s="5"/>
      <c r="E4456" s="5"/>
      <c r="F4456" s="5"/>
      <c r="G4456" s="5"/>
      <c r="H4456" s="5"/>
    </row>
    <row r="4457" spans="1:8" x14ac:dyDescent="0.25">
      <c r="A4457" s="4"/>
      <c r="B4457" s="5"/>
      <c r="C4457" s="5"/>
      <c r="D4457" s="5"/>
      <c r="E4457" s="5"/>
      <c r="F4457" s="5"/>
      <c r="G4457" s="5"/>
      <c r="H4457" s="5"/>
    </row>
    <row r="4458" spans="1:8" x14ac:dyDescent="0.25">
      <c r="A4458" s="4"/>
      <c r="B4458" s="5"/>
      <c r="C4458" s="5"/>
      <c r="D4458" s="5"/>
      <c r="E4458" s="5"/>
      <c r="F4458" s="5"/>
      <c r="G4458" s="5"/>
      <c r="H4458" s="5"/>
    </row>
    <row r="4459" spans="1:8" x14ac:dyDescent="0.25">
      <c r="A4459" s="4"/>
      <c r="B4459" s="5"/>
      <c r="C4459" s="5"/>
      <c r="D4459" s="5"/>
      <c r="E4459" s="5"/>
      <c r="F4459" s="5"/>
      <c r="G4459" s="5"/>
      <c r="H4459" s="5"/>
    </row>
    <row r="4460" spans="1:8" x14ac:dyDescent="0.25">
      <c r="A4460" s="4"/>
      <c r="B4460" s="5"/>
      <c r="C4460" s="5"/>
      <c r="D4460" s="5"/>
      <c r="E4460" s="5"/>
      <c r="F4460" s="5"/>
      <c r="G4460" s="5"/>
      <c r="H4460" s="5"/>
    </row>
    <row r="4461" spans="1:8" x14ac:dyDescent="0.25">
      <c r="A4461" s="4"/>
      <c r="B4461" s="5"/>
      <c r="C4461" s="5"/>
      <c r="D4461" s="5"/>
      <c r="E4461" s="5"/>
      <c r="F4461" s="5"/>
      <c r="G4461" s="5"/>
      <c r="H4461" s="5"/>
    </row>
    <row r="4462" spans="1:8" x14ac:dyDescent="0.25">
      <c r="A4462" s="4"/>
      <c r="B4462" s="5"/>
      <c r="C4462" s="5"/>
      <c r="D4462" s="5"/>
      <c r="E4462" s="5"/>
      <c r="F4462" s="5"/>
      <c r="G4462" s="5"/>
      <c r="H4462" s="5"/>
    </row>
    <row r="4463" spans="1:8" x14ac:dyDescent="0.25">
      <c r="A4463" s="4"/>
      <c r="B4463" s="5"/>
      <c r="C4463" s="5"/>
      <c r="D4463" s="5"/>
      <c r="E4463" s="5"/>
      <c r="F4463" s="5"/>
      <c r="G4463" s="5"/>
      <c r="H4463" s="5"/>
    </row>
    <row r="4464" spans="1:8" x14ac:dyDescent="0.25">
      <c r="A4464" s="4"/>
      <c r="B4464" s="5"/>
      <c r="C4464" s="5"/>
      <c r="D4464" s="5"/>
      <c r="E4464" s="5"/>
      <c r="F4464" s="5"/>
      <c r="G4464" s="5"/>
      <c r="H4464" s="5"/>
    </row>
    <row r="4465" spans="1:8" x14ac:dyDescent="0.25">
      <c r="A4465" s="4"/>
      <c r="B4465" s="5"/>
      <c r="C4465" s="5"/>
      <c r="D4465" s="5"/>
      <c r="E4465" s="5"/>
      <c r="F4465" s="5"/>
      <c r="G4465" s="5"/>
      <c r="H4465" s="5"/>
    </row>
    <row r="4466" spans="1:8" x14ac:dyDescent="0.25">
      <c r="A4466" s="4"/>
      <c r="B4466" s="5"/>
      <c r="C4466" s="5"/>
      <c r="D4466" s="5"/>
      <c r="E4466" s="5"/>
      <c r="F4466" s="5"/>
      <c r="G4466" s="5"/>
      <c r="H4466" s="5"/>
    </row>
    <row r="4467" spans="1:8" x14ac:dyDescent="0.25">
      <c r="A4467" s="4"/>
      <c r="B4467" s="5"/>
      <c r="C4467" s="5"/>
      <c r="D4467" s="5"/>
      <c r="E4467" s="5"/>
      <c r="F4467" s="5"/>
      <c r="G4467" s="5"/>
      <c r="H4467" s="5"/>
    </row>
    <row r="4468" spans="1:8" x14ac:dyDescent="0.25">
      <c r="A4468" s="4"/>
      <c r="B4468" s="5"/>
      <c r="C4468" s="5"/>
      <c r="D4468" s="5"/>
      <c r="E4468" s="5"/>
      <c r="F4468" s="5"/>
      <c r="G4468" s="5"/>
      <c r="H4468" s="5"/>
    </row>
    <row r="4469" spans="1:8" x14ac:dyDescent="0.25">
      <c r="A4469" s="4"/>
      <c r="B4469" s="5"/>
      <c r="C4469" s="5"/>
      <c r="D4469" s="5"/>
      <c r="E4469" s="5"/>
      <c r="F4469" s="5"/>
      <c r="G4469" s="5"/>
      <c r="H4469" s="5"/>
    </row>
    <row r="4470" spans="1:8" x14ac:dyDescent="0.25">
      <c r="A4470" s="4"/>
      <c r="B4470" s="5"/>
      <c r="C4470" s="5"/>
      <c r="D4470" s="5"/>
      <c r="E4470" s="5"/>
      <c r="F4470" s="5"/>
      <c r="G4470" s="5"/>
      <c r="H4470" s="5"/>
    </row>
    <row r="4471" spans="1:8" x14ac:dyDescent="0.25">
      <c r="A4471" s="4"/>
      <c r="B4471" s="5"/>
      <c r="C4471" s="5"/>
      <c r="D4471" s="5"/>
      <c r="E4471" s="5"/>
      <c r="F4471" s="5"/>
      <c r="G4471" s="5"/>
      <c r="H4471" s="5"/>
    </row>
    <row r="4472" spans="1:8" x14ac:dyDescent="0.25">
      <c r="A4472" s="4"/>
      <c r="B4472" s="5"/>
      <c r="C4472" s="5"/>
      <c r="D4472" s="5"/>
      <c r="E4472" s="5"/>
      <c r="F4472" s="5"/>
      <c r="G4472" s="5"/>
      <c r="H4472" s="5"/>
    </row>
    <row r="4473" spans="1:8" x14ac:dyDescent="0.25">
      <c r="A4473" s="4"/>
      <c r="B4473" s="5"/>
      <c r="C4473" s="5"/>
      <c r="D4473" s="5"/>
      <c r="E4473" s="5"/>
      <c r="F4473" s="5"/>
      <c r="G4473" s="5"/>
      <c r="H4473" s="5"/>
    </row>
    <row r="4474" spans="1:8" x14ac:dyDescent="0.25">
      <c r="A4474" s="4"/>
      <c r="B4474" s="5"/>
      <c r="C4474" s="5"/>
      <c r="D4474" s="5"/>
      <c r="E4474" s="5"/>
      <c r="F4474" s="5"/>
      <c r="G4474" s="5"/>
      <c r="H4474" s="5"/>
    </row>
    <row r="4475" spans="1:8" x14ac:dyDescent="0.25">
      <c r="A4475" s="4"/>
      <c r="B4475" s="5"/>
      <c r="C4475" s="5"/>
      <c r="D4475" s="5"/>
      <c r="E4475" s="5"/>
      <c r="F4475" s="5"/>
      <c r="G4475" s="5"/>
      <c r="H4475" s="5"/>
    </row>
    <row r="4476" spans="1:8" x14ac:dyDescent="0.25">
      <c r="A4476" s="4"/>
      <c r="B4476" s="5"/>
      <c r="C4476" s="5"/>
      <c r="D4476" s="5"/>
      <c r="E4476" s="5"/>
      <c r="F4476" s="5"/>
      <c r="G4476" s="5"/>
      <c r="H4476" s="5"/>
    </row>
    <row r="4477" spans="1:8" x14ac:dyDescent="0.25">
      <c r="A4477" s="4"/>
      <c r="B4477" s="5"/>
      <c r="C4477" s="5"/>
      <c r="D4477" s="5"/>
      <c r="E4477" s="5"/>
      <c r="F4477" s="5"/>
      <c r="G4477" s="5"/>
      <c r="H4477" s="5"/>
    </row>
    <row r="4478" spans="1:8" x14ac:dyDescent="0.25">
      <c r="A4478" s="4"/>
      <c r="B4478" s="5"/>
      <c r="C4478" s="5"/>
      <c r="D4478" s="5"/>
      <c r="E4478" s="5"/>
      <c r="F4478" s="5"/>
      <c r="G4478" s="5"/>
      <c r="H4478" s="5"/>
    </row>
    <row r="4479" spans="1:8" x14ac:dyDescent="0.25">
      <c r="A4479" s="4"/>
      <c r="B4479" s="5"/>
      <c r="C4479" s="5"/>
      <c r="D4479" s="5"/>
      <c r="E4479" s="5"/>
      <c r="F4479" s="5"/>
      <c r="G4479" s="5"/>
      <c r="H4479" s="5"/>
    </row>
    <row r="4480" spans="1:8" x14ac:dyDescent="0.25">
      <c r="A4480" s="4"/>
      <c r="B4480" s="5"/>
      <c r="C4480" s="5"/>
      <c r="D4480" s="5"/>
      <c r="E4480" s="5"/>
      <c r="F4480" s="5"/>
      <c r="G4480" s="5"/>
      <c r="H4480" s="5"/>
    </row>
    <row r="4481" spans="1:8" x14ac:dyDescent="0.25">
      <c r="A4481" s="4"/>
      <c r="B4481" s="5"/>
      <c r="C4481" s="5"/>
      <c r="D4481" s="5"/>
      <c r="E4481" s="5"/>
      <c r="F4481" s="5"/>
      <c r="G4481" s="5"/>
      <c r="H4481" s="5"/>
    </row>
    <row r="4482" spans="1:8" x14ac:dyDescent="0.25">
      <c r="A4482" s="4"/>
      <c r="B4482" s="5"/>
      <c r="C4482" s="5"/>
      <c r="D4482" s="5"/>
      <c r="E4482" s="5"/>
      <c r="F4482" s="5"/>
      <c r="G4482" s="5"/>
      <c r="H4482" s="5"/>
    </row>
    <row r="4483" spans="1:8" x14ac:dyDescent="0.25">
      <c r="A4483" s="4"/>
      <c r="B4483" s="5"/>
      <c r="C4483" s="5"/>
      <c r="D4483" s="5"/>
      <c r="E4483" s="5"/>
      <c r="F4483" s="5"/>
      <c r="G4483" s="5"/>
      <c r="H4483" s="5"/>
    </row>
    <row r="4484" spans="1:8" x14ac:dyDescent="0.25">
      <c r="A4484" s="4"/>
      <c r="B4484" s="5"/>
      <c r="C4484" s="5"/>
      <c r="D4484" s="5"/>
      <c r="E4484" s="5"/>
      <c r="F4484" s="5"/>
      <c r="G4484" s="5"/>
      <c r="H4484" s="5"/>
    </row>
    <row r="4485" spans="1:8" x14ac:dyDescent="0.25">
      <c r="A4485" s="4"/>
      <c r="B4485" s="5"/>
      <c r="C4485" s="5"/>
      <c r="D4485" s="5"/>
      <c r="E4485" s="5"/>
      <c r="F4485" s="5"/>
      <c r="G4485" s="5"/>
      <c r="H4485" s="5"/>
    </row>
    <row r="4486" spans="1:8" x14ac:dyDescent="0.25">
      <c r="A4486" s="4"/>
      <c r="B4486" s="5"/>
      <c r="C4486" s="5"/>
      <c r="D4486" s="5"/>
      <c r="E4486" s="5"/>
      <c r="F4486" s="5"/>
      <c r="G4486" s="5"/>
      <c r="H4486" s="5"/>
    </row>
    <row r="4487" spans="1:8" x14ac:dyDescent="0.25">
      <c r="A4487" s="4"/>
      <c r="B4487" s="5"/>
      <c r="C4487" s="5"/>
      <c r="D4487" s="5"/>
      <c r="E4487" s="5"/>
      <c r="F4487" s="5"/>
      <c r="G4487" s="5"/>
      <c r="H4487" s="5"/>
    </row>
    <row r="4488" spans="1:8" x14ac:dyDescent="0.25">
      <c r="A4488" s="4"/>
      <c r="B4488" s="5"/>
      <c r="C4488" s="5"/>
      <c r="D4488" s="5"/>
      <c r="E4488" s="5"/>
      <c r="F4488" s="5"/>
      <c r="G4488" s="5"/>
      <c r="H4488" s="5"/>
    </row>
    <row r="4489" spans="1:8" x14ac:dyDescent="0.25">
      <c r="A4489" s="4"/>
      <c r="B4489" s="5"/>
      <c r="C4489" s="5"/>
      <c r="D4489" s="5"/>
      <c r="E4489" s="5"/>
      <c r="F4489" s="5"/>
      <c r="G4489" s="5"/>
      <c r="H4489" s="5"/>
    </row>
    <row r="4490" spans="1:8" x14ac:dyDescent="0.25">
      <c r="A4490" s="4"/>
      <c r="B4490" s="5"/>
      <c r="C4490" s="5"/>
      <c r="D4490" s="5"/>
      <c r="E4490" s="5"/>
      <c r="F4490" s="5"/>
      <c r="G4490" s="5"/>
      <c r="H4490" s="5"/>
    </row>
    <row r="4491" spans="1:8" x14ac:dyDescent="0.25">
      <c r="A4491" s="4"/>
      <c r="B4491" s="5"/>
      <c r="C4491" s="5"/>
      <c r="D4491" s="5"/>
      <c r="E4491" s="5"/>
      <c r="F4491" s="5"/>
      <c r="G4491" s="5"/>
      <c r="H4491" s="5"/>
    </row>
    <row r="4492" spans="1:8" x14ac:dyDescent="0.25">
      <c r="A4492" s="4"/>
      <c r="B4492" s="5"/>
      <c r="C4492" s="5"/>
      <c r="D4492" s="5"/>
      <c r="E4492" s="5"/>
      <c r="F4492" s="5"/>
      <c r="G4492" s="5"/>
      <c r="H4492" s="5"/>
    </row>
    <row r="4493" spans="1:8" x14ac:dyDescent="0.25">
      <c r="A4493" s="4"/>
      <c r="B4493" s="5"/>
      <c r="C4493" s="5"/>
      <c r="D4493" s="5"/>
      <c r="E4493" s="5"/>
      <c r="F4493" s="5"/>
      <c r="G4493" s="5"/>
      <c r="H4493" s="5"/>
    </row>
    <row r="4494" spans="1:8" x14ac:dyDescent="0.25">
      <c r="A4494" s="4"/>
      <c r="B4494" s="5"/>
      <c r="C4494" s="5"/>
      <c r="D4494" s="5"/>
      <c r="E4494" s="5"/>
      <c r="F4494" s="5"/>
      <c r="G4494" s="5"/>
      <c r="H4494" s="5"/>
    </row>
    <row r="4495" spans="1:8" x14ac:dyDescent="0.25">
      <c r="A4495" s="4"/>
      <c r="B4495" s="5"/>
      <c r="C4495" s="5"/>
      <c r="D4495" s="5"/>
      <c r="E4495" s="5"/>
      <c r="F4495" s="5"/>
      <c r="G4495" s="5"/>
      <c r="H4495" s="5"/>
    </row>
    <row r="4496" spans="1:8" x14ac:dyDescent="0.25">
      <c r="A4496" s="4"/>
      <c r="B4496" s="5"/>
      <c r="C4496" s="5"/>
      <c r="D4496" s="5"/>
      <c r="E4496" s="5"/>
      <c r="F4496" s="5"/>
      <c r="G4496" s="5"/>
      <c r="H4496" s="5"/>
    </row>
    <row r="4497" spans="1:8" x14ac:dyDescent="0.25">
      <c r="A4497" s="4"/>
      <c r="B4497" s="5"/>
      <c r="C4497" s="5"/>
      <c r="D4497" s="5"/>
      <c r="E4497" s="5"/>
      <c r="F4497" s="5"/>
      <c r="G4497" s="5"/>
      <c r="H4497" s="5"/>
    </row>
    <row r="4498" spans="1:8" x14ac:dyDescent="0.25">
      <c r="A4498" s="4"/>
      <c r="B4498" s="5"/>
      <c r="C4498" s="5"/>
      <c r="D4498" s="5"/>
      <c r="E4498" s="5"/>
      <c r="F4498" s="5"/>
      <c r="G4498" s="5"/>
      <c r="H4498" s="5"/>
    </row>
    <row r="4499" spans="1:8" x14ac:dyDescent="0.25">
      <c r="A4499" s="4"/>
      <c r="B4499" s="5"/>
      <c r="C4499" s="5"/>
      <c r="D4499" s="5"/>
      <c r="E4499" s="5"/>
      <c r="F4499" s="5"/>
      <c r="G4499" s="5"/>
      <c r="H4499" s="5"/>
    </row>
    <row r="4500" spans="1:8" x14ac:dyDescent="0.25">
      <c r="A4500" s="4"/>
      <c r="B4500" s="5"/>
      <c r="C4500" s="5"/>
      <c r="D4500" s="5"/>
      <c r="E4500" s="5"/>
      <c r="F4500" s="5"/>
      <c r="G4500" s="5"/>
      <c r="H4500" s="5"/>
    </row>
    <row r="4501" spans="1:8" x14ac:dyDescent="0.25">
      <c r="A4501" s="4"/>
      <c r="B4501" s="5"/>
      <c r="C4501" s="5"/>
      <c r="D4501" s="5"/>
      <c r="E4501" s="5"/>
      <c r="F4501" s="5"/>
      <c r="G4501" s="5"/>
      <c r="H4501" s="5"/>
    </row>
    <row r="4502" spans="1:8" x14ac:dyDescent="0.25">
      <c r="A4502" s="4"/>
      <c r="B4502" s="5"/>
      <c r="C4502" s="5"/>
      <c r="D4502" s="5"/>
      <c r="E4502" s="5"/>
      <c r="F4502" s="5"/>
      <c r="G4502" s="5"/>
      <c r="H4502" s="5"/>
    </row>
    <row r="4503" spans="1:8" x14ac:dyDescent="0.25">
      <c r="A4503" s="4"/>
      <c r="B4503" s="5"/>
      <c r="C4503" s="5"/>
      <c r="D4503" s="5"/>
      <c r="E4503" s="5"/>
      <c r="F4503" s="5"/>
      <c r="G4503" s="5"/>
      <c r="H4503" s="5"/>
    </row>
    <row r="4504" spans="1:8" x14ac:dyDescent="0.25">
      <c r="A4504" s="4"/>
      <c r="B4504" s="5"/>
      <c r="C4504" s="5"/>
      <c r="D4504" s="5"/>
      <c r="E4504" s="5"/>
      <c r="F4504" s="5"/>
      <c r="G4504" s="5"/>
      <c r="H4504" s="5"/>
    </row>
    <row r="4505" spans="1:8" x14ac:dyDescent="0.25">
      <c r="A4505" s="4"/>
      <c r="B4505" s="5"/>
      <c r="C4505" s="5"/>
      <c r="D4505" s="5"/>
      <c r="E4505" s="5"/>
      <c r="F4505" s="5"/>
      <c r="G4505" s="5"/>
      <c r="H4505" s="5"/>
    </row>
    <row r="4506" spans="1:8" x14ac:dyDescent="0.25">
      <c r="A4506" s="4"/>
      <c r="B4506" s="5"/>
      <c r="C4506" s="5"/>
      <c r="D4506" s="5"/>
      <c r="E4506" s="5"/>
      <c r="F4506" s="5"/>
      <c r="G4506" s="5"/>
      <c r="H4506" s="5"/>
    </row>
    <row r="4507" spans="1:8" x14ac:dyDescent="0.25">
      <c r="A4507" s="4"/>
      <c r="B4507" s="5"/>
      <c r="C4507" s="5"/>
      <c r="D4507" s="5"/>
      <c r="E4507" s="5"/>
      <c r="F4507" s="5"/>
      <c r="G4507" s="5"/>
      <c r="H4507" s="5"/>
    </row>
    <row r="4508" spans="1:8" x14ac:dyDescent="0.25">
      <c r="A4508" s="4"/>
      <c r="B4508" s="5"/>
      <c r="C4508" s="5"/>
      <c r="D4508" s="5"/>
      <c r="E4508" s="5"/>
      <c r="F4508" s="5"/>
      <c r="G4508" s="5"/>
      <c r="H4508" s="5"/>
    </row>
    <row r="4509" spans="1:8" x14ac:dyDescent="0.25">
      <c r="A4509" s="4"/>
      <c r="B4509" s="5"/>
      <c r="C4509" s="5"/>
      <c r="D4509" s="5"/>
      <c r="E4509" s="5"/>
      <c r="F4509" s="5"/>
      <c r="G4509" s="5"/>
      <c r="H4509" s="5"/>
    </row>
    <row r="4510" spans="1:8" x14ac:dyDescent="0.25">
      <c r="A4510" s="4"/>
      <c r="B4510" s="5"/>
      <c r="C4510" s="5"/>
      <c r="D4510" s="5"/>
      <c r="E4510" s="5"/>
      <c r="F4510" s="5"/>
      <c r="G4510" s="5"/>
      <c r="H4510" s="5"/>
    </row>
    <row r="4511" spans="1:8" x14ac:dyDescent="0.25">
      <c r="A4511" s="4"/>
      <c r="B4511" s="5"/>
      <c r="C4511" s="5"/>
      <c r="D4511" s="5"/>
      <c r="E4511" s="5"/>
      <c r="F4511" s="5"/>
      <c r="G4511" s="5"/>
      <c r="H4511" s="5"/>
    </row>
    <row r="4512" spans="1:8" x14ac:dyDescent="0.25">
      <c r="A4512" s="4"/>
      <c r="B4512" s="5"/>
      <c r="C4512" s="5"/>
      <c r="D4512" s="5"/>
      <c r="E4512" s="5"/>
      <c r="F4512" s="5"/>
      <c r="G4512" s="5"/>
      <c r="H4512" s="5"/>
    </row>
    <row r="4513" spans="1:8" x14ac:dyDescent="0.25">
      <c r="A4513" s="4"/>
      <c r="B4513" s="5"/>
      <c r="C4513" s="5"/>
      <c r="D4513" s="5"/>
      <c r="E4513" s="5"/>
      <c r="F4513" s="5"/>
      <c r="G4513" s="5"/>
      <c r="H4513" s="5"/>
    </row>
    <row r="4514" spans="1:8" x14ac:dyDescent="0.25">
      <c r="A4514" s="4"/>
      <c r="B4514" s="5"/>
      <c r="C4514" s="5"/>
      <c r="D4514" s="5"/>
      <c r="E4514" s="5"/>
      <c r="F4514" s="5"/>
      <c r="G4514" s="5"/>
      <c r="H4514" s="5"/>
    </row>
    <row r="4515" spans="1:8" x14ac:dyDescent="0.25">
      <c r="A4515" s="4"/>
      <c r="B4515" s="5"/>
      <c r="C4515" s="5"/>
      <c r="D4515" s="5"/>
      <c r="E4515" s="5"/>
      <c r="F4515" s="5"/>
      <c r="G4515" s="5"/>
      <c r="H4515" s="5"/>
    </row>
    <row r="4516" spans="1:8" x14ac:dyDescent="0.25">
      <c r="A4516" s="4"/>
      <c r="B4516" s="5"/>
      <c r="C4516" s="5"/>
      <c r="D4516" s="5"/>
      <c r="E4516" s="5"/>
      <c r="F4516" s="5"/>
      <c r="G4516" s="5"/>
      <c r="H4516" s="5"/>
    </row>
    <row r="4517" spans="1:8" x14ac:dyDescent="0.25">
      <c r="A4517" s="4"/>
      <c r="B4517" s="5"/>
      <c r="C4517" s="5"/>
      <c r="D4517" s="5"/>
      <c r="E4517" s="5"/>
      <c r="F4517" s="5"/>
      <c r="G4517" s="5"/>
      <c r="H4517" s="5"/>
    </row>
    <row r="4518" spans="1:8" x14ac:dyDescent="0.25">
      <c r="A4518" s="4"/>
      <c r="B4518" s="5"/>
      <c r="C4518" s="5"/>
      <c r="D4518" s="5"/>
      <c r="E4518" s="5"/>
      <c r="F4518" s="5"/>
      <c r="G4518" s="5"/>
      <c r="H4518" s="5"/>
    </row>
    <row r="4519" spans="1:8" x14ac:dyDescent="0.25">
      <c r="A4519" s="4"/>
      <c r="B4519" s="5"/>
      <c r="C4519" s="5"/>
      <c r="D4519" s="5"/>
      <c r="E4519" s="5"/>
      <c r="F4519" s="5"/>
      <c r="G4519" s="5"/>
      <c r="H4519" s="5"/>
    </row>
    <row r="4520" spans="1:8" x14ac:dyDescent="0.25">
      <c r="A4520" s="4"/>
      <c r="B4520" s="5"/>
      <c r="C4520" s="5"/>
      <c r="D4520" s="5"/>
      <c r="E4520" s="5"/>
      <c r="F4520" s="5"/>
      <c r="G4520" s="5"/>
      <c r="H4520" s="5"/>
    </row>
    <row r="4521" spans="1:8" x14ac:dyDescent="0.25">
      <c r="A4521" s="4"/>
      <c r="B4521" s="5"/>
      <c r="C4521" s="5"/>
      <c r="D4521" s="5"/>
      <c r="E4521" s="5"/>
      <c r="F4521" s="5"/>
      <c r="G4521" s="5"/>
      <c r="H4521" s="5"/>
    </row>
    <row r="4522" spans="1:8" x14ac:dyDescent="0.25">
      <c r="A4522" s="4"/>
      <c r="B4522" s="5"/>
      <c r="C4522" s="5"/>
      <c r="D4522" s="5"/>
      <c r="E4522" s="5"/>
      <c r="F4522" s="5"/>
      <c r="G4522" s="5"/>
      <c r="H4522" s="5"/>
    </row>
    <row r="4523" spans="1:8" x14ac:dyDescent="0.25">
      <c r="A4523" s="4"/>
      <c r="B4523" s="5"/>
      <c r="C4523" s="5"/>
      <c r="D4523" s="5"/>
      <c r="E4523" s="5"/>
      <c r="F4523" s="5"/>
      <c r="G4523" s="5"/>
      <c r="H4523" s="5"/>
    </row>
    <row r="4524" spans="1:8" x14ac:dyDescent="0.25">
      <c r="A4524" s="4"/>
      <c r="B4524" s="5"/>
      <c r="C4524" s="5"/>
      <c r="D4524" s="5"/>
      <c r="E4524" s="5"/>
      <c r="F4524" s="5"/>
      <c r="G4524" s="5"/>
      <c r="H4524" s="5"/>
    </row>
    <row r="4525" spans="1:8" x14ac:dyDescent="0.25">
      <c r="A4525" s="4"/>
      <c r="B4525" s="5"/>
      <c r="C4525" s="5"/>
      <c r="D4525" s="5"/>
      <c r="E4525" s="5"/>
      <c r="F4525" s="5"/>
      <c r="G4525" s="5"/>
      <c r="H4525" s="5"/>
    </row>
    <row r="4526" spans="1:8" x14ac:dyDescent="0.25">
      <c r="A4526" s="4"/>
      <c r="B4526" s="5"/>
      <c r="C4526" s="5"/>
      <c r="D4526" s="5"/>
      <c r="E4526" s="5"/>
      <c r="F4526" s="5"/>
      <c r="G4526" s="5"/>
      <c r="H4526" s="5"/>
    </row>
    <row r="4527" spans="1:8" x14ac:dyDescent="0.25">
      <c r="A4527" s="4"/>
      <c r="B4527" s="5"/>
      <c r="C4527" s="5"/>
      <c r="D4527" s="5"/>
      <c r="E4527" s="5"/>
      <c r="F4527" s="5"/>
      <c r="G4527" s="5"/>
      <c r="H4527" s="5"/>
    </row>
    <row r="4528" spans="1:8" x14ac:dyDescent="0.25">
      <c r="A4528" s="4"/>
      <c r="B4528" s="5"/>
      <c r="C4528" s="5"/>
      <c r="D4528" s="5"/>
      <c r="E4528" s="5"/>
      <c r="F4528" s="5"/>
      <c r="G4528" s="5"/>
      <c r="H4528" s="5"/>
    </row>
    <row r="4529" spans="1:8" x14ac:dyDescent="0.25">
      <c r="A4529" s="4"/>
      <c r="B4529" s="5"/>
      <c r="C4529" s="5"/>
      <c r="D4529" s="5"/>
      <c r="E4529" s="5"/>
      <c r="F4529" s="5"/>
      <c r="G4529" s="5"/>
      <c r="H4529" s="5"/>
    </row>
    <row r="4530" spans="1:8" x14ac:dyDescent="0.25">
      <c r="A4530" s="4"/>
      <c r="B4530" s="5"/>
      <c r="C4530" s="5"/>
      <c r="D4530" s="5"/>
      <c r="E4530" s="5"/>
      <c r="F4530" s="5"/>
      <c r="G4530" s="5"/>
      <c r="H4530" s="5"/>
    </row>
    <row r="4531" spans="1:8" x14ac:dyDescent="0.25">
      <c r="A4531" s="4"/>
      <c r="B4531" s="5"/>
      <c r="C4531" s="5"/>
      <c r="D4531" s="5"/>
      <c r="E4531" s="5"/>
      <c r="F4531" s="5"/>
      <c r="G4531" s="5"/>
      <c r="H4531" s="5"/>
    </row>
    <row r="4532" spans="1:8" x14ac:dyDescent="0.25">
      <c r="A4532" s="4"/>
      <c r="B4532" s="5"/>
      <c r="C4532" s="5"/>
      <c r="D4532" s="5"/>
      <c r="E4532" s="5"/>
      <c r="F4532" s="5"/>
      <c r="G4532" s="5"/>
      <c r="H4532" s="5"/>
    </row>
    <row r="4533" spans="1:8" x14ac:dyDescent="0.25">
      <c r="A4533" s="4"/>
      <c r="B4533" s="5"/>
      <c r="C4533" s="5"/>
      <c r="D4533" s="5"/>
      <c r="E4533" s="5"/>
      <c r="F4533" s="5"/>
      <c r="G4533" s="5"/>
      <c r="H4533" s="5"/>
    </row>
    <row r="4534" spans="1:8" x14ac:dyDescent="0.25">
      <c r="A4534" s="4"/>
      <c r="B4534" s="5"/>
      <c r="C4534" s="5"/>
      <c r="D4534" s="5"/>
      <c r="E4534" s="5"/>
      <c r="F4534" s="5"/>
      <c r="G4534" s="5"/>
      <c r="H4534" s="5"/>
    </row>
    <row r="4535" spans="1:8" x14ac:dyDescent="0.25">
      <c r="A4535" s="4"/>
      <c r="B4535" s="5"/>
      <c r="C4535" s="5"/>
      <c r="D4535" s="5"/>
      <c r="E4535" s="5"/>
      <c r="F4535" s="5"/>
      <c r="G4535" s="5"/>
      <c r="H4535" s="5"/>
    </row>
    <row r="4536" spans="1:8" x14ac:dyDescent="0.25">
      <c r="A4536" s="4"/>
      <c r="B4536" s="5"/>
      <c r="C4536" s="5"/>
      <c r="D4536" s="5"/>
      <c r="E4536" s="5"/>
      <c r="F4536" s="5"/>
      <c r="G4536" s="5"/>
      <c r="H4536" s="5"/>
    </row>
    <row r="4537" spans="1:8" x14ac:dyDescent="0.25">
      <c r="A4537" s="4"/>
      <c r="B4537" s="5"/>
      <c r="C4537" s="5"/>
      <c r="D4537" s="5"/>
      <c r="E4537" s="5"/>
      <c r="F4537" s="5"/>
      <c r="G4537" s="5"/>
      <c r="H4537" s="5"/>
    </row>
    <row r="4538" spans="1:8" x14ac:dyDescent="0.25">
      <c r="A4538" s="4"/>
      <c r="B4538" s="5"/>
      <c r="C4538" s="5"/>
      <c r="D4538" s="5"/>
      <c r="E4538" s="5"/>
      <c r="F4538" s="5"/>
      <c r="G4538" s="5"/>
      <c r="H4538" s="5"/>
    </row>
    <row r="4539" spans="1:8" x14ac:dyDescent="0.25">
      <c r="A4539" s="4"/>
      <c r="B4539" s="5"/>
      <c r="C4539" s="5"/>
      <c r="D4539" s="5"/>
      <c r="E4539" s="5"/>
      <c r="F4539" s="5"/>
      <c r="G4539" s="5"/>
      <c r="H4539" s="5"/>
    </row>
    <row r="4540" spans="1:8" x14ac:dyDescent="0.25">
      <c r="A4540" s="4"/>
      <c r="B4540" s="5"/>
      <c r="C4540" s="5"/>
      <c r="D4540" s="5"/>
      <c r="E4540" s="5"/>
      <c r="F4540" s="5"/>
      <c r="G4540" s="5"/>
      <c r="H4540" s="5"/>
    </row>
    <row r="4541" spans="1:8" x14ac:dyDescent="0.25">
      <c r="A4541" s="4"/>
      <c r="B4541" s="5"/>
      <c r="C4541" s="5"/>
      <c r="D4541" s="5"/>
      <c r="E4541" s="5"/>
      <c r="F4541" s="5"/>
      <c r="G4541" s="5"/>
      <c r="H4541" s="5"/>
    </row>
    <row r="4542" spans="1:8" x14ac:dyDescent="0.25">
      <c r="A4542" s="4"/>
      <c r="B4542" s="5"/>
      <c r="C4542" s="5"/>
      <c r="D4542" s="5"/>
      <c r="E4542" s="5"/>
      <c r="F4542" s="5"/>
      <c r="G4542" s="5"/>
      <c r="H4542" s="5"/>
    </row>
    <row r="4543" spans="1:8" x14ac:dyDescent="0.25">
      <c r="A4543" s="4"/>
      <c r="B4543" s="5"/>
      <c r="C4543" s="5"/>
      <c r="D4543" s="5"/>
      <c r="E4543" s="5"/>
      <c r="F4543" s="5"/>
      <c r="G4543" s="5"/>
      <c r="H4543" s="5"/>
    </row>
    <row r="4544" spans="1:8" x14ac:dyDescent="0.25">
      <c r="A4544" s="4"/>
      <c r="B4544" s="5"/>
      <c r="C4544" s="5"/>
      <c r="D4544" s="5"/>
      <c r="E4544" s="5"/>
      <c r="F4544" s="5"/>
      <c r="G4544" s="5"/>
      <c r="H4544" s="5"/>
    </row>
    <row r="4545" spans="1:8" x14ac:dyDescent="0.25">
      <c r="A4545" s="4"/>
      <c r="B4545" s="5"/>
      <c r="C4545" s="5"/>
      <c r="D4545" s="5"/>
      <c r="E4545" s="5"/>
      <c r="F4545" s="5"/>
      <c r="G4545" s="5"/>
      <c r="H4545" s="5"/>
    </row>
    <row r="4546" spans="1:8" x14ac:dyDescent="0.25">
      <c r="A4546" s="4"/>
      <c r="B4546" s="5"/>
      <c r="C4546" s="5"/>
      <c r="D4546" s="5"/>
      <c r="E4546" s="5"/>
      <c r="F4546" s="5"/>
      <c r="G4546" s="5"/>
      <c r="H4546" s="5"/>
    </row>
    <row r="4547" spans="1:8" x14ac:dyDescent="0.25">
      <c r="A4547" s="4"/>
      <c r="B4547" s="5"/>
      <c r="C4547" s="5"/>
      <c r="D4547" s="5"/>
      <c r="E4547" s="5"/>
      <c r="F4547" s="5"/>
      <c r="G4547" s="5"/>
      <c r="H4547" s="5"/>
    </row>
    <row r="4548" spans="1:8" x14ac:dyDescent="0.25">
      <c r="A4548" s="4"/>
      <c r="B4548" s="5"/>
      <c r="C4548" s="5"/>
      <c r="D4548" s="5"/>
      <c r="E4548" s="5"/>
      <c r="F4548" s="5"/>
      <c r="G4548" s="5"/>
      <c r="H4548" s="5"/>
    </row>
    <row r="4549" spans="1:8" x14ac:dyDescent="0.25">
      <c r="A4549" s="4"/>
      <c r="B4549" s="5"/>
      <c r="C4549" s="5"/>
      <c r="D4549" s="5"/>
      <c r="E4549" s="5"/>
      <c r="F4549" s="5"/>
      <c r="G4549" s="5"/>
      <c r="H4549" s="5"/>
    </row>
    <row r="4550" spans="1:8" x14ac:dyDescent="0.25">
      <c r="A4550" s="4"/>
      <c r="B4550" s="5"/>
      <c r="C4550" s="5"/>
      <c r="D4550" s="5"/>
      <c r="E4550" s="5"/>
      <c r="F4550" s="5"/>
      <c r="G4550" s="5"/>
      <c r="H4550" s="5"/>
    </row>
    <row r="4551" spans="1:8" x14ac:dyDescent="0.25">
      <c r="A4551" s="4"/>
      <c r="B4551" s="5"/>
      <c r="C4551" s="5"/>
      <c r="D4551" s="5"/>
      <c r="E4551" s="5"/>
      <c r="F4551" s="5"/>
      <c r="G4551" s="5"/>
      <c r="H4551" s="5"/>
    </row>
    <row r="4552" spans="1:8" x14ac:dyDescent="0.25">
      <c r="A4552" s="4"/>
      <c r="B4552" s="5"/>
      <c r="C4552" s="5"/>
      <c r="D4552" s="5"/>
      <c r="E4552" s="5"/>
      <c r="F4552" s="5"/>
      <c r="G4552" s="5"/>
      <c r="H4552" s="5"/>
    </row>
    <row r="4553" spans="1:8" x14ac:dyDescent="0.25">
      <c r="A4553" s="4"/>
      <c r="B4553" s="5"/>
      <c r="C4553" s="5"/>
      <c r="D4553" s="5"/>
      <c r="E4553" s="5"/>
      <c r="F4553" s="5"/>
      <c r="G4553" s="5"/>
      <c r="H4553" s="5"/>
    </row>
    <row r="4554" spans="1:8" x14ac:dyDescent="0.25">
      <c r="A4554" s="4"/>
      <c r="B4554" s="5"/>
      <c r="C4554" s="5"/>
      <c r="D4554" s="5"/>
      <c r="E4554" s="5"/>
      <c r="F4554" s="5"/>
      <c r="G4554" s="5"/>
      <c r="H4554" s="5"/>
    </row>
    <row r="4555" spans="1:8" x14ac:dyDescent="0.25">
      <c r="A4555" s="4"/>
      <c r="B4555" s="5"/>
      <c r="C4555" s="5"/>
      <c r="D4555" s="5"/>
      <c r="E4555" s="5"/>
      <c r="F4555" s="5"/>
      <c r="G4555" s="5"/>
      <c r="H4555" s="5"/>
    </row>
    <row r="4556" spans="1:8" x14ac:dyDescent="0.25">
      <c r="A4556" s="4"/>
      <c r="B4556" s="5"/>
      <c r="C4556" s="5"/>
      <c r="D4556" s="5"/>
      <c r="E4556" s="5"/>
      <c r="F4556" s="5"/>
      <c r="G4556" s="5"/>
      <c r="H4556" s="5"/>
    </row>
    <row r="4557" spans="1:8" x14ac:dyDescent="0.25">
      <c r="A4557" s="4"/>
      <c r="B4557" s="5"/>
      <c r="C4557" s="5"/>
      <c r="D4557" s="5"/>
      <c r="E4557" s="5"/>
      <c r="F4557" s="5"/>
      <c r="G4557" s="5"/>
      <c r="H4557" s="5"/>
    </row>
    <row r="4558" spans="1:8" x14ac:dyDescent="0.25">
      <c r="A4558" s="4"/>
      <c r="B4558" s="5"/>
      <c r="C4558" s="5"/>
      <c r="D4558" s="5"/>
      <c r="E4558" s="5"/>
      <c r="F4558" s="5"/>
      <c r="G4558" s="5"/>
      <c r="H4558" s="5"/>
    </row>
    <row r="4559" spans="1:8" x14ac:dyDescent="0.25">
      <c r="A4559" s="4"/>
      <c r="B4559" s="5"/>
      <c r="C4559" s="5"/>
      <c r="D4559" s="5"/>
      <c r="E4559" s="5"/>
      <c r="F4559" s="5"/>
      <c r="G4559" s="5"/>
      <c r="H4559" s="5"/>
    </row>
    <row r="4560" spans="1:8" x14ac:dyDescent="0.25">
      <c r="A4560" s="4"/>
      <c r="B4560" s="5"/>
      <c r="C4560" s="5"/>
      <c r="D4560" s="5"/>
      <c r="E4560" s="5"/>
      <c r="F4560" s="5"/>
      <c r="G4560" s="5"/>
      <c r="H4560" s="5"/>
    </row>
    <row r="4561" spans="1:8" x14ac:dyDescent="0.25">
      <c r="A4561" s="4"/>
      <c r="B4561" s="5"/>
      <c r="C4561" s="5"/>
      <c r="D4561" s="5"/>
      <c r="E4561" s="5"/>
      <c r="F4561" s="5"/>
      <c r="G4561" s="5"/>
      <c r="H4561" s="5"/>
    </row>
    <row r="4562" spans="1:8" x14ac:dyDescent="0.25">
      <c r="A4562" s="4"/>
      <c r="B4562" s="5"/>
      <c r="C4562" s="5"/>
      <c r="D4562" s="5"/>
      <c r="E4562" s="5"/>
      <c r="F4562" s="5"/>
      <c r="G4562" s="5"/>
      <c r="H4562" s="5"/>
    </row>
    <row r="4563" spans="1:8" x14ac:dyDescent="0.25">
      <c r="A4563" s="4"/>
      <c r="B4563" s="5"/>
      <c r="C4563" s="5"/>
      <c r="D4563" s="5"/>
      <c r="E4563" s="5"/>
      <c r="F4563" s="5"/>
      <c r="G4563" s="5"/>
      <c r="H4563" s="5"/>
    </row>
    <row r="4564" spans="1:8" x14ac:dyDescent="0.25">
      <c r="A4564" s="4"/>
      <c r="B4564" s="5"/>
      <c r="C4564" s="5"/>
      <c r="D4564" s="5"/>
      <c r="E4564" s="5"/>
      <c r="F4564" s="5"/>
      <c r="G4564" s="5"/>
      <c r="H4564" s="5"/>
    </row>
    <row r="4565" spans="1:8" x14ac:dyDescent="0.25">
      <c r="A4565" s="4"/>
      <c r="B4565" s="5"/>
      <c r="C4565" s="5"/>
      <c r="D4565" s="5"/>
      <c r="E4565" s="5"/>
      <c r="F4565" s="5"/>
      <c r="G4565" s="5"/>
      <c r="H4565" s="5"/>
    </row>
    <row r="4566" spans="1:8" x14ac:dyDescent="0.25">
      <c r="A4566" s="4"/>
      <c r="B4566" s="5"/>
      <c r="C4566" s="5"/>
      <c r="D4566" s="5"/>
      <c r="E4566" s="5"/>
      <c r="F4566" s="5"/>
      <c r="G4566" s="5"/>
      <c r="H4566" s="5"/>
    </row>
    <row r="4567" spans="1:8" x14ac:dyDescent="0.25">
      <c r="A4567" s="4"/>
      <c r="B4567" s="5"/>
      <c r="C4567" s="5"/>
      <c r="D4567" s="5"/>
      <c r="E4567" s="5"/>
      <c r="F4567" s="5"/>
      <c r="G4567" s="5"/>
      <c r="H4567" s="5"/>
    </row>
    <row r="4568" spans="1:8" x14ac:dyDescent="0.25">
      <c r="A4568" s="4"/>
      <c r="B4568" s="5"/>
      <c r="C4568" s="5"/>
      <c r="D4568" s="5"/>
      <c r="E4568" s="5"/>
      <c r="F4568" s="5"/>
      <c r="G4568" s="5"/>
      <c r="H4568" s="5"/>
    </row>
    <row r="4569" spans="1:8" x14ac:dyDescent="0.25">
      <c r="A4569" s="4"/>
      <c r="B4569" s="5"/>
      <c r="C4569" s="5"/>
      <c r="D4569" s="5"/>
      <c r="E4569" s="5"/>
      <c r="F4569" s="5"/>
      <c r="G4569" s="5"/>
      <c r="H4569" s="5"/>
    </row>
    <row r="4570" spans="1:8" x14ac:dyDescent="0.25">
      <c r="A4570" s="4"/>
      <c r="B4570" s="5"/>
      <c r="C4570" s="5"/>
      <c r="D4570" s="5"/>
      <c r="E4570" s="5"/>
      <c r="F4570" s="5"/>
      <c r="G4570" s="5"/>
      <c r="H4570" s="5"/>
    </row>
    <row r="4571" spans="1:8" x14ac:dyDescent="0.25">
      <c r="A4571" s="4"/>
      <c r="B4571" s="5"/>
      <c r="C4571" s="5"/>
      <c r="D4571" s="5"/>
      <c r="E4571" s="5"/>
      <c r="F4571" s="5"/>
      <c r="G4571" s="5"/>
      <c r="H4571" s="5"/>
    </row>
    <row r="4572" spans="1:8" x14ac:dyDescent="0.25">
      <c r="A4572" s="4"/>
      <c r="B4572" s="5"/>
      <c r="C4572" s="5"/>
      <c r="D4572" s="5"/>
      <c r="E4572" s="5"/>
      <c r="F4572" s="5"/>
      <c r="G4572" s="5"/>
      <c r="H4572" s="5"/>
    </row>
    <row r="4573" spans="1:8" x14ac:dyDescent="0.25">
      <c r="A4573" s="4"/>
      <c r="B4573" s="5"/>
      <c r="C4573" s="5"/>
      <c r="D4573" s="5"/>
      <c r="E4573" s="5"/>
      <c r="F4573" s="5"/>
      <c r="G4573" s="5"/>
      <c r="H4573" s="5"/>
    </row>
    <row r="4574" spans="1:8" x14ac:dyDescent="0.25">
      <c r="A4574" s="4"/>
      <c r="B4574" s="5"/>
      <c r="C4574" s="5"/>
      <c r="D4574" s="5"/>
      <c r="E4574" s="5"/>
      <c r="F4574" s="5"/>
      <c r="G4574" s="5"/>
      <c r="H4574" s="5"/>
    </row>
    <row r="4575" spans="1:8" x14ac:dyDescent="0.25">
      <c r="A4575" s="4"/>
      <c r="B4575" s="5"/>
      <c r="C4575" s="5"/>
      <c r="D4575" s="5"/>
      <c r="E4575" s="5"/>
      <c r="F4575" s="5"/>
      <c r="G4575" s="5"/>
      <c r="H4575" s="5"/>
    </row>
    <row r="4576" spans="1:8" x14ac:dyDescent="0.25">
      <c r="A4576" s="4"/>
      <c r="B4576" s="5"/>
      <c r="C4576" s="5"/>
      <c r="D4576" s="5"/>
      <c r="E4576" s="5"/>
      <c r="F4576" s="5"/>
      <c r="G4576" s="5"/>
      <c r="H4576" s="5"/>
    </row>
    <row r="4577" spans="1:8" x14ac:dyDescent="0.25">
      <c r="A4577" s="4"/>
      <c r="B4577" s="5"/>
      <c r="C4577" s="5"/>
      <c r="D4577" s="5"/>
      <c r="E4577" s="5"/>
      <c r="F4577" s="5"/>
      <c r="G4577" s="5"/>
      <c r="H4577" s="5"/>
    </row>
    <row r="4578" spans="1:8" x14ac:dyDescent="0.25">
      <c r="A4578" s="4"/>
      <c r="B4578" s="5"/>
      <c r="C4578" s="5"/>
      <c r="D4578" s="5"/>
      <c r="E4578" s="5"/>
      <c r="F4578" s="5"/>
      <c r="G4578" s="5"/>
      <c r="H4578" s="5"/>
    </row>
    <row r="4579" spans="1:8" x14ac:dyDescent="0.25">
      <c r="A4579" s="4"/>
      <c r="B4579" s="5"/>
      <c r="C4579" s="5"/>
      <c r="D4579" s="5"/>
      <c r="E4579" s="5"/>
      <c r="F4579" s="5"/>
      <c r="G4579" s="5"/>
      <c r="H4579" s="5"/>
    </row>
    <row r="4580" spans="1:8" x14ac:dyDescent="0.25">
      <c r="A4580" s="4"/>
      <c r="B4580" s="5"/>
      <c r="C4580" s="5"/>
      <c r="D4580" s="5"/>
      <c r="E4580" s="5"/>
      <c r="F4580" s="5"/>
      <c r="G4580" s="5"/>
      <c r="H4580" s="5"/>
    </row>
    <row r="4581" spans="1:8" x14ac:dyDescent="0.25">
      <c r="A4581" s="4"/>
      <c r="B4581" s="5"/>
      <c r="C4581" s="5"/>
      <c r="D4581" s="5"/>
      <c r="E4581" s="5"/>
      <c r="F4581" s="5"/>
      <c r="G4581" s="5"/>
      <c r="H4581" s="5"/>
    </row>
    <row r="4582" spans="1:8" x14ac:dyDescent="0.25">
      <c r="A4582" s="4"/>
      <c r="B4582" s="5"/>
      <c r="C4582" s="5"/>
      <c r="D4582" s="5"/>
      <c r="E4582" s="5"/>
      <c r="F4582" s="5"/>
      <c r="G4582" s="5"/>
      <c r="H4582" s="5"/>
    </row>
    <row r="4583" spans="1:8" x14ac:dyDescent="0.25">
      <c r="A4583" s="4"/>
      <c r="B4583" s="5"/>
      <c r="C4583" s="5"/>
      <c r="D4583" s="5"/>
      <c r="E4583" s="5"/>
      <c r="F4583" s="5"/>
      <c r="G4583" s="5"/>
      <c r="H4583" s="5"/>
    </row>
    <row r="4584" spans="1:8" x14ac:dyDescent="0.25">
      <c r="A4584" s="4"/>
      <c r="B4584" s="5"/>
      <c r="C4584" s="5"/>
      <c r="D4584" s="5"/>
      <c r="E4584" s="5"/>
      <c r="F4584" s="5"/>
      <c r="G4584" s="5"/>
      <c r="H4584" s="5"/>
    </row>
    <row r="4585" spans="1:8" x14ac:dyDescent="0.25">
      <c r="A4585" s="4"/>
      <c r="B4585" s="5"/>
      <c r="C4585" s="5"/>
      <c r="D4585" s="5"/>
      <c r="E4585" s="5"/>
      <c r="F4585" s="5"/>
      <c r="G4585" s="5"/>
      <c r="H4585" s="5"/>
    </row>
    <row r="4586" spans="1:8" x14ac:dyDescent="0.25">
      <c r="A4586" s="4"/>
      <c r="B4586" s="5"/>
      <c r="C4586" s="5"/>
      <c r="D4586" s="5"/>
      <c r="E4586" s="5"/>
      <c r="F4586" s="5"/>
      <c r="G4586" s="5"/>
      <c r="H4586" s="5"/>
    </row>
    <row r="4587" spans="1:8" x14ac:dyDescent="0.25">
      <c r="A4587" s="4"/>
      <c r="B4587" s="5"/>
      <c r="C4587" s="5"/>
      <c r="D4587" s="5"/>
      <c r="E4587" s="5"/>
      <c r="F4587" s="5"/>
      <c r="G4587" s="5"/>
      <c r="H4587" s="5"/>
    </row>
    <row r="4588" spans="1:8" x14ac:dyDescent="0.25">
      <c r="A4588" s="4"/>
      <c r="B4588" s="5"/>
      <c r="C4588" s="5"/>
      <c r="D4588" s="5"/>
      <c r="E4588" s="5"/>
      <c r="F4588" s="5"/>
      <c r="G4588" s="5"/>
      <c r="H4588" s="5"/>
    </row>
    <row r="4589" spans="1:8" x14ac:dyDescent="0.25">
      <c r="A4589" s="4"/>
      <c r="B4589" s="5"/>
      <c r="C4589" s="5"/>
      <c r="D4589" s="5"/>
      <c r="E4589" s="5"/>
      <c r="F4589" s="5"/>
      <c r="G4589" s="5"/>
      <c r="H4589" s="5"/>
    </row>
    <row r="4590" spans="1:8" x14ac:dyDescent="0.25">
      <c r="A4590" s="4"/>
      <c r="B4590" s="5"/>
      <c r="C4590" s="5"/>
      <c r="D4590" s="5"/>
      <c r="E4590" s="5"/>
      <c r="F4590" s="5"/>
      <c r="G4590" s="5"/>
      <c r="H4590" s="5"/>
    </row>
    <row r="4591" spans="1:8" x14ac:dyDescent="0.25">
      <c r="A4591" s="4"/>
      <c r="B4591" s="5"/>
      <c r="C4591" s="5"/>
      <c r="D4591" s="5"/>
      <c r="E4591" s="5"/>
      <c r="F4591" s="5"/>
      <c r="G4591" s="5"/>
      <c r="H4591" s="5"/>
    </row>
    <row r="4592" spans="1:8" x14ac:dyDescent="0.25">
      <c r="A4592" s="4"/>
      <c r="B4592" s="5"/>
      <c r="C4592" s="5"/>
      <c r="D4592" s="5"/>
      <c r="E4592" s="5"/>
      <c r="F4592" s="5"/>
      <c r="G4592" s="5"/>
      <c r="H4592" s="5"/>
    </row>
    <row r="4593" spans="1:8" x14ac:dyDescent="0.25">
      <c r="A4593" s="4"/>
      <c r="B4593" s="5"/>
      <c r="C4593" s="5"/>
      <c r="D4593" s="5"/>
      <c r="E4593" s="5"/>
      <c r="F4593" s="5"/>
      <c r="G4593" s="5"/>
      <c r="H4593" s="5"/>
    </row>
    <row r="4594" spans="1:8" x14ac:dyDescent="0.25">
      <c r="A4594" s="4"/>
      <c r="B4594" s="5"/>
      <c r="C4594" s="5"/>
      <c r="D4594" s="5"/>
      <c r="E4594" s="5"/>
      <c r="F4594" s="5"/>
      <c r="G4594" s="5"/>
      <c r="H4594" s="5"/>
    </row>
    <row r="4595" spans="1:8" x14ac:dyDescent="0.25">
      <c r="A4595" s="4"/>
      <c r="B4595" s="5"/>
      <c r="C4595" s="5"/>
      <c r="D4595" s="5"/>
      <c r="E4595" s="5"/>
      <c r="F4595" s="5"/>
      <c r="G4595" s="5"/>
      <c r="H4595" s="5"/>
    </row>
    <row r="4596" spans="1:8" x14ac:dyDescent="0.25">
      <c r="A4596" s="4"/>
      <c r="B4596" s="5"/>
      <c r="C4596" s="5"/>
      <c r="D4596" s="5"/>
      <c r="E4596" s="5"/>
      <c r="F4596" s="5"/>
      <c r="G4596" s="5"/>
      <c r="H4596" s="5"/>
    </row>
    <row r="4597" spans="1:8" x14ac:dyDescent="0.25">
      <c r="A4597" s="4"/>
      <c r="B4597" s="5"/>
      <c r="C4597" s="5"/>
      <c r="D4597" s="5"/>
      <c r="E4597" s="5"/>
      <c r="F4597" s="5"/>
      <c r="G4597" s="5"/>
      <c r="H4597" s="5"/>
    </row>
    <row r="4598" spans="1:8" x14ac:dyDescent="0.25">
      <c r="A4598" s="4"/>
      <c r="B4598" s="5"/>
      <c r="C4598" s="5"/>
      <c r="D4598" s="5"/>
      <c r="E4598" s="5"/>
      <c r="F4598" s="5"/>
      <c r="G4598" s="5"/>
      <c r="H4598" s="5"/>
    </row>
    <row r="4599" spans="1:8" x14ac:dyDescent="0.25">
      <c r="A4599" s="4"/>
      <c r="B4599" s="5"/>
      <c r="C4599" s="5"/>
      <c r="D4599" s="5"/>
      <c r="E4599" s="5"/>
      <c r="F4599" s="5"/>
      <c r="G4599" s="5"/>
      <c r="H4599" s="5"/>
    </row>
    <row r="4600" spans="1:8" x14ac:dyDescent="0.25">
      <c r="A4600" s="4"/>
      <c r="B4600" s="5"/>
      <c r="C4600" s="5"/>
      <c r="D4600" s="5"/>
      <c r="E4600" s="5"/>
      <c r="F4600" s="5"/>
      <c r="G4600" s="5"/>
      <c r="H4600" s="5"/>
    </row>
    <row r="4601" spans="1:8" x14ac:dyDescent="0.25">
      <c r="A4601" s="4"/>
      <c r="B4601" s="5"/>
      <c r="C4601" s="5"/>
      <c r="D4601" s="5"/>
      <c r="E4601" s="5"/>
      <c r="F4601" s="5"/>
      <c r="G4601" s="5"/>
      <c r="H4601" s="5"/>
    </row>
    <row r="4602" spans="1:8" x14ac:dyDescent="0.25">
      <c r="A4602" s="4"/>
      <c r="B4602" s="5"/>
      <c r="C4602" s="5"/>
      <c r="D4602" s="5"/>
      <c r="E4602" s="5"/>
      <c r="F4602" s="5"/>
      <c r="G4602" s="5"/>
      <c r="H4602" s="5"/>
    </row>
    <row r="4603" spans="1:8" x14ac:dyDescent="0.25">
      <c r="A4603" s="4"/>
      <c r="B4603" s="5"/>
      <c r="C4603" s="5"/>
      <c r="D4603" s="5"/>
      <c r="E4603" s="5"/>
      <c r="F4603" s="5"/>
      <c r="G4603" s="5"/>
      <c r="H4603" s="5"/>
    </row>
    <row r="4604" spans="1:8" x14ac:dyDescent="0.25">
      <c r="A4604" s="4"/>
      <c r="B4604" s="5"/>
      <c r="C4604" s="5"/>
      <c r="D4604" s="5"/>
      <c r="E4604" s="5"/>
      <c r="F4604" s="5"/>
      <c r="G4604" s="5"/>
      <c r="H4604" s="5"/>
    </row>
    <row r="4605" spans="1:8" x14ac:dyDescent="0.25">
      <c r="A4605" s="4"/>
      <c r="B4605" s="5"/>
      <c r="C4605" s="5"/>
      <c r="D4605" s="5"/>
      <c r="E4605" s="5"/>
      <c r="F4605" s="5"/>
      <c r="G4605" s="5"/>
      <c r="H4605" s="5"/>
    </row>
    <row r="4606" spans="1:8" x14ac:dyDescent="0.25">
      <c r="A4606" s="4"/>
      <c r="B4606" s="5"/>
      <c r="C4606" s="5"/>
      <c r="D4606" s="5"/>
      <c r="E4606" s="5"/>
      <c r="F4606" s="5"/>
      <c r="G4606" s="5"/>
      <c r="H4606" s="5"/>
    </row>
    <row r="4607" spans="1:8" x14ac:dyDescent="0.25">
      <c r="A4607" s="4"/>
      <c r="B4607" s="5"/>
      <c r="C4607" s="5"/>
      <c r="D4607" s="5"/>
      <c r="E4607" s="5"/>
      <c r="F4607" s="5"/>
      <c r="G4607" s="5"/>
      <c r="H4607" s="5"/>
    </row>
    <row r="4608" spans="1:8" x14ac:dyDescent="0.25">
      <c r="A4608" s="4"/>
      <c r="B4608" s="5"/>
      <c r="C4608" s="5"/>
      <c r="D4608" s="5"/>
      <c r="E4608" s="5"/>
      <c r="F4608" s="5"/>
      <c r="G4608" s="5"/>
      <c r="H4608" s="5"/>
    </row>
    <row r="4609" spans="1:8" x14ac:dyDescent="0.25">
      <c r="A4609" s="4"/>
      <c r="B4609" s="5"/>
      <c r="C4609" s="5"/>
      <c r="D4609" s="5"/>
      <c r="E4609" s="5"/>
      <c r="F4609" s="5"/>
      <c r="G4609" s="5"/>
      <c r="H4609" s="5"/>
    </row>
    <row r="4610" spans="1:8" x14ac:dyDescent="0.25">
      <c r="A4610" s="4"/>
      <c r="B4610" s="5"/>
      <c r="C4610" s="5"/>
      <c r="D4610" s="5"/>
      <c r="E4610" s="5"/>
      <c r="F4610" s="5"/>
      <c r="G4610" s="5"/>
      <c r="H4610" s="5"/>
    </row>
    <row r="4611" spans="1:8" x14ac:dyDescent="0.25">
      <c r="A4611" s="4"/>
      <c r="B4611" s="5"/>
      <c r="C4611" s="5"/>
      <c r="D4611" s="5"/>
      <c r="E4611" s="5"/>
      <c r="F4611" s="5"/>
      <c r="G4611" s="5"/>
      <c r="H4611" s="5"/>
    </row>
    <row r="4612" spans="1:8" x14ac:dyDescent="0.25">
      <c r="A4612" s="4"/>
      <c r="B4612" s="5"/>
      <c r="C4612" s="5"/>
      <c r="D4612" s="5"/>
      <c r="E4612" s="5"/>
      <c r="F4612" s="5"/>
      <c r="G4612" s="5"/>
      <c r="H4612" s="5"/>
    </row>
    <row r="4613" spans="1:8" x14ac:dyDescent="0.25">
      <c r="A4613" s="4"/>
      <c r="B4613" s="5"/>
      <c r="C4613" s="5"/>
      <c r="D4613" s="5"/>
      <c r="E4613" s="5"/>
      <c r="F4613" s="5"/>
      <c r="G4613" s="5"/>
      <c r="H4613" s="5"/>
    </row>
    <row r="4614" spans="1:8" x14ac:dyDescent="0.25">
      <c r="A4614" s="4"/>
      <c r="B4614" s="5"/>
      <c r="C4614" s="5"/>
      <c r="D4614" s="5"/>
      <c r="E4614" s="5"/>
      <c r="F4614" s="5"/>
      <c r="G4614" s="5"/>
      <c r="H4614" s="5"/>
    </row>
    <row r="4615" spans="1:8" x14ac:dyDescent="0.25">
      <c r="A4615" s="4"/>
      <c r="B4615" s="5"/>
      <c r="C4615" s="5"/>
      <c r="D4615" s="5"/>
      <c r="E4615" s="5"/>
      <c r="F4615" s="5"/>
      <c r="G4615" s="5"/>
      <c r="H4615" s="5"/>
    </row>
    <row r="4616" spans="1:8" x14ac:dyDescent="0.25">
      <c r="A4616" s="4"/>
      <c r="B4616" s="5"/>
      <c r="C4616" s="5"/>
      <c r="D4616" s="5"/>
      <c r="E4616" s="5"/>
      <c r="F4616" s="5"/>
      <c r="G4616" s="5"/>
      <c r="H4616" s="5"/>
    </row>
    <row r="4617" spans="1:8" x14ac:dyDescent="0.25">
      <c r="A4617" s="4"/>
      <c r="B4617" s="5"/>
      <c r="C4617" s="5"/>
      <c r="D4617" s="5"/>
      <c r="E4617" s="5"/>
      <c r="F4617" s="5"/>
      <c r="G4617" s="5"/>
      <c r="H4617" s="5"/>
    </row>
    <row r="4618" spans="1:8" x14ac:dyDescent="0.25">
      <c r="A4618" s="4"/>
      <c r="B4618" s="5"/>
      <c r="C4618" s="5"/>
      <c r="D4618" s="5"/>
      <c r="E4618" s="5"/>
      <c r="F4618" s="5"/>
      <c r="G4618" s="5"/>
      <c r="H4618" s="5"/>
    </row>
    <row r="4619" spans="1:8" x14ac:dyDescent="0.25">
      <c r="A4619" s="4"/>
      <c r="B4619" s="5"/>
      <c r="C4619" s="5"/>
      <c r="D4619" s="5"/>
      <c r="E4619" s="5"/>
      <c r="F4619" s="5"/>
      <c r="G4619" s="5"/>
      <c r="H4619" s="5"/>
    </row>
    <row r="4620" spans="1:8" x14ac:dyDescent="0.25">
      <c r="A4620" s="4"/>
      <c r="B4620" s="5"/>
      <c r="C4620" s="5"/>
      <c r="D4620" s="5"/>
      <c r="E4620" s="5"/>
      <c r="F4620" s="5"/>
      <c r="G4620" s="5"/>
      <c r="H4620" s="5"/>
    </row>
    <row r="4621" spans="1:8" x14ac:dyDescent="0.25">
      <c r="A4621" s="4"/>
      <c r="B4621" s="5"/>
      <c r="C4621" s="5"/>
      <c r="D4621" s="5"/>
      <c r="E4621" s="5"/>
      <c r="F4621" s="5"/>
      <c r="G4621" s="5"/>
      <c r="H4621" s="5"/>
    </row>
    <row r="4622" spans="1:8" x14ac:dyDescent="0.25">
      <c r="A4622" s="4"/>
      <c r="B4622" s="5"/>
      <c r="C4622" s="5"/>
      <c r="D4622" s="5"/>
      <c r="E4622" s="5"/>
      <c r="F4622" s="5"/>
      <c r="G4622" s="5"/>
      <c r="H4622" s="5"/>
    </row>
    <row r="4623" spans="1:8" x14ac:dyDescent="0.25">
      <c r="A4623" s="4"/>
      <c r="B4623" s="5"/>
      <c r="C4623" s="5"/>
      <c r="D4623" s="5"/>
      <c r="E4623" s="5"/>
      <c r="F4623" s="5"/>
      <c r="G4623" s="5"/>
      <c r="H4623" s="5"/>
    </row>
    <row r="4624" spans="1:8" x14ac:dyDescent="0.25">
      <c r="A4624" s="4"/>
      <c r="B4624" s="5"/>
      <c r="C4624" s="5"/>
      <c r="D4624" s="5"/>
      <c r="E4624" s="5"/>
      <c r="F4624" s="5"/>
      <c r="G4624" s="5"/>
      <c r="H4624" s="5"/>
    </row>
    <row r="4625" spans="1:8" x14ac:dyDescent="0.25">
      <c r="A4625" s="4"/>
      <c r="B4625" s="5"/>
      <c r="C4625" s="5"/>
      <c r="D4625" s="5"/>
      <c r="E4625" s="5"/>
      <c r="F4625" s="5"/>
      <c r="G4625" s="5"/>
      <c r="H4625" s="5"/>
    </row>
    <row r="4626" spans="1:8" x14ac:dyDescent="0.25">
      <c r="A4626" s="4"/>
      <c r="B4626" s="5"/>
      <c r="C4626" s="5"/>
      <c r="D4626" s="5"/>
      <c r="E4626" s="5"/>
      <c r="F4626" s="5"/>
      <c r="G4626" s="5"/>
      <c r="H4626" s="5"/>
    </row>
    <row r="4627" spans="1:8" x14ac:dyDescent="0.25">
      <c r="A4627" s="4"/>
      <c r="B4627" s="5"/>
      <c r="C4627" s="5"/>
      <c r="D4627" s="5"/>
      <c r="E4627" s="5"/>
      <c r="F4627" s="5"/>
      <c r="G4627" s="5"/>
      <c r="H4627" s="5"/>
    </row>
    <row r="4628" spans="1:8" x14ac:dyDescent="0.25">
      <c r="A4628" s="4"/>
      <c r="B4628" s="5"/>
      <c r="C4628" s="5"/>
      <c r="D4628" s="5"/>
      <c r="E4628" s="5"/>
      <c r="F4628" s="5"/>
      <c r="G4628" s="5"/>
      <c r="H4628" s="5"/>
    </row>
    <row r="4629" spans="1:8" x14ac:dyDescent="0.25">
      <c r="A4629" s="4"/>
      <c r="B4629" s="5"/>
      <c r="C4629" s="5"/>
      <c r="D4629" s="5"/>
      <c r="E4629" s="5"/>
      <c r="F4629" s="5"/>
      <c r="G4629" s="5"/>
      <c r="H4629" s="5"/>
    </row>
    <row r="4630" spans="1:8" x14ac:dyDescent="0.25">
      <c r="A4630" s="4"/>
      <c r="B4630" s="5"/>
      <c r="C4630" s="5"/>
      <c r="D4630" s="5"/>
      <c r="E4630" s="5"/>
      <c r="F4630" s="5"/>
      <c r="G4630" s="5"/>
      <c r="H4630" s="5"/>
    </row>
    <row r="4631" spans="1:8" x14ac:dyDescent="0.25">
      <c r="A4631" s="4"/>
      <c r="B4631" s="5"/>
      <c r="C4631" s="5"/>
      <c r="D4631" s="5"/>
      <c r="E4631" s="5"/>
      <c r="F4631" s="5"/>
      <c r="G4631" s="5"/>
      <c r="H4631" s="5"/>
    </row>
    <row r="4632" spans="1:8" x14ac:dyDescent="0.25">
      <c r="A4632" s="4"/>
      <c r="B4632" s="5"/>
      <c r="C4632" s="5"/>
      <c r="D4632" s="5"/>
      <c r="E4632" s="5"/>
      <c r="F4632" s="5"/>
      <c r="G4632" s="5"/>
      <c r="H4632" s="5"/>
    </row>
    <row r="4633" spans="1:8" x14ac:dyDescent="0.25">
      <c r="A4633" s="4"/>
      <c r="B4633" s="5"/>
      <c r="C4633" s="5"/>
      <c r="D4633" s="5"/>
      <c r="E4633" s="5"/>
      <c r="F4633" s="5"/>
      <c r="G4633" s="5"/>
      <c r="H4633" s="5"/>
    </row>
    <row r="4634" spans="1:8" x14ac:dyDescent="0.25">
      <c r="A4634" s="4"/>
      <c r="B4634" s="5"/>
      <c r="C4634" s="5"/>
      <c r="D4634" s="5"/>
      <c r="E4634" s="5"/>
      <c r="F4634" s="5"/>
      <c r="G4634" s="5"/>
      <c r="H4634" s="5"/>
    </row>
    <row r="4635" spans="1:8" x14ac:dyDescent="0.25">
      <c r="A4635" s="4"/>
      <c r="B4635" s="5"/>
      <c r="C4635" s="5"/>
      <c r="D4635" s="5"/>
      <c r="E4635" s="5"/>
      <c r="F4635" s="5"/>
      <c r="G4635" s="5"/>
      <c r="H4635" s="5"/>
    </row>
    <row r="4636" spans="1:8" x14ac:dyDescent="0.25">
      <c r="A4636" s="4"/>
      <c r="B4636" s="5"/>
      <c r="C4636" s="5"/>
      <c r="D4636" s="5"/>
      <c r="E4636" s="5"/>
      <c r="F4636" s="5"/>
      <c r="G4636" s="5"/>
      <c r="H4636" s="5"/>
    </row>
    <row r="4637" spans="1:8" x14ac:dyDescent="0.25">
      <c r="A4637" s="4"/>
      <c r="B4637" s="5"/>
      <c r="C4637" s="5"/>
      <c r="D4637" s="5"/>
      <c r="E4637" s="5"/>
      <c r="F4637" s="5"/>
      <c r="G4637" s="5"/>
      <c r="H4637" s="5"/>
    </row>
    <row r="4638" spans="1:8" x14ac:dyDescent="0.25">
      <c r="A4638" s="4"/>
      <c r="B4638" s="5"/>
      <c r="C4638" s="5"/>
      <c r="D4638" s="5"/>
      <c r="E4638" s="5"/>
      <c r="F4638" s="5"/>
      <c r="G4638" s="5"/>
      <c r="H4638" s="5"/>
    </row>
    <row r="4639" spans="1:8" x14ac:dyDescent="0.25">
      <c r="A4639" s="4"/>
      <c r="B4639" s="5"/>
      <c r="C4639" s="5"/>
      <c r="D4639" s="5"/>
      <c r="E4639" s="5"/>
      <c r="F4639" s="5"/>
      <c r="G4639" s="5"/>
      <c r="H4639" s="5"/>
    </row>
    <row r="4640" spans="1:8" x14ac:dyDescent="0.25">
      <c r="A4640" s="4"/>
      <c r="B4640" s="5"/>
      <c r="C4640" s="5"/>
      <c r="D4640" s="5"/>
      <c r="E4640" s="5"/>
      <c r="F4640" s="5"/>
      <c r="G4640" s="5"/>
      <c r="H4640" s="5"/>
    </row>
    <row r="4641" spans="1:8" x14ac:dyDescent="0.25">
      <c r="A4641" s="4"/>
      <c r="B4641" s="5"/>
      <c r="C4641" s="5"/>
      <c r="D4641" s="5"/>
      <c r="E4641" s="5"/>
      <c r="F4641" s="5"/>
      <c r="G4641" s="5"/>
      <c r="H4641" s="5"/>
    </row>
    <row r="4642" spans="1:8" x14ac:dyDescent="0.25">
      <c r="A4642" s="4"/>
      <c r="B4642" s="5"/>
      <c r="C4642" s="5"/>
      <c r="D4642" s="5"/>
      <c r="E4642" s="5"/>
      <c r="F4642" s="5"/>
      <c r="G4642" s="5"/>
      <c r="H4642" s="5"/>
    </row>
    <row r="4643" spans="1:8" x14ac:dyDescent="0.25">
      <c r="A4643" s="4"/>
      <c r="B4643" s="5"/>
      <c r="C4643" s="5"/>
      <c r="D4643" s="5"/>
      <c r="E4643" s="5"/>
      <c r="F4643" s="5"/>
      <c r="G4643" s="5"/>
      <c r="H4643" s="5"/>
    </row>
    <row r="4644" spans="1:8" x14ac:dyDescent="0.25">
      <c r="A4644" s="4"/>
      <c r="B4644" s="5"/>
      <c r="C4644" s="5"/>
      <c r="D4644" s="5"/>
      <c r="E4644" s="5"/>
      <c r="F4644" s="5"/>
      <c r="G4644" s="5"/>
      <c r="H4644" s="5"/>
    </row>
    <row r="4645" spans="1:8" x14ac:dyDescent="0.25">
      <c r="A4645" s="4"/>
      <c r="B4645" s="5"/>
      <c r="C4645" s="5"/>
      <c r="D4645" s="5"/>
      <c r="E4645" s="5"/>
      <c r="F4645" s="5"/>
      <c r="G4645" s="5"/>
      <c r="H4645" s="5"/>
    </row>
    <row r="4646" spans="1:8" x14ac:dyDescent="0.25">
      <c r="A4646" s="4"/>
      <c r="B4646" s="5"/>
      <c r="C4646" s="5"/>
      <c r="D4646" s="5"/>
      <c r="E4646" s="5"/>
      <c r="F4646" s="5"/>
      <c r="G4646" s="5"/>
      <c r="H4646" s="5"/>
    </row>
    <row r="4647" spans="1:8" x14ac:dyDescent="0.25">
      <c r="A4647" s="4"/>
      <c r="B4647" s="5"/>
      <c r="C4647" s="5"/>
      <c r="D4647" s="5"/>
      <c r="E4647" s="5"/>
      <c r="F4647" s="5"/>
      <c r="G4647" s="5"/>
      <c r="H4647" s="5"/>
    </row>
    <row r="4648" spans="1:8" x14ac:dyDescent="0.25">
      <c r="A4648" s="4"/>
      <c r="B4648" s="5"/>
      <c r="C4648" s="5"/>
      <c r="D4648" s="5"/>
      <c r="E4648" s="5"/>
      <c r="F4648" s="5"/>
      <c r="G4648" s="5"/>
      <c r="H4648" s="5"/>
    </row>
    <row r="4649" spans="1:8" x14ac:dyDescent="0.25">
      <c r="A4649" s="4"/>
      <c r="B4649" s="5"/>
      <c r="C4649" s="5"/>
      <c r="D4649" s="5"/>
      <c r="E4649" s="5"/>
      <c r="F4649" s="5"/>
      <c r="G4649" s="5"/>
      <c r="H4649" s="5"/>
    </row>
    <row r="4650" spans="1:8" x14ac:dyDescent="0.25">
      <c r="A4650" s="4"/>
      <c r="B4650" s="5"/>
      <c r="C4650" s="5"/>
      <c r="D4650" s="5"/>
      <c r="E4650" s="5"/>
      <c r="F4650" s="5"/>
      <c r="G4650" s="5"/>
      <c r="H4650" s="5"/>
    </row>
    <row r="4651" spans="1:8" x14ac:dyDescent="0.25">
      <c r="A4651" s="4"/>
      <c r="B4651" s="5"/>
      <c r="C4651" s="5"/>
      <c r="D4651" s="5"/>
      <c r="E4651" s="5"/>
      <c r="F4651" s="5"/>
      <c r="G4651" s="5"/>
      <c r="H4651" s="5"/>
    </row>
    <row r="4652" spans="1:8" x14ac:dyDescent="0.25">
      <c r="A4652" s="4"/>
      <c r="B4652" s="5"/>
      <c r="C4652" s="5"/>
      <c r="D4652" s="5"/>
      <c r="E4652" s="5"/>
      <c r="F4652" s="5"/>
      <c r="G4652" s="5"/>
      <c r="H4652" s="5"/>
    </row>
    <row r="4653" spans="1:8" x14ac:dyDescent="0.25">
      <c r="A4653" s="4"/>
      <c r="B4653" s="5"/>
      <c r="C4653" s="5"/>
      <c r="D4653" s="5"/>
      <c r="E4653" s="5"/>
      <c r="F4653" s="5"/>
      <c r="G4653" s="5"/>
      <c r="H4653" s="5"/>
    </row>
    <row r="4654" spans="1:8" x14ac:dyDescent="0.25">
      <c r="A4654" s="4"/>
      <c r="B4654" s="5"/>
      <c r="C4654" s="5"/>
      <c r="D4654" s="5"/>
      <c r="E4654" s="5"/>
      <c r="F4654" s="5"/>
      <c r="G4654" s="5"/>
      <c r="H4654" s="5"/>
    </row>
    <row r="4655" spans="1:8" x14ac:dyDescent="0.25">
      <c r="A4655" s="4"/>
      <c r="B4655" s="5"/>
      <c r="C4655" s="5"/>
      <c r="D4655" s="5"/>
      <c r="E4655" s="5"/>
      <c r="F4655" s="5"/>
      <c r="G4655" s="5"/>
      <c r="H4655" s="5"/>
    </row>
    <row r="4656" spans="1:8" x14ac:dyDescent="0.25">
      <c r="A4656" s="4"/>
      <c r="B4656" s="5"/>
      <c r="C4656" s="5"/>
      <c r="D4656" s="5"/>
      <c r="E4656" s="5"/>
      <c r="F4656" s="5"/>
      <c r="G4656" s="5"/>
      <c r="H4656" s="5"/>
    </row>
    <row r="4657" spans="1:8" x14ac:dyDescent="0.25">
      <c r="A4657" s="4"/>
      <c r="B4657" s="5"/>
      <c r="C4657" s="5"/>
      <c r="D4657" s="5"/>
      <c r="E4657" s="5"/>
      <c r="F4657" s="5"/>
      <c r="G4657" s="5"/>
      <c r="H4657" s="5"/>
    </row>
    <row r="4658" spans="1:8" x14ac:dyDescent="0.25">
      <c r="A4658" s="4"/>
      <c r="B4658" s="5"/>
      <c r="C4658" s="5"/>
      <c r="D4658" s="5"/>
      <c r="E4658" s="5"/>
      <c r="F4658" s="5"/>
      <c r="G4658" s="5"/>
      <c r="H4658" s="5"/>
    </row>
    <row r="4659" spans="1:8" x14ac:dyDescent="0.25">
      <c r="A4659" s="4"/>
      <c r="B4659" s="5"/>
      <c r="C4659" s="5"/>
      <c r="D4659" s="5"/>
      <c r="E4659" s="5"/>
      <c r="F4659" s="5"/>
      <c r="G4659" s="5"/>
      <c r="H4659" s="5"/>
    </row>
    <row r="4660" spans="1:8" x14ac:dyDescent="0.25">
      <c r="A4660" s="4"/>
      <c r="B4660" s="5"/>
      <c r="C4660" s="5"/>
      <c r="D4660" s="5"/>
      <c r="E4660" s="5"/>
      <c r="F4660" s="5"/>
      <c r="G4660" s="5"/>
      <c r="H4660" s="5"/>
    </row>
    <row r="4661" spans="1:8" x14ac:dyDescent="0.25">
      <c r="A4661" s="4"/>
      <c r="B4661" s="5"/>
      <c r="C4661" s="5"/>
      <c r="D4661" s="5"/>
      <c r="E4661" s="5"/>
      <c r="F4661" s="5"/>
      <c r="G4661" s="5"/>
      <c r="H4661" s="5"/>
    </row>
    <row r="4662" spans="1:8" x14ac:dyDescent="0.25">
      <c r="A4662" s="4"/>
      <c r="B4662" s="5"/>
      <c r="C4662" s="5"/>
      <c r="D4662" s="5"/>
      <c r="E4662" s="5"/>
      <c r="F4662" s="5"/>
      <c r="G4662" s="5"/>
      <c r="H4662" s="5"/>
    </row>
    <row r="4663" spans="1:8" x14ac:dyDescent="0.25">
      <c r="A4663" s="4"/>
      <c r="B4663" s="5"/>
      <c r="C4663" s="5"/>
      <c r="D4663" s="5"/>
      <c r="E4663" s="5"/>
      <c r="F4663" s="5"/>
      <c r="G4663" s="5"/>
      <c r="H4663" s="5"/>
    </row>
    <row r="4664" spans="1:8" x14ac:dyDescent="0.25">
      <c r="A4664" s="4"/>
      <c r="B4664" s="5"/>
      <c r="C4664" s="5"/>
      <c r="D4664" s="5"/>
      <c r="E4664" s="5"/>
      <c r="F4664" s="5"/>
      <c r="G4664" s="5"/>
      <c r="H4664" s="5"/>
    </row>
    <row r="4665" spans="1:8" x14ac:dyDescent="0.25">
      <c r="A4665" s="4"/>
      <c r="B4665" s="5"/>
      <c r="C4665" s="5"/>
      <c r="D4665" s="5"/>
      <c r="E4665" s="5"/>
      <c r="F4665" s="5"/>
      <c r="G4665" s="5"/>
      <c r="H4665" s="5"/>
    </row>
    <row r="4666" spans="1:8" x14ac:dyDescent="0.25">
      <c r="A4666" s="4"/>
      <c r="B4666" s="5"/>
      <c r="C4666" s="5"/>
      <c r="D4666" s="5"/>
      <c r="E4666" s="5"/>
      <c r="F4666" s="5"/>
      <c r="G4666" s="5"/>
      <c r="H4666" s="5"/>
    </row>
    <row r="4667" spans="1:8" x14ac:dyDescent="0.25">
      <c r="A4667" s="4"/>
      <c r="B4667" s="5"/>
      <c r="C4667" s="5"/>
      <c r="D4667" s="5"/>
      <c r="E4667" s="5"/>
      <c r="F4667" s="5"/>
      <c r="G4667" s="5"/>
      <c r="H4667" s="5"/>
    </row>
    <row r="4668" spans="1:8" x14ac:dyDescent="0.25">
      <c r="A4668" s="4"/>
      <c r="B4668" s="5"/>
      <c r="C4668" s="5"/>
      <c r="D4668" s="5"/>
      <c r="E4668" s="5"/>
      <c r="F4668" s="5"/>
      <c r="G4668" s="5"/>
      <c r="H4668" s="5"/>
    </row>
    <row r="4669" spans="1:8" x14ac:dyDescent="0.25">
      <c r="A4669" s="4"/>
      <c r="B4669" s="5"/>
      <c r="C4669" s="5"/>
      <c r="D4669" s="5"/>
      <c r="E4669" s="5"/>
      <c r="F4669" s="5"/>
      <c r="G4669" s="5"/>
      <c r="H4669" s="5"/>
    </row>
    <row r="4670" spans="1:8" x14ac:dyDescent="0.25">
      <c r="A4670" s="4"/>
      <c r="B4670" s="5"/>
      <c r="C4670" s="5"/>
      <c r="D4670" s="5"/>
      <c r="E4670" s="5"/>
      <c r="F4670" s="5"/>
      <c r="G4670" s="5"/>
      <c r="H4670" s="5"/>
    </row>
    <row r="4671" spans="1:8" x14ac:dyDescent="0.25">
      <c r="A4671" s="4"/>
      <c r="B4671" s="5"/>
      <c r="C4671" s="5"/>
      <c r="D4671" s="5"/>
      <c r="E4671" s="5"/>
      <c r="F4671" s="5"/>
      <c r="G4671" s="5"/>
      <c r="H4671" s="5"/>
    </row>
    <row r="4672" spans="1:8" x14ac:dyDescent="0.25">
      <c r="A4672" s="4"/>
      <c r="B4672" s="5"/>
      <c r="C4672" s="5"/>
      <c r="D4672" s="5"/>
      <c r="E4672" s="5"/>
      <c r="F4672" s="5"/>
      <c r="G4672" s="5"/>
      <c r="H4672" s="5"/>
    </row>
    <row r="4673" spans="1:8" x14ac:dyDescent="0.25">
      <c r="A4673" s="4"/>
      <c r="B4673" s="5"/>
      <c r="C4673" s="5"/>
      <c r="D4673" s="5"/>
      <c r="E4673" s="5"/>
      <c r="F4673" s="5"/>
      <c r="G4673" s="5"/>
      <c r="H4673" s="5"/>
    </row>
    <row r="4674" spans="1:8" x14ac:dyDescent="0.25">
      <c r="A4674" s="4"/>
      <c r="B4674" s="5"/>
      <c r="C4674" s="5"/>
      <c r="D4674" s="5"/>
      <c r="E4674" s="5"/>
      <c r="F4674" s="5"/>
      <c r="G4674" s="5"/>
      <c r="H4674" s="5"/>
    </row>
    <row r="4675" spans="1:8" x14ac:dyDescent="0.25">
      <c r="A4675" s="4"/>
      <c r="B4675" s="5"/>
      <c r="C4675" s="5"/>
      <c r="D4675" s="5"/>
      <c r="E4675" s="5"/>
      <c r="F4675" s="5"/>
      <c r="G4675" s="5"/>
      <c r="H4675" s="5"/>
    </row>
    <row r="4676" spans="1:8" x14ac:dyDescent="0.25">
      <c r="A4676" s="4"/>
      <c r="B4676" s="5"/>
      <c r="C4676" s="5"/>
      <c r="D4676" s="5"/>
      <c r="E4676" s="5"/>
      <c r="F4676" s="5"/>
      <c r="G4676" s="5"/>
      <c r="H4676" s="5"/>
    </row>
    <row r="4677" spans="1:8" x14ac:dyDescent="0.25">
      <c r="A4677" s="4"/>
      <c r="B4677" s="5"/>
      <c r="C4677" s="5"/>
      <c r="D4677" s="5"/>
      <c r="E4677" s="5"/>
      <c r="F4677" s="5"/>
      <c r="G4677" s="5"/>
      <c r="H4677" s="5"/>
    </row>
    <row r="4678" spans="1:8" x14ac:dyDescent="0.25">
      <c r="A4678" s="4"/>
      <c r="B4678" s="5"/>
      <c r="C4678" s="5"/>
      <c r="D4678" s="5"/>
      <c r="E4678" s="5"/>
      <c r="F4678" s="5"/>
      <c r="G4678" s="5"/>
      <c r="H4678" s="5"/>
    </row>
    <row r="4679" spans="1:8" x14ac:dyDescent="0.25">
      <c r="A4679" s="4"/>
      <c r="B4679" s="5"/>
      <c r="C4679" s="5"/>
      <c r="D4679" s="5"/>
      <c r="E4679" s="5"/>
      <c r="F4679" s="5"/>
      <c r="G4679" s="5"/>
      <c r="H4679" s="5"/>
    </row>
    <row r="4680" spans="1:8" x14ac:dyDescent="0.25">
      <c r="A4680" s="4"/>
      <c r="B4680" s="5"/>
      <c r="C4680" s="5"/>
      <c r="D4680" s="5"/>
      <c r="E4680" s="5"/>
      <c r="F4680" s="5"/>
      <c r="G4680" s="5"/>
      <c r="H4680" s="5"/>
    </row>
    <row r="4681" spans="1:8" x14ac:dyDescent="0.25">
      <c r="A4681" s="4"/>
      <c r="B4681" s="5"/>
      <c r="C4681" s="5"/>
      <c r="D4681" s="5"/>
      <c r="E4681" s="5"/>
      <c r="F4681" s="5"/>
      <c r="G4681" s="5"/>
      <c r="H4681" s="5"/>
    </row>
    <row r="4682" spans="1:8" x14ac:dyDescent="0.25">
      <c r="A4682" s="4"/>
      <c r="B4682" s="5"/>
      <c r="C4682" s="5"/>
      <c r="D4682" s="5"/>
      <c r="E4682" s="5"/>
      <c r="F4682" s="5"/>
      <c r="G4682" s="5"/>
      <c r="H4682" s="5"/>
    </row>
    <row r="4683" spans="1:8" x14ac:dyDescent="0.25">
      <c r="A4683" s="4"/>
      <c r="B4683" s="5"/>
      <c r="C4683" s="5"/>
      <c r="D4683" s="5"/>
      <c r="E4683" s="5"/>
      <c r="F4683" s="5"/>
      <c r="G4683" s="5"/>
      <c r="H4683" s="5"/>
    </row>
    <row r="4684" spans="1:8" x14ac:dyDescent="0.25">
      <c r="A4684" s="4"/>
      <c r="B4684" s="5"/>
      <c r="C4684" s="5"/>
      <c r="D4684" s="5"/>
      <c r="E4684" s="5"/>
      <c r="F4684" s="5"/>
      <c r="G4684" s="5"/>
      <c r="H4684" s="5"/>
    </row>
    <row r="4685" spans="1:8" x14ac:dyDescent="0.25">
      <c r="A4685" s="4"/>
      <c r="B4685" s="5"/>
      <c r="C4685" s="5"/>
      <c r="D4685" s="5"/>
      <c r="E4685" s="5"/>
      <c r="F4685" s="5"/>
      <c r="G4685" s="5"/>
      <c r="H4685" s="5"/>
    </row>
    <row r="4686" spans="1:8" x14ac:dyDescent="0.25">
      <c r="A4686" s="4"/>
      <c r="B4686" s="5"/>
      <c r="C4686" s="5"/>
      <c r="D4686" s="5"/>
      <c r="E4686" s="5"/>
      <c r="F4686" s="5"/>
      <c r="G4686" s="5"/>
      <c r="H4686" s="5"/>
    </row>
    <row r="4687" spans="1:8" x14ac:dyDescent="0.25">
      <c r="A4687" s="4"/>
      <c r="B4687" s="5"/>
      <c r="C4687" s="5"/>
      <c r="D4687" s="5"/>
      <c r="E4687" s="5"/>
      <c r="F4687" s="5"/>
      <c r="G4687" s="5"/>
      <c r="H4687" s="5"/>
    </row>
    <row r="4688" spans="1:8" x14ac:dyDescent="0.25">
      <c r="A4688" s="4"/>
      <c r="B4688" s="5"/>
      <c r="C4688" s="5"/>
      <c r="D4688" s="5"/>
      <c r="E4688" s="5"/>
      <c r="F4688" s="5"/>
      <c r="G4688" s="5"/>
      <c r="H4688" s="5"/>
    </row>
    <row r="4689" spans="1:8" x14ac:dyDescent="0.25">
      <c r="A4689" s="4"/>
      <c r="B4689" s="5"/>
      <c r="C4689" s="5"/>
      <c r="D4689" s="5"/>
      <c r="E4689" s="5"/>
      <c r="F4689" s="5"/>
      <c r="G4689" s="5"/>
      <c r="H4689" s="5"/>
    </row>
    <row r="4690" spans="1:8" x14ac:dyDescent="0.25">
      <c r="A4690" s="4"/>
      <c r="B4690" s="5"/>
      <c r="C4690" s="5"/>
      <c r="D4690" s="5"/>
      <c r="E4690" s="5"/>
      <c r="F4690" s="5"/>
      <c r="G4690" s="5"/>
      <c r="H4690" s="5"/>
    </row>
    <row r="4691" spans="1:8" x14ac:dyDescent="0.25">
      <c r="A4691" s="4"/>
      <c r="B4691" s="5"/>
      <c r="C4691" s="5"/>
      <c r="D4691" s="5"/>
      <c r="E4691" s="5"/>
      <c r="F4691" s="5"/>
      <c r="G4691" s="5"/>
      <c r="H4691" s="5"/>
    </row>
    <row r="4692" spans="1:8" x14ac:dyDescent="0.25">
      <c r="A4692" s="4"/>
      <c r="B4692" s="5"/>
      <c r="C4692" s="5"/>
      <c r="D4692" s="5"/>
      <c r="E4692" s="5"/>
      <c r="F4692" s="5"/>
      <c r="G4692" s="5"/>
      <c r="H4692" s="5"/>
    </row>
    <row r="4693" spans="1:8" x14ac:dyDescent="0.25">
      <c r="A4693" s="4"/>
      <c r="B4693" s="5"/>
      <c r="C4693" s="5"/>
      <c r="D4693" s="5"/>
      <c r="E4693" s="5"/>
      <c r="F4693" s="5"/>
      <c r="G4693" s="5"/>
      <c r="H4693" s="5"/>
    </row>
    <row r="4694" spans="1:8" x14ac:dyDescent="0.25">
      <c r="A4694" s="4"/>
      <c r="B4694" s="5"/>
      <c r="C4694" s="5"/>
      <c r="D4694" s="5"/>
      <c r="E4694" s="5"/>
      <c r="F4694" s="5"/>
      <c r="G4694" s="5"/>
      <c r="H4694" s="5"/>
    </row>
    <row r="4695" spans="1:8" x14ac:dyDescent="0.25">
      <c r="A4695" s="4"/>
      <c r="B4695" s="5"/>
      <c r="C4695" s="5"/>
      <c r="D4695" s="5"/>
      <c r="E4695" s="5"/>
      <c r="F4695" s="5"/>
      <c r="G4695" s="5"/>
      <c r="H4695" s="5"/>
    </row>
    <row r="4696" spans="1:8" x14ac:dyDescent="0.25">
      <c r="A4696" s="4"/>
      <c r="B4696" s="5"/>
      <c r="C4696" s="5"/>
      <c r="D4696" s="5"/>
      <c r="E4696" s="5"/>
      <c r="F4696" s="5"/>
      <c r="G4696" s="5"/>
      <c r="H4696" s="5"/>
    </row>
    <row r="4697" spans="1:8" x14ac:dyDescent="0.25">
      <c r="A4697" s="4"/>
      <c r="B4697" s="5"/>
      <c r="C4697" s="5"/>
      <c r="D4697" s="5"/>
      <c r="E4697" s="5"/>
      <c r="F4697" s="5"/>
      <c r="G4697" s="5"/>
      <c r="H4697" s="5"/>
    </row>
    <row r="4698" spans="1:8" x14ac:dyDescent="0.25">
      <c r="A4698" s="4"/>
      <c r="B4698" s="5"/>
      <c r="C4698" s="5"/>
      <c r="D4698" s="5"/>
      <c r="E4698" s="5"/>
      <c r="F4698" s="5"/>
      <c r="G4698" s="5"/>
      <c r="H4698" s="5"/>
    </row>
    <row r="4699" spans="1:8" x14ac:dyDescent="0.25">
      <c r="A4699" s="4"/>
      <c r="B4699" s="5"/>
      <c r="C4699" s="5"/>
      <c r="D4699" s="5"/>
      <c r="E4699" s="5"/>
      <c r="F4699" s="5"/>
      <c r="G4699" s="5"/>
      <c r="H4699" s="5"/>
    </row>
    <row r="4700" spans="1:8" x14ac:dyDescent="0.25">
      <c r="A4700" s="4"/>
      <c r="B4700" s="5"/>
      <c r="C4700" s="5"/>
      <c r="D4700" s="5"/>
      <c r="E4700" s="5"/>
      <c r="F4700" s="5"/>
      <c r="G4700" s="5"/>
      <c r="H4700" s="5"/>
    </row>
    <row r="4701" spans="1:8" x14ac:dyDescent="0.25">
      <c r="A4701" s="4"/>
      <c r="B4701" s="5"/>
      <c r="C4701" s="5"/>
      <c r="D4701" s="5"/>
      <c r="E4701" s="5"/>
      <c r="F4701" s="5"/>
      <c r="G4701" s="5"/>
      <c r="H4701" s="5"/>
    </row>
    <row r="4702" spans="1:8" x14ac:dyDescent="0.25">
      <c r="A4702" s="4"/>
      <c r="B4702" s="5"/>
      <c r="C4702" s="5"/>
      <c r="D4702" s="5"/>
      <c r="E4702" s="5"/>
      <c r="F4702" s="5"/>
      <c r="G4702" s="5"/>
      <c r="H4702" s="5"/>
    </row>
    <row r="4703" spans="1:8" x14ac:dyDescent="0.25">
      <c r="A4703" s="4"/>
      <c r="B4703" s="5"/>
      <c r="C4703" s="5"/>
      <c r="D4703" s="5"/>
      <c r="E4703" s="5"/>
      <c r="F4703" s="5"/>
      <c r="G4703" s="5"/>
      <c r="H4703" s="5"/>
    </row>
    <row r="4704" spans="1:8" x14ac:dyDescent="0.25">
      <c r="A4704" s="4"/>
      <c r="B4704" s="5"/>
      <c r="C4704" s="5"/>
      <c r="D4704" s="5"/>
      <c r="E4704" s="5"/>
      <c r="F4704" s="5"/>
      <c r="G4704" s="5"/>
      <c r="H4704" s="5"/>
    </row>
    <row r="4705" spans="1:8" x14ac:dyDescent="0.25">
      <c r="A4705" s="4"/>
      <c r="B4705" s="5"/>
      <c r="C4705" s="5"/>
      <c r="D4705" s="5"/>
      <c r="E4705" s="5"/>
      <c r="F4705" s="5"/>
      <c r="G4705" s="5"/>
      <c r="H4705" s="5"/>
    </row>
    <row r="4706" spans="1:8" x14ac:dyDescent="0.25">
      <c r="A4706" s="4"/>
      <c r="B4706" s="5"/>
      <c r="C4706" s="5"/>
      <c r="D4706" s="5"/>
      <c r="E4706" s="5"/>
      <c r="F4706" s="5"/>
      <c r="G4706" s="5"/>
      <c r="H4706" s="5"/>
    </row>
    <row r="4707" spans="1:8" x14ac:dyDescent="0.25">
      <c r="A4707" s="4"/>
      <c r="B4707" s="5"/>
      <c r="C4707" s="5"/>
      <c r="D4707" s="5"/>
      <c r="E4707" s="5"/>
      <c r="F4707" s="5"/>
      <c r="G4707" s="5"/>
      <c r="H4707" s="5"/>
    </row>
    <row r="4708" spans="1:8" x14ac:dyDescent="0.25">
      <c r="A4708" s="4"/>
      <c r="B4708" s="5"/>
      <c r="C4708" s="5"/>
      <c r="D4708" s="5"/>
      <c r="E4708" s="5"/>
      <c r="F4708" s="5"/>
      <c r="G4708" s="5"/>
      <c r="H4708" s="5"/>
    </row>
    <row r="4709" spans="1:8" x14ac:dyDescent="0.25">
      <c r="A4709" s="4"/>
      <c r="B4709" s="5"/>
      <c r="C4709" s="5"/>
      <c r="D4709" s="5"/>
      <c r="E4709" s="5"/>
      <c r="F4709" s="5"/>
      <c r="G4709" s="5"/>
      <c r="H4709" s="5"/>
    </row>
    <row r="4710" spans="1:8" x14ac:dyDescent="0.25">
      <c r="A4710" s="4"/>
      <c r="B4710" s="5"/>
      <c r="C4710" s="5"/>
      <c r="D4710" s="5"/>
      <c r="E4710" s="5"/>
      <c r="F4710" s="5"/>
      <c r="G4710" s="5"/>
      <c r="H4710" s="5"/>
    </row>
    <row r="4711" spans="1:8" x14ac:dyDescent="0.25">
      <c r="A4711" s="4"/>
      <c r="B4711" s="5"/>
      <c r="C4711" s="5"/>
      <c r="D4711" s="5"/>
      <c r="E4711" s="5"/>
      <c r="F4711" s="5"/>
      <c r="G4711" s="5"/>
      <c r="H4711" s="5"/>
    </row>
    <row r="4712" spans="1:8" x14ac:dyDescent="0.25">
      <c r="A4712" s="4"/>
      <c r="B4712" s="5"/>
      <c r="C4712" s="5"/>
      <c r="D4712" s="5"/>
      <c r="E4712" s="5"/>
      <c r="F4712" s="5"/>
      <c r="G4712" s="5"/>
      <c r="H4712" s="5"/>
    </row>
    <row r="4713" spans="1:8" x14ac:dyDescent="0.25">
      <c r="A4713" s="4"/>
      <c r="B4713" s="5"/>
      <c r="C4713" s="5"/>
      <c r="D4713" s="5"/>
      <c r="E4713" s="5"/>
      <c r="F4713" s="5"/>
      <c r="G4713" s="5"/>
      <c r="H4713" s="5"/>
    </row>
    <row r="4714" spans="1:8" x14ac:dyDescent="0.25">
      <c r="A4714" s="4"/>
      <c r="B4714" s="5"/>
      <c r="C4714" s="5"/>
      <c r="D4714" s="5"/>
      <c r="E4714" s="5"/>
      <c r="F4714" s="5"/>
      <c r="G4714" s="5"/>
      <c r="H4714" s="5"/>
    </row>
    <row r="4715" spans="1:8" x14ac:dyDescent="0.25">
      <c r="A4715" s="4"/>
      <c r="B4715" s="5"/>
      <c r="C4715" s="5"/>
      <c r="D4715" s="5"/>
      <c r="E4715" s="5"/>
      <c r="F4715" s="5"/>
      <c r="G4715" s="5"/>
      <c r="H4715" s="5"/>
    </row>
    <row r="4716" spans="1:8" x14ac:dyDescent="0.25">
      <c r="A4716" s="4"/>
      <c r="B4716" s="5"/>
      <c r="C4716" s="5"/>
      <c r="D4716" s="5"/>
      <c r="E4716" s="5"/>
      <c r="F4716" s="5"/>
      <c r="G4716" s="5"/>
      <c r="H4716" s="5"/>
    </row>
    <row r="4717" spans="1:8" x14ac:dyDescent="0.25">
      <c r="A4717" s="4"/>
      <c r="B4717" s="5"/>
      <c r="C4717" s="5"/>
      <c r="D4717" s="5"/>
      <c r="E4717" s="5"/>
      <c r="F4717" s="5"/>
      <c r="G4717" s="5"/>
      <c r="H4717" s="5"/>
    </row>
    <row r="4718" spans="1:8" x14ac:dyDescent="0.25">
      <c r="A4718" s="4"/>
      <c r="B4718" s="5"/>
      <c r="C4718" s="5"/>
      <c r="D4718" s="5"/>
      <c r="E4718" s="5"/>
      <c r="F4718" s="5"/>
      <c r="G4718" s="5"/>
      <c r="H4718" s="5"/>
    </row>
    <row r="4719" spans="1:8" x14ac:dyDescent="0.25">
      <c r="A4719" s="4"/>
      <c r="B4719" s="5"/>
      <c r="C4719" s="5"/>
      <c r="D4719" s="5"/>
      <c r="E4719" s="5"/>
      <c r="F4719" s="5"/>
      <c r="G4719" s="5"/>
      <c r="H4719" s="5"/>
    </row>
    <row r="4720" spans="1:8" x14ac:dyDescent="0.25">
      <c r="A4720" s="4"/>
      <c r="B4720" s="5"/>
      <c r="C4720" s="5"/>
      <c r="D4720" s="5"/>
      <c r="E4720" s="5"/>
      <c r="F4720" s="5"/>
      <c r="G4720" s="5"/>
      <c r="H4720" s="5"/>
    </row>
    <row r="4721" spans="1:8" x14ac:dyDescent="0.25">
      <c r="A4721" s="4"/>
      <c r="B4721" s="5"/>
      <c r="C4721" s="5"/>
      <c r="D4721" s="5"/>
      <c r="E4721" s="5"/>
      <c r="F4721" s="5"/>
      <c r="G4721" s="5"/>
      <c r="H4721" s="5"/>
    </row>
    <row r="4722" spans="1:8" x14ac:dyDescent="0.25">
      <c r="A4722" s="4"/>
      <c r="B4722" s="5"/>
      <c r="C4722" s="5"/>
      <c r="D4722" s="5"/>
      <c r="E4722" s="5"/>
      <c r="F4722" s="5"/>
      <c r="G4722" s="5"/>
      <c r="H4722" s="5"/>
    </row>
    <row r="4723" spans="1:8" x14ac:dyDescent="0.25">
      <c r="A4723" s="4"/>
      <c r="B4723" s="5"/>
      <c r="C4723" s="5"/>
      <c r="D4723" s="5"/>
      <c r="E4723" s="5"/>
      <c r="F4723" s="5"/>
      <c r="G4723" s="5"/>
      <c r="H4723" s="5"/>
    </row>
    <row r="4724" spans="1:8" x14ac:dyDescent="0.25">
      <c r="A4724" s="4"/>
      <c r="B4724" s="5"/>
      <c r="C4724" s="5"/>
      <c r="D4724" s="5"/>
      <c r="E4724" s="5"/>
      <c r="F4724" s="5"/>
      <c r="G4724" s="5"/>
      <c r="H4724" s="5"/>
    </row>
    <row r="4725" spans="1:8" x14ac:dyDescent="0.25">
      <c r="A4725" s="4"/>
      <c r="B4725" s="5"/>
      <c r="C4725" s="5"/>
      <c r="D4725" s="5"/>
      <c r="E4725" s="5"/>
      <c r="F4725" s="5"/>
      <c r="G4725" s="5"/>
      <c r="H4725" s="5"/>
    </row>
    <row r="4726" spans="1:8" x14ac:dyDescent="0.25">
      <c r="A4726" s="4"/>
      <c r="B4726" s="5"/>
      <c r="C4726" s="5"/>
      <c r="D4726" s="5"/>
      <c r="E4726" s="5"/>
      <c r="F4726" s="5"/>
      <c r="G4726" s="5"/>
      <c r="H4726" s="5"/>
    </row>
    <row r="4727" spans="1:8" x14ac:dyDescent="0.25">
      <c r="A4727" s="4"/>
      <c r="B4727" s="5"/>
      <c r="C4727" s="5"/>
      <c r="D4727" s="5"/>
      <c r="E4727" s="5"/>
      <c r="F4727" s="5"/>
      <c r="G4727" s="5"/>
      <c r="H4727" s="5"/>
    </row>
    <row r="4728" spans="1:8" x14ac:dyDescent="0.25">
      <c r="A4728" s="4"/>
      <c r="B4728" s="5"/>
      <c r="C4728" s="5"/>
      <c r="D4728" s="5"/>
      <c r="E4728" s="5"/>
      <c r="F4728" s="5"/>
      <c r="G4728" s="5"/>
      <c r="H4728" s="5"/>
    </row>
    <row r="4729" spans="1:8" x14ac:dyDescent="0.25">
      <c r="A4729" s="4"/>
      <c r="B4729" s="5"/>
      <c r="C4729" s="5"/>
      <c r="D4729" s="5"/>
      <c r="E4729" s="5"/>
      <c r="F4729" s="5"/>
      <c r="G4729" s="5"/>
      <c r="H4729" s="5"/>
    </row>
    <row r="4730" spans="1:8" x14ac:dyDescent="0.25">
      <c r="A4730" s="4"/>
      <c r="B4730" s="5"/>
      <c r="C4730" s="5"/>
      <c r="D4730" s="5"/>
      <c r="E4730" s="5"/>
      <c r="F4730" s="5"/>
      <c r="G4730" s="5"/>
      <c r="H4730" s="5"/>
    </row>
    <row r="4731" spans="1:8" x14ac:dyDescent="0.25">
      <c r="A4731" s="4"/>
      <c r="B4731" s="5"/>
      <c r="C4731" s="5"/>
      <c r="D4731" s="5"/>
      <c r="E4731" s="5"/>
      <c r="F4731" s="5"/>
      <c r="G4731" s="5"/>
      <c r="H4731" s="5"/>
    </row>
    <row r="4732" spans="1:8" x14ac:dyDescent="0.25">
      <c r="A4732" s="4"/>
      <c r="B4732" s="5"/>
      <c r="C4732" s="5"/>
      <c r="D4732" s="5"/>
      <c r="E4732" s="5"/>
      <c r="F4732" s="5"/>
      <c r="G4732" s="5"/>
      <c r="H4732" s="5"/>
    </row>
    <row r="4733" spans="1:8" x14ac:dyDescent="0.25">
      <c r="A4733" s="4"/>
      <c r="B4733" s="5"/>
      <c r="C4733" s="5"/>
      <c r="D4733" s="5"/>
      <c r="E4733" s="5"/>
      <c r="F4733" s="5"/>
      <c r="G4733" s="5"/>
      <c r="H4733" s="5"/>
    </row>
    <row r="4734" spans="1:8" x14ac:dyDescent="0.25">
      <c r="A4734" s="4"/>
      <c r="B4734" s="5"/>
      <c r="C4734" s="5"/>
      <c r="D4734" s="5"/>
      <c r="E4734" s="5"/>
      <c r="F4734" s="5"/>
      <c r="G4734" s="5"/>
      <c r="H4734" s="5"/>
    </row>
    <row r="4735" spans="1:8" x14ac:dyDescent="0.25">
      <c r="A4735" s="4"/>
      <c r="B4735" s="5"/>
      <c r="C4735" s="5"/>
      <c r="D4735" s="5"/>
      <c r="E4735" s="5"/>
      <c r="F4735" s="5"/>
      <c r="G4735" s="5"/>
      <c r="H4735" s="5"/>
    </row>
    <row r="4736" spans="1:8" x14ac:dyDescent="0.25">
      <c r="A4736" s="4"/>
      <c r="B4736" s="5"/>
      <c r="C4736" s="5"/>
      <c r="D4736" s="5"/>
      <c r="E4736" s="5"/>
      <c r="F4736" s="5"/>
      <c r="G4736" s="5"/>
      <c r="H4736" s="5"/>
    </row>
    <row r="4737" spans="1:8" x14ac:dyDescent="0.25">
      <c r="A4737" s="4"/>
      <c r="B4737" s="5"/>
      <c r="C4737" s="5"/>
      <c r="D4737" s="5"/>
      <c r="E4737" s="5"/>
      <c r="F4737" s="5"/>
      <c r="G4737" s="5"/>
      <c r="H4737" s="5"/>
    </row>
    <row r="4738" spans="1:8" x14ac:dyDescent="0.25">
      <c r="A4738" s="4"/>
      <c r="B4738" s="5"/>
      <c r="C4738" s="5"/>
      <c r="D4738" s="5"/>
      <c r="E4738" s="5"/>
      <c r="F4738" s="5"/>
      <c r="G4738" s="5"/>
      <c r="H4738" s="5"/>
    </row>
    <row r="4739" spans="1:8" x14ac:dyDescent="0.25">
      <c r="A4739" s="4"/>
      <c r="B4739" s="5"/>
      <c r="C4739" s="5"/>
      <c r="D4739" s="5"/>
      <c r="E4739" s="5"/>
      <c r="F4739" s="5"/>
      <c r="G4739" s="5"/>
      <c r="H4739" s="5"/>
    </row>
    <row r="4740" spans="1:8" x14ac:dyDescent="0.25">
      <c r="A4740" s="4"/>
      <c r="B4740" s="5"/>
      <c r="C4740" s="5"/>
      <c r="D4740" s="5"/>
      <c r="E4740" s="5"/>
      <c r="F4740" s="5"/>
      <c r="G4740" s="5"/>
      <c r="H4740" s="5"/>
    </row>
    <row r="4741" spans="1:8" x14ac:dyDescent="0.25">
      <c r="A4741" s="4"/>
      <c r="B4741" s="5"/>
      <c r="C4741" s="5"/>
      <c r="D4741" s="5"/>
      <c r="E4741" s="5"/>
      <c r="F4741" s="5"/>
      <c r="G4741" s="5"/>
      <c r="H4741" s="5"/>
    </row>
    <row r="4742" spans="1:8" x14ac:dyDescent="0.25">
      <c r="A4742" s="4"/>
      <c r="B4742" s="5"/>
      <c r="C4742" s="5"/>
      <c r="D4742" s="5"/>
      <c r="E4742" s="5"/>
      <c r="F4742" s="5"/>
      <c r="G4742" s="5"/>
      <c r="H4742" s="5"/>
    </row>
    <row r="4743" spans="1:8" x14ac:dyDescent="0.25">
      <c r="A4743" s="4"/>
      <c r="B4743" s="5"/>
      <c r="C4743" s="5"/>
      <c r="D4743" s="5"/>
      <c r="E4743" s="5"/>
      <c r="F4743" s="5"/>
      <c r="G4743" s="5"/>
      <c r="H4743" s="5"/>
    </row>
    <row r="4744" spans="1:8" x14ac:dyDescent="0.25">
      <c r="A4744" s="4"/>
      <c r="B4744" s="5"/>
      <c r="C4744" s="5"/>
      <c r="D4744" s="5"/>
      <c r="E4744" s="5"/>
      <c r="F4744" s="5"/>
      <c r="G4744" s="5"/>
      <c r="H4744" s="5"/>
    </row>
    <row r="4745" spans="1:8" x14ac:dyDescent="0.25">
      <c r="A4745" s="4"/>
      <c r="B4745" s="5"/>
      <c r="C4745" s="5"/>
      <c r="D4745" s="5"/>
      <c r="E4745" s="5"/>
      <c r="F4745" s="5"/>
      <c r="G4745" s="5"/>
      <c r="H4745" s="5"/>
    </row>
    <row r="4746" spans="1:8" x14ac:dyDescent="0.25">
      <c r="A4746" s="4"/>
      <c r="B4746" s="5"/>
      <c r="C4746" s="5"/>
      <c r="D4746" s="5"/>
      <c r="E4746" s="5"/>
      <c r="F4746" s="5"/>
      <c r="G4746" s="5"/>
      <c r="H4746" s="5"/>
    </row>
    <row r="4747" spans="1:8" x14ac:dyDescent="0.25">
      <c r="A4747" s="4"/>
      <c r="B4747" s="5"/>
      <c r="C4747" s="5"/>
      <c r="D4747" s="5"/>
      <c r="E4747" s="5"/>
      <c r="F4747" s="5"/>
      <c r="G4747" s="5"/>
      <c r="H4747" s="5"/>
    </row>
    <row r="4748" spans="1:8" x14ac:dyDescent="0.25">
      <c r="A4748" s="4"/>
      <c r="B4748" s="5"/>
      <c r="C4748" s="5"/>
      <c r="D4748" s="5"/>
      <c r="E4748" s="5"/>
      <c r="F4748" s="5"/>
      <c r="G4748" s="5"/>
      <c r="H4748" s="5"/>
    </row>
    <row r="4749" spans="1:8" x14ac:dyDescent="0.25">
      <c r="A4749" s="4"/>
      <c r="B4749" s="5"/>
      <c r="C4749" s="5"/>
      <c r="D4749" s="5"/>
      <c r="E4749" s="5"/>
      <c r="F4749" s="5"/>
      <c r="G4749" s="5"/>
      <c r="H4749" s="5"/>
    </row>
    <row r="4750" spans="1:8" x14ac:dyDescent="0.25">
      <c r="A4750" s="4"/>
      <c r="B4750" s="5"/>
      <c r="C4750" s="5"/>
      <c r="D4750" s="5"/>
      <c r="E4750" s="5"/>
      <c r="F4750" s="5"/>
      <c r="G4750" s="5"/>
      <c r="H4750" s="5"/>
    </row>
    <row r="4751" spans="1:8" x14ac:dyDescent="0.25">
      <c r="A4751" s="4"/>
      <c r="B4751" s="5"/>
      <c r="C4751" s="5"/>
      <c r="D4751" s="5"/>
      <c r="E4751" s="5"/>
      <c r="F4751" s="5"/>
      <c r="G4751" s="5"/>
      <c r="H4751" s="5"/>
    </row>
    <row r="4752" spans="1:8" x14ac:dyDescent="0.25">
      <c r="A4752" s="4"/>
      <c r="B4752" s="5"/>
      <c r="C4752" s="5"/>
      <c r="D4752" s="5"/>
      <c r="E4752" s="5"/>
      <c r="F4752" s="5"/>
      <c r="G4752" s="5"/>
      <c r="H4752" s="5"/>
    </row>
    <row r="4753" spans="1:8" x14ac:dyDescent="0.25">
      <c r="A4753" s="4"/>
      <c r="B4753" s="5"/>
      <c r="C4753" s="5"/>
      <c r="D4753" s="5"/>
      <c r="E4753" s="5"/>
      <c r="F4753" s="5"/>
      <c r="G4753" s="5"/>
      <c r="H4753" s="5"/>
    </row>
    <row r="4754" spans="1:8" x14ac:dyDescent="0.25">
      <c r="A4754" s="4"/>
      <c r="B4754" s="5"/>
      <c r="C4754" s="5"/>
      <c r="D4754" s="5"/>
      <c r="E4754" s="5"/>
      <c r="F4754" s="5"/>
      <c r="G4754" s="5"/>
      <c r="H4754" s="5"/>
    </row>
    <row r="4755" spans="1:8" x14ac:dyDescent="0.25">
      <c r="A4755" s="4"/>
      <c r="B4755" s="5"/>
      <c r="C4755" s="5"/>
      <c r="D4755" s="5"/>
      <c r="E4755" s="5"/>
      <c r="F4755" s="5"/>
      <c r="G4755" s="5"/>
      <c r="H4755" s="5"/>
    </row>
    <row r="4756" spans="1:8" x14ac:dyDescent="0.25">
      <c r="A4756" s="4"/>
      <c r="B4756" s="5"/>
      <c r="C4756" s="5"/>
      <c r="D4756" s="5"/>
      <c r="E4756" s="5"/>
      <c r="F4756" s="5"/>
      <c r="G4756" s="5"/>
      <c r="H4756" s="5"/>
    </row>
    <row r="4757" spans="1:8" x14ac:dyDescent="0.25">
      <c r="A4757" s="4"/>
      <c r="B4757" s="5"/>
      <c r="C4757" s="5"/>
      <c r="D4757" s="5"/>
      <c r="E4757" s="5"/>
      <c r="F4757" s="5"/>
      <c r="G4757" s="5"/>
      <c r="H4757" s="5"/>
    </row>
    <row r="4758" spans="1:8" x14ac:dyDescent="0.25">
      <c r="A4758" s="4"/>
      <c r="B4758" s="5"/>
      <c r="C4758" s="5"/>
      <c r="D4758" s="5"/>
      <c r="E4758" s="5"/>
      <c r="F4758" s="5"/>
      <c r="G4758" s="5"/>
      <c r="H4758" s="5"/>
    </row>
    <row r="4759" spans="1:8" x14ac:dyDescent="0.25">
      <c r="A4759" s="4"/>
      <c r="B4759" s="5"/>
      <c r="C4759" s="5"/>
      <c r="D4759" s="5"/>
      <c r="E4759" s="5"/>
      <c r="F4759" s="5"/>
      <c r="G4759" s="5"/>
      <c r="H4759" s="5"/>
    </row>
    <row r="4760" spans="1:8" x14ac:dyDescent="0.25">
      <c r="A4760" s="4"/>
      <c r="B4760" s="5"/>
      <c r="C4760" s="5"/>
      <c r="D4760" s="5"/>
      <c r="E4760" s="5"/>
      <c r="F4760" s="5"/>
      <c r="G4760" s="5"/>
      <c r="H4760" s="5"/>
    </row>
    <row r="4761" spans="1:8" x14ac:dyDescent="0.25">
      <c r="A4761" s="4"/>
      <c r="B4761" s="5"/>
      <c r="C4761" s="5"/>
      <c r="D4761" s="5"/>
      <c r="E4761" s="5"/>
      <c r="F4761" s="5"/>
      <c r="G4761" s="5"/>
      <c r="H4761" s="5"/>
    </row>
    <row r="4762" spans="1:8" x14ac:dyDescent="0.25">
      <c r="A4762" s="4"/>
      <c r="B4762" s="5"/>
      <c r="C4762" s="5"/>
      <c r="D4762" s="5"/>
      <c r="E4762" s="5"/>
      <c r="F4762" s="5"/>
      <c r="G4762" s="5"/>
      <c r="H4762" s="5"/>
    </row>
    <row r="4763" spans="1:8" x14ac:dyDescent="0.25">
      <c r="A4763" s="4"/>
      <c r="B4763" s="5"/>
      <c r="C4763" s="5"/>
      <c r="D4763" s="5"/>
      <c r="E4763" s="5"/>
      <c r="F4763" s="5"/>
      <c r="G4763" s="5"/>
      <c r="H4763" s="5"/>
    </row>
    <row r="4764" spans="1:8" x14ac:dyDescent="0.25">
      <c r="A4764" s="4"/>
      <c r="B4764" s="5"/>
      <c r="C4764" s="5"/>
      <c r="D4764" s="5"/>
      <c r="E4764" s="5"/>
      <c r="F4764" s="5"/>
      <c r="G4764" s="5"/>
      <c r="H4764" s="5"/>
    </row>
    <row r="4765" spans="1:8" x14ac:dyDescent="0.25">
      <c r="A4765" s="4"/>
      <c r="B4765" s="5"/>
      <c r="C4765" s="5"/>
      <c r="D4765" s="5"/>
      <c r="E4765" s="5"/>
      <c r="F4765" s="5"/>
      <c r="G4765" s="5"/>
      <c r="H4765" s="5"/>
    </row>
    <row r="4766" spans="1:8" x14ac:dyDescent="0.25">
      <c r="A4766" s="4"/>
      <c r="B4766" s="5"/>
      <c r="C4766" s="5"/>
      <c r="D4766" s="5"/>
      <c r="E4766" s="5"/>
      <c r="F4766" s="5"/>
      <c r="G4766" s="5"/>
      <c r="H4766" s="5"/>
    </row>
    <row r="4767" spans="1:8" x14ac:dyDescent="0.25">
      <c r="A4767" s="4"/>
      <c r="B4767" s="5"/>
      <c r="C4767" s="5"/>
      <c r="D4767" s="5"/>
      <c r="E4767" s="5"/>
      <c r="F4767" s="5"/>
      <c r="G4767" s="5"/>
      <c r="H4767" s="5"/>
    </row>
    <row r="4768" spans="1:8" x14ac:dyDescent="0.25">
      <c r="A4768" s="4"/>
      <c r="B4768" s="5"/>
      <c r="C4768" s="5"/>
      <c r="D4768" s="5"/>
      <c r="E4768" s="5"/>
      <c r="F4768" s="5"/>
      <c r="G4768" s="5"/>
      <c r="H4768" s="5"/>
    </row>
    <row r="4769" spans="1:8" x14ac:dyDescent="0.25">
      <c r="A4769" s="4"/>
      <c r="B4769" s="5"/>
      <c r="C4769" s="5"/>
      <c r="D4769" s="5"/>
      <c r="E4769" s="5"/>
      <c r="F4769" s="5"/>
      <c r="G4769" s="5"/>
      <c r="H4769" s="5"/>
    </row>
    <row r="4770" spans="1:8" x14ac:dyDescent="0.25">
      <c r="A4770" s="4"/>
      <c r="B4770" s="5"/>
      <c r="C4770" s="5"/>
      <c r="D4770" s="5"/>
      <c r="E4770" s="5"/>
      <c r="F4770" s="5"/>
      <c r="G4770" s="5"/>
      <c r="H4770" s="5"/>
    </row>
    <row r="4771" spans="1:8" x14ac:dyDescent="0.25">
      <c r="A4771" s="4"/>
      <c r="B4771" s="5"/>
      <c r="C4771" s="5"/>
      <c r="D4771" s="5"/>
      <c r="E4771" s="5"/>
      <c r="F4771" s="5"/>
      <c r="G4771" s="5"/>
      <c r="H4771" s="5"/>
    </row>
    <row r="4772" spans="1:8" x14ac:dyDescent="0.25">
      <c r="A4772" s="4"/>
      <c r="B4772" s="5"/>
      <c r="C4772" s="5"/>
      <c r="D4772" s="5"/>
      <c r="E4772" s="5"/>
      <c r="F4772" s="5"/>
      <c r="G4772" s="5"/>
      <c r="H4772" s="5"/>
    </row>
    <row r="4773" spans="1:8" x14ac:dyDescent="0.25">
      <c r="A4773" s="4"/>
      <c r="B4773" s="5"/>
      <c r="C4773" s="5"/>
      <c r="D4773" s="5"/>
      <c r="E4773" s="5"/>
      <c r="F4773" s="5"/>
      <c r="G4773" s="5"/>
      <c r="H4773" s="5"/>
    </row>
    <row r="4774" spans="1:8" x14ac:dyDescent="0.25">
      <c r="A4774" s="4"/>
      <c r="B4774" s="5"/>
      <c r="C4774" s="5"/>
      <c r="D4774" s="5"/>
      <c r="E4774" s="5"/>
      <c r="F4774" s="5"/>
      <c r="G4774" s="5"/>
      <c r="H4774" s="5"/>
    </row>
    <row r="4775" spans="1:8" x14ac:dyDescent="0.25">
      <c r="A4775" s="4"/>
      <c r="B4775" s="5"/>
      <c r="C4775" s="5"/>
      <c r="D4775" s="5"/>
      <c r="E4775" s="5"/>
      <c r="F4775" s="5"/>
      <c r="G4775" s="5"/>
      <c r="H4775" s="5"/>
    </row>
    <row r="4776" spans="1:8" x14ac:dyDescent="0.25">
      <c r="A4776" s="4"/>
      <c r="B4776" s="5"/>
      <c r="C4776" s="5"/>
      <c r="D4776" s="5"/>
      <c r="E4776" s="5"/>
      <c r="F4776" s="5"/>
      <c r="G4776" s="5"/>
      <c r="H4776" s="5"/>
    </row>
    <row r="4777" spans="1:8" x14ac:dyDescent="0.25">
      <c r="A4777" s="4"/>
      <c r="B4777" s="5"/>
      <c r="C4777" s="5"/>
      <c r="D4777" s="5"/>
      <c r="E4777" s="5"/>
      <c r="F4777" s="5"/>
      <c r="G4777" s="5"/>
      <c r="H4777" s="5"/>
    </row>
    <row r="4778" spans="1:8" x14ac:dyDescent="0.25">
      <c r="A4778" s="4"/>
      <c r="B4778" s="5"/>
      <c r="C4778" s="5"/>
      <c r="D4778" s="5"/>
      <c r="E4778" s="5"/>
      <c r="F4778" s="5"/>
      <c r="G4778" s="5"/>
      <c r="H4778" s="5"/>
    </row>
    <row r="4779" spans="1:8" x14ac:dyDescent="0.25">
      <c r="A4779" s="4"/>
      <c r="B4779" s="5"/>
      <c r="C4779" s="5"/>
      <c r="D4779" s="5"/>
      <c r="E4779" s="5"/>
      <c r="F4779" s="5"/>
      <c r="G4779" s="5"/>
      <c r="H4779" s="5"/>
    </row>
    <row r="4780" spans="1:8" x14ac:dyDescent="0.25">
      <c r="A4780" s="4"/>
      <c r="B4780" s="5"/>
      <c r="C4780" s="5"/>
      <c r="D4780" s="5"/>
      <c r="E4780" s="5"/>
      <c r="F4780" s="5"/>
      <c r="G4780" s="5"/>
      <c r="H4780" s="5"/>
    </row>
    <row r="4781" spans="1:8" x14ac:dyDescent="0.25">
      <c r="A4781" s="4"/>
      <c r="B4781" s="5"/>
      <c r="C4781" s="5"/>
      <c r="D4781" s="5"/>
      <c r="E4781" s="5"/>
      <c r="F4781" s="5"/>
      <c r="G4781" s="5"/>
      <c r="H4781" s="5"/>
    </row>
    <row r="4782" spans="1:8" x14ac:dyDescent="0.25">
      <c r="A4782" s="4"/>
      <c r="B4782" s="5"/>
      <c r="C4782" s="5"/>
      <c r="D4782" s="5"/>
      <c r="E4782" s="5"/>
      <c r="F4782" s="5"/>
      <c r="G4782" s="5"/>
      <c r="H4782" s="5"/>
    </row>
    <row r="4783" spans="1:8" x14ac:dyDescent="0.25">
      <c r="A4783" s="4"/>
      <c r="B4783" s="5"/>
      <c r="C4783" s="5"/>
      <c r="D4783" s="5"/>
      <c r="E4783" s="5"/>
      <c r="F4783" s="5"/>
      <c r="G4783" s="5"/>
      <c r="H4783" s="5"/>
    </row>
    <row r="4784" spans="1:8" x14ac:dyDescent="0.25">
      <c r="A4784" s="4"/>
      <c r="B4784" s="5"/>
      <c r="C4784" s="5"/>
      <c r="D4784" s="5"/>
      <c r="E4784" s="5"/>
      <c r="F4784" s="5"/>
      <c r="G4784" s="5"/>
      <c r="H4784" s="5"/>
    </row>
    <row r="4785" spans="1:8" x14ac:dyDescent="0.25">
      <c r="A4785" s="4"/>
      <c r="B4785" s="5"/>
      <c r="C4785" s="5"/>
      <c r="D4785" s="5"/>
      <c r="E4785" s="5"/>
      <c r="F4785" s="5"/>
      <c r="G4785" s="5"/>
      <c r="H4785" s="5"/>
    </row>
    <row r="4786" spans="1:8" x14ac:dyDescent="0.25">
      <c r="A4786" s="4"/>
      <c r="B4786" s="5"/>
      <c r="C4786" s="5"/>
      <c r="D4786" s="5"/>
      <c r="E4786" s="5"/>
      <c r="F4786" s="5"/>
      <c r="G4786" s="5"/>
      <c r="H4786" s="5"/>
    </row>
    <row r="4787" spans="1:8" x14ac:dyDescent="0.25">
      <c r="A4787" s="4"/>
      <c r="B4787" s="5"/>
      <c r="C4787" s="5"/>
      <c r="D4787" s="5"/>
      <c r="E4787" s="5"/>
      <c r="F4787" s="5"/>
      <c r="G4787" s="5"/>
      <c r="H4787" s="5"/>
    </row>
    <row r="4788" spans="1:8" x14ac:dyDescent="0.25">
      <c r="A4788" s="4"/>
      <c r="B4788" s="5"/>
      <c r="C4788" s="5"/>
      <c r="D4788" s="5"/>
      <c r="E4788" s="5"/>
      <c r="F4788" s="5"/>
      <c r="G4788" s="5"/>
      <c r="H4788" s="5"/>
    </row>
    <row r="4789" spans="1:8" x14ac:dyDescent="0.25">
      <c r="A4789" s="4"/>
      <c r="B4789" s="5"/>
      <c r="C4789" s="5"/>
      <c r="D4789" s="5"/>
      <c r="E4789" s="5"/>
      <c r="F4789" s="5"/>
      <c r="G4789" s="5"/>
      <c r="H4789" s="5"/>
    </row>
    <row r="4790" spans="1:8" x14ac:dyDescent="0.25">
      <c r="A4790" s="4"/>
      <c r="B4790" s="5"/>
      <c r="C4790" s="5"/>
      <c r="D4790" s="5"/>
      <c r="E4790" s="5"/>
      <c r="F4790" s="5"/>
      <c r="G4790" s="5"/>
      <c r="H4790" s="5"/>
    </row>
    <row r="4791" spans="1:8" x14ac:dyDescent="0.25">
      <c r="A4791" s="4"/>
      <c r="B4791" s="5"/>
      <c r="C4791" s="5"/>
      <c r="D4791" s="5"/>
      <c r="E4791" s="5"/>
      <c r="F4791" s="5"/>
      <c r="G4791" s="5"/>
      <c r="H4791" s="5"/>
    </row>
    <row r="4792" spans="1:8" x14ac:dyDescent="0.25">
      <c r="A4792" s="4"/>
      <c r="B4792" s="5"/>
      <c r="C4792" s="5"/>
      <c r="D4792" s="5"/>
      <c r="E4792" s="5"/>
      <c r="F4792" s="5"/>
      <c r="G4792" s="5"/>
      <c r="H4792" s="5"/>
    </row>
    <row r="4793" spans="1:8" x14ac:dyDescent="0.25">
      <c r="A4793" s="4"/>
      <c r="B4793" s="5"/>
      <c r="C4793" s="5"/>
      <c r="D4793" s="5"/>
      <c r="E4793" s="5"/>
      <c r="F4793" s="5"/>
      <c r="G4793" s="5"/>
      <c r="H4793" s="5"/>
    </row>
    <row r="4794" spans="1:8" x14ac:dyDescent="0.25">
      <c r="A4794" s="4"/>
      <c r="B4794" s="5"/>
      <c r="C4794" s="5"/>
      <c r="D4794" s="5"/>
      <c r="E4794" s="5"/>
      <c r="F4794" s="5"/>
      <c r="G4794" s="5"/>
      <c r="H4794" s="5"/>
    </row>
    <row r="4795" spans="1:8" x14ac:dyDescent="0.25">
      <c r="A4795" s="4"/>
      <c r="B4795" s="5"/>
      <c r="C4795" s="5"/>
      <c r="D4795" s="5"/>
      <c r="E4795" s="5"/>
      <c r="F4795" s="5"/>
      <c r="G4795" s="5"/>
      <c r="H4795" s="5"/>
    </row>
    <row r="4796" spans="1:8" x14ac:dyDescent="0.25">
      <c r="A4796" s="4"/>
      <c r="B4796" s="5"/>
      <c r="C4796" s="5"/>
      <c r="D4796" s="5"/>
      <c r="E4796" s="5"/>
      <c r="F4796" s="5"/>
      <c r="G4796" s="5"/>
      <c r="H4796" s="5"/>
    </row>
    <row r="4797" spans="1:8" x14ac:dyDescent="0.25">
      <c r="A4797" s="4"/>
      <c r="B4797" s="5"/>
      <c r="C4797" s="5"/>
      <c r="D4797" s="5"/>
      <c r="E4797" s="5"/>
      <c r="F4797" s="5"/>
      <c r="G4797" s="5"/>
      <c r="H4797" s="5"/>
    </row>
    <row r="4798" spans="1:8" x14ac:dyDescent="0.25">
      <c r="A4798" s="4"/>
      <c r="B4798" s="5"/>
      <c r="C4798" s="5"/>
      <c r="D4798" s="5"/>
      <c r="E4798" s="5"/>
      <c r="F4798" s="5"/>
      <c r="G4798" s="5"/>
      <c r="H4798" s="5"/>
    </row>
    <row r="4799" spans="1:8" x14ac:dyDescent="0.25">
      <c r="A4799" s="4"/>
      <c r="B4799" s="5"/>
      <c r="C4799" s="5"/>
      <c r="D4799" s="5"/>
      <c r="E4799" s="5"/>
      <c r="F4799" s="5"/>
      <c r="G4799" s="5"/>
      <c r="H4799" s="5"/>
    </row>
    <row r="4800" spans="1:8" x14ac:dyDescent="0.25">
      <c r="A4800" s="4"/>
      <c r="B4800" s="5"/>
      <c r="C4800" s="5"/>
      <c r="D4800" s="5"/>
      <c r="E4800" s="5"/>
      <c r="F4800" s="5"/>
      <c r="G4800" s="5"/>
      <c r="H4800" s="5"/>
    </row>
    <row r="4801" spans="1:8" x14ac:dyDescent="0.25">
      <c r="A4801" s="4"/>
      <c r="B4801" s="5"/>
      <c r="C4801" s="5"/>
      <c r="D4801" s="5"/>
      <c r="E4801" s="5"/>
      <c r="F4801" s="5"/>
      <c r="G4801" s="5"/>
      <c r="H4801" s="5"/>
    </row>
    <row r="4802" spans="1:8" x14ac:dyDescent="0.25">
      <c r="A4802" s="4"/>
      <c r="B4802" s="5"/>
      <c r="C4802" s="5"/>
      <c r="D4802" s="5"/>
      <c r="E4802" s="5"/>
      <c r="F4802" s="5"/>
      <c r="G4802" s="5"/>
      <c r="H4802" s="5"/>
    </row>
    <row r="4803" spans="1:8" x14ac:dyDescent="0.25">
      <c r="A4803" s="4"/>
      <c r="B4803" s="5"/>
      <c r="C4803" s="5"/>
      <c r="D4803" s="5"/>
      <c r="E4803" s="5"/>
      <c r="F4803" s="5"/>
      <c r="G4803" s="5"/>
      <c r="H4803" s="5"/>
    </row>
    <row r="4804" spans="1:8" x14ac:dyDescent="0.25">
      <c r="A4804" s="4"/>
      <c r="B4804" s="5"/>
      <c r="C4804" s="5"/>
      <c r="D4804" s="5"/>
      <c r="E4804" s="5"/>
      <c r="F4804" s="5"/>
      <c r="G4804" s="5"/>
      <c r="H4804" s="5"/>
    </row>
    <row r="4805" spans="1:8" x14ac:dyDescent="0.25">
      <c r="A4805" s="4"/>
      <c r="B4805" s="5"/>
      <c r="C4805" s="5"/>
      <c r="D4805" s="5"/>
      <c r="E4805" s="5"/>
      <c r="F4805" s="5"/>
      <c r="G4805" s="5"/>
      <c r="H4805" s="5"/>
    </row>
    <row r="4806" spans="1:8" x14ac:dyDescent="0.25">
      <c r="A4806" s="4"/>
      <c r="B4806" s="5"/>
      <c r="C4806" s="5"/>
      <c r="D4806" s="5"/>
      <c r="E4806" s="5"/>
      <c r="F4806" s="5"/>
      <c r="G4806" s="5"/>
      <c r="H4806" s="5"/>
    </row>
    <row r="4807" spans="1:8" x14ac:dyDescent="0.25">
      <c r="A4807" s="4"/>
      <c r="B4807" s="5"/>
      <c r="C4807" s="5"/>
      <c r="D4807" s="5"/>
      <c r="E4807" s="5"/>
      <c r="F4807" s="5"/>
      <c r="G4807" s="5"/>
      <c r="H4807" s="5"/>
    </row>
    <row r="4808" spans="1:8" x14ac:dyDescent="0.25">
      <c r="A4808" s="4"/>
      <c r="B4808" s="5"/>
      <c r="C4808" s="5"/>
      <c r="D4808" s="5"/>
      <c r="E4808" s="5"/>
      <c r="F4808" s="5"/>
      <c r="G4808" s="5"/>
      <c r="H4808" s="5"/>
    </row>
    <row r="4809" spans="1:8" x14ac:dyDescent="0.25">
      <c r="A4809" s="4"/>
      <c r="B4809" s="5"/>
      <c r="C4809" s="5"/>
      <c r="D4809" s="5"/>
      <c r="E4809" s="5"/>
      <c r="F4809" s="5"/>
      <c r="G4809" s="5"/>
      <c r="H4809" s="5"/>
    </row>
    <row r="4810" spans="1:8" x14ac:dyDescent="0.25">
      <c r="A4810" s="4"/>
      <c r="B4810" s="5"/>
      <c r="C4810" s="5"/>
      <c r="D4810" s="5"/>
      <c r="E4810" s="5"/>
      <c r="F4810" s="5"/>
      <c r="G4810" s="5"/>
      <c r="H4810" s="5"/>
    </row>
    <row r="4811" spans="1:8" x14ac:dyDescent="0.25">
      <c r="A4811" s="4"/>
      <c r="B4811" s="5"/>
      <c r="C4811" s="5"/>
      <c r="D4811" s="5"/>
      <c r="E4811" s="5"/>
      <c r="F4811" s="5"/>
      <c r="G4811" s="5"/>
      <c r="H4811" s="5"/>
    </row>
    <row r="4812" spans="1:8" x14ac:dyDescent="0.25">
      <c r="A4812" s="4"/>
      <c r="B4812" s="5"/>
      <c r="C4812" s="5"/>
      <c r="D4812" s="5"/>
      <c r="E4812" s="5"/>
      <c r="F4812" s="5"/>
      <c r="G4812" s="5"/>
      <c r="H4812" s="5"/>
    </row>
    <row r="4813" spans="1:8" x14ac:dyDescent="0.25">
      <c r="A4813" s="4"/>
      <c r="B4813" s="5"/>
      <c r="C4813" s="5"/>
      <c r="D4813" s="5"/>
      <c r="E4813" s="5"/>
      <c r="F4813" s="5"/>
      <c r="G4813" s="5"/>
      <c r="H4813" s="5"/>
    </row>
    <row r="4814" spans="1:8" x14ac:dyDescent="0.25">
      <c r="A4814" s="4"/>
      <c r="B4814" s="5"/>
      <c r="C4814" s="5"/>
      <c r="D4814" s="5"/>
      <c r="E4814" s="5"/>
      <c r="F4814" s="5"/>
      <c r="G4814" s="5"/>
      <c r="H4814" s="5"/>
    </row>
    <row r="4815" spans="1:8" x14ac:dyDescent="0.25">
      <c r="A4815" s="4"/>
      <c r="B4815" s="5"/>
      <c r="C4815" s="5"/>
      <c r="D4815" s="5"/>
      <c r="E4815" s="5"/>
      <c r="F4815" s="5"/>
      <c r="G4815" s="5"/>
      <c r="H4815" s="5"/>
    </row>
    <row r="4816" spans="1:8" x14ac:dyDescent="0.25">
      <c r="A4816" s="4"/>
      <c r="B4816" s="5"/>
      <c r="C4816" s="5"/>
      <c r="D4816" s="5"/>
      <c r="E4816" s="5"/>
      <c r="F4816" s="5"/>
      <c r="G4816" s="5"/>
      <c r="H4816" s="5"/>
    </row>
    <row r="4817" spans="1:8" x14ac:dyDescent="0.25">
      <c r="A4817" s="4"/>
      <c r="B4817" s="5"/>
      <c r="C4817" s="5"/>
      <c r="D4817" s="5"/>
      <c r="E4817" s="5"/>
      <c r="F4817" s="5"/>
      <c r="G4817" s="5"/>
      <c r="H4817" s="5"/>
    </row>
    <row r="4818" spans="1:8" x14ac:dyDescent="0.25">
      <c r="A4818" s="4"/>
      <c r="B4818" s="5"/>
      <c r="C4818" s="5"/>
      <c r="D4818" s="5"/>
      <c r="E4818" s="5"/>
      <c r="F4818" s="5"/>
      <c r="G4818" s="5"/>
      <c r="H4818" s="5"/>
    </row>
    <row r="4819" spans="1:8" x14ac:dyDescent="0.25">
      <c r="A4819" s="4"/>
      <c r="B4819" s="5"/>
      <c r="C4819" s="5"/>
      <c r="D4819" s="5"/>
      <c r="E4819" s="5"/>
      <c r="F4819" s="5"/>
      <c r="G4819" s="5"/>
      <c r="H4819" s="5"/>
    </row>
    <row r="4820" spans="1:8" x14ac:dyDescent="0.25">
      <c r="A4820" s="4"/>
      <c r="B4820" s="5"/>
      <c r="C4820" s="5"/>
      <c r="D4820" s="5"/>
      <c r="E4820" s="5"/>
      <c r="F4820" s="5"/>
      <c r="G4820" s="5"/>
      <c r="H4820" s="5"/>
    </row>
    <row r="4821" spans="1:8" x14ac:dyDescent="0.25">
      <c r="A4821" s="4"/>
      <c r="B4821" s="5"/>
      <c r="C4821" s="5"/>
      <c r="D4821" s="5"/>
      <c r="E4821" s="5"/>
      <c r="F4821" s="5"/>
      <c r="G4821" s="5"/>
      <c r="H4821" s="5"/>
    </row>
    <row r="4822" spans="1:8" x14ac:dyDescent="0.25">
      <c r="A4822" s="4"/>
      <c r="B4822" s="5"/>
      <c r="C4822" s="5"/>
      <c r="D4822" s="5"/>
      <c r="E4822" s="5"/>
      <c r="F4822" s="5"/>
      <c r="G4822" s="5"/>
      <c r="H4822" s="5"/>
    </row>
    <row r="4823" spans="1:8" x14ac:dyDescent="0.25">
      <c r="A4823" s="4"/>
      <c r="B4823" s="5"/>
      <c r="C4823" s="5"/>
      <c r="D4823" s="5"/>
      <c r="E4823" s="5"/>
      <c r="F4823" s="5"/>
      <c r="G4823" s="5"/>
      <c r="H4823" s="5"/>
    </row>
    <row r="4824" spans="1:8" x14ac:dyDescent="0.25">
      <c r="A4824" s="4"/>
      <c r="B4824" s="5"/>
      <c r="C4824" s="5"/>
      <c r="D4824" s="5"/>
      <c r="E4824" s="5"/>
      <c r="F4824" s="5"/>
      <c r="G4824" s="5"/>
      <c r="H4824" s="5"/>
    </row>
    <row r="4825" spans="1:8" x14ac:dyDescent="0.25">
      <c r="A4825" s="4"/>
      <c r="B4825" s="5"/>
      <c r="C4825" s="5"/>
      <c r="D4825" s="5"/>
      <c r="E4825" s="5"/>
      <c r="F4825" s="5"/>
      <c r="G4825" s="5"/>
      <c r="H4825" s="5"/>
    </row>
    <row r="4826" spans="1:8" x14ac:dyDescent="0.25">
      <c r="A4826" s="4"/>
      <c r="B4826" s="5"/>
      <c r="C4826" s="5"/>
      <c r="D4826" s="5"/>
      <c r="E4826" s="5"/>
      <c r="F4826" s="5"/>
      <c r="G4826" s="5"/>
      <c r="H4826" s="5"/>
    </row>
    <row r="4827" spans="1:8" x14ac:dyDescent="0.25">
      <c r="A4827" s="4"/>
      <c r="B4827" s="5"/>
      <c r="C4827" s="5"/>
      <c r="D4827" s="5"/>
      <c r="E4827" s="5"/>
      <c r="F4827" s="5"/>
      <c r="G4827" s="5"/>
      <c r="H4827" s="5"/>
    </row>
    <row r="4828" spans="1:8" x14ac:dyDescent="0.25">
      <c r="A4828" s="4"/>
      <c r="B4828" s="5"/>
      <c r="C4828" s="5"/>
      <c r="D4828" s="5"/>
      <c r="E4828" s="5"/>
      <c r="F4828" s="5"/>
      <c r="G4828" s="5"/>
      <c r="H4828" s="5"/>
    </row>
    <row r="4829" spans="1:8" x14ac:dyDescent="0.25">
      <c r="A4829" s="4"/>
      <c r="B4829" s="5"/>
      <c r="C4829" s="5"/>
      <c r="D4829" s="5"/>
      <c r="E4829" s="5"/>
      <c r="F4829" s="5"/>
      <c r="G4829" s="5"/>
      <c r="H4829" s="5"/>
    </row>
    <row r="4830" spans="1:8" x14ac:dyDescent="0.25">
      <c r="A4830" s="4"/>
      <c r="B4830" s="5"/>
      <c r="C4830" s="5"/>
      <c r="D4830" s="5"/>
      <c r="E4830" s="5"/>
      <c r="F4830" s="5"/>
      <c r="G4830" s="5"/>
      <c r="H4830" s="5"/>
    </row>
    <row r="4831" spans="1:8" x14ac:dyDescent="0.25">
      <c r="A4831" s="4"/>
      <c r="B4831" s="5"/>
      <c r="C4831" s="5"/>
      <c r="D4831" s="5"/>
      <c r="E4831" s="5"/>
      <c r="F4831" s="5"/>
      <c r="G4831" s="5"/>
      <c r="H4831" s="5"/>
    </row>
    <row r="4832" spans="1:8" x14ac:dyDescent="0.25">
      <c r="A4832" s="4"/>
      <c r="B4832" s="5"/>
      <c r="C4832" s="5"/>
      <c r="D4832" s="5"/>
      <c r="E4832" s="5"/>
      <c r="F4832" s="5"/>
      <c r="G4832" s="5"/>
      <c r="H4832" s="5"/>
    </row>
    <row r="4833" spans="1:8" x14ac:dyDescent="0.25">
      <c r="A4833" s="4"/>
      <c r="B4833" s="5"/>
      <c r="C4833" s="5"/>
      <c r="D4833" s="5"/>
      <c r="E4833" s="5"/>
      <c r="F4833" s="5"/>
      <c r="G4833" s="5"/>
      <c r="H4833" s="5"/>
    </row>
    <row r="4834" spans="1:8" x14ac:dyDescent="0.25">
      <c r="A4834" s="4"/>
      <c r="B4834" s="5"/>
      <c r="C4834" s="5"/>
      <c r="D4834" s="5"/>
      <c r="E4834" s="5"/>
      <c r="F4834" s="5"/>
      <c r="G4834" s="5"/>
      <c r="H4834" s="5"/>
    </row>
    <row r="4835" spans="1:8" x14ac:dyDescent="0.25">
      <c r="A4835" s="4"/>
      <c r="B4835" s="5"/>
      <c r="C4835" s="5"/>
      <c r="D4835" s="5"/>
      <c r="E4835" s="5"/>
      <c r="F4835" s="5"/>
      <c r="G4835" s="5"/>
      <c r="H4835" s="5"/>
    </row>
    <row r="4836" spans="1:8" x14ac:dyDescent="0.25">
      <c r="A4836" s="4"/>
      <c r="B4836" s="5"/>
      <c r="C4836" s="5"/>
      <c r="D4836" s="5"/>
      <c r="E4836" s="5"/>
      <c r="F4836" s="5"/>
      <c r="G4836" s="5"/>
      <c r="H4836" s="5"/>
    </row>
    <row r="4837" spans="1:8" x14ac:dyDescent="0.25">
      <c r="A4837" s="4"/>
      <c r="B4837" s="5"/>
      <c r="C4837" s="5"/>
      <c r="D4837" s="5"/>
      <c r="E4837" s="5"/>
      <c r="F4837" s="5"/>
      <c r="G4837" s="5"/>
      <c r="H4837" s="5"/>
    </row>
    <row r="4838" spans="1:8" x14ac:dyDescent="0.25">
      <c r="A4838" s="4"/>
      <c r="B4838" s="5"/>
      <c r="C4838" s="5"/>
      <c r="D4838" s="5"/>
      <c r="E4838" s="5"/>
      <c r="F4838" s="5"/>
      <c r="G4838" s="5"/>
      <c r="H4838" s="5"/>
    </row>
    <row r="4839" spans="1:8" x14ac:dyDescent="0.25">
      <c r="A4839" s="4"/>
      <c r="B4839" s="5"/>
      <c r="C4839" s="5"/>
      <c r="D4839" s="5"/>
      <c r="E4839" s="5"/>
      <c r="F4839" s="5"/>
      <c r="G4839" s="5"/>
      <c r="H4839" s="5"/>
    </row>
    <row r="4840" spans="1:8" x14ac:dyDescent="0.25">
      <c r="A4840" s="4"/>
      <c r="B4840" s="5"/>
      <c r="C4840" s="5"/>
      <c r="D4840" s="5"/>
      <c r="E4840" s="5"/>
      <c r="F4840" s="5"/>
      <c r="G4840" s="5"/>
      <c r="H4840" s="5"/>
    </row>
    <row r="4841" spans="1:8" x14ac:dyDescent="0.25">
      <c r="A4841" s="4"/>
      <c r="B4841" s="5"/>
      <c r="C4841" s="5"/>
      <c r="D4841" s="5"/>
      <c r="E4841" s="5"/>
      <c r="F4841" s="5"/>
      <c r="G4841" s="5"/>
      <c r="H4841" s="5"/>
    </row>
    <row r="4842" spans="1:8" x14ac:dyDescent="0.25">
      <c r="A4842" s="4"/>
      <c r="B4842" s="5"/>
      <c r="C4842" s="5"/>
      <c r="D4842" s="5"/>
      <c r="E4842" s="5"/>
      <c r="F4842" s="5"/>
      <c r="G4842" s="5"/>
      <c r="H4842" s="5"/>
    </row>
    <row r="4843" spans="1:8" x14ac:dyDescent="0.25">
      <c r="A4843" s="4"/>
      <c r="B4843" s="5"/>
      <c r="C4843" s="5"/>
      <c r="D4843" s="5"/>
      <c r="E4843" s="5"/>
      <c r="F4843" s="5"/>
      <c r="G4843" s="5"/>
      <c r="H4843" s="5"/>
    </row>
    <row r="4844" spans="1:8" x14ac:dyDescent="0.25">
      <c r="A4844" s="4"/>
      <c r="B4844" s="5"/>
      <c r="C4844" s="5"/>
      <c r="D4844" s="5"/>
      <c r="E4844" s="5"/>
      <c r="F4844" s="5"/>
      <c r="G4844" s="5"/>
      <c r="H4844" s="5"/>
    </row>
    <row r="4845" spans="1:8" x14ac:dyDescent="0.25">
      <c r="A4845" s="4"/>
      <c r="B4845" s="5"/>
      <c r="C4845" s="5"/>
      <c r="D4845" s="5"/>
      <c r="E4845" s="5"/>
      <c r="F4845" s="5"/>
      <c r="G4845" s="5"/>
      <c r="H4845" s="5"/>
    </row>
    <row r="4846" spans="1:8" x14ac:dyDescent="0.25">
      <c r="A4846" s="4"/>
      <c r="B4846" s="5"/>
      <c r="C4846" s="5"/>
      <c r="D4846" s="5"/>
      <c r="E4846" s="5"/>
      <c r="F4846" s="5"/>
      <c r="G4846" s="5"/>
      <c r="H4846" s="5"/>
    </row>
    <row r="4847" spans="1:8" x14ac:dyDescent="0.25">
      <c r="A4847" s="4"/>
      <c r="B4847" s="5"/>
      <c r="C4847" s="5"/>
      <c r="D4847" s="5"/>
      <c r="E4847" s="5"/>
      <c r="F4847" s="5"/>
      <c r="G4847" s="5"/>
      <c r="H4847" s="5"/>
    </row>
    <row r="4848" spans="1:8" x14ac:dyDescent="0.25">
      <c r="A4848" s="4"/>
      <c r="B4848" s="5"/>
      <c r="C4848" s="5"/>
      <c r="D4848" s="5"/>
      <c r="E4848" s="5"/>
      <c r="F4848" s="5"/>
      <c r="G4848" s="5"/>
      <c r="H4848" s="5"/>
    </row>
    <row r="4849" spans="1:8" x14ac:dyDescent="0.25">
      <c r="A4849" s="4"/>
      <c r="B4849" s="5"/>
      <c r="C4849" s="5"/>
      <c r="D4849" s="5"/>
      <c r="E4849" s="5"/>
      <c r="F4849" s="5"/>
      <c r="G4849" s="5"/>
      <c r="H4849" s="5"/>
    </row>
    <row r="4850" spans="1:8" x14ac:dyDescent="0.25">
      <c r="A4850" s="4"/>
      <c r="B4850" s="5"/>
      <c r="C4850" s="5"/>
      <c r="D4850" s="5"/>
      <c r="E4850" s="5"/>
      <c r="F4850" s="5"/>
      <c r="G4850" s="5"/>
      <c r="H4850" s="5"/>
    </row>
    <row r="4851" spans="1:8" x14ac:dyDescent="0.25">
      <c r="A4851" s="4"/>
      <c r="B4851" s="5"/>
      <c r="C4851" s="5"/>
      <c r="D4851" s="5"/>
      <c r="E4851" s="5"/>
      <c r="F4851" s="5"/>
      <c r="G4851" s="5"/>
      <c r="H4851" s="5"/>
    </row>
    <row r="4852" spans="1:8" x14ac:dyDescent="0.25">
      <c r="A4852" s="4"/>
      <c r="B4852" s="5"/>
      <c r="C4852" s="5"/>
      <c r="D4852" s="5"/>
      <c r="E4852" s="5"/>
      <c r="F4852" s="5"/>
      <c r="G4852" s="5"/>
      <c r="H4852" s="5"/>
    </row>
    <row r="4853" spans="1:8" x14ac:dyDescent="0.25">
      <c r="A4853" s="4"/>
      <c r="B4853" s="5"/>
      <c r="C4853" s="5"/>
      <c r="D4853" s="5"/>
      <c r="E4853" s="5"/>
      <c r="F4853" s="5"/>
      <c r="G4853" s="5"/>
      <c r="H4853" s="5"/>
    </row>
    <row r="4854" spans="1:8" x14ac:dyDescent="0.25">
      <c r="A4854" s="4"/>
      <c r="B4854" s="5"/>
      <c r="C4854" s="5"/>
      <c r="D4854" s="5"/>
      <c r="E4854" s="5"/>
      <c r="F4854" s="5"/>
      <c r="G4854" s="5"/>
      <c r="H4854" s="5"/>
    </row>
    <row r="4855" spans="1:8" x14ac:dyDescent="0.25">
      <c r="A4855" s="4"/>
      <c r="B4855" s="5"/>
      <c r="C4855" s="5"/>
      <c r="D4855" s="5"/>
      <c r="E4855" s="5"/>
      <c r="F4855" s="5"/>
      <c r="G4855" s="5"/>
      <c r="H4855" s="5"/>
    </row>
    <row r="4856" spans="1:8" x14ac:dyDescent="0.25">
      <c r="A4856" s="4"/>
      <c r="B4856" s="5"/>
      <c r="C4856" s="5"/>
      <c r="D4856" s="5"/>
      <c r="E4856" s="5"/>
      <c r="F4856" s="5"/>
      <c r="G4856" s="5"/>
      <c r="H4856" s="5"/>
    </row>
    <row r="4857" spans="1:8" x14ac:dyDescent="0.25">
      <c r="A4857" s="4"/>
      <c r="B4857" s="5"/>
      <c r="C4857" s="5"/>
      <c r="D4857" s="5"/>
      <c r="E4857" s="5"/>
      <c r="F4857" s="5"/>
      <c r="G4857" s="5"/>
      <c r="H4857" s="5"/>
    </row>
    <row r="4858" spans="1:8" x14ac:dyDescent="0.25">
      <c r="A4858" s="4"/>
      <c r="B4858" s="5"/>
      <c r="C4858" s="5"/>
      <c r="D4858" s="5"/>
      <c r="E4858" s="5"/>
      <c r="F4858" s="5"/>
      <c r="G4858" s="5"/>
      <c r="H4858" s="5"/>
    </row>
    <row r="4859" spans="1:8" x14ac:dyDescent="0.25">
      <c r="A4859" s="4"/>
      <c r="B4859" s="5"/>
      <c r="C4859" s="5"/>
      <c r="D4859" s="5"/>
      <c r="E4859" s="5"/>
      <c r="F4859" s="5"/>
      <c r="G4859" s="5"/>
      <c r="H4859" s="5"/>
    </row>
    <row r="4860" spans="1:8" x14ac:dyDescent="0.25">
      <c r="A4860" s="4"/>
      <c r="B4860" s="5"/>
      <c r="C4860" s="5"/>
      <c r="D4860" s="5"/>
      <c r="E4860" s="5"/>
      <c r="F4860" s="5"/>
      <c r="G4860" s="5"/>
      <c r="H4860" s="5"/>
    </row>
    <row r="4861" spans="1:8" x14ac:dyDescent="0.25">
      <c r="A4861" s="4"/>
      <c r="B4861" s="5"/>
      <c r="C4861" s="5"/>
      <c r="D4861" s="5"/>
      <c r="E4861" s="5"/>
      <c r="F4861" s="5"/>
      <c r="G4861" s="5"/>
      <c r="H4861" s="5"/>
    </row>
    <row r="4862" spans="1:8" x14ac:dyDescent="0.25">
      <c r="A4862" s="4"/>
      <c r="B4862" s="5"/>
      <c r="C4862" s="5"/>
      <c r="D4862" s="5"/>
      <c r="E4862" s="5"/>
      <c r="F4862" s="5"/>
      <c r="G4862" s="5"/>
      <c r="H4862" s="5"/>
    </row>
    <row r="4863" spans="1:8" x14ac:dyDescent="0.25">
      <c r="A4863" s="4"/>
      <c r="B4863" s="5"/>
      <c r="C4863" s="5"/>
      <c r="D4863" s="5"/>
      <c r="E4863" s="5"/>
      <c r="F4863" s="5"/>
      <c r="G4863" s="5"/>
      <c r="H4863" s="5"/>
    </row>
    <row r="4864" spans="1:8" x14ac:dyDescent="0.25">
      <c r="A4864" s="4"/>
      <c r="B4864" s="5"/>
      <c r="C4864" s="5"/>
      <c r="D4864" s="5"/>
      <c r="E4864" s="5"/>
      <c r="F4864" s="5"/>
      <c r="G4864" s="5"/>
      <c r="H4864" s="5"/>
    </row>
    <row r="4865" spans="1:8" x14ac:dyDescent="0.25">
      <c r="A4865" s="4"/>
      <c r="B4865" s="5"/>
      <c r="C4865" s="5"/>
      <c r="D4865" s="5"/>
      <c r="E4865" s="5"/>
      <c r="F4865" s="5"/>
      <c r="G4865" s="5"/>
      <c r="H4865" s="5"/>
    </row>
    <row r="4866" spans="1:8" x14ac:dyDescent="0.25">
      <c r="A4866" s="4"/>
      <c r="B4866" s="5"/>
      <c r="C4866" s="5"/>
      <c r="D4866" s="5"/>
      <c r="E4866" s="5"/>
      <c r="F4866" s="5"/>
      <c r="G4866" s="5"/>
      <c r="H4866" s="5"/>
    </row>
    <row r="4867" spans="1:8" x14ac:dyDescent="0.25">
      <c r="A4867" s="4"/>
      <c r="B4867" s="5"/>
      <c r="C4867" s="5"/>
      <c r="D4867" s="5"/>
      <c r="E4867" s="5"/>
      <c r="F4867" s="5"/>
      <c r="G4867" s="5"/>
      <c r="H4867" s="5"/>
    </row>
    <row r="4868" spans="1:8" x14ac:dyDescent="0.25">
      <c r="A4868" s="4"/>
      <c r="B4868" s="5"/>
      <c r="C4868" s="5"/>
      <c r="D4868" s="5"/>
      <c r="E4868" s="5"/>
      <c r="F4868" s="5"/>
      <c r="G4868" s="5"/>
      <c r="H4868" s="5"/>
    </row>
    <row r="4869" spans="1:8" x14ac:dyDescent="0.25">
      <c r="A4869" s="4"/>
      <c r="B4869" s="5"/>
      <c r="C4869" s="5"/>
      <c r="D4869" s="5"/>
      <c r="E4869" s="5"/>
      <c r="F4869" s="5"/>
      <c r="G4869" s="5"/>
      <c r="H4869" s="5"/>
    </row>
    <row r="4870" spans="1:8" x14ac:dyDescent="0.25">
      <c r="A4870" s="4"/>
      <c r="B4870" s="5"/>
      <c r="C4870" s="5"/>
      <c r="D4870" s="5"/>
      <c r="E4870" s="5"/>
      <c r="F4870" s="5"/>
      <c r="G4870" s="5"/>
      <c r="H4870" s="5"/>
    </row>
    <row r="4871" spans="1:8" x14ac:dyDescent="0.25">
      <c r="A4871" s="4"/>
      <c r="B4871" s="5"/>
      <c r="C4871" s="5"/>
      <c r="D4871" s="5"/>
      <c r="E4871" s="5"/>
      <c r="F4871" s="5"/>
      <c r="G4871" s="5"/>
      <c r="H4871" s="5"/>
    </row>
    <row r="4872" spans="1:8" x14ac:dyDescent="0.25">
      <c r="A4872" s="4"/>
      <c r="B4872" s="5"/>
      <c r="C4872" s="5"/>
      <c r="D4872" s="5"/>
      <c r="E4872" s="5"/>
      <c r="F4872" s="5"/>
      <c r="G4872" s="5"/>
      <c r="H4872" s="5"/>
    </row>
    <row r="4873" spans="1:8" x14ac:dyDescent="0.25">
      <c r="A4873" s="4"/>
      <c r="B4873" s="5"/>
      <c r="C4873" s="5"/>
      <c r="D4873" s="5"/>
      <c r="E4873" s="5"/>
      <c r="F4873" s="5"/>
      <c r="G4873" s="5"/>
      <c r="H4873" s="5"/>
    </row>
    <row r="4874" spans="1:8" x14ac:dyDescent="0.25">
      <c r="A4874" s="4"/>
      <c r="B4874" s="5"/>
      <c r="C4874" s="5"/>
      <c r="D4874" s="5"/>
      <c r="E4874" s="5"/>
      <c r="F4874" s="5"/>
      <c r="G4874" s="5"/>
      <c r="H4874" s="5"/>
    </row>
    <row r="4875" spans="1:8" x14ac:dyDescent="0.25">
      <c r="A4875" s="4"/>
      <c r="B4875" s="5"/>
      <c r="C4875" s="5"/>
      <c r="D4875" s="5"/>
      <c r="E4875" s="5"/>
      <c r="F4875" s="5"/>
      <c r="G4875" s="5"/>
      <c r="H4875" s="5"/>
    </row>
    <row r="4876" spans="1:8" x14ac:dyDescent="0.25">
      <c r="A4876" s="4"/>
      <c r="B4876" s="5"/>
      <c r="C4876" s="5"/>
      <c r="D4876" s="5"/>
      <c r="E4876" s="5"/>
      <c r="F4876" s="5"/>
      <c r="G4876" s="5"/>
      <c r="H4876" s="5"/>
    </row>
    <row r="4877" spans="1:8" x14ac:dyDescent="0.25">
      <c r="A4877" s="4"/>
      <c r="B4877" s="5"/>
      <c r="C4877" s="5"/>
      <c r="D4877" s="5"/>
      <c r="E4877" s="5"/>
      <c r="F4877" s="5"/>
      <c r="G4877" s="5"/>
      <c r="H4877" s="5"/>
    </row>
    <row r="4878" spans="1:8" x14ac:dyDescent="0.25">
      <c r="A4878" s="4"/>
      <c r="B4878" s="5"/>
      <c r="C4878" s="5"/>
      <c r="D4878" s="5"/>
      <c r="E4878" s="5"/>
      <c r="F4878" s="5"/>
      <c r="G4878" s="5"/>
      <c r="H4878" s="5"/>
    </row>
    <row r="4879" spans="1:8" x14ac:dyDescent="0.25">
      <c r="A4879" s="4"/>
      <c r="B4879" s="5"/>
      <c r="C4879" s="5"/>
      <c r="D4879" s="5"/>
      <c r="E4879" s="5"/>
      <c r="F4879" s="5"/>
      <c r="G4879" s="5"/>
      <c r="H4879" s="5"/>
    </row>
    <row r="4880" spans="1:8" x14ac:dyDescent="0.25">
      <c r="A4880" s="4"/>
      <c r="B4880" s="5"/>
      <c r="C4880" s="5"/>
      <c r="D4880" s="5"/>
      <c r="E4880" s="5"/>
      <c r="F4880" s="5"/>
      <c r="G4880" s="5"/>
      <c r="H4880" s="5"/>
    </row>
    <row r="4881" spans="1:8" x14ac:dyDescent="0.25">
      <c r="A4881" s="4"/>
      <c r="B4881" s="5"/>
      <c r="C4881" s="5"/>
      <c r="D4881" s="5"/>
      <c r="E4881" s="5"/>
      <c r="F4881" s="5"/>
      <c r="G4881" s="5"/>
      <c r="H4881" s="5"/>
    </row>
    <row r="4882" spans="1:8" x14ac:dyDescent="0.25">
      <c r="A4882" s="4"/>
      <c r="B4882" s="5"/>
      <c r="C4882" s="5"/>
      <c r="D4882" s="5"/>
      <c r="E4882" s="5"/>
      <c r="F4882" s="5"/>
      <c r="G4882" s="5"/>
      <c r="H4882" s="5"/>
    </row>
    <row r="4883" spans="1:8" x14ac:dyDescent="0.25">
      <c r="A4883" s="4"/>
      <c r="B4883" s="5"/>
      <c r="C4883" s="5"/>
      <c r="D4883" s="5"/>
      <c r="E4883" s="5"/>
      <c r="F4883" s="5"/>
      <c r="G4883" s="5"/>
      <c r="H4883" s="5"/>
    </row>
    <row r="4884" spans="1:8" x14ac:dyDescent="0.25">
      <c r="A4884" s="4"/>
      <c r="B4884" s="5"/>
      <c r="C4884" s="5"/>
      <c r="D4884" s="5"/>
      <c r="E4884" s="5"/>
      <c r="F4884" s="5"/>
      <c r="G4884" s="5"/>
      <c r="H4884" s="5"/>
    </row>
    <row r="4885" spans="1:8" x14ac:dyDescent="0.25">
      <c r="A4885" s="4"/>
      <c r="B4885" s="5"/>
      <c r="C4885" s="5"/>
      <c r="D4885" s="5"/>
      <c r="E4885" s="5"/>
      <c r="F4885" s="5"/>
      <c r="G4885" s="5"/>
      <c r="H4885" s="5"/>
    </row>
    <row r="4886" spans="1:8" x14ac:dyDescent="0.25">
      <c r="A4886" s="4"/>
      <c r="B4886" s="5"/>
      <c r="C4886" s="5"/>
      <c r="D4886" s="5"/>
      <c r="E4886" s="5"/>
      <c r="F4886" s="5"/>
      <c r="G4886" s="5"/>
      <c r="H4886" s="5"/>
    </row>
    <row r="4887" spans="1:8" x14ac:dyDescent="0.25">
      <c r="A4887" s="4"/>
      <c r="B4887" s="5"/>
      <c r="C4887" s="5"/>
      <c r="D4887" s="5"/>
      <c r="E4887" s="5"/>
      <c r="F4887" s="5"/>
      <c r="G4887" s="5"/>
      <c r="H4887" s="5"/>
    </row>
    <row r="4888" spans="1:8" x14ac:dyDescent="0.25">
      <c r="A4888" s="4"/>
      <c r="B4888" s="5"/>
      <c r="C4888" s="5"/>
      <c r="D4888" s="5"/>
      <c r="E4888" s="5"/>
      <c r="F4888" s="5"/>
      <c r="G4888" s="5"/>
      <c r="H4888" s="5"/>
    </row>
    <row r="4889" spans="1:8" x14ac:dyDescent="0.25">
      <c r="A4889" s="4"/>
      <c r="B4889" s="5"/>
      <c r="C4889" s="5"/>
      <c r="D4889" s="5"/>
      <c r="E4889" s="5"/>
      <c r="F4889" s="5"/>
      <c r="G4889" s="5"/>
      <c r="H4889" s="5"/>
    </row>
    <row r="4890" spans="1:8" x14ac:dyDescent="0.25">
      <c r="A4890" s="4"/>
      <c r="B4890" s="5"/>
      <c r="C4890" s="5"/>
      <c r="D4890" s="5"/>
      <c r="E4890" s="5"/>
      <c r="F4890" s="5"/>
      <c r="G4890" s="5"/>
      <c r="H4890" s="5"/>
    </row>
    <row r="4891" spans="1:8" x14ac:dyDescent="0.25">
      <c r="A4891" s="4"/>
      <c r="B4891" s="5"/>
      <c r="C4891" s="5"/>
      <c r="D4891" s="5"/>
      <c r="E4891" s="5"/>
      <c r="F4891" s="5"/>
      <c r="G4891" s="5"/>
      <c r="H4891" s="5"/>
    </row>
    <row r="4892" spans="1:8" x14ac:dyDescent="0.25">
      <c r="A4892" s="4"/>
      <c r="B4892" s="5"/>
      <c r="C4892" s="5"/>
      <c r="D4892" s="5"/>
      <c r="E4892" s="5"/>
      <c r="F4892" s="5"/>
      <c r="G4892" s="5"/>
      <c r="H4892" s="5"/>
    </row>
    <row r="4893" spans="1:8" x14ac:dyDescent="0.25">
      <c r="A4893" s="4"/>
      <c r="B4893" s="5"/>
      <c r="C4893" s="5"/>
      <c r="D4893" s="5"/>
      <c r="E4893" s="5"/>
      <c r="F4893" s="5"/>
      <c r="G4893" s="5"/>
      <c r="H4893" s="5"/>
    </row>
    <row r="4894" spans="1:8" x14ac:dyDescent="0.25">
      <c r="A4894" s="4"/>
      <c r="B4894" s="5"/>
      <c r="C4894" s="5"/>
      <c r="D4894" s="5"/>
      <c r="E4894" s="5"/>
      <c r="F4894" s="5"/>
      <c r="G4894" s="5"/>
      <c r="H4894" s="5"/>
    </row>
    <row r="4895" spans="1:8" x14ac:dyDescent="0.25">
      <c r="A4895" s="4"/>
      <c r="B4895" s="5"/>
      <c r="C4895" s="5"/>
      <c r="D4895" s="5"/>
      <c r="E4895" s="5"/>
      <c r="F4895" s="5"/>
      <c r="G4895" s="5"/>
      <c r="H4895" s="5"/>
    </row>
    <row r="4896" spans="1:8" x14ac:dyDescent="0.25">
      <c r="A4896" s="4"/>
      <c r="B4896" s="5"/>
      <c r="C4896" s="5"/>
      <c r="D4896" s="5"/>
      <c r="E4896" s="5"/>
      <c r="F4896" s="5"/>
      <c r="G4896" s="5"/>
      <c r="H4896" s="5"/>
    </row>
    <row r="4897" spans="1:8" x14ac:dyDescent="0.25">
      <c r="A4897" s="4"/>
      <c r="B4897" s="5"/>
      <c r="C4897" s="5"/>
      <c r="D4897" s="5"/>
      <c r="E4897" s="5"/>
      <c r="F4897" s="5"/>
      <c r="G4897" s="5"/>
      <c r="H4897" s="5"/>
    </row>
    <row r="4898" spans="1:8" x14ac:dyDescent="0.25">
      <c r="A4898" s="4"/>
      <c r="B4898" s="5"/>
      <c r="C4898" s="5"/>
      <c r="D4898" s="5"/>
      <c r="E4898" s="5"/>
      <c r="F4898" s="5"/>
      <c r="G4898" s="5"/>
      <c r="H4898" s="5"/>
    </row>
    <row r="4899" spans="1:8" x14ac:dyDescent="0.25">
      <c r="A4899" s="4"/>
      <c r="B4899" s="5"/>
      <c r="C4899" s="5"/>
      <c r="D4899" s="5"/>
      <c r="E4899" s="5"/>
      <c r="F4899" s="5"/>
      <c r="G4899" s="5"/>
      <c r="H4899" s="5"/>
    </row>
    <row r="4900" spans="1:8" x14ac:dyDescent="0.25">
      <c r="A4900" s="4"/>
      <c r="B4900" s="5"/>
      <c r="C4900" s="5"/>
      <c r="D4900" s="5"/>
      <c r="E4900" s="5"/>
      <c r="F4900" s="5"/>
      <c r="G4900" s="5"/>
      <c r="H4900" s="5"/>
    </row>
    <row r="4901" spans="1:8" x14ac:dyDescent="0.25">
      <c r="A4901" s="4"/>
      <c r="B4901" s="5"/>
      <c r="C4901" s="5"/>
      <c r="D4901" s="5"/>
      <c r="E4901" s="5"/>
      <c r="F4901" s="5"/>
      <c r="G4901" s="5"/>
      <c r="H4901" s="5"/>
    </row>
    <row r="4902" spans="1:8" x14ac:dyDescent="0.25">
      <c r="A4902" s="4"/>
      <c r="B4902" s="5"/>
      <c r="C4902" s="5"/>
      <c r="D4902" s="5"/>
      <c r="E4902" s="5"/>
      <c r="F4902" s="5"/>
      <c r="G4902" s="5"/>
      <c r="H4902" s="5"/>
    </row>
    <row r="4903" spans="1:8" x14ac:dyDescent="0.25">
      <c r="A4903" s="4"/>
      <c r="B4903" s="5"/>
      <c r="C4903" s="5"/>
      <c r="D4903" s="5"/>
      <c r="E4903" s="5"/>
      <c r="F4903" s="5"/>
      <c r="G4903" s="5"/>
      <c r="H4903" s="5"/>
    </row>
    <row r="4904" spans="1:8" x14ac:dyDescent="0.25">
      <c r="A4904" s="4"/>
      <c r="B4904" s="5"/>
      <c r="C4904" s="5"/>
      <c r="D4904" s="5"/>
      <c r="E4904" s="5"/>
      <c r="F4904" s="5"/>
      <c r="G4904" s="5"/>
      <c r="H4904" s="5"/>
    </row>
    <row r="4905" spans="1:8" x14ac:dyDescent="0.25">
      <c r="A4905" s="4"/>
      <c r="B4905" s="5"/>
      <c r="C4905" s="5"/>
      <c r="D4905" s="5"/>
      <c r="E4905" s="5"/>
      <c r="F4905" s="5"/>
      <c r="G4905" s="5"/>
      <c r="H4905" s="5"/>
    </row>
    <row r="4906" spans="1:8" x14ac:dyDescent="0.25">
      <c r="A4906" s="4"/>
      <c r="B4906" s="5"/>
      <c r="C4906" s="5"/>
      <c r="D4906" s="5"/>
      <c r="E4906" s="5"/>
      <c r="F4906" s="5"/>
      <c r="G4906" s="5"/>
      <c r="H4906" s="5"/>
    </row>
    <row r="4907" spans="1:8" x14ac:dyDescent="0.25">
      <c r="A4907" s="4"/>
      <c r="B4907" s="5"/>
      <c r="C4907" s="5"/>
      <c r="D4907" s="5"/>
      <c r="E4907" s="5"/>
      <c r="F4907" s="5"/>
      <c r="G4907" s="5"/>
      <c r="H4907" s="5"/>
    </row>
    <row r="4908" spans="1:8" x14ac:dyDescent="0.25">
      <c r="A4908" s="4"/>
      <c r="B4908" s="5"/>
      <c r="C4908" s="5"/>
      <c r="D4908" s="5"/>
      <c r="E4908" s="5"/>
      <c r="F4908" s="5"/>
      <c r="G4908" s="5"/>
      <c r="H4908" s="5"/>
    </row>
    <row r="4909" spans="1:8" x14ac:dyDescent="0.25">
      <c r="A4909" s="4"/>
      <c r="B4909" s="5"/>
      <c r="C4909" s="5"/>
      <c r="D4909" s="5"/>
      <c r="E4909" s="5"/>
      <c r="F4909" s="5"/>
      <c r="G4909" s="5"/>
      <c r="H4909" s="5"/>
    </row>
    <row r="4910" spans="1:8" x14ac:dyDescent="0.25">
      <c r="A4910" s="4"/>
      <c r="B4910" s="5"/>
      <c r="C4910" s="5"/>
      <c r="D4910" s="5"/>
      <c r="E4910" s="5"/>
      <c r="F4910" s="5"/>
      <c r="G4910" s="5"/>
      <c r="H4910" s="5"/>
    </row>
    <row r="4911" spans="1:8" x14ac:dyDescent="0.25">
      <c r="A4911" s="4"/>
      <c r="B4911" s="5"/>
      <c r="C4911" s="5"/>
      <c r="D4911" s="5"/>
      <c r="E4911" s="5"/>
      <c r="F4911" s="5"/>
      <c r="G4911" s="5"/>
      <c r="H4911" s="5"/>
    </row>
    <row r="4912" spans="1:8" x14ac:dyDescent="0.25">
      <c r="A4912" s="4"/>
      <c r="B4912" s="5"/>
      <c r="C4912" s="5"/>
      <c r="D4912" s="5"/>
      <c r="E4912" s="5"/>
      <c r="F4912" s="5"/>
      <c r="G4912" s="5"/>
      <c r="H4912" s="5"/>
    </row>
    <row r="4913" spans="1:8" x14ac:dyDescent="0.25">
      <c r="A4913" s="4"/>
      <c r="B4913" s="5"/>
      <c r="C4913" s="5"/>
      <c r="D4913" s="5"/>
      <c r="E4913" s="5"/>
      <c r="F4913" s="5"/>
      <c r="G4913" s="5"/>
      <c r="H4913" s="5"/>
    </row>
    <row r="4914" spans="1:8" x14ac:dyDescent="0.25">
      <c r="A4914" s="4"/>
      <c r="B4914" s="5"/>
      <c r="C4914" s="5"/>
      <c r="D4914" s="5"/>
      <c r="E4914" s="5"/>
      <c r="F4914" s="5"/>
      <c r="G4914" s="5"/>
      <c r="H4914" s="5"/>
    </row>
    <row r="4915" spans="1:8" x14ac:dyDescent="0.25">
      <c r="A4915" s="4"/>
      <c r="B4915" s="5"/>
      <c r="C4915" s="5"/>
      <c r="D4915" s="5"/>
      <c r="E4915" s="5"/>
      <c r="F4915" s="5"/>
      <c r="G4915" s="5"/>
      <c r="H4915" s="5"/>
    </row>
    <row r="4916" spans="1:8" x14ac:dyDescent="0.25">
      <c r="A4916" s="4"/>
      <c r="B4916" s="5"/>
      <c r="C4916" s="5"/>
      <c r="D4916" s="5"/>
      <c r="E4916" s="5"/>
      <c r="F4916" s="5"/>
      <c r="G4916" s="5"/>
      <c r="H4916" s="5"/>
    </row>
    <row r="4917" spans="1:8" x14ac:dyDescent="0.25">
      <c r="A4917" s="4"/>
      <c r="B4917" s="5"/>
      <c r="C4917" s="5"/>
      <c r="D4917" s="5"/>
      <c r="E4917" s="5"/>
      <c r="F4917" s="5"/>
      <c r="G4917" s="5"/>
      <c r="H4917" s="5"/>
    </row>
    <row r="4918" spans="1:8" x14ac:dyDescent="0.25">
      <c r="A4918" s="4"/>
      <c r="B4918" s="5"/>
      <c r="C4918" s="5"/>
      <c r="D4918" s="5"/>
      <c r="E4918" s="5"/>
      <c r="F4918" s="5"/>
      <c r="G4918" s="5"/>
      <c r="H4918" s="5"/>
    </row>
    <row r="4919" spans="1:8" x14ac:dyDescent="0.25">
      <c r="A4919" s="4"/>
      <c r="B4919" s="5"/>
      <c r="C4919" s="5"/>
      <c r="D4919" s="5"/>
      <c r="E4919" s="5"/>
      <c r="F4919" s="5"/>
      <c r="G4919" s="5"/>
      <c r="H4919" s="5"/>
    </row>
    <row r="4920" spans="1:8" x14ac:dyDescent="0.25">
      <c r="A4920" s="4"/>
      <c r="B4920" s="5"/>
      <c r="C4920" s="5"/>
      <c r="D4920" s="5"/>
      <c r="E4920" s="5"/>
      <c r="F4920" s="5"/>
      <c r="G4920" s="5"/>
      <c r="H4920" s="5"/>
    </row>
    <row r="4921" spans="1:8" x14ac:dyDescent="0.25">
      <c r="A4921" s="4"/>
      <c r="B4921" s="5"/>
      <c r="C4921" s="5"/>
      <c r="D4921" s="5"/>
      <c r="E4921" s="5"/>
      <c r="F4921" s="5"/>
      <c r="G4921" s="5"/>
      <c r="H4921" s="5"/>
    </row>
    <row r="4922" spans="1:8" x14ac:dyDescent="0.25">
      <c r="A4922" s="4"/>
      <c r="B4922" s="5"/>
      <c r="C4922" s="5"/>
      <c r="D4922" s="5"/>
      <c r="E4922" s="5"/>
      <c r="F4922" s="5"/>
      <c r="G4922" s="5"/>
      <c r="H4922" s="5"/>
    </row>
    <row r="4923" spans="1:8" x14ac:dyDescent="0.25">
      <c r="A4923" s="4"/>
      <c r="B4923" s="5"/>
      <c r="C4923" s="5"/>
      <c r="D4923" s="5"/>
      <c r="E4923" s="5"/>
      <c r="F4923" s="5"/>
      <c r="G4923" s="5"/>
      <c r="H4923" s="5"/>
    </row>
    <row r="4924" spans="1:8" x14ac:dyDescent="0.25">
      <c r="A4924" s="4"/>
      <c r="B4924" s="5"/>
      <c r="C4924" s="5"/>
      <c r="D4924" s="5"/>
      <c r="E4924" s="5"/>
      <c r="F4924" s="5"/>
      <c r="G4924" s="5"/>
      <c r="H4924" s="5"/>
    </row>
    <row r="4925" spans="1:8" x14ac:dyDescent="0.25">
      <c r="A4925" s="4"/>
      <c r="B4925" s="5"/>
      <c r="C4925" s="5"/>
      <c r="D4925" s="5"/>
      <c r="E4925" s="5"/>
      <c r="F4925" s="5"/>
      <c r="G4925" s="5"/>
      <c r="H4925" s="5"/>
    </row>
    <row r="4926" spans="1:8" x14ac:dyDescent="0.25">
      <c r="A4926" s="4"/>
      <c r="B4926" s="5"/>
      <c r="C4926" s="5"/>
      <c r="D4926" s="5"/>
      <c r="E4926" s="5"/>
      <c r="F4926" s="5"/>
      <c r="G4926" s="5"/>
      <c r="H4926" s="5"/>
    </row>
    <row r="4927" spans="1:8" x14ac:dyDescent="0.25">
      <c r="A4927" s="4"/>
      <c r="B4927" s="5"/>
      <c r="C4927" s="5"/>
      <c r="D4927" s="5"/>
      <c r="E4927" s="5"/>
      <c r="F4927" s="5"/>
      <c r="G4927" s="5"/>
      <c r="H4927" s="5"/>
    </row>
    <row r="4928" spans="1:8" x14ac:dyDescent="0.25">
      <c r="A4928" s="4"/>
      <c r="B4928" s="5"/>
      <c r="C4928" s="5"/>
      <c r="D4928" s="5"/>
      <c r="E4928" s="5"/>
      <c r="F4928" s="5"/>
      <c r="G4928" s="5"/>
      <c r="H4928" s="5"/>
    </row>
    <row r="4929" spans="1:8" x14ac:dyDescent="0.25">
      <c r="A4929" s="4"/>
      <c r="B4929" s="5"/>
      <c r="C4929" s="5"/>
      <c r="D4929" s="5"/>
      <c r="E4929" s="5"/>
      <c r="F4929" s="5"/>
      <c r="G4929" s="5"/>
      <c r="H4929" s="5"/>
    </row>
    <row r="4930" spans="1:8" x14ac:dyDescent="0.25">
      <c r="A4930" s="4"/>
      <c r="B4930" s="5"/>
      <c r="C4930" s="5"/>
      <c r="D4930" s="5"/>
      <c r="E4930" s="5"/>
      <c r="F4930" s="5"/>
      <c r="G4930" s="5"/>
      <c r="H4930" s="5"/>
    </row>
    <row r="4931" spans="1:8" x14ac:dyDescent="0.25">
      <c r="A4931" s="4"/>
      <c r="B4931" s="5"/>
      <c r="C4931" s="5"/>
      <c r="D4931" s="5"/>
      <c r="E4931" s="5"/>
      <c r="F4931" s="5"/>
      <c r="G4931" s="5"/>
      <c r="H4931" s="5"/>
    </row>
    <row r="4932" spans="1:8" x14ac:dyDescent="0.25">
      <c r="A4932" s="4"/>
      <c r="B4932" s="5"/>
      <c r="C4932" s="5"/>
      <c r="D4932" s="5"/>
      <c r="E4932" s="5"/>
      <c r="F4932" s="5"/>
      <c r="G4932" s="5"/>
      <c r="H4932" s="5"/>
    </row>
    <row r="4933" spans="1:8" x14ac:dyDescent="0.25">
      <c r="A4933" s="4"/>
      <c r="B4933" s="5"/>
      <c r="C4933" s="5"/>
      <c r="D4933" s="5"/>
      <c r="E4933" s="5"/>
      <c r="F4933" s="5"/>
      <c r="G4933" s="5"/>
      <c r="H4933" s="5"/>
    </row>
    <row r="4934" spans="1:8" x14ac:dyDescent="0.25">
      <c r="A4934" s="4"/>
      <c r="B4934" s="5"/>
      <c r="C4934" s="5"/>
      <c r="D4934" s="5"/>
      <c r="E4934" s="5"/>
      <c r="F4934" s="5"/>
      <c r="G4934" s="5"/>
      <c r="H4934" s="5"/>
    </row>
    <row r="4935" spans="1:8" x14ac:dyDescent="0.25">
      <c r="A4935" s="4"/>
      <c r="B4935" s="5"/>
      <c r="C4935" s="5"/>
      <c r="D4935" s="5"/>
      <c r="E4935" s="5"/>
      <c r="F4935" s="5"/>
      <c r="G4935" s="5"/>
      <c r="H4935" s="5"/>
    </row>
    <row r="4936" spans="1:8" x14ac:dyDescent="0.25">
      <c r="A4936" s="4"/>
      <c r="B4936" s="5"/>
      <c r="C4936" s="5"/>
      <c r="D4936" s="5"/>
      <c r="E4936" s="5"/>
      <c r="F4936" s="5"/>
      <c r="G4936" s="5"/>
      <c r="H4936" s="5"/>
    </row>
    <row r="4937" spans="1:8" x14ac:dyDescent="0.25">
      <c r="A4937" s="4"/>
      <c r="B4937" s="5"/>
      <c r="C4937" s="5"/>
      <c r="D4937" s="5"/>
      <c r="E4937" s="5"/>
      <c r="F4937" s="5"/>
      <c r="G4937" s="5"/>
      <c r="H4937" s="5"/>
    </row>
    <row r="4938" spans="1:8" x14ac:dyDescent="0.25">
      <c r="A4938" s="4"/>
      <c r="B4938" s="5"/>
      <c r="C4938" s="5"/>
      <c r="D4938" s="5"/>
      <c r="E4938" s="5"/>
      <c r="F4938" s="5"/>
      <c r="G4938" s="5"/>
      <c r="H4938" s="5"/>
    </row>
    <row r="4939" spans="1:8" x14ac:dyDescent="0.25">
      <c r="A4939" s="4"/>
      <c r="B4939" s="5"/>
      <c r="C4939" s="5"/>
      <c r="D4939" s="5"/>
      <c r="E4939" s="5"/>
      <c r="F4939" s="5"/>
      <c r="G4939" s="5"/>
      <c r="H4939" s="5"/>
    </row>
    <row r="4940" spans="1:8" x14ac:dyDescent="0.25">
      <c r="A4940" s="4"/>
      <c r="B4940" s="5"/>
      <c r="C4940" s="5"/>
      <c r="D4940" s="5"/>
      <c r="E4940" s="5"/>
      <c r="F4940" s="5"/>
      <c r="G4940" s="5"/>
      <c r="H4940" s="5"/>
    </row>
    <row r="4941" spans="1:8" x14ac:dyDescent="0.25">
      <c r="A4941" s="4"/>
      <c r="B4941" s="5"/>
      <c r="C4941" s="5"/>
      <c r="D4941" s="5"/>
      <c r="E4941" s="5"/>
      <c r="F4941" s="5"/>
      <c r="G4941" s="5"/>
      <c r="H4941" s="5"/>
    </row>
    <row r="4942" spans="1:8" x14ac:dyDescent="0.25">
      <c r="A4942" s="4"/>
      <c r="B4942" s="5"/>
      <c r="C4942" s="5"/>
      <c r="D4942" s="5"/>
      <c r="E4942" s="5"/>
      <c r="F4942" s="5"/>
      <c r="G4942" s="5"/>
      <c r="H4942" s="5"/>
    </row>
    <row r="4943" spans="1:8" x14ac:dyDescent="0.25">
      <c r="A4943" s="4"/>
      <c r="B4943" s="5"/>
      <c r="C4943" s="5"/>
      <c r="D4943" s="5"/>
      <c r="E4943" s="5"/>
      <c r="F4943" s="5"/>
      <c r="G4943" s="5"/>
      <c r="H4943" s="5"/>
    </row>
    <row r="4944" spans="1:8" x14ac:dyDescent="0.25">
      <c r="A4944" s="4"/>
      <c r="B4944" s="5"/>
      <c r="C4944" s="5"/>
      <c r="D4944" s="5"/>
      <c r="E4944" s="5"/>
      <c r="F4944" s="5"/>
      <c r="G4944" s="5"/>
      <c r="H4944" s="5"/>
    </row>
    <row r="4945" spans="1:8" x14ac:dyDescent="0.25">
      <c r="A4945" s="4"/>
      <c r="B4945" s="5"/>
      <c r="C4945" s="5"/>
      <c r="D4945" s="5"/>
      <c r="E4945" s="5"/>
      <c r="F4945" s="5"/>
      <c r="G4945" s="5"/>
      <c r="H4945" s="5"/>
    </row>
    <row r="4946" spans="1:8" x14ac:dyDescent="0.25">
      <c r="A4946" s="4"/>
      <c r="B4946" s="5"/>
      <c r="C4946" s="5"/>
      <c r="D4946" s="5"/>
      <c r="E4946" s="5"/>
      <c r="F4946" s="5"/>
      <c r="G4946" s="5"/>
      <c r="H4946" s="5"/>
    </row>
    <row r="4947" spans="1:8" x14ac:dyDescent="0.25">
      <c r="A4947" s="4"/>
      <c r="B4947" s="5"/>
      <c r="C4947" s="5"/>
      <c r="D4947" s="5"/>
      <c r="E4947" s="5"/>
      <c r="F4947" s="5"/>
      <c r="G4947" s="5"/>
      <c r="H4947" s="5"/>
    </row>
    <row r="4948" spans="1:8" x14ac:dyDescent="0.25">
      <c r="A4948" s="4"/>
      <c r="B4948" s="5"/>
      <c r="C4948" s="5"/>
      <c r="D4948" s="5"/>
      <c r="E4948" s="5"/>
      <c r="F4948" s="5"/>
      <c r="G4948" s="5"/>
      <c r="H4948" s="5"/>
    </row>
    <row r="4949" spans="1:8" x14ac:dyDescent="0.25">
      <c r="A4949" s="4"/>
      <c r="B4949" s="5"/>
      <c r="C4949" s="5"/>
      <c r="D4949" s="5"/>
      <c r="E4949" s="5"/>
      <c r="F4949" s="5"/>
      <c r="G4949" s="5"/>
      <c r="H4949" s="5"/>
    </row>
    <row r="4950" spans="1:8" x14ac:dyDescent="0.25">
      <c r="A4950" s="4"/>
      <c r="B4950" s="5"/>
      <c r="C4950" s="5"/>
      <c r="D4950" s="5"/>
      <c r="E4950" s="5"/>
      <c r="F4950" s="5"/>
      <c r="G4950" s="5"/>
      <c r="H4950" s="5"/>
    </row>
    <row r="4951" spans="1:8" x14ac:dyDescent="0.25">
      <c r="A4951" s="4"/>
      <c r="B4951" s="5"/>
      <c r="C4951" s="5"/>
      <c r="D4951" s="5"/>
      <c r="E4951" s="5"/>
      <c r="F4951" s="5"/>
      <c r="G4951" s="5"/>
      <c r="H4951" s="5"/>
    </row>
    <row r="4952" spans="1:8" x14ac:dyDescent="0.25">
      <c r="A4952" s="4"/>
      <c r="B4952" s="5"/>
      <c r="C4952" s="5"/>
      <c r="D4952" s="5"/>
      <c r="E4952" s="5"/>
      <c r="F4952" s="5"/>
      <c r="G4952" s="5"/>
      <c r="H4952" s="5"/>
    </row>
    <row r="4953" spans="1:8" x14ac:dyDescent="0.25">
      <c r="A4953" s="4"/>
      <c r="B4953" s="5"/>
      <c r="C4953" s="5"/>
      <c r="D4953" s="5"/>
      <c r="E4953" s="5"/>
      <c r="F4953" s="5"/>
      <c r="G4953" s="5"/>
      <c r="H4953" s="5"/>
    </row>
    <row r="4954" spans="1:8" x14ac:dyDescent="0.25">
      <c r="A4954" s="4"/>
      <c r="B4954" s="5"/>
      <c r="C4954" s="5"/>
      <c r="D4954" s="5"/>
      <c r="E4954" s="5"/>
      <c r="F4954" s="5"/>
      <c r="G4954" s="5"/>
      <c r="H4954" s="5"/>
    </row>
    <row r="4955" spans="1:8" x14ac:dyDescent="0.25">
      <c r="A4955" s="4"/>
      <c r="B4955" s="5"/>
      <c r="C4955" s="5"/>
      <c r="D4955" s="5"/>
      <c r="E4955" s="5"/>
      <c r="F4955" s="5"/>
      <c r="G4955" s="5"/>
      <c r="H4955" s="5"/>
    </row>
    <row r="4956" spans="1:8" x14ac:dyDescent="0.25">
      <c r="A4956" s="4"/>
      <c r="B4956" s="5"/>
      <c r="C4956" s="5"/>
      <c r="D4956" s="5"/>
      <c r="E4956" s="5"/>
      <c r="F4956" s="5"/>
      <c r="G4956" s="5"/>
      <c r="H4956" s="5"/>
    </row>
    <row r="4957" spans="1:8" x14ac:dyDescent="0.25">
      <c r="A4957" s="4"/>
      <c r="B4957" s="5"/>
      <c r="C4957" s="5"/>
      <c r="D4957" s="5"/>
      <c r="E4957" s="5"/>
      <c r="F4957" s="5"/>
      <c r="G4957" s="5"/>
      <c r="H4957" s="5"/>
    </row>
    <row r="4958" spans="1:8" x14ac:dyDescent="0.25">
      <c r="A4958" s="4"/>
      <c r="B4958" s="5"/>
      <c r="C4958" s="5"/>
      <c r="D4958" s="5"/>
      <c r="E4958" s="5"/>
      <c r="F4958" s="5"/>
      <c r="G4958" s="5"/>
      <c r="H4958" s="5"/>
    </row>
    <row r="4959" spans="1:8" x14ac:dyDescent="0.25">
      <c r="A4959" s="4"/>
      <c r="B4959" s="5"/>
      <c r="C4959" s="5"/>
      <c r="D4959" s="5"/>
      <c r="E4959" s="5"/>
      <c r="F4959" s="5"/>
      <c r="G4959" s="5"/>
      <c r="H4959" s="5"/>
    </row>
    <row r="4960" spans="1:8" x14ac:dyDescent="0.25">
      <c r="A4960" s="4"/>
      <c r="B4960" s="5"/>
      <c r="C4960" s="5"/>
      <c r="D4960" s="5"/>
      <c r="E4960" s="5"/>
      <c r="F4960" s="5"/>
      <c r="G4960" s="5"/>
      <c r="H4960" s="5"/>
    </row>
    <row r="4961" spans="1:8" x14ac:dyDescent="0.25">
      <c r="A4961" s="4"/>
      <c r="B4961" s="5"/>
      <c r="C4961" s="5"/>
      <c r="D4961" s="5"/>
      <c r="E4961" s="5"/>
      <c r="F4961" s="5"/>
      <c r="G4961" s="5"/>
      <c r="H4961" s="5"/>
    </row>
    <row r="4962" spans="1:8" x14ac:dyDescent="0.25">
      <c r="A4962" s="4"/>
      <c r="B4962" s="5"/>
      <c r="C4962" s="5"/>
      <c r="D4962" s="5"/>
      <c r="E4962" s="5"/>
      <c r="F4962" s="5"/>
      <c r="G4962" s="5"/>
      <c r="H4962" s="5"/>
    </row>
    <row r="4963" spans="1:8" x14ac:dyDescent="0.25">
      <c r="A4963" s="4"/>
      <c r="B4963" s="5"/>
      <c r="C4963" s="5"/>
      <c r="D4963" s="5"/>
      <c r="E4963" s="5"/>
      <c r="F4963" s="5"/>
      <c r="G4963" s="5"/>
      <c r="H4963" s="5"/>
    </row>
    <row r="4964" spans="1:8" x14ac:dyDescent="0.25">
      <c r="A4964" s="4"/>
      <c r="B4964" s="5"/>
      <c r="C4964" s="5"/>
      <c r="D4964" s="5"/>
      <c r="E4964" s="5"/>
      <c r="F4964" s="5"/>
      <c r="G4964" s="5"/>
      <c r="H4964" s="5"/>
    </row>
    <row r="4965" spans="1:8" x14ac:dyDescent="0.25">
      <c r="A4965" s="4"/>
      <c r="B4965" s="5"/>
      <c r="C4965" s="5"/>
      <c r="D4965" s="5"/>
      <c r="E4965" s="5"/>
      <c r="F4965" s="5"/>
      <c r="G4965" s="5"/>
      <c r="H4965" s="5"/>
    </row>
    <row r="4966" spans="1:8" x14ac:dyDescent="0.25">
      <c r="A4966" s="4"/>
      <c r="B4966" s="5"/>
      <c r="C4966" s="5"/>
      <c r="D4966" s="5"/>
      <c r="E4966" s="5"/>
      <c r="F4966" s="5"/>
      <c r="G4966" s="5"/>
      <c r="H4966" s="5"/>
    </row>
    <row r="4967" spans="1:8" x14ac:dyDescent="0.25">
      <c r="A4967" s="4"/>
      <c r="B4967" s="5"/>
      <c r="C4967" s="5"/>
      <c r="D4967" s="5"/>
      <c r="E4967" s="5"/>
      <c r="F4967" s="5"/>
      <c r="G4967" s="5"/>
      <c r="H4967" s="5"/>
    </row>
    <row r="4968" spans="1:8" x14ac:dyDescent="0.25">
      <c r="A4968" s="4"/>
      <c r="B4968" s="5"/>
      <c r="C4968" s="5"/>
      <c r="D4968" s="5"/>
      <c r="E4968" s="5"/>
      <c r="F4968" s="5"/>
      <c r="G4968" s="5"/>
      <c r="H4968" s="5"/>
    </row>
    <row r="4969" spans="1:8" x14ac:dyDescent="0.25">
      <c r="A4969" s="4"/>
      <c r="B4969" s="5"/>
      <c r="C4969" s="5"/>
      <c r="D4969" s="5"/>
      <c r="E4969" s="5"/>
      <c r="F4969" s="5"/>
      <c r="G4969" s="5"/>
      <c r="H4969" s="5"/>
    </row>
    <row r="4970" spans="1:8" x14ac:dyDescent="0.25">
      <c r="A4970" s="4"/>
      <c r="B4970" s="5"/>
      <c r="C4970" s="5"/>
      <c r="D4970" s="5"/>
      <c r="E4970" s="5"/>
      <c r="F4970" s="5"/>
      <c r="G4970" s="5"/>
      <c r="H4970" s="5"/>
    </row>
    <row r="4971" spans="1:8" x14ac:dyDescent="0.25">
      <c r="A4971" s="4"/>
      <c r="B4971" s="5"/>
      <c r="C4971" s="5"/>
      <c r="D4971" s="5"/>
      <c r="E4971" s="5"/>
      <c r="F4971" s="5"/>
      <c r="G4971" s="5"/>
      <c r="H4971" s="5"/>
    </row>
    <row r="4972" spans="1:8" x14ac:dyDescent="0.25">
      <c r="A4972" s="4"/>
      <c r="B4972" s="5"/>
      <c r="C4972" s="5"/>
      <c r="D4972" s="5"/>
      <c r="E4972" s="5"/>
      <c r="F4972" s="5"/>
      <c r="G4972" s="5"/>
      <c r="H4972" s="5"/>
    </row>
    <row r="4973" spans="1:8" x14ac:dyDescent="0.25">
      <c r="A4973" s="4"/>
      <c r="B4973" s="5"/>
      <c r="C4973" s="5"/>
      <c r="D4973" s="5"/>
      <c r="E4973" s="5"/>
      <c r="F4973" s="5"/>
      <c r="G4973" s="5"/>
      <c r="H4973" s="5"/>
    </row>
    <row r="4974" spans="1:8" x14ac:dyDescent="0.25">
      <c r="A4974" s="4"/>
      <c r="B4974" s="5"/>
      <c r="C4974" s="5"/>
      <c r="D4974" s="5"/>
      <c r="E4974" s="5"/>
      <c r="F4974" s="5"/>
      <c r="G4974" s="5"/>
      <c r="H4974" s="5"/>
    </row>
    <row r="4975" spans="1:8" x14ac:dyDescent="0.25">
      <c r="A4975" s="4"/>
      <c r="B4975" s="5"/>
      <c r="C4975" s="5"/>
      <c r="D4975" s="5"/>
      <c r="E4975" s="5"/>
      <c r="F4975" s="5"/>
      <c r="G4975" s="5"/>
      <c r="H4975" s="5"/>
    </row>
    <row r="4976" spans="1:8" x14ac:dyDescent="0.25">
      <c r="A4976" s="4"/>
      <c r="B4976" s="5"/>
      <c r="C4976" s="5"/>
      <c r="D4976" s="5"/>
      <c r="E4976" s="5"/>
      <c r="F4976" s="5"/>
      <c r="G4976" s="5"/>
      <c r="H4976" s="5"/>
    </row>
    <row r="4977" spans="1:8" x14ac:dyDescent="0.25">
      <c r="A4977" s="4"/>
      <c r="B4977" s="5"/>
      <c r="C4977" s="5"/>
      <c r="D4977" s="5"/>
      <c r="E4977" s="5"/>
      <c r="F4977" s="5"/>
      <c r="G4977" s="5"/>
      <c r="H4977" s="5"/>
    </row>
    <row r="4978" spans="1:8" x14ac:dyDescent="0.25">
      <c r="A4978" s="4"/>
      <c r="B4978" s="5"/>
      <c r="C4978" s="5"/>
      <c r="D4978" s="5"/>
      <c r="E4978" s="5"/>
      <c r="F4978" s="5"/>
      <c r="G4978" s="5"/>
      <c r="H4978" s="5"/>
    </row>
    <row r="4979" spans="1:8" x14ac:dyDescent="0.25">
      <c r="A4979" s="4"/>
      <c r="B4979" s="5"/>
      <c r="C4979" s="5"/>
      <c r="D4979" s="5"/>
      <c r="E4979" s="5"/>
      <c r="F4979" s="5"/>
      <c r="G4979" s="5"/>
      <c r="H4979" s="5"/>
    </row>
    <row r="4980" spans="1:8" x14ac:dyDescent="0.25">
      <c r="A4980" s="4"/>
      <c r="B4980" s="5"/>
      <c r="C4980" s="5"/>
      <c r="D4980" s="5"/>
      <c r="E4980" s="5"/>
      <c r="F4980" s="5"/>
      <c r="G4980" s="5"/>
      <c r="H4980" s="5"/>
    </row>
    <row r="4981" spans="1:8" x14ac:dyDescent="0.25">
      <c r="A4981" s="4"/>
      <c r="B4981" s="5"/>
      <c r="C4981" s="5"/>
      <c r="D4981" s="5"/>
      <c r="E4981" s="5"/>
      <c r="F4981" s="5"/>
      <c r="G4981" s="5"/>
      <c r="H4981" s="5"/>
    </row>
    <row r="4982" spans="1:8" x14ac:dyDescent="0.25">
      <c r="A4982" s="4"/>
      <c r="B4982" s="5"/>
      <c r="C4982" s="5"/>
      <c r="D4982" s="5"/>
      <c r="E4982" s="5"/>
      <c r="F4982" s="5"/>
      <c r="G4982" s="5"/>
      <c r="H4982" s="5"/>
    </row>
    <row r="4983" spans="1:8" x14ac:dyDescent="0.25">
      <c r="A4983" s="4"/>
      <c r="B4983" s="5"/>
      <c r="C4983" s="5"/>
      <c r="D4983" s="5"/>
      <c r="E4983" s="5"/>
      <c r="F4983" s="5"/>
      <c r="G4983" s="5"/>
      <c r="H4983" s="5"/>
    </row>
    <row r="4984" spans="1:8" x14ac:dyDescent="0.25">
      <c r="A4984" s="4"/>
      <c r="B4984" s="5"/>
      <c r="C4984" s="5"/>
      <c r="D4984" s="5"/>
      <c r="E4984" s="5"/>
      <c r="F4984" s="5"/>
      <c r="G4984" s="5"/>
      <c r="H4984" s="5"/>
    </row>
    <row r="4985" spans="1:8" x14ac:dyDescent="0.25">
      <c r="A4985" s="4"/>
      <c r="B4985" s="5"/>
      <c r="C4985" s="5"/>
      <c r="D4985" s="5"/>
      <c r="E4985" s="5"/>
      <c r="F4985" s="5"/>
      <c r="G4985" s="5"/>
      <c r="H4985" s="5"/>
    </row>
    <row r="4986" spans="1:8" x14ac:dyDescent="0.25">
      <c r="A4986" s="4"/>
      <c r="B4986" s="5"/>
      <c r="C4986" s="5"/>
      <c r="D4986" s="5"/>
      <c r="E4986" s="5"/>
      <c r="F4986" s="5"/>
      <c r="G4986" s="5"/>
      <c r="H4986" s="5"/>
    </row>
    <row r="4987" spans="1:8" x14ac:dyDescent="0.25">
      <c r="A4987" s="4"/>
      <c r="B4987" s="5"/>
      <c r="C4987" s="5"/>
      <c r="D4987" s="5"/>
      <c r="E4987" s="5"/>
      <c r="F4987" s="5"/>
      <c r="G4987" s="5"/>
      <c r="H4987" s="5"/>
    </row>
    <row r="4988" spans="1:8" x14ac:dyDescent="0.25">
      <c r="A4988" s="4"/>
      <c r="B4988" s="5"/>
      <c r="C4988" s="5"/>
      <c r="D4988" s="5"/>
      <c r="E4988" s="5"/>
      <c r="F4988" s="5"/>
      <c r="G4988" s="5"/>
      <c r="H4988" s="5"/>
    </row>
    <row r="4989" spans="1:8" x14ac:dyDescent="0.25">
      <c r="A4989" s="4"/>
      <c r="B4989" s="5"/>
      <c r="C4989" s="5"/>
      <c r="D4989" s="5"/>
      <c r="E4989" s="5"/>
      <c r="F4989" s="5"/>
      <c r="G4989" s="5"/>
      <c r="H4989" s="5"/>
    </row>
    <row r="4990" spans="1:8" x14ac:dyDescent="0.25">
      <c r="A4990" s="4"/>
      <c r="B4990" s="5"/>
      <c r="C4990" s="5"/>
      <c r="D4990" s="5"/>
      <c r="E4990" s="5"/>
      <c r="F4990" s="5"/>
      <c r="G4990" s="5"/>
      <c r="H4990" s="5"/>
    </row>
    <row r="4991" spans="1:8" x14ac:dyDescent="0.25">
      <c r="A4991" s="4"/>
      <c r="B4991" s="5"/>
      <c r="C4991" s="5"/>
      <c r="D4991" s="5"/>
      <c r="E4991" s="5"/>
      <c r="F4991" s="5"/>
      <c r="G4991" s="5"/>
      <c r="H4991" s="5"/>
    </row>
    <row r="4992" spans="1:8" x14ac:dyDescent="0.25">
      <c r="A4992" s="4"/>
      <c r="B4992" s="5"/>
      <c r="C4992" s="5"/>
      <c r="D4992" s="5"/>
      <c r="E4992" s="5"/>
      <c r="F4992" s="5"/>
      <c r="G4992" s="5"/>
      <c r="H4992" s="5"/>
    </row>
    <row r="4993" spans="1:8" x14ac:dyDescent="0.25">
      <c r="A4993" s="4"/>
      <c r="B4993" s="5"/>
      <c r="C4993" s="5"/>
      <c r="D4993" s="5"/>
      <c r="E4993" s="5"/>
      <c r="F4993" s="5"/>
      <c r="G4993" s="5"/>
      <c r="H4993" s="5"/>
    </row>
    <row r="4994" spans="1:8" x14ac:dyDescent="0.25">
      <c r="A4994" s="4"/>
      <c r="B4994" s="5"/>
      <c r="C4994" s="5"/>
      <c r="D4994" s="5"/>
      <c r="E4994" s="5"/>
      <c r="F4994" s="5"/>
      <c r="G4994" s="5"/>
      <c r="H4994" s="5"/>
    </row>
    <row r="4995" spans="1:8" x14ac:dyDescent="0.25">
      <c r="A4995" s="4"/>
      <c r="B4995" s="5"/>
      <c r="C4995" s="5"/>
      <c r="D4995" s="5"/>
      <c r="E4995" s="5"/>
      <c r="F4995" s="5"/>
      <c r="G4995" s="5"/>
      <c r="H4995" s="5"/>
    </row>
    <row r="4996" spans="1:8" x14ac:dyDescent="0.25">
      <c r="A4996" s="4"/>
      <c r="B4996" s="5"/>
      <c r="C4996" s="5"/>
      <c r="D4996" s="5"/>
      <c r="E4996" s="5"/>
      <c r="F4996" s="5"/>
      <c r="G4996" s="5"/>
      <c r="H4996" s="5"/>
    </row>
    <row r="4997" spans="1:8" x14ac:dyDescent="0.25">
      <c r="A4997" s="4"/>
      <c r="B4997" s="5"/>
      <c r="C4997" s="5"/>
      <c r="D4997" s="5"/>
      <c r="E4997" s="5"/>
      <c r="F4997" s="5"/>
      <c r="G4997" s="5"/>
      <c r="H4997" s="5"/>
    </row>
    <row r="4998" spans="1:8" x14ac:dyDescent="0.25">
      <c r="A4998" s="4"/>
      <c r="B4998" s="5"/>
      <c r="C4998" s="5"/>
      <c r="D4998" s="5"/>
      <c r="E4998" s="5"/>
      <c r="F4998" s="5"/>
      <c r="G4998" s="5"/>
      <c r="H4998" s="5"/>
    </row>
    <row r="4999" spans="1:8" x14ac:dyDescent="0.25">
      <c r="A4999" s="4"/>
      <c r="B4999" s="5"/>
      <c r="C4999" s="5"/>
      <c r="D4999" s="5"/>
      <c r="E4999" s="5"/>
      <c r="F4999" s="5"/>
      <c r="G4999" s="5"/>
      <c r="H4999" s="5"/>
    </row>
    <row r="5000" spans="1:8" x14ac:dyDescent="0.25">
      <c r="A5000" s="4"/>
      <c r="B5000" s="5"/>
      <c r="C5000" s="5"/>
      <c r="D5000" s="5"/>
      <c r="E5000" s="5"/>
      <c r="F5000" s="5"/>
      <c r="G5000" s="5"/>
      <c r="H5000" s="5"/>
    </row>
    <row r="5001" spans="1:8" x14ac:dyDescent="0.25">
      <c r="A5001" s="4"/>
      <c r="B5001" s="5"/>
      <c r="C5001" s="5"/>
      <c r="D5001" s="5"/>
      <c r="E5001" s="5"/>
      <c r="F5001" s="5"/>
      <c r="G5001" s="5"/>
      <c r="H5001" s="5"/>
    </row>
    <row r="5002" spans="1:8" x14ac:dyDescent="0.25">
      <c r="A5002" s="4"/>
      <c r="B5002" s="5"/>
      <c r="C5002" s="5"/>
      <c r="D5002" s="5"/>
      <c r="E5002" s="5"/>
      <c r="F5002" s="5"/>
      <c r="G5002" s="5"/>
      <c r="H5002" s="5"/>
    </row>
    <row r="5003" spans="1:8" x14ac:dyDescent="0.25">
      <c r="A5003" s="4"/>
      <c r="B5003" s="5"/>
      <c r="C5003" s="5"/>
      <c r="D5003" s="5"/>
      <c r="E5003" s="5"/>
      <c r="F5003" s="5"/>
      <c r="G5003" s="5"/>
      <c r="H5003" s="5"/>
    </row>
    <row r="5004" spans="1:8" x14ac:dyDescent="0.25">
      <c r="A5004" s="4"/>
      <c r="B5004" s="5"/>
      <c r="C5004" s="5"/>
      <c r="D5004" s="5"/>
      <c r="E5004" s="5"/>
      <c r="F5004" s="5"/>
      <c r="G5004" s="5"/>
      <c r="H5004" s="5"/>
    </row>
    <row r="5005" spans="1:8" x14ac:dyDescent="0.25">
      <c r="A5005" s="4"/>
      <c r="B5005" s="5"/>
      <c r="C5005" s="5"/>
      <c r="D5005" s="5"/>
      <c r="E5005" s="5"/>
      <c r="F5005" s="5"/>
      <c r="G5005" s="5"/>
      <c r="H5005" s="5"/>
    </row>
    <row r="5006" spans="1:8" x14ac:dyDescent="0.25">
      <c r="A5006" s="4"/>
      <c r="B5006" s="5"/>
      <c r="C5006" s="5"/>
      <c r="D5006" s="5"/>
      <c r="E5006" s="5"/>
      <c r="F5006" s="5"/>
      <c r="G5006" s="5"/>
      <c r="H5006" s="5"/>
    </row>
    <row r="5007" spans="1:8" x14ac:dyDescent="0.25">
      <c r="A5007" s="4"/>
      <c r="B5007" s="5"/>
      <c r="C5007" s="5"/>
      <c r="D5007" s="5"/>
      <c r="E5007" s="5"/>
      <c r="F5007" s="5"/>
      <c r="G5007" s="5"/>
      <c r="H5007" s="5"/>
    </row>
    <row r="5008" spans="1:8" x14ac:dyDescent="0.25">
      <c r="A5008" s="4"/>
      <c r="B5008" s="5"/>
      <c r="C5008" s="5"/>
      <c r="D5008" s="5"/>
      <c r="E5008" s="5"/>
      <c r="F5008" s="5"/>
      <c r="G5008" s="5"/>
      <c r="H5008" s="5"/>
    </row>
    <row r="5009" spans="1:8" x14ac:dyDescent="0.25">
      <c r="A5009" s="4"/>
      <c r="B5009" s="5"/>
      <c r="C5009" s="5"/>
      <c r="D5009" s="5"/>
      <c r="E5009" s="5"/>
      <c r="F5009" s="5"/>
      <c r="G5009" s="5"/>
      <c r="H5009" s="5"/>
    </row>
    <row r="5010" spans="1:8" x14ac:dyDescent="0.25">
      <c r="A5010" s="4"/>
      <c r="B5010" s="5"/>
      <c r="C5010" s="5"/>
      <c r="D5010" s="5"/>
      <c r="E5010" s="5"/>
      <c r="F5010" s="5"/>
      <c r="G5010" s="5"/>
      <c r="H5010" s="5"/>
    </row>
    <row r="5011" spans="1:8" x14ac:dyDescent="0.25">
      <c r="A5011" s="4"/>
      <c r="B5011" s="5"/>
      <c r="C5011" s="5"/>
      <c r="D5011" s="5"/>
      <c r="E5011" s="5"/>
      <c r="F5011" s="5"/>
      <c r="G5011" s="5"/>
      <c r="H5011" s="5"/>
    </row>
    <row r="5012" spans="1:8" x14ac:dyDescent="0.25">
      <c r="A5012" s="4"/>
      <c r="B5012" s="5"/>
      <c r="C5012" s="5"/>
      <c r="D5012" s="5"/>
      <c r="E5012" s="5"/>
      <c r="F5012" s="5"/>
      <c r="G5012" s="5"/>
      <c r="H5012" s="5"/>
    </row>
    <row r="5013" spans="1:8" x14ac:dyDescent="0.25">
      <c r="A5013" s="4"/>
      <c r="B5013" s="5"/>
      <c r="C5013" s="5"/>
      <c r="D5013" s="5"/>
      <c r="E5013" s="5"/>
      <c r="F5013" s="5"/>
      <c r="G5013" s="5"/>
      <c r="H5013" s="5"/>
    </row>
    <row r="5014" spans="1:8" x14ac:dyDescent="0.25">
      <c r="A5014" s="4"/>
      <c r="B5014" s="5"/>
      <c r="C5014" s="5"/>
      <c r="D5014" s="5"/>
      <c r="E5014" s="5"/>
      <c r="F5014" s="5"/>
      <c r="G5014" s="5"/>
      <c r="H5014" s="5"/>
    </row>
    <row r="5015" spans="1:8" x14ac:dyDescent="0.25">
      <c r="A5015" s="4"/>
      <c r="B5015" s="5"/>
      <c r="C5015" s="5"/>
      <c r="D5015" s="5"/>
      <c r="E5015" s="5"/>
      <c r="F5015" s="5"/>
      <c r="G5015" s="5"/>
      <c r="H5015" s="5"/>
    </row>
    <row r="5016" spans="1:8" x14ac:dyDescent="0.25">
      <c r="A5016" s="4"/>
      <c r="B5016" s="5"/>
      <c r="C5016" s="5"/>
      <c r="D5016" s="5"/>
      <c r="E5016" s="5"/>
      <c r="F5016" s="5"/>
      <c r="G5016" s="5"/>
      <c r="H5016" s="5"/>
    </row>
    <row r="5017" spans="1:8" x14ac:dyDescent="0.25">
      <c r="A5017" s="4"/>
      <c r="B5017" s="5"/>
      <c r="C5017" s="5"/>
      <c r="D5017" s="5"/>
      <c r="E5017" s="5"/>
      <c r="F5017" s="5"/>
      <c r="G5017" s="5"/>
      <c r="H5017" s="5"/>
    </row>
    <row r="5018" spans="1:8" x14ac:dyDescent="0.25">
      <c r="A5018" s="4"/>
      <c r="B5018" s="5"/>
      <c r="C5018" s="5"/>
      <c r="D5018" s="5"/>
      <c r="E5018" s="5"/>
      <c r="F5018" s="5"/>
      <c r="G5018" s="5"/>
      <c r="H5018" s="5"/>
    </row>
    <row r="5019" spans="1:8" x14ac:dyDescent="0.25">
      <c r="A5019" s="4"/>
      <c r="B5019" s="5"/>
      <c r="C5019" s="5"/>
      <c r="D5019" s="5"/>
      <c r="E5019" s="5"/>
      <c r="F5019" s="5"/>
      <c r="G5019" s="5"/>
      <c r="H5019" s="5"/>
    </row>
    <row r="5020" spans="1:8" x14ac:dyDescent="0.25">
      <c r="A5020" s="4"/>
      <c r="B5020" s="5"/>
      <c r="C5020" s="5"/>
      <c r="D5020" s="5"/>
      <c r="E5020" s="5"/>
      <c r="F5020" s="5"/>
      <c r="G5020" s="5"/>
      <c r="H5020" s="5"/>
    </row>
    <row r="5021" spans="1:8" x14ac:dyDescent="0.25">
      <c r="A5021" s="4"/>
      <c r="B5021" s="5"/>
      <c r="C5021" s="5"/>
      <c r="D5021" s="5"/>
      <c r="E5021" s="5"/>
      <c r="F5021" s="5"/>
      <c r="G5021" s="5"/>
      <c r="H5021" s="5"/>
    </row>
    <row r="5022" spans="1:8" x14ac:dyDescent="0.25">
      <c r="A5022" s="4"/>
      <c r="B5022" s="5"/>
      <c r="C5022" s="5"/>
      <c r="D5022" s="5"/>
      <c r="E5022" s="5"/>
      <c r="F5022" s="5"/>
      <c r="G5022" s="5"/>
      <c r="H5022" s="5"/>
    </row>
    <row r="5023" spans="1:8" x14ac:dyDescent="0.25">
      <c r="A5023" s="4"/>
      <c r="B5023" s="5"/>
      <c r="C5023" s="5"/>
      <c r="D5023" s="5"/>
      <c r="E5023" s="5"/>
      <c r="F5023" s="5"/>
      <c r="G5023" s="5"/>
      <c r="H5023" s="5"/>
    </row>
    <row r="5024" spans="1:8" x14ac:dyDescent="0.25">
      <c r="A5024" s="4"/>
      <c r="B5024" s="5"/>
      <c r="C5024" s="5"/>
      <c r="D5024" s="5"/>
      <c r="E5024" s="5"/>
      <c r="F5024" s="5"/>
      <c r="G5024" s="5"/>
      <c r="H5024" s="5"/>
    </row>
    <row r="5025" spans="1:8" x14ac:dyDescent="0.25">
      <c r="A5025" s="4"/>
      <c r="B5025" s="5"/>
      <c r="C5025" s="5"/>
      <c r="D5025" s="5"/>
      <c r="E5025" s="5"/>
      <c r="F5025" s="5"/>
      <c r="G5025" s="5"/>
      <c r="H5025" s="5"/>
    </row>
    <row r="5026" spans="1:8" x14ac:dyDescent="0.25">
      <c r="A5026" s="4"/>
      <c r="B5026" s="5"/>
      <c r="C5026" s="5"/>
      <c r="D5026" s="5"/>
      <c r="E5026" s="5"/>
      <c r="F5026" s="5"/>
      <c r="G5026" s="5"/>
      <c r="H5026" s="5"/>
    </row>
    <row r="5027" spans="1:8" x14ac:dyDescent="0.25">
      <c r="A5027" s="4"/>
      <c r="B5027" s="5"/>
      <c r="C5027" s="5"/>
      <c r="D5027" s="5"/>
      <c r="E5027" s="5"/>
      <c r="F5027" s="5"/>
      <c r="G5027" s="5"/>
      <c r="H5027" s="5"/>
    </row>
    <row r="5028" spans="1:8" x14ac:dyDescent="0.25">
      <c r="A5028" s="4"/>
      <c r="B5028" s="5"/>
      <c r="C5028" s="5"/>
      <c r="D5028" s="5"/>
      <c r="E5028" s="5"/>
      <c r="F5028" s="5"/>
      <c r="G5028" s="5"/>
      <c r="H5028" s="5"/>
    </row>
    <row r="5029" spans="1:8" x14ac:dyDescent="0.25">
      <c r="A5029" s="4"/>
      <c r="B5029" s="5"/>
      <c r="C5029" s="5"/>
      <c r="D5029" s="5"/>
      <c r="E5029" s="5"/>
      <c r="F5029" s="5"/>
      <c r="G5029" s="5"/>
      <c r="H5029" s="5"/>
    </row>
    <row r="5030" spans="1:8" x14ac:dyDescent="0.25">
      <c r="A5030" s="4"/>
      <c r="B5030" s="5"/>
      <c r="C5030" s="5"/>
      <c r="D5030" s="5"/>
      <c r="E5030" s="5"/>
      <c r="F5030" s="5"/>
      <c r="G5030" s="5"/>
      <c r="H5030" s="5"/>
    </row>
    <row r="5031" spans="1:8" x14ac:dyDescent="0.25">
      <c r="A5031" s="4"/>
      <c r="B5031" s="5"/>
      <c r="C5031" s="5"/>
      <c r="D5031" s="5"/>
      <c r="E5031" s="5"/>
      <c r="F5031" s="5"/>
      <c r="G5031" s="5"/>
      <c r="H5031" s="5"/>
    </row>
    <row r="5032" spans="1:8" x14ac:dyDescent="0.25">
      <c r="A5032" s="4"/>
      <c r="B5032" s="5"/>
      <c r="C5032" s="5"/>
      <c r="D5032" s="5"/>
      <c r="E5032" s="5"/>
      <c r="F5032" s="5"/>
      <c r="G5032" s="5"/>
      <c r="H5032" s="5"/>
    </row>
    <row r="5033" spans="1:8" x14ac:dyDescent="0.25">
      <c r="A5033" s="4"/>
      <c r="B5033" s="5"/>
      <c r="C5033" s="5"/>
      <c r="D5033" s="5"/>
      <c r="E5033" s="5"/>
      <c r="F5033" s="5"/>
      <c r="G5033" s="5"/>
      <c r="H5033" s="5"/>
    </row>
    <row r="5034" spans="1:8" x14ac:dyDescent="0.25">
      <c r="A5034" s="4"/>
      <c r="B5034" s="5"/>
      <c r="C5034" s="5"/>
      <c r="D5034" s="5"/>
      <c r="E5034" s="5"/>
      <c r="F5034" s="5"/>
      <c r="G5034" s="5"/>
      <c r="H5034" s="5"/>
    </row>
    <row r="5035" spans="1:8" x14ac:dyDescent="0.25">
      <c r="A5035" s="4"/>
      <c r="B5035" s="5"/>
      <c r="C5035" s="5"/>
      <c r="D5035" s="5"/>
      <c r="E5035" s="5"/>
      <c r="F5035" s="5"/>
      <c r="G5035" s="5"/>
      <c r="H5035" s="5"/>
    </row>
    <row r="5036" spans="1:8" x14ac:dyDescent="0.25">
      <c r="A5036" s="4"/>
      <c r="B5036" s="5"/>
      <c r="C5036" s="5"/>
      <c r="D5036" s="5"/>
      <c r="E5036" s="5"/>
      <c r="F5036" s="5"/>
      <c r="G5036" s="5"/>
      <c r="H5036" s="5"/>
    </row>
    <row r="5037" spans="1:8" x14ac:dyDescent="0.25">
      <c r="A5037" s="4"/>
      <c r="B5037" s="5"/>
      <c r="C5037" s="5"/>
      <c r="D5037" s="5"/>
      <c r="E5037" s="5"/>
      <c r="F5037" s="5"/>
      <c r="G5037" s="5"/>
      <c r="H5037" s="5"/>
    </row>
    <row r="5038" spans="1:8" x14ac:dyDescent="0.25">
      <c r="A5038" s="4"/>
      <c r="B5038" s="5"/>
      <c r="C5038" s="5"/>
      <c r="D5038" s="5"/>
      <c r="E5038" s="5"/>
      <c r="F5038" s="5"/>
      <c r="G5038" s="5"/>
      <c r="H5038" s="5"/>
    </row>
    <row r="5039" spans="1:8" x14ac:dyDescent="0.25">
      <c r="A5039" s="4"/>
      <c r="B5039" s="5"/>
      <c r="C5039" s="5"/>
      <c r="D5039" s="5"/>
      <c r="E5039" s="5"/>
      <c r="F5039" s="5"/>
      <c r="G5039" s="5"/>
      <c r="H5039" s="5"/>
    </row>
    <row r="5040" spans="1:8" x14ac:dyDescent="0.25">
      <c r="A5040" s="4"/>
      <c r="B5040" s="5"/>
      <c r="C5040" s="5"/>
      <c r="D5040" s="5"/>
      <c r="E5040" s="5"/>
      <c r="F5040" s="5"/>
      <c r="G5040" s="5"/>
      <c r="H5040" s="5"/>
    </row>
    <row r="5041" spans="1:8" x14ac:dyDescent="0.25">
      <c r="A5041" s="4"/>
      <c r="B5041" s="5"/>
      <c r="C5041" s="5"/>
      <c r="D5041" s="5"/>
      <c r="E5041" s="5"/>
      <c r="F5041" s="5"/>
      <c r="G5041" s="5"/>
      <c r="H5041" s="5"/>
    </row>
    <row r="5042" spans="1:8" x14ac:dyDescent="0.25">
      <c r="A5042" s="4"/>
      <c r="B5042" s="5"/>
      <c r="C5042" s="5"/>
      <c r="D5042" s="5"/>
      <c r="E5042" s="5"/>
      <c r="F5042" s="5"/>
      <c r="G5042" s="5"/>
      <c r="H5042" s="5"/>
    </row>
    <row r="5043" spans="1:8" x14ac:dyDescent="0.25">
      <c r="A5043" s="4"/>
      <c r="B5043" s="5"/>
      <c r="C5043" s="5"/>
      <c r="D5043" s="5"/>
      <c r="E5043" s="5"/>
      <c r="F5043" s="5"/>
      <c r="G5043" s="5"/>
      <c r="H5043" s="5"/>
    </row>
    <row r="5044" spans="1:8" x14ac:dyDescent="0.25">
      <c r="A5044" s="4"/>
      <c r="B5044" s="5"/>
      <c r="C5044" s="5"/>
      <c r="D5044" s="5"/>
      <c r="E5044" s="5"/>
      <c r="F5044" s="5"/>
      <c r="G5044" s="5"/>
      <c r="H5044" s="5"/>
    </row>
    <row r="5045" spans="1:8" x14ac:dyDescent="0.25">
      <c r="A5045" s="4"/>
      <c r="B5045" s="5"/>
      <c r="C5045" s="5"/>
      <c r="D5045" s="5"/>
      <c r="E5045" s="5"/>
      <c r="F5045" s="5"/>
      <c r="G5045" s="5"/>
      <c r="H5045" s="5"/>
    </row>
    <row r="5046" spans="1:8" x14ac:dyDescent="0.25">
      <c r="A5046" s="4"/>
      <c r="B5046" s="5"/>
      <c r="C5046" s="5"/>
      <c r="D5046" s="5"/>
      <c r="E5046" s="5"/>
      <c r="F5046" s="5"/>
      <c r="G5046" s="5"/>
      <c r="H5046" s="5"/>
    </row>
    <row r="5047" spans="1:8" x14ac:dyDescent="0.25">
      <c r="A5047" s="4"/>
      <c r="B5047" s="5"/>
      <c r="C5047" s="5"/>
      <c r="D5047" s="5"/>
      <c r="E5047" s="5"/>
      <c r="F5047" s="5"/>
      <c r="G5047" s="5"/>
      <c r="H5047" s="5"/>
    </row>
    <row r="5048" spans="1:8" x14ac:dyDescent="0.25">
      <c r="A5048" s="4"/>
      <c r="B5048" s="5"/>
      <c r="C5048" s="5"/>
      <c r="D5048" s="5"/>
      <c r="E5048" s="5"/>
      <c r="F5048" s="5"/>
      <c r="G5048" s="5"/>
      <c r="H5048" s="5"/>
    </row>
    <row r="5049" spans="1:8" x14ac:dyDescent="0.25">
      <c r="A5049" s="4"/>
      <c r="B5049" s="5"/>
      <c r="C5049" s="5"/>
      <c r="D5049" s="5"/>
      <c r="E5049" s="5"/>
      <c r="F5049" s="5"/>
      <c r="G5049" s="5"/>
      <c r="H5049" s="5"/>
    </row>
    <row r="5050" spans="1:8" x14ac:dyDescent="0.25">
      <c r="A5050" s="4"/>
      <c r="B5050" s="5"/>
      <c r="C5050" s="5"/>
      <c r="D5050" s="5"/>
      <c r="E5050" s="5"/>
      <c r="F5050" s="5"/>
      <c r="G5050" s="5"/>
      <c r="H5050" s="5"/>
    </row>
    <row r="5051" spans="1:8" x14ac:dyDescent="0.25">
      <c r="A5051" s="4"/>
      <c r="B5051" s="5"/>
      <c r="C5051" s="5"/>
      <c r="D5051" s="5"/>
      <c r="E5051" s="5"/>
      <c r="F5051" s="5"/>
      <c r="G5051" s="5"/>
      <c r="H5051" s="5"/>
    </row>
    <row r="5052" spans="1:8" x14ac:dyDescent="0.25">
      <c r="A5052" s="4"/>
      <c r="B5052" s="5"/>
      <c r="C5052" s="5"/>
      <c r="D5052" s="5"/>
      <c r="E5052" s="5"/>
      <c r="F5052" s="5"/>
      <c r="G5052" s="5"/>
      <c r="H5052" s="5"/>
    </row>
    <row r="5053" spans="1:8" x14ac:dyDescent="0.25">
      <c r="A5053" s="4"/>
      <c r="B5053" s="5"/>
      <c r="C5053" s="5"/>
      <c r="D5053" s="5"/>
      <c r="E5053" s="5"/>
      <c r="F5053" s="5"/>
      <c r="G5053" s="5"/>
      <c r="H5053" s="5"/>
    </row>
    <row r="5054" spans="1:8" x14ac:dyDescent="0.25">
      <c r="A5054" s="4"/>
      <c r="B5054" s="5"/>
      <c r="C5054" s="5"/>
      <c r="D5054" s="5"/>
      <c r="E5054" s="5"/>
      <c r="F5054" s="5"/>
      <c r="G5054" s="5"/>
      <c r="H5054" s="5"/>
    </row>
    <row r="5055" spans="1:8" x14ac:dyDescent="0.25">
      <c r="A5055" s="4"/>
      <c r="B5055" s="5"/>
      <c r="C5055" s="5"/>
      <c r="D5055" s="5"/>
      <c r="E5055" s="5"/>
      <c r="F5055" s="5"/>
      <c r="G5055" s="5"/>
      <c r="H5055" s="5"/>
    </row>
    <row r="5056" spans="1:8" x14ac:dyDescent="0.25">
      <c r="A5056" s="4"/>
      <c r="B5056" s="5"/>
      <c r="C5056" s="5"/>
      <c r="D5056" s="5"/>
      <c r="E5056" s="5"/>
      <c r="F5056" s="5"/>
      <c r="G5056" s="5"/>
      <c r="H5056" s="5"/>
    </row>
    <row r="5057" spans="1:8" x14ac:dyDescent="0.25">
      <c r="A5057" s="4"/>
      <c r="B5057" s="5"/>
      <c r="C5057" s="5"/>
      <c r="D5057" s="5"/>
      <c r="E5057" s="5"/>
      <c r="F5057" s="5"/>
      <c r="G5057" s="5"/>
      <c r="H5057" s="5"/>
    </row>
    <row r="5058" spans="1:8" x14ac:dyDescent="0.25">
      <c r="A5058" s="4"/>
      <c r="B5058" s="5"/>
      <c r="C5058" s="5"/>
      <c r="D5058" s="5"/>
      <c r="E5058" s="5"/>
      <c r="F5058" s="5"/>
      <c r="G5058" s="5"/>
      <c r="H5058" s="5"/>
    </row>
    <row r="5059" spans="1:8" x14ac:dyDescent="0.25">
      <c r="A5059" s="4"/>
      <c r="B5059" s="5"/>
      <c r="C5059" s="5"/>
      <c r="D5059" s="5"/>
      <c r="E5059" s="5"/>
      <c r="F5059" s="5"/>
      <c r="G5059" s="5"/>
      <c r="H5059" s="5"/>
    </row>
    <row r="5060" spans="1:8" x14ac:dyDescent="0.25">
      <c r="A5060" s="4"/>
      <c r="B5060" s="5"/>
      <c r="C5060" s="5"/>
      <c r="D5060" s="5"/>
      <c r="E5060" s="5"/>
      <c r="F5060" s="5"/>
      <c r="G5060" s="5"/>
      <c r="H5060" s="5"/>
    </row>
    <row r="5061" spans="1:8" x14ac:dyDescent="0.25">
      <c r="A5061" s="4"/>
      <c r="B5061" s="5"/>
      <c r="C5061" s="5"/>
      <c r="D5061" s="5"/>
      <c r="E5061" s="5"/>
      <c r="F5061" s="5"/>
      <c r="G5061" s="5"/>
      <c r="H5061" s="5"/>
    </row>
    <row r="5062" spans="1:8" x14ac:dyDescent="0.25">
      <c r="A5062" s="4"/>
      <c r="B5062" s="5"/>
      <c r="C5062" s="5"/>
      <c r="D5062" s="5"/>
      <c r="E5062" s="5"/>
      <c r="F5062" s="5"/>
      <c r="G5062" s="5"/>
      <c r="H5062" s="5"/>
    </row>
    <row r="5063" spans="1:8" x14ac:dyDescent="0.25">
      <c r="A5063" s="4"/>
      <c r="B5063" s="5"/>
      <c r="C5063" s="5"/>
      <c r="D5063" s="5"/>
      <c r="E5063" s="5"/>
      <c r="F5063" s="5"/>
      <c r="G5063" s="5"/>
      <c r="H5063" s="5"/>
    </row>
    <row r="5064" spans="1:8" x14ac:dyDescent="0.25">
      <c r="A5064" s="4"/>
      <c r="B5064" s="5"/>
      <c r="C5064" s="5"/>
      <c r="D5064" s="5"/>
      <c r="E5064" s="5"/>
      <c r="F5064" s="5"/>
      <c r="G5064" s="5"/>
      <c r="H5064" s="5"/>
    </row>
    <row r="5065" spans="1:8" x14ac:dyDescent="0.25">
      <c r="A5065" s="4"/>
      <c r="B5065" s="5"/>
      <c r="C5065" s="5"/>
      <c r="D5065" s="5"/>
      <c r="E5065" s="5"/>
      <c r="F5065" s="5"/>
      <c r="G5065" s="5"/>
      <c r="H5065" s="5"/>
    </row>
    <row r="5066" spans="1:8" x14ac:dyDescent="0.25">
      <c r="A5066" s="4"/>
      <c r="B5066" s="5"/>
      <c r="C5066" s="5"/>
      <c r="D5066" s="5"/>
      <c r="E5066" s="5"/>
      <c r="F5066" s="5"/>
      <c r="G5066" s="5"/>
      <c r="H5066" s="5"/>
    </row>
    <row r="5067" spans="1:8" x14ac:dyDescent="0.25">
      <c r="A5067" s="4"/>
      <c r="B5067" s="5"/>
      <c r="C5067" s="5"/>
      <c r="D5067" s="5"/>
      <c r="E5067" s="5"/>
      <c r="F5067" s="5"/>
      <c r="G5067" s="5"/>
      <c r="H5067" s="5"/>
    </row>
    <row r="5068" spans="1:8" x14ac:dyDescent="0.25">
      <c r="A5068" s="4"/>
      <c r="B5068" s="5"/>
      <c r="C5068" s="5"/>
      <c r="D5068" s="5"/>
      <c r="E5068" s="5"/>
      <c r="F5068" s="5"/>
      <c r="G5068" s="5"/>
      <c r="H5068" s="5"/>
    </row>
    <row r="5069" spans="1:8" x14ac:dyDescent="0.25">
      <c r="A5069" s="4"/>
      <c r="B5069" s="5"/>
      <c r="C5069" s="5"/>
      <c r="D5069" s="5"/>
      <c r="E5069" s="5"/>
      <c r="F5069" s="5"/>
      <c r="G5069" s="5"/>
      <c r="H5069" s="5"/>
    </row>
    <row r="5070" spans="1:8" x14ac:dyDescent="0.25">
      <c r="A5070" s="4"/>
      <c r="B5070" s="5"/>
      <c r="C5070" s="5"/>
      <c r="D5070" s="5"/>
      <c r="E5070" s="5"/>
      <c r="F5070" s="5"/>
      <c r="G5070" s="5"/>
      <c r="H5070" s="5"/>
    </row>
    <row r="5071" spans="1:8" x14ac:dyDescent="0.25">
      <c r="A5071" s="4"/>
      <c r="B5071" s="5"/>
      <c r="C5071" s="5"/>
      <c r="D5071" s="5"/>
      <c r="E5071" s="5"/>
      <c r="F5071" s="5"/>
      <c r="G5071" s="5"/>
      <c r="H5071" s="5"/>
    </row>
    <row r="5072" spans="1:8" x14ac:dyDescent="0.25">
      <c r="A5072" s="4"/>
      <c r="B5072" s="5"/>
      <c r="C5072" s="5"/>
      <c r="D5072" s="5"/>
      <c r="E5072" s="5"/>
      <c r="F5072" s="5"/>
      <c r="G5072" s="5"/>
      <c r="H5072" s="5"/>
    </row>
    <row r="5073" spans="1:8" x14ac:dyDescent="0.25">
      <c r="A5073" s="4"/>
      <c r="B5073" s="5"/>
      <c r="C5073" s="5"/>
      <c r="D5073" s="5"/>
      <c r="E5073" s="5"/>
      <c r="F5073" s="5"/>
      <c r="G5073" s="5"/>
      <c r="H5073" s="5"/>
    </row>
    <row r="5074" spans="1:8" x14ac:dyDescent="0.25">
      <c r="A5074" s="4"/>
      <c r="B5074" s="5"/>
      <c r="C5074" s="5"/>
      <c r="D5074" s="5"/>
      <c r="E5074" s="5"/>
      <c r="F5074" s="5"/>
      <c r="G5074" s="5"/>
      <c r="H5074" s="5"/>
    </row>
    <row r="5075" spans="1:8" x14ac:dyDescent="0.25">
      <c r="A5075" s="4"/>
      <c r="B5075" s="5"/>
      <c r="C5075" s="5"/>
      <c r="D5075" s="5"/>
      <c r="E5075" s="5"/>
      <c r="F5075" s="5"/>
      <c r="G5075" s="5"/>
      <c r="H5075" s="5"/>
    </row>
    <row r="5076" spans="1:8" x14ac:dyDescent="0.25">
      <c r="A5076" s="4"/>
      <c r="B5076" s="5"/>
      <c r="C5076" s="5"/>
      <c r="D5076" s="5"/>
      <c r="E5076" s="5"/>
      <c r="F5076" s="5"/>
      <c r="G5076" s="5"/>
      <c r="H5076" s="5"/>
    </row>
    <row r="5077" spans="1:8" x14ac:dyDescent="0.25">
      <c r="A5077" s="4"/>
      <c r="B5077" s="5"/>
      <c r="C5077" s="5"/>
      <c r="D5077" s="5"/>
      <c r="E5077" s="5"/>
      <c r="F5077" s="5"/>
      <c r="G5077" s="5"/>
      <c r="H5077" s="5"/>
    </row>
    <row r="5078" spans="1:8" x14ac:dyDescent="0.25">
      <c r="A5078" s="4"/>
      <c r="B5078" s="5"/>
      <c r="C5078" s="5"/>
      <c r="D5078" s="5"/>
      <c r="E5078" s="5"/>
      <c r="F5078" s="5"/>
      <c r="G5078" s="5"/>
      <c r="H5078" s="5"/>
    </row>
    <row r="5079" spans="1:8" x14ac:dyDescent="0.25">
      <c r="A5079" s="4"/>
      <c r="B5079" s="5"/>
      <c r="C5079" s="5"/>
      <c r="D5079" s="5"/>
      <c r="E5079" s="5"/>
      <c r="F5079" s="5"/>
      <c r="G5079" s="5"/>
      <c r="H5079" s="5"/>
    </row>
    <row r="5080" spans="1:8" x14ac:dyDescent="0.25">
      <c r="A5080" s="4"/>
      <c r="B5080" s="5"/>
      <c r="C5080" s="5"/>
      <c r="D5080" s="5"/>
      <c r="E5080" s="5"/>
      <c r="F5080" s="5"/>
      <c r="G5080" s="5"/>
      <c r="H5080" s="5"/>
    </row>
    <row r="5081" spans="1:8" x14ac:dyDescent="0.25">
      <c r="A5081" s="4"/>
      <c r="B5081" s="5"/>
      <c r="C5081" s="5"/>
      <c r="D5081" s="5"/>
      <c r="E5081" s="5"/>
      <c r="F5081" s="5"/>
      <c r="G5081" s="5"/>
      <c r="H5081" s="5"/>
    </row>
    <row r="5082" spans="1:8" x14ac:dyDescent="0.25">
      <c r="A5082" s="4"/>
      <c r="B5082" s="5"/>
      <c r="C5082" s="5"/>
      <c r="D5082" s="5"/>
      <c r="E5082" s="5"/>
      <c r="F5082" s="5"/>
      <c r="G5082" s="5"/>
      <c r="H5082" s="5"/>
    </row>
    <row r="5083" spans="1:8" x14ac:dyDescent="0.25">
      <c r="A5083" s="4"/>
      <c r="B5083" s="5"/>
      <c r="C5083" s="5"/>
      <c r="D5083" s="5"/>
      <c r="E5083" s="5"/>
      <c r="F5083" s="5"/>
      <c r="G5083" s="5"/>
      <c r="H5083" s="5"/>
    </row>
    <row r="5084" spans="1:8" x14ac:dyDescent="0.25">
      <c r="A5084" s="4"/>
      <c r="B5084" s="5"/>
      <c r="C5084" s="5"/>
      <c r="D5084" s="5"/>
      <c r="E5084" s="5"/>
      <c r="F5084" s="5"/>
      <c r="G5084" s="5"/>
      <c r="H5084" s="5"/>
    </row>
    <row r="5085" spans="1:8" x14ac:dyDescent="0.25">
      <c r="A5085" s="4"/>
      <c r="B5085" s="5"/>
      <c r="C5085" s="5"/>
      <c r="D5085" s="5"/>
      <c r="E5085" s="5"/>
      <c r="F5085" s="5"/>
      <c r="G5085" s="5"/>
      <c r="H5085" s="5"/>
    </row>
    <row r="5086" spans="1:8" x14ac:dyDescent="0.25">
      <c r="A5086" s="4"/>
      <c r="B5086" s="5"/>
      <c r="C5086" s="5"/>
      <c r="D5086" s="5"/>
      <c r="E5086" s="5"/>
      <c r="F5086" s="5"/>
      <c r="G5086" s="5"/>
      <c r="H5086" s="5"/>
    </row>
    <row r="5087" spans="1:8" x14ac:dyDescent="0.25">
      <c r="A5087" s="4"/>
      <c r="B5087" s="5"/>
      <c r="C5087" s="5"/>
      <c r="D5087" s="5"/>
      <c r="E5087" s="5"/>
      <c r="F5087" s="5"/>
      <c r="G5087" s="5"/>
      <c r="H5087" s="5"/>
    </row>
    <row r="5088" spans="1:8" x14ac:dyDescent="0.25">
      <c r="A5088" s="4"/>
      <c r="B5088" s="5"/>
      <c r="C5088" s="5"/>
      <c r="D5088" s="5"/>
      <c r="E5088" s="5"/>
      <c r="F5088" s="5"/>
      <c r="G5088" s="5"/>
      <c r="H5088" s="5"/>
    </row>
    <row r="5089" spans="1:8" x14ac:dyDescent="0.25">
      <c r="A5089" s="4"/>
      <c r="B5089" s="5"/>
      <c r="C5089" s="5"/>
      <c r="D5089" s="5"/>
      <c r="E5089" s="5"/>
      <c r="F5089" s="5"/>
      <c r="G5089" s="5"/>
      <c r="H5089" s="5"/>
    </row>
    <row r="5090" spans="1:8" x14ac:dyDescent="0.25">
      <c r="A5090" s="4"/>
      <c r="B5090" s="5"/>
      <c r="C5090" s="5"/>
      <c r="D5090" s="5"/>
      <c r="E5090" s="5"/>
      <c r="F5090" s="5"/>
      <c r="G5090" s="5"/>
      <c r="H5090" s="5"/>
    </row>
    <row r="5091" spans="1:8" x14ac:dyDescent="0.25">
      <c r="A5091" s="4"/>
      <c r="B5091" s="5"/>
      <c r="C5091" s="5"/>
      <c r="D5091" s="5"/>
      <c r="E5091" s="5"/>
      <c r="F5091" s="5"/>
      <c r="G5091" s="5"/>
      <c r="H5091" s="5"/>
    </row>
    <row r="5092" spans="1:8" x14ac:dyDescent="0.25">
      <c r="A5092" s="4"/>
      <c r="B5092" s="5"/>
      <c r="C5092" s="5"/>
      <c r="D5092" s="5"/>
      <c r="E5092" s="5"/>
      <c r="F5092" s="5"/>
      <c r="G5092" s="5"/>
      <c r="H5092" s="5"/>
    </row>
    <row r="5093" spans="1:8" x14ac:dyDescent="0.25">
      <c r="A5093" s="4"/>
      <c r="B5093" s="5"/>
      <c r="C5093" s="5"/>
      <c r="D5093" s="5"/>
      <c r="E5093" s="5"/>
      <c r="F5093" s="5"/>
      <c r="G5093" s="5"/>
      <c r="H5093" s="5"/>
    </row>
    <row r="5094" spans="1:8" x14ac:dyDescent="0.25">
      <c r="A5094" s="4"/>
      <c r="B5094" s="5"/>
      <c r="C5094" s="5"/>
      <c r="D5094" s="5"/>
      <c r="E5094" s="5"/>
      <c r="F5094" s="5"/>
      <c r="G5094" s="5"/>
      <c r="H5094" s="5"/>
    </row>
    <row r="5095" spans="1:8" x14ac:dyDescent="0.25">
      <c r="A5095" s="4"/>
      <c r="B5095" s="5"/>
      <c r="C5095" s="5"/>
      <c r="D5095" s="5"/>
      <c r="E5095" s="5"/>
      <c r="F5095" s="5"/>
      <c r="G5095" s="5"/>
      <c r="H5095" s="5"/>
    </row>
    <row r="5096" spans="1:8" x14ac:dyDescent="0.25">
      <c r="A5096" s="4"/>
      <c r="B5096" s="5"/>
      <c r="C5096" s="5"/>
      <c r="D5096" s="5"/>
      <c r="E5096" s="5"/>
      <c r="F5096" s="5"/>
      <c r="G5096" s="5"/>
      <c r="H5096" s="5"/>
    </row>
    <row r="5097" spans="1:8" x14ac:dyDescent="0.25">
      <c r="A5097" s="4"/>
      <c r="B5097" s="5"/>
      <c r="C5097" s="5"/>
      <c r="D5097" s="5"/>
      <c r="E5097" s="5"/>
      <c r="F5097" s="5"/>
      <c r="G5097" s="5"/>
      <c r="H5097" s="5"/>
    </row>
    <row r="5098" spans="1:8" x14ac:dyDescent="0.25">
      <c r="A5098" s="4"/>
      <c r="B5098" s="5"/>
      <c r="C5098" s="5"/>
      <c r="D5098" s="5"/>
      <c r="E5098" s="5"/>
      <c r="F5098" s="5"/>
      <c r="G5098" s="5"/>
      <c r="H5098" s="5"/>
    </row>
    <row r="5099" spans="1:8" x14ac:dyDescent="0.25">
      <c r="A5099" s="4"/>
      <c r="B5099" s="5"/>
      <c r="C5099" s="5"/>
      <c r="D5099" s="5"/>
      <c r="E5099" s="5"/>
      <c r="F5099" s="5"/>
      <c r="G5099" s="5"/>
      <c r="H5099" s="5"/>
    </row>
    <row r="5100" spans="1:8" x14ac:dyDescent="0.25">
      <c r="A5100" s="4"/>
      <c r="B5100" s="5"/>
      <c r="C5100" s="5"/>
      <c r="D5100" s="5"/>
      <c r="E5100" s="5"/>
      <c r="F5100" s="5"/>
      <c r="G5100" s="5"/>
      <c r="H5100" s="5"/>
    </row>
    <row r="5101" spans="1:8" x14ac:dyDescent="0.25">
      <c r="A5101" s="4"/>
      <c r="B5101" s="5"/>
      <c r="C5101" s="5"/>
      <c r="D5101" s="5"/>
      <c r="E5101" s="5"/>
      <c r="F5101" s="5"/>
      <c r="G5101" s="5"/>
      <c r="H5101" s="5"/>
    </row>
    <row r="5102" spans="1:8" x14ac:dyDescent="0.25">
      <c r="A5102" s="4"/>
      <c r="B5102" s="5"/>
      <c r="C5102" s="5"/>
      <c r="D5102" s="5"/>
      <c r="E5102" s="5"/>
      <c r="F5102" s="5"/>
      <c r="G5102" s="5"/>
      <c r="H5102" s="5"/>
    </row>
    <row r="5103" spans="1:8" x14ac:dyDescent="0.25">
      <c r="A5103" s="4"/>
      <c r="B5103" s="5"/>
      <c r="C5103" s="5"/>
      <c r="D5103" s="5"/>
      <c r="E5103" s="5"/>
      <c r="F5103" s="5"/>
      <c r="G5103" s="5"/>
      <c r="H5103" s="5"/>
    </row>
    <row r="5104" spans="1:8" x14ac:dyDescent="0.25">
      <c r="A5104" s="4"/>
      <c r="B5104" s="5"/>
      <c r="C5104" s="5"/>
      <c r="D5104" s="5"/>
      <c r="E5104" s="5"/>
      <c r="F5104" s="5"/>
      <c r="G5104" s="5"/>
      <c r="H5104" s="5"/>
    </row>
    <row r="5105" spans="1:8" x14ac:dyDescent="0.25">
      <c r="A5105" s="4"/>
      <c r="B5105" s="5"/>
      <c r="C5105" s="5"/>
      <c r="D5105" s="5"/>
      <c r="E5105" s="5"/>
      <c r="F5105" s="5"/>
      <c r="G5105" s="5"/>
      <c r="H5105" s="5"/>
    </row>
    <row r="5106" spans="1:8" x14ac:dyDescent="0.25">
      <c r="A5106" s="4"/>
      <c r="B5106" s="5"/>
      <c r="C5106" s="5"/>
      <c r="D5106" s="5"/>
      <c r="E5106" s="5"/>
      <c r="F5106" s="5"/>
      <c r="G5106" s="5"/>
      <c r="H5106" s="5"/>
    </row>
    <row r="5107" spans="1:8" x14ac:dyDescent="0.25">
      <c r="A5107" s="4"/>
      <c r="B5107" s="5"/>
      <c r="C5107" s="5"/>
      <c r="D5107" s="5"/>
      <c r="E5107" s="5"/>
      <c r="F5107" s="5"/>
      <c r="G5107" s="5"/>
      <c r="H5107" s="5"/>
    </row>
    <row r="5108" spans="1:8" x14ac:dyDescent="0.25">
      <c r="A5108" s="4"/>
      <c r="B5108" s="5"/>
      <c r="C5108" s="5"/>
      <c r="D5108" s="5"/>
      <c r="E5108" s="5"/>
      <c r="F5108" s="5"/>
      <c r="G5108" s="5"/>
      <c r="H5108" s="5"/>
    </row>
    <row r="5109" spans="1:8" x14ac:dyDescent="0.25">
      <c r="A5109" s="4"/>
      <c r="B5109" s="5"/>
      <c r="C5109" s="5"/>
      <c r="D5109" s="5"/>
      <c r="E5109" s="5"/>
      <c r="F5109" s="5"/>
      <c r="G5109" s="5"/>
      <c r="H5109" s="5"/>
    </row>
    <row r="5110" spans="1:8" x14ac:dyDescent="0.25">
      <c r="A5110" s="4"/>
      <c r="B5110" s="5"/>
      <c r="C5110" s="5"/>
      <c r="D5110" s="5"/>
      <c r="E5110" s="5"/>
      <c r="F5110" s="5"/>
      <c r="G5110" s="5"/>
      <c r="H5110" s="5"/>
    </row>
    <row r="5111" spans="1:8" x14ac:dyDescent="0.25">
      <c r="A5111" s="4"/>
      <c r="B5111" s="5"/>
      <c r="C5111" s="5"/>
      <c r="D5111" s="5"/>
      <c r="E5111" s="5"/>
      <c r="F5111" s="5"/>
      <c r="G5111" s="5"/>
      <c r="H5111" s="5"/>
    </row>
    <row r="5112" spans="1:8" x14ac:dyDescent="0.25">
      <c r="A5112" s="4"/>
      <c r="B5112" s="5"/>
      <c r="C5112" s="5"/>
      <c r="D5112" s="5"/>
      <c r="E5112" s="5"/>
      <c r="F5112" s="5"/>
      <c r="G5112" s="5"/>
      <c r="H5112" s="5"/>
    </row>
    <row r="5113" spans="1:8" x14ac:dyDescent="0.25">
      <c r="A5113" s="4"/>
      <c r="B5113" s="5"/>
      <c r="C5113" s="5"/>
      <c r="D5113" s="5"/>
      <c r="E5113" s="5"/>
      <c r="F5113" s="5"/>
      <c r="G5113" s="5"/>
      <c r="H5113" s="5"/>
    </row>
    <row r="5114" spans="1:8" x14ac:dyDescent="0.25">
      <c r="A5114" s="4"/>
      <c r="B5114" s="5"/>
      <c r="C5114" s="5"/>
      <c r="D5114" s="5"/>
      <c r="E5114" s="5"/>
      <c r="F5114" s="5"/>
      <c r="G5114" s="5"/>
      <c r="H5114" s="5"/>
    </row>
    <row r="5115" spans="1:8" x14ac:dyDescent="0.25">
      <c r="A5115" s="4"/>
      <c r="B5115" s="5"/>
      <c r="C5115" s="5"/>
      <c r="D5115" s="5"/>
      <c r="E5115" s="5"/>
      <c r="F5115" s="5"/>
      <c r="G5115" s="5"/>
      <c r="H5115" s="5"/>
    </row>
    <row r="5116" spans="1:8" x14ac:dyDescent="0.25">
      <c r="A5116" s="4"/>
      <c r="B5116" s="5"/>
      <c r="C5116" s="5"/>
      <c r="D5116" s="5"/>
      <c r="E5116" s="5"/>
      <c r="F5116" s="5"/>
      <c r="G5116" s="5"/>
      <c r="H5116" s="5"/>
    </row>
    <row r="5117" spans="1:8" x14ac:dyDescent="0.25">
      <c r="A5117" s="4"/>
      <c r="B5117" s="5"/>
      <c r="C5117" s="5"/>
      <c r="D5117" s="5"/>
      <c r="E5117" s="5"/>
      <c r="F5117" s="5"/>
      <c r="G5117" s="5"/>
      <c r="H5117" s="5"/>
    </row>
    <row r="5118" spans="1:8" x14ac:dyDescent="0.25">
      <c r="A5118" s="4"/>
      <c r="B5118" s="5"/>
      <c r="C5118" s="5"/>
      <c r="D5118" s="5"/>
      <c r="E5118" s="5"/>
      <c r="F5118" s="5"/>
      <c r="G5118" s="5"/>
      <c r="H5118" s="5"/>
    </row>
    <row r="5119" spans="1:8" x14ac:dyDescent="0.25">
      <c r="A5119" s="4"/>
      <c r="B5119" s="5"/>
      <c r="C5119" s="5"/>
      <c r="D5119" s="5"/>
      <c r="E5119" s="5"/>
      <c r="F5119" s="5"/>
      <c r="G5119" s="5"/>
      <c r="H5119" s="5"/>
    </row>
    <row r="5120" spans="1:8" x14ac:dyDescent="0.25">
      <c r="A5120" s="4"/>
      <c r="B5120" s="5"/>
      <c r="C5120" s="5"/>
      <c r="D5120" s="5"/>
      <c r="E5120" s="5"/>
      <c r="F5120" s="5"/>
      <c r="G5120" s="5"/>
      <c r="H5120" s="5"/>
    </row>
    <row r="5121" spans="1:8" x14ac:dyDescent="0.25">
      <c r="A5121" s="4"/>
      <c r="B5121" s="5"/>
      <c r="C5121" s="5"/>
      <c r="D5121" s="5"/>
      <c r="E5121" s="5"/>
      <c r="F5121" s="5"/>
      <c r="G5121" s="5"/>
      <c r="H5121" s="5"/>
    </row>
    <row r="5122" spans="1:8" x14ac:dyDescent="0.25">
      <c r="A5122" s="4"/>
      <c r="B5122" s="5"/>
      <c r="C5122" s="5"/>
      <c r="D5122" s="5"/>
      <c r="E5122" s="5"/>
      <c r="F5122" s="5"/>
      <c r="G5122" s="5"/>
      <c r="H5122" s="5"/>
    </row>
    <row r="5123" spans="1:8" x14ac:dyDescent="0.25">
      <c r="A5123" s="4"/>
      <c r="B5123" s="5"/>
      <c r="C5123" s="5"/>
      <c r="D5123" s="5"/>
      <c r="E5123" s="5"/>
      <c r="F5123" s="5"/>
      <c r="G5123" s="5"/>
      <c r="H5123" s="5"/>
    </row>
    <row r="5124" spans="1:8" x14ac:dyDescent="0.25">
      <c r="A5124" s="4"/>
      <c r="B5124" s="5"/>
      <c r="C5124" s="5"/>
      <c r="D5124" s="5"/>
      <c r="E5124" s="5"/>
      <c r="F5124" s="5"/>
      <c r="G5124" s="5"/>
      <c r="H5124" s="5"/>
    </row>
    <row r="5125" spans="1:8" x14ac:dyDescent="0.25">
      <c r="A5125" s="4"/>
      <c r="B5125" s="5"/>
      <c r="C5125" s="5"/>
      <c r="D5125" s="5"/>
      <c r="E5125" s="5"/>
      <c r="F5125" s="5"/>
      <c r="G5125" s="5"/>
      <c r="H5125" s="5"/>
    </row>
    <row r="5126" spans="1:8" x14ac:dyDescent="0.25">
      <c r="A5126" s="4"/>
      <c r="B5126" s="5"/>
      <c r="C5126" s="5"/>
      <c r="D5126" s="5"/>
      <c r="E5126" s="5"/>
      <c r="F5126" s="5"/>
      <c r="G5126" s="5"/>
      <c r="H5126" s="5"/>
    </row>
    <row r="5127" spans="1:8" x14ac:dyDescent="0.25">
      <c r="A5127" s="4"/>
      <c r="B5127" s="5"/>
      <c r="C5127" s="5"/>
      <c r="D5127" s="5"/>
      <c r="E5127" s="5"/>
      <c r="F5127" s="5"/>
      <c r="G5127" s="5"/>
      <c r="H5127" s="5"/>
    </row>
    <row r="5128" spans="1:8" x14ac:dyDescent="0.25">
      <c r="A5128" s="4"/>
      <c r="B5128" s="5"/>
      <c r="C5128" s="5"/>
      <c r="D5128" s="5"/>
      <c r="E5128" s="5"/>
      <c r="F5128" s="5"/>
      <c r="G5128" s="5"/>
      <c r="H5128" s="5"/>
    </row>
    <row r="5129" spans="1:8" x14ac:dyDescent="0.25">
      <c r="A5129" s="4"/>
      <c r="B5129" s="5"/>
      <c r="C5129" s="5"/>
      <c r="D5129" s="5"/>
      <c r="E5129" s="5"/>
      <c r="F5129" s="5"/>
      <c r="G5129" s="5"/>
      <c r="H5129" s="5"/>
    </row>
    <row r="5130" spans="1:8" x14ac:dyDescent="0.25">
      <c r="A5130" s="4"/>
      <c r="B5130" s="5"/>
      <c r="C5130" s="5"/>
      <c r="D5130" s="5"/>
      <c r="E5130" s="5"/>
      <c r="F5130" s="5"/>
      <c r="G5130" s="5"/>
      <c r="H5130" s="5"/>
    </row>
    <row r="5131" spans="1:8" x14ac:dyDescent="0.25">
      <c r="A5131" s="4"/>
      <c r="B5131" s="5"/>
      <c r="C5131" s="5"/>
      <c r="D5131" s="5"/>
      <c r="E5131" s="5"/>
      <c r="F5131" s="5"/>
      <c r="G5131" s="5"/>
      <c r="H5131" s="5"/>
    </row>
    <row r="5132" spans="1:8" x14ac:dyDescent="0.25">
      <c r="A5132" s="4"/>
      <c r="B5132" s="5"/>
      <c r="C5132" s="5"/>
      <c r="D5132" s="5"/>
      <c r="E5132" s="5"/>
      <c r="F5132" s="5"/>
      <c r="G5132" s="5"/>
      <c r="H5132" s="5"/>
    </row>
    <row r="5133" spans="1:8" x14ac:dyDescent="0.25">
      <c r="A5133" s="4"/>
      <c r="B5133" s="5"/>
      <c r="C5133" s="5"/>
      <c r="D5133" s="5"/>
      <c r="E5133" s="5"/>
      <c r="F5133" s="5"/>
      <c r="G5133" s="5"/>
      <c r="H5133" s="5"/>
    </row>
    <row r="5134" spans="1:8" x14ac:dyDescent="0.25">
      <c r="A5134" s="4"/>
      <c r="B5134" s="5"/>
      <c r="C5134" s="5"/>
      <c r="D5134" s="5"/>
      <c r="E5134" s="5"/>
      <c r="F5134" s="5"/>
      <c r="G5134" s="5"/>
      <c r="H5134" s="5"/>
    </row>
    <row r="5135" spans="1:8" x14ac:dyDescent="0.25">
      <c r="A5135" s="4"/>
      <c r="B5135" s="5"/>
      <c r="C5135" s="5"/>
      <c r="D5135" s="5"/>
      <c r="E5135" s="5"/>
      <c r="F5135" s="5"/>
      <c r="G5135" s="5"/>
      <c r="H5135" s="5"/>
    </row>
    <row r="5136" spans="1:8" x14ac:dyDescent="0.25">
      <c r="A5136" s="4"/>
      <c r="B5136" s="5"/>
      <c r="C5136" s="5"/>
      <c r="D5136" s="5"/>
      <c r="E5136" s="5"/>
      <c r="F5136" s="5"/>
      <c r="G5136" s="5"/>
      <c r="H5136" s="5"/>
    </row>
    <row r="5137" spans="1:8" x14ac:dyDescent="0.25">
      <c r="A5137" s="4"/>
      <c r="B5137" s="5"/>
      <c r="C5137" s="5"/>
      <c r="D5137" s="5"/>
      <c r="E5137" s="5"/>
      <c r="F5137" s="5"/>
      <c r="G5137" s="5"/>
      <c r="H5137" s="5"/>
    </row>
    <row r="5138" spans="1:8" x14ac:dyDescent="0.25">
      <c r="A5138" s="4"/>
      <c r="B5138" s="5"/>
      <c r="C5138" s="5"/>
      <c r="D5138" s="5"/>
      <c r="E5138" s="5"/>
      <c r="F5138" s="5"/>
      <c r="G5138" s="5"/>
      <c r="H5138" s="5"/>
    </row>
    <row r="5139" spans="1:8" x14ac:dyDescent="0.25">
      <c r="A5139" s="4"/>
      <c r="B5139" s="5"/>
      <c r="C5139" s="5"/>
      <c r="D5139" s="5"/>
      <c r="E5139" s="5"/>
      <c r="F5139" s="5"/>
      <c r="G5139" s="5"/>
      <c r="H5139" s="5"/>
    </row>
    <row r="5140" spans="1:8" x14ac:dyDescent="0.25">
      <c r="A5140" s="4"/>
      <c r="B5140" s="5"/>
      <c r="C5140" s="5"/>
      <c r="D5140" s="5"/>
      <c r="E5140" s="5"/>
      <c r="F5140" s="5"/>
      <c r="G5140" s="5"/>
      <c r="H5140" s="5"/>
    </row>
    <row r="5141" spans="1:8" x14ac:dyDescent="0.25">
      <c r="A5141" s="4"/>
      <c r="B5141" s="5"/>
      <c r="C5141" s="5"/>
      <c r="D5141" s="5"/>
      <c r="E5141" s="5"/>
      <c r="F5141" s="5"/>
      <c r="G5141" s="5"/>
      <c r="H5141" s="5"/>
    </row>
    <row r="5142" spans="1:8" x14ac:dyDescent="0.25">
      <c r="A5142" s="4"/>
      <c r="B5142" s="5"/>
      <c r="C5142" s="5"/>
      <c r="D5142" s="5"/>
      <c r="E5142" s="5"/>
      <c r="F5142" s="5"/>
      <c r="G5142" s="5"/>
      <c r="H5142" s="5"/>
    </row>
    <row r="5143" spans="1:8" x14ac:dyDescent="0.25">
      <c r="A5143" s="4"/>
      <c r="B5143" s="5"/>
      <c r="C5143" s="5"/>
      <c r="D5143" s="5"/>
      <c r="E5143" s="5"/>
      <c r="F5143" s="5"/>
      <c r="G5143" s="5"/>
      <c r="H5143" s="5"/>
    </row>
    <row r="5144" spans="1:8" x14ac:dyDescent="0.25">
      <c r="A5144" s="4"/>
      <c r="B5144" s="5"/>
      <c r="C5144" s="5"/>
      <c r="D5144" s="5"/>
      <c r="E5144" s="5"/>
      <c r="F5144" s="5"/>
      <c r="G5144" s="5"/>
      <c r="H5144" s="5"/>
    </row>
    <row r="5145" spans="1:8" x14ac:dyDescent="0.25">
      <c r="A5145" s="4"/>
      <c r="B5145" s="5"/>
      <c r="C5145" s="5"/>
      <c r="D5145" s="5"/>
      <c r="E5145" s="5"/>
      <c r="F5145" s="5"/>
      <c r="G5145" s="5"/>
      <c r="H5145" s="5"/>
    </row>
    <row r="5146" spans="1:8" x14ac:dyDescent="0.25">
      <c r="A5146" s="4"/>
      <c r="B5146" s="5"/>
      <c r="C5146" s="5"/>
      <c r="D5146" s="5"/>
      <c r="E5146" s="5"/>
      <c r="F5146" s="5"/>
      <c r="G5146" s="5"/>
      <c r="H5146" s="5"/>
    </row>
    <row r="5147" spans="1:8" x14ac:dyDescent="0.25">
      <c r="A5147" s="4"/>
      <c r="B5147" s="5"/>
      <c r="C5147" s="5"/>
      <c r="D5147" s="5"/>
      <c r="E5147" s="5"/>
      <c r="F5147" s="5"/>
      <c r="G5147" s="5"/>
      <c r="H5147" s="5"/>
    </row>
    <row r="5148" spans="1:8" x14ac:dyDescent="0.25">
      <c r="A5148" s="4"/>
      <c r="B5148" s="5"/>
      <c r="C5148" s="5"/>
      <c r="D5148" s="5"/>
      <c r="E5148" s="5"/>
      <c r="F5148" s="5"/>
      <c r="G5148" s="5"/>
      <c r="H5148" s="5"/>
    </row>
    <row r="5149" spans="1:8" x14ac:dyDescent="0.25">
      <c r="A5149" s="4"/>
      <c r="B5149" s="5"/>
      <c r="C5149" s="5"/>
      <c r="D5149" s="5"/>
      <c r="E5149" s="5"/>
      <c r="F5149" s="5"/>
      <c r="G5149" s="5"/>
      <c r="H5149" s="5"/>
    </row>
    <row r="5150" spans="1:8" x14ac:dyDescent="0.25">
      <c r="A5150" s="4"/>
      <c r="B5150" s="5"/>
      <c r="C5150" s="5"/>
      <c r="D5150" s="5"/>
      <c r="E5150" s="5"/>
      <c r="F5150" s="5"/>
      <c r="G5150" s="5"/>
      <c r="H5150" s="5"/>
    </row>
    <row r="5151" spans="1:8" x14ac:dyDescent="0.25">
      <c r="A5151" s="4"/>
      <c r="B5151" s="5"/>
      <c r="C5151" s="5"/>
      <c r="D5151" s="5"/>
      <c r="E5151" s="5"/>
      <c r="F5151" s="5"/>
      <c r="G5151" s="5"/>
      <c r="H5151" s="5"/>
    </row>
    <row r="5152" spans="1:8" x14ac:dyDescent="0.25">
      <c r="A5152" s="4"/>
      <c r="B5152" s="5"/>
      <c r="C5152" s="5"/>
      <c r="D5152" s="5"/>
      <c r="E5152" s="5"/>
      <c r="F5152" s="5"/>
      <c r="G5152" s="5"/>
      <c r="H5152" s="5"/>
    </row>
    <row r="5153" spans="1:8" x14ac:dyDescent="0.25">
      <c r="A5153" s="4"/>
      <c r="B5153" s="5"/>
      <c r="C5153" s="5"/>
      <c r="D5153" s="5"/>
      <c r="E5153" s="5"/>
      <c r="F5153" s="5"/>
      <c r="G5153" s="5"/>
      <c r="H5153" s="5"/>
    </row>
    <row r="5154" spans="1:8" x14ac:dyDescent="0.25">
      <c r="A5154" s="4"/>
      <c r="B5154" s="5"/>
      <c r="C5154" s="5"/>
      <c r="D5154" s="5"/>
      <c r="E5154" s="5"/>
      <c r="F5154" s="5"/>
      <c r="G5154" s="5"/>
      <c r="H5154" s="5"/>
    </row>
    <row r="5155" spans="1:8" x14ac:dyDescent="0.25">
      <c r="A5155" s="4"/>
      <c r="B5155" s="5"/>
      <c r="C5155" s="5"/>
      <c r="D5155" s="5"/>
      <c r="E5155" s="5"/>
      <c r="F5155" s="5"/>
      <c r="G5155" s="5"/>
      <c r="H5155" s="5"/>
    </row>
    <row r="5156" spans="1:8" x14ac:dyDescent="0.25">
      <c r="A5156" s="4"/>
      <c r="B5156" s="5"/>
      <c r="C5156" s="5"/>
      <c r="D5156" s="5"/>
      <c r="E5156" s="5"/>
      <c r="F5156" s="5"/>
      <c r="G5156" s="5"/>
      <c r="H5156" s="5"/>
    </row>
    <row r="5157" spans="1:8" x14ac:dyDescent="0.25">
      <c r="A5157" s="4"/>
      <c r="B5157" s="5"/>
      <c r="C5157" s="5"/>
      <c r="D5157" s="5"/>
      <c r="E5157" s="5"/>
      <c r="F5157" s="5"/>
      <c r="G5157" s="5"/>
      <c r="H5157" s="5"/>
    </row>
    <row r="5158" spans="1:8" x14ac:dyDescent="0.25">
      <c r="A5158" s="4"/>
      <c r="B5158" s="5"/>
      <c r="C5158" s="5"/>
      <c r="D5158" s="5"/>
      <c r="E5158" s="5"/>
      <c r="F5158" s="5"/>
      <c r="G5158" s="5"/>
      <c r="H5158" s="5"/>
    </row>
    <row r="5159" spans="1:8" x14ac:dyDescent="0.25">
      <c r="A5159" s="4"/>
      <c r="B5159" s="5"/>
      <c r="C5159" s="5"/>
      <c r="D5159" s="5"/>
      <c r="E5159" s="5"/>
      <c r="F5159" s="5"/>
      <c r="G5159" s="5"/>
      <c r="H5159" s="5"/>
    </row>
    <row r="5160" spans="1:8" x14ac:dyDescent="0.25">
      <c r="A5160" s="4"/>
      <c r="B5160" s="5"/>
      <c r="C5160" s="5"/>
      <c r="D5160" s="5"/>
      <c r="E5160" s="5"/>
      <c r="F5160" s="5"/>
      <c r="G5160" s="5"/>
      <c r="H5160" s="5"/>
    </row>
    <row r="5161" spans="1:8" x14ac:dyDescent="0.25">
      <c r="A5161" s="4"/>
      <c r="B5161" s="5"/>
      <c r="C5161" s="5"/>
      <c r="D5161" s="5"/>
      <c r="E5161" s="5"/>
      <c r="F5161" s="5"/>
      <c r="G5161" s="5"/>
      <c r="H5161" s="5"/>
    </row>
    <row r="5162" spans="1:8" x14ac:dyDescent="0.25">
      <c r="A5162" s="4"/>
      <c r="B5162" s="5"/>
      <c r="C5162" s="5"/>
      <c r="D5162" s="5"/>
      <c r="E5162" s="5"/>
      <c r="F5162" s="5"/>
      <c r="G5162" s="5"/>
      <c r="H5162" s="5"/>
    </row>
    <row r="5163" spans="1:8" x14ac:dyDescent="0.25">
      <c r="A5163" s="4"/>
      <c r="B5163" s="5"/>
      <c r="C5163" s="5"/>
      <c r="D5163" s="5"/>
      <c r="E5163" s="5"/>
      <c r="F5163" s="5"/>
      <c r="G5163" s="5"/>
      <c r="H5163" s="5"/>
    </row>
    <row r="5164" spans="1:8" x14ac:dyDescent="0.25">
      <c r="A5164" s="4"/>
      <c r="B5164" s="5"/>
      <c r="C5164" s="5"/>
      <c r="D5164" s="5"/>
      <c r="E5164" s="5"/>
      <c r="F5164" s="5"/>
      <c r="G5164" s="5"/>
      <c r="H5164" s="5"/>
    </row>
    <row r="5165" spans="1:8" x14ac:dyDescent="0.25">
      <c r="A5165" s="4"/>
      <c r="B5165" s="5"/>
      <c r="C5165" s="5"/>
      <c r="D5165" s="5"/>
      <c r="E5165" s="5"/>
      <c r="F5165" s="5"/>
      <c r="G5165" s="5"/>
      <c r="H5165" s="5"/>
    </row>
    <row r="5166" spans="1:8" x14ac:dyDescent="0.25">
      <c r="A5166" s="4"/>
      <c r="B5166" s="5"/>
      <c r="C5166" s="5"/>
      <c r="D5166" s="5"/>
      <c r="E5166" s="5"/>
      <c r="F5166" s="5"/>
      <c r="G5166" s="5"/>
      <c r="H5166" s="5"/>
    </row>
    <row r="5167" spans="1:8" x14ac:dyDescent="0.25">
      <c r="A5167" s="4"/>
      <c r="B5167" s="5"/>
      <c r="C5167" s="5"/>
      <c r="D5167" s="5"/>
      <c r="E5167" s="5"/>
      <c r="F5167" s="5"/>
      <c r="G5167" s="5"/>
      <c r="H5167" s="5"/>
    </row>
    <row r="5168" spans="1:8" x14ac:dyDescent="0.25">
      <c r="A5168" s="4"/>
      <c r="B5168" s="5"/>
      <c r="C5168" s="5"/>
      <c r="D5168" s="5"/>
      <c r="E5168" s="5"/>
      <c r="F5168" s="5"/>
      <c r="G5168" s="5"/>
      <c r="H5168" s="5"/>
    </row>
    <row r="5169" spans="1:8" x14ac:dyDescent="0.25">
      <c r="A5169" s="4"/>
      <c r="B5169" s="5"/>
      <c r="C5169" s="5"/>
      <c r="D5169" s="5"/>
      <c r="E5169" s="5"/>
      <c r="F5169" s="5"/>
      <c r="G5169" s="5"/>
      <c r="H5169" s="5"/>
    </row>
    <row r="5170" spans="1:8" x14ac:dyDescent="0.25">
      <c r="A5170" s="4"/>
      <c r="B5170" s="5"/>
      <c r="C5170" s="5"/>
      <c r="D5170" s="5"/>
      <c r="E5170" s="5"/>
      <c r="F5170" s="5"/>
      <c r="G5170" s="5"/>
      <c r="H5170" s="5"/>
    </row>
    <row r="5171" spans="1:8" x14ac:dyDescent="0.25">
      <c r="A5171" s="4"/>
      <c r="B5171" s="5"/>
      <c r="C5171" s="5"/>
      <c r="D5171" s="5"/>
      <c r="E5171" s="5"/>
      <c r="F5171" s="5"/>
      <c r="G5171" s="5"/>
      <c r="H5171" s="5"/>
    </row>
    <row r="5172" spans="1:8" x14ac:dyDescent="0.25">
      <c r="A5172" s="4"/>
      <c r="B5172" s="5"/>
      <c r="C5172" s="5"/>
      <c r="D5172" s="5"/>
      <c r="E5172" s="5"/>
      <c r="F5172" s="5"/>
      <c r="G5172" s="5"/>
      <c r="H5172" s="5"/>
    </row>
    <row r="5173" spans="1:8" x14ac:dyDescent="0.25">
      <c r="A5173" s="4"/>
      <c r="B5173" s="5"/>
      <c r="C5173" s="5"/>
      <c r="D5173" s="5"/>
      <c r="E5173" s="5"/>
      <c r="F5173" s="5"/>
      <c r="G5173" s="5"/>
      <c r="H5173" s="5"/>
    </row>
    <row r="5174" spans="1:8" x14ac:dyDescent="0.25">
      <c r="A5174" s="4"/>
      <c r="B5174" s="5"/>
      <c r="C5174" s="5"/>
      <c r="D5174" s="5"/>
      <c r="E5174" s="5"/>
      <c r="F5174" s="5"/>
      <c r="G5174" s="5"/>
      <c r="H5174" s="5"/>
    </row>
    <row r="5175" spans="1:8" x14ac:dyDescent="0.25">
      <c r="A5175" s="4"/>
      <c r="B5175" s="5"/>
      <c r="C5175" s="5"/>
      <c r="D5175" s="5"/>
      <c r="E5175" s="5"/>
      <c r="F5175" s="5"/>
      <c r="G5175" s="5"/>
      <c r="H5175" s="5"/>
    </row>
    <row r="5176" spans="1:8" x14ac:dyDescent="0.25">
      <c r="A5176" s="4"/>
      <c r="B5176" s="5"/>
      <c r="C5176" s="5"/>
      <c r="D5176" s="5"/>
      <c r="E5176" s="5"/>
      <c r="F5176" s="5"/>
      <c r="G5176" s="5"/>
      <c r="H5176" s="5"/>
    </row>
    <row r="5177" spans="1:8" x14ac:dyDescent="0.25">
      <c r="A5177" s="4"/>
      <c r="B5177" s="5"/>
      <c r="C5177" s="5"/>
      <c r="D5177" s="5"/>
      <c r="E5177" s="5"/>
      <c r="F5177" s="5"/>
      <c r="G5177" s="5"/>
      <c r="H5177" s="5"/>
    </row>
    <row r="5178" spans="1:8" x14ac:dyDescent="0.25">
      <c r="A5178" s="4"/>
      <c r="B5178" s="5"/>
      <c r="C5178" s="5"/>
      <c r="D5178" s="5"/>
      <c r="E5178" s="5"/>
      <c r="F5178" s="5"/>
      <c r="G5178" s="5"/>
      <c r="H5178" s="5"/>
    </row>
    <row r="5179" spans="1:8" x14ac:dyDescent="0.25">
      <c r="A5179" s="4"/>
      <c r="B5179" s="5"/>
      <c r="C5179" s="5"/>
      <c r="D5179" s="5"/>
      <c r="E5179" s="5"/>
      <c r="F5179" s="5"/>
      <c r="G5179" s="5"/>
      <c r="H5179" s="5"/>
    </row>
    <row r="5180" spans="1:8" x14ac:dyDescent="0.25">
      <c r="A5180" s="4"/>
      <c r="B5180" s="5"/>
      <c r="C5180" s="5"/>
      <c r="D5180" s="5"/>
      <c r="E5180" s="5"/>
      <c r="F5180" s="5"/>
      <c r="G5180" s="5"/>
      <c r="H5180" s="5"/>
    </row>
    <row r="5181" spans="1:8" x14ac:dyDescent="0.25">
      <c r="A5181" s="4"/>
      <c r="B5181" s="5"/>
      <c r="C5181" s="5"/>
      <c r="D5181" s="5"/>
      <c r="E5181" s="5"/>
      <c r="F5181" s="5"/>
      <c r="G5181" s="5"/>
      <c r="H5181" s="5"/>
    </row>
    <row r="5182" spans="1:8" x14ac:dyDescent="0.25">
      <c r="A5182" s="4"/>
      <c r="B5182" s="5"/>
      <c r="C5182" s="5"/>
      <c r="D5182" s="5"/>
      <c r="E5182" s="5"/>
      <c r="F5182" s="5"/>
      <c r="G5182" s="5"/>
      <c r="H5182" s="5"/>
    </row>
    <row r="5183" spans="1:8" x14ac:dyDescent="0.25">
      <c r="A5183" s="4"/>
      <c r="B5183" s="5"/>
      <c r="C5183" s="5"/>
      <c r="D5183" s="5"/>
      <c r="E5183" s="5"/>
      <c r="F5183" s="5"/>
      <c r="G5183" s="5"/>
      <c r="H5183" s="5"/>
    </row>
    <row r="5184" spans="1:8" x14ac:dyDescent="0.25">
      <c r="A5184" s="4"/>
      <c r="B5184" s="5"/>
      <c r="C5184" s="5"/>
      <c r="D5184" s="5"/>
      <c r="E5184" s="5"/>
      <c r="F5184" s="5"/>
      <c r="G5184" s="5"/>
      <c r="H5184" s="5"/>
    </row>
    <row r="5185" spans="1:8" x14ac:dyDescent="0.25">
      <c r="A5185" s="4"/>
      <c r="B5185" s="5"/>
      <c r="C5185" s="5"/>
      <c r="D5185" s="5"/>
      <c r="E5185" s="5"/>
      <c r="F5185" s="5"/>
      <c r="G5185" s="5"/>
      <c r="H5185" s="5"/>
    </row>
    <row r="5186" spans="1:8" x14ac:dyDescent="0.25">
      <c r="A5186" s="4"/>
      <c r="B5186" s="5"/>
      <c r="C5186" s="5"/>
      <c r="D5186" s="5"/>
      <c r="E5186" s="5"/>
      <c r="F5186" s="5"/>
      <c r="G5186" s="5"/>
      <c r="H5186" s="5"/>
    </row>
    <row r="5187" spans="1:8" x14ac:dyDescent="0.25">
      <c r="A5187" s="4"/>
      <c r="B5187" s="5"/>
      <c r="C5187" s="5"/>
      <c r="D5187" s="5"/>
      <c r="E5187" s="5"/>
      <c r="F5187" s="5"/>
      <c r="G5187" s="5"/>
      <c r="H5187" s="5"/>
    </row>
    <row r="5188" spans="1:8" x14ac:dyDescent="0.25">
      <c r="A5188" s="4"/>
      <c r="B5188" s="5"/>
      <c r="C5188" s="5"/>
      <c r="D5188" s="5"/>
      <c r="E5188" s="5"/>
      <c r="F5188" s="5"/>
      <c r="G5188" s="5"/>
      <c r="H5188" s="5"/>
    </row>
    <row r="5189" spans="1:8" x14ac:dyDescent="0.25">
      <c r="A5189" s="4"/>
      <c r="B5189" s="5"/>
      <c r="C5189" s="5"/>
      <c r="D5189" s="5"/>
      <c r="E5189" s="5"/>
      <c r="F5189" s="5"/>
      <c r="G5189" s="5"/>
      <c r="H5189" s="5"/>
    </row>
    <row r="5190" spans="1:8" x14ac:dyDescent="0.25">
      <c r="A5190" s="4"/>
      <c r="B5190" s="5"/>
      <c r="C5190" s="5"/>
      <c r="D5190" s="5"/>
      <c r="E5190" s="5"/>
      <c r="F5190" s="5"/>
      <c r="G5190" s="5"/>
      <c r="H5190" s="5"/>
    </row>
    <row r="5191" spans="1:8" x14ac:dyDescent="0.25">
      <c r="A5191" s="4"/>
      <c r="B5191" s="5"/>
      <c r="C5191" s="5"/>
      <c r="D5191" s="5"/>
      <c r="E5191" s="5"/>
      <c r="F5191" s="5"/>
      <c r="G5191" s="5"/>
      <c r="H5191" s="5"/>
    </row>
    <row r="5192" spans="1:8" x14ac:dyDescent="0.25">
      <c r="A5192" s="4"/>
      <c r="B5192" s="5"/>
      <c r="C5192" s="5"/>
      <c r="D5192" s="5"/>
      <c r="E5192" s="5"/>
      <c r="F5192" s="5"/>
      <c r="G5192" s="5"/>
      <c r="H5192" s="5"/>
    </row>
    <row r="5193" spans="1:8" x14ac:dyDescent="0.25">
      <c r="A5193" s="4"/>
      <c r="B5193" s="5"/>
      <c r="C5193" s="5"/>
      <c r="D5193" s="5"/>
      <c r="E5193" s="5"/>
      <c r="F5193" s="5"/>
      <c r="G5193" s="5"/>
      <c r="H5193" s="5"/>
    </row>
    <row r="5194" spans="1:8" x14ac:dyDescent="0.25">
      <c r="A5194" s="4"/>
      <c r="B5194" s="5"/>
      <c r="C5194" s="5"/>
      <c r="D5194" s="5"/>
      <c r="E5194" s="5"/>
      <c r="F5194" s="5"/>
      <c r="G5194" s="5"/>
      <c r="H5194" s="5"/>
    </row>
    <row r="5195" spans="1:8" x14ac:dyDescent="0.25">
      <c r="A5195" s="4"/>
      <c r="B5195" s="5"/>
      <c r="C5195" s="5"/>
      <c r="D5195" s="5"/>
      <c r="E5195" s="5"/>
      <c r="F5195" s="5"/>
      <c r="G5195" s="5"/>
      <c r="H5195" s="5"/>
    </row>
    <row r="5196" spans="1:8" x14ac:dyDescent="0.25">
      <c r="A5196" s="4"/>
      <c r="B5196" s="5"/>
      <c r="C5196" s="5"/>
      <c r="D5196" s="5"/>
      <c r="E5196" s="5"/>
      <c r="F5196" s="5"/>
      <c r="G5196" s="5"/>
      <c r="H5196" s="5"/>
    </row>
    <row r="5197" spans="1:8" x14ac:dyDescent="0.25">
      <c r="A5197" s="4"/>
      <c r="B5197" s="5"/>
      <c r="C5197" s="5"/>
      <c r="D5197" s="5"/>
      <c r="E5197" s="5"/>
      <c r="F5197" s="5"/>
      <c r="G5197" s="5"/>
      <c r="H5197" s="5"/>
    </row>
    <row r="5198" spans="1:8" x14ac:dyDescent="0.25">
      <c r="A5198" s="4"/>
      <c r="B5198" s="5"/>
      <c r="C5198" s="5"/>
      <c r="D5198" s="5"/>
      <c r="E5198" s="5"/>
      <c r="F5198" s="5"/>
      <c r="G5198" s="5"/>
      <c r="H5198" s="5"/>
    </row>
    <row r="5199" spans="1:8" x14ac:dyDescent="0.25">
      <c r="A5199" s="4"/>
      <c r="B5199" s="5"/>
      <c r="C5199" s="5"/>
      <c r="D5199" s="5"/>
      <c r="E5199" s="5"/>
      <c r="F5199" s="5"/>
      <c r="G5199" s="5"/>
      <c r="H5199" s="5"/>
    </row>
    <row r="5200" spans="1:8" x14ac:dyDescent="0.25">
      <c r="A5200" s="4"/>
      <c r="B5200" s="5"/>
      <c r="C5200" s="5"/>
      <c r="D5200" s="5"/>
      <c r="E5200" s="5"/>
      <c r="F5200" s="5"/>
      <c r="G5200" s="5"/>
      <c r="H5200" s="5"/>
    </row>
    <row r="5201" spans="1:8" x14ac:dyDescent="0.25">
      <c r="A5201" s="4"/>
      <c r="B5201" s="5"/>
      <c r="C5201" s="5"/>
      <c r="D5201" s="5"/>
      <c r="E5201" s="5"/>
      <c r="F5201" s="5"/>
      <c r="G5201" s="5"/>
      <c r="H5201" s="5"/>
    </row>
    <row r="5202" spans="1:8" x14ac:dyDescent="0.25">
      <c r="A5202" s="4"/>
      <c r="B5202" s="5"/>
      <c r="C5202" s="5"/>
      <c r="D5202" s="5"/>
      <c r="E5202" s="5"/>
      <c r="F5202" s="5"/>
      <c r="G5202" s="5"/>
      <c r="H5202" s="5"/>
    </row>
    <row r="5203" spans="1:8" x14ac:dyDescent="0.25">
      <c r="A5203" s="4"/>
      <c r="B5203" s="5"/>
      <c r="C5203" s="5"/>
      <c r="D5203" s="5"/>
      <c r="E5203" s="5"/>
      <c r="F5203" s="5"/>
      <c r="G5203" s="5"/>
      <c r="H5203" s="5"/>
    </row>
    <row r="5204" spans="1:8" x14ac:dyDescent="0.25">
      <c r="A5204" s="4"/>
      <c r="B5204" s="5"/>
      <c r="C5204" s="5"/>
      <c r="D5204" s="5"/>
      <c r="E5204" s="5"/>
      <c r="F5204" s="5"/>
      <c r="G5204" s="5"/>
      <c r="H5204" s="5"/>
    </row>
    <row r="5205" spans="1:8" x14ac:dyDescent="0.25">
      <c r="A5205" s="4"/>
      <c r="B5205" s="5"/>
      <c r="C5205" s="5"/>
      <c r="D5205" s="5"/>
      <c r="E5205" s="5"/>
      <c r="F5205" s="5"/>
      <c r="G5205" s="5"/>
      <c r="H5205" s="5"/>
    </row>
    <row r="5206" spans="1:8" x14ac:dyDescent="0.25">
      <c r="A5206" s="4"/>
      <c r="B5206" s="5"/>
      <c r="C5206" s="5"/>
      <c r="D5206" s="5"/>
      <c r="E5206" s="5"/>
      <c r="F5206" s="5"/>
      <c r="G5206" s="5"/>
      <c r="H5206" s="5"/>
    </row>
    <row r="5207" spans="1:8" x14ac:dyDescent="0.25">
      <c r="A5207" s="4"/>
      <c r="B5207" s="5"/>
      <c r="C5207" s="5"/>
      <c r="D5207" s="5"/>
      <c r="E5207" s="5"/>
      <c r="F5207" s="5"/>
      <c r="G5207" s="5"/>
      <c r="H5207" s="5"/>
    </row>
    <row r="5208" spans="1:8" x14ac:dyDescent="0.25">
      <c r="A5208" s="4"/>
      <c r="B5208" s="5"/>
      <c r="C5208" s="5"/>
      <c r="D5208" s="5"/>
      <c r="E5208" s="5"/>
      <c r="F5208" s="5"/>
      <c r="G5208" s="5"/>
      <c r="H5208" s="5"/>
    </row>
    <row r="5209" spans="1:8" x14ac:dyDescent="0.25">
      <c r="A5209" s="4"/>
      <c r="B5209" s="5"/>
      <c r="C5209" s="5"/>
      <c r="D5209" s="5"/>
      <c r="E5209" s="5"/>
      <c r="F5209" s="5"/>
      <c r="G5209" s="5"/>
      <c r="H5209" s="5"/>
    </row>
    <row r="5210" spans="1:8" x14ac:dyDescent="0.25">
      <c r="A5210" s="4"/>
      <c r="B5210" s="5"/>
      <c r="C5210" s="5"/>
      <c r="D5210" s="5"/>
      <c r="E5210" s="5"/>
      <c r="F5210" s="5"/>
      <c r="G5210" s="5"/>
      <c r="H5210" s="5"/>
    </row>
    <row r="5211" spans="1:8" x14ac:dyDescent="0.25">
      <c r="A5211" s="4"/>
      <c r="B5211" s="5"/>
      <c r="C5211" s="5"/>
      <c r="D5211" s="5"/>
      <c r="E5211" s="5"/>
      <c r="F5211" s="5"/>
      <c r="G5211" s="5"/>
      <c r="H5211" s="5"/>
    </row>
    <row r="5212" spans="1:8" x14ac:dyDescent="0.25">
      <c r="A5212" s="4"/>
      <c r="B5212" s="5"/>
      <c r="C5212" s="5"/>
      <c r="D5212" s="5"/>
      <c r="E5212" s="5"/>
      <c r="F5212" s="5"/>
      <c r="G5212" s="5"/>
      <c r="H5212" s="5"/>
    </row>
    <row r="5213" spans="1:8" x14ac:dyDescent="0.25">
      <c r="A5213" s="4"/>
      <c r="B5213" s="5"/>
      <c r="C5213" s="5"/>
      <c r="D5213" s="5"/>
      <c r="E5213" s="5"/>
      <c r="F5213" s="5"/>
      <c r="G5213" s="5"/>
      <c r="H5213" s="5"/>
    </row>
    <row r="5214" spans="1:8" x14ac:dyDescent="0.25">
      <c r="A5214" s="4"/>
      <c r="B5214" s="5"/>
      <c r="C5214" s="5"/>
      <c r="D5214" s="5"/>
      <c r="E5214" s="5"/>
      <c r="F5214" s="5"/>
      <c r="G5214" s="5"/>
      <c r="H5214" s="5"/>
    </row>
    <row r="5215" spans="1:8" x14ac:dyDescent="0.25">
      <c r="A5215" s="4"/>
      <c r="B5215" s="5"/>
      <c r="C5215" s="5"/>
      <c r="D5215" s="5"/>
      <c r="E5215" s="5"/>
      <c r="F5215" s="5"/>
      <c r="G5215" s="5"/>
      <c r="H5215" s="5"/>
    </row>
    <row r="5216" spans="1:8" x14ac:dyDescent="0.25">
      <c r="A5216" s="4"/>
      <c r="B5216" s="5"/>
      <c r="C5216" s="5"/>
      <c r="D5216" s="5"/>
      <c r="E5216" s="5"/>
      <c r="F5216" s="5"/>
      <c r="G5216" s="5"/>
      <c r="H5216" s="5"/>
    </row>
    <row r="5217" spans="1:8" x14ac:dyDescent="0.25">
      <c r="A5217" s="4"/>
      <c r="B5217" s="5"/>
      <c r="C5217" s="5"/>
      <c r="D5217" s="5"/>
      <c r="E5217" s="5"/>
      <c r="F5217" s="5"/>
      <c r="G5217" s="5"/>
      <c r="H5217" s="5"/>
    </row>
    <row r="5218" spans="1:8" x14ac:dyDescent="0.25">
      <c r="A5218" s="4"/>
      <c r="B5218" s="5"/>
      <c r="C5218" s="5"/>
      <c r="D5218" s="5"/>
      <c r="E5218" s="5"/>
      <c r="F5218" s="5"/>
      <c r="G5218" s="5"/>
      <c r="H5218" s="5"/>
    </row>
    <row r="5219" spans="1:8" x14ac:dyDescent="0.25">
      <c r="A5219" s="4"/>
      <c r="B5219" s="5"/>
      <c r="C5219" s="5"/>
      <c r="D5219" s="5"/>
      <c r="E5219" s="5"/>
      <c r="F5219" s="5"/>
      <c r="G5219" s="5"/>
      <c r="H5219" s="5"/>
    </row>
    <row r="5220" spans="1:8" x14ac:dyDescent="0.25">
      <c r="A5220" s="4"/>
      <c r="B5220" s="5"/>
      <c r="C5220" s="5"/>
      <c r="D5220" s="5"/>
      <c r="E5220" s="5"/>
      <c r="F5220" s="5"/>
      <c r="G5220" s="5"/>
      <c r="H5220" s="5"/>
    </row>
    <row r="5221" spans="1:8" x14ac:dyDescent="0.25">
      <c r="A5221" s="4"/>
      <c r="B5221" s="5"/>
      <c r="C5221" s="5"/>
      <c r="D5221" s="5"/>
      <c r="E5221" s="5"/>
      <c r="F5221" s="5"/>
      <c r="G5221" s="5"/>
      <c r="H5221" s="5"/>
    </row>
    <row r="5222" spans="1:8" x14ac:dyDescent="0.25">
      <c r="A5222" s="4"/>
      <c r="B5222" s="5"/>
      <c r="C5222" s="5"/>
      <c r="D5222" s="5"/>
      <c r="E5222" s="5"/>
      <c r="F5222" s="5"/>
      <c r="G5222" s="5"/>
      <c r="H5222" s="5"/>
    </row>
    <row r="5223" spans="1:8" x14ac:dyDescent="0.25">
      <c r="A5223" s="4"/>
      <c r="B5223" s="5"/>
      <c r="C5223" s="5"/>
      <c r="D5223" s="5"/>
      <c r="E5223" s="5"/>
      <c r="F5223" s="5"/>
      <c r="G5223" s="5"/>
      <c r="H5223" s="5"/>
    </row>
    <row r="5224" spans="1:8" x14ac:dyDescent="0.25">
      <c r="A5224" s="4"/>
      <c r="B5224" s="5"/>
      <c r="C5224" s="5"/>
      <c r="D5224" s="5"/>
      <c r="E5224" s="5"/>
      <c r="F5224" s="5"/>
      <c r="G5224" s="5"/>
      <c r="H5224" s="5"/>
    </row>
    <row r="5225" spans="1:8" x14ac:dyDescent="0.25">
      <c r="A5225" s="4"/>
      <c r="B5225" s="5"/>
      <c r="C5225" s="5"/>
      <c r="D5225" s="5"/>
      <c r="E5225" s="5"/>
      <c r="F5225" s="5"/>
      <c r="G5225" s="5"/>
      <c r="H5225" s="5"/>
    </row>
    <row r="5226" spans="1:8" x14ac:dyDescent="0.25">
      <c r="A5226" s="4"/>
      <c r="B5226" s="5"/>
      <c r="C5226" s="5"/>
      <c r="D5226" s="5"/>
      <c r="E5226" s="5"/>
      <c r="F5226" s="5"/>
      <c r="G5226" s="5"/>
      <c r="H5226" s="5"/>
    </row>
    <row r="5227" spans="1:8" x14ac:dyDescent="0.25">
      <c r="A5227" s="4"/>
      <c r="B5227" s="5"/>
      <c r="C5227" s="5"/>
      <c r="D5227" s="5"/>
      <c r="E5227" s="5"/>
      <c r="F5227" s="5"/>
      <c r="G5227" s="5"/>
      <c r="H5227" s="5"/>
    </row>
    <row r="5228" spans="1:8" x14ac:dyDescent="0.25">
      <c r="A5228" s="4"/>
      <c r="B5228" s="5"/>
      <c r="C5228" s="5"/>
      <c r="D5228" s="5"/>
      <c r="E5228" s="5"/>
      <c r="F5228" s="5"/>
      <c r="G5228" s="5"/>
      <c r="H5228" s="5"/>
    </row>
    <row r="5229" spans="1:8" x14ac:dyDescent="0.25">
      <c r="A5229" s="4"/>
      <c r="B5229" s="5"/>
      <c r="C5229" s="5"/>
      <c r="D5229" s="5"/>
      <c r="E5229" s="5"/>
      <c r="F5229" s="5"/>
      <c r="G5229" s="5"/>
      <c r="H5229" s="5"/>
    </row>
    <row r="5230" spans="1:8" x14ac:dyDescent="0.25">
      <c r="A5230" s="4"/>
      <c r="B5230" s="5"/>
      <c r="C5230" s="5"/>
      <c r="D5230" s="5"/>
      <c r="E5230" s="5"/>
      <c r="F5230" s="5"/>
      <c r="G5230" s="5"/>
      <c r="H5230" s="5"/>
    </row>
    <row r="5231" spans="1:8" x14ac:dyDescent="0.25">
      <c r="A5231" s="4"/>
      <c r="B5231" s="5"/>
      <c r="C5231" s="5"/>
      <c r="D5231" s="5"/>
      <c r="E5231" s="5"/>
      <c r="F5231" s="5"/>
      <c r="G5231" s="5"/>
      <c r="H5231" s="5"/>
    </row>
    <row r="5232" spans="1:8" x14ac:dyDescent="0.25">
      <c r="A5232" s="4"/>
      <c r="B5232" s="5"/>
      <c r="C5232" s="5"/>
      <c r="D5232" s="5"/>
      <c r="E5232" s="5"/>
      <c r="F5232" s="5"/>
      <c r="G5232" s="5"/>
      <c r="H5232" s="5"/>
    </row>
    <row r="5233" spans="1:8" x14ac:dyDescent="0.25">
      <c r="A5233" s="4"/>
      <c r="B5233" s="5"/>
      <c r="C5233" s="5"/>
      <c r="D5233" s="5"/>
      <c r="E5233" s="5"/>
      <c r="F5233" s="5"/>
      <c r="G5233" s="5"/>
      <c r="H5233" s="5"/>
    </row>
    <row r="5234" spans="1:8" x14ac:dyDescent="0.25">
      <c r="A5234" s="4"/>
      <c r="B5234" s="5"/>
      <c r="C5234" s="5"/>
      <c r="D5234" s="5"/>
      <c r="E5234" s="5"/>
      <c r="F5234" s="5"/>
      <c r="G5234" s="5"/>
      <c r="H5234" s="5"/>
    </row>
    <row r="5235" spans="1:8" x14ac:dyDescent="0.25">
      <c r="A5235" s="4"/>
      <c r="B5235" s="5"/>
      <c r="C5235" s="5"/>
      <c r="D5235" s="5"/>
      <c r="E5235" s="5"/>
      <c r="F5235" s="5"/>
      <c r="G5235" s="5"/>
      <c r="H5235" s="5"/>
    </row>
    <row r="5236" spans="1:8" x14ac:dyDescent="0.25">
      <c r="A5236" s="4"/>
      <c r="B5236" s="5"/>
      <c r="C5236" s="5"/>
      <c r="D5236" s="5"/>
      <c r="E5236" s="5"/>
      <c r="F5236" s="5"/>
      <c r="G5236" s="5"/>
      <c r="H5236" s="5"/>
    </row>
    <row r="5237" spans="1:8" x14ac:dyDescent="0.25">
      <c r="A5237" s="4"/>
      <c r="B5237" s="5"/>
      <c r="C5237" s="5"/>
      <c r="D5237" s="5"/>
      <c r="E5237" s="5"/>
      <c r="F5237" s="5"/>
      <c r="G5237" s="5"/>
      <c r="H5237" s="5"/>
    </row>
    <row r="5238" spans="1:8" x14ac:dyDescent="0.25">
      <c r="A5238" s="4"/>
      <c r="B5238" s="5"/>
      <c r="C5238" s="5"/>
      <c r="D5238" s="5"/>
      <c r="E5238" s="5"/>
      <c r="F5238" s="5"/>
      <c r="G5238" s="5"/>
      <c r="H5238" s="5"/>
    </row>
    <row r="5239" spans="1:8" x14ac:dyDescent="0.25">
      <c r="A5239" s="4"/>
      <c r="B5239" s="5"/>
      <c r="C5239" s="5"/>
      <c r="D5239" s="5"/>
      <c r="E5239" s="5"/>
      <c r="F5239" s="5"/>
      <c r="G5239" s="5"/>
      <c r="H5239" s="5"/>
    </row>
    <row r="5240" spans="1:8" x14ac:dyDescent="0.25">
      <c r="A5240" s="4"/>
      <c r="B5240" s="5"/>
      <c r="C5240" s="5"/>
      <c r="D5240" s="5"/>
      <c r="E5240" s="5"/>
      <c r="F5240" s="5"/>
      <c r="G5240" s="5"/>
      <c r="H5240" s="5"/>
    </row>
    <row r="5241" spans="1:8" x14ac:dyDescent="0.25">
      <c r="A5241" s="4"/>
      <c r="B5241" s="5"/>
      <c r="C5241" s="5"/>
      <c r="D5241" s="5"/>
      <c r="E5241" s="5"/>
      <c r="F5241" s="5"/>
      <c r="G5241" s="5"/>
      <c r="H5241" s="5"/>
    </row>
    <row r="5242" spans="1:8" x14ac:dyDescent="0.25">
      <c r="A5242" s="4"/>
      <c r="B5242" s="5"/>
      <c r="C5242" s="5"/>
      <c r="D5242" s="5"/>
      <c r="E5242" s="5"/>
      <c r="F5242" s="5"/>
      <c r="G5242" s="5"/>
      <c r="H5242" s="5"/>
    </row>
    <row r="5243" spans="1:8" x14ac:dyDescent="0.25">
      <c r="A5243" s="4"/>
      <c r="B5243" s="5"/>
      <c r="C5243" s="5"/>
      <c r="D5243" s="5"/>
      <c r="E5243" s="5"/>
      <c r="F5243" s="5"/>
      <c r="G5243" s="5"/>
      <c r="H5243" s="5"/>
    </row>
    <row r="5244" spans="1:8" x14ac:dyDescent="0.25">
      <c r="A5244" s="4"/>
      <c r="B5244" s="5"/>
      <c r="C5244" s="5"/>
      <c r="D5244" s="5"/>
      <c r="E5244" s="5"/>
      <c r="F5244" s="5"/>
      <c r="G5244" s="5"/>
      <c r="H5244" s="5"/>
    </row>
    <row r="5245" spans="1:8" x14ac:dyDescent="0.25">
      <c r="A5245" s="4"/>
      <c r="B5245" s="5"/>
      <c r="C5245" s="5"/>
      <c r="D5245" s="5"/>
      <c r="E5245" s="5"/>
      <c r="F5245" s="5"/>
      <c r="G5245" s="5"/>
      <c r="H5245" s="5"/>
    </row>
    <row r="5246" spans="1:8" x14ac:dyDescent="0.25">
      <c r="A5246" s="4"/>
      <c r="B5246" s="5"/>
      <c r="C5246" s="5"/>
      <c r="D5246" s="5"/>
      <c r="E5246" s="5"/>
      <c r="F5246" s="5"/>
      <c r="G5246" s="5"/>
      <c r="H5246" s="5"/>
    </row>
    <row r="5247" spans="1:8" x14ac:dyDescent="0.25">
      <c r="A5247" s="4"/>
      <c r="B5247" s="5"/>
      <c r="C5247" s="5"/>
      <c r="D5247" s="5"/>
      <c r="E5247" s="5"/>
      <c r="F5247" s="5"/>
      <c r="G5247" s="5"/>
      <c r="H5247" s="5"/>
    </row>
    <row r="5248" spans="1:8" x14ac:dyDescent="0.25">
      <c r="A5248" s="4"/>
      <c r="B5248" s="5"/>
      <c r="C5248" s="5"/>
      <c r="D5248" s="5"/>
      <c r="E5248" s="5"/>
      <c r="F5248" s="5"/>
      <c r="G5248" s="5"/>
      <c r="H5248" s="5"/>
    </row>
    <row r="5249" spans="1:8" x14ac:dyDescent="0.25">
      <c r="A5249" s="4"/>
      <c r="B5249" s="5"/>
      <c r="C5249" s="5"/>
      <c r="D5249" s="5"/>
      <c r="E5249" s="5"/>
      <c r="F5249" s="5"/>
      <c r="G5249" s="5"/>
      <c r="H5249" s="5"/>
    </row>
    <row r="5250" spans="1:8" x14ac:dyDescent="0.25">
      <c r="A5250" s="4"/>
      <c r="B5250" s="5"/>
      <c r="C5250" s="5"/>
      <c r="D5250" s="5"/>
      <c r="E5250" s="5"/>
      <c r="F5250" s="5"/>
      <c r="G5250" s="5"/>
      <c r="H5250" s="5"/>
    </row>
    <row r="5251" spans="1:8" x14ac:dyDescent="0.25">
      <c r="A5251" s="4"/>
      <c r="B5251" s="5"/>
      <c r="C5251" s="5"/>
      <c r="D5251" s="5"/>
      <c r="E5251" s="5"/>
      <c r="F5251" s="5"/>
      <c r="G5251" s="5"/>
      <c r="H5251" s="5"/>
    </row>
    <row r="5252" spans="1:8" x14ac:dyDescent="0.25">
      <c r="A5252" s="4"/>
      <c r="B5252" s="5"/>
      <c r="C5252" s="5"/>
      <c r="D5252" s="5"/>
      <c r="E5252" s="5"/>
      <c r="F5252" s="5"/>
      <c r="G5252" s="5"/>
      <c r="H5252" s="5"/>
    </row>
    <row r="5253" spans="1:8" x14ac:dyDescent="0.25">
      <c r="A5253" s="4"/>
      <c r="B5253" s="5"/>
      <c r="C5253" s="5"/>
      <c r="D5253" s="5"/>
      <c r="E5253" s="5"/>
      <c r="F5253" s="5"/>
      <c r="G5253" s="5"/>
      <c r="H5253" s="5"/>
    </row>
    <row r="5254" spans="1:8" x14ac:dyDescent="0.25">
      <c r="A5254" s="4"/>
      <c r="B5254" s="5"/>
      <c r="C5254" s="5"/>
      <c r="D5254" s="5"/>
      <c r="E5254" s="5"/>
      <c r="F5254" s="5"/>
      <c r="G5254" s="5"/>
      <c r="H5254" s="5"/>
    </row>
    <row r="5255" spans="1:8" x14ac:dyDescent="0.25">
      <c r="A5255" s="4"/>
      <c r="B5255" s="5"/>
      <c r="C5255" s="5"/>
      <c r="D5255" s="5"/>
      <c r="E5255" s="5"/>
      <c r="F5255" s="5"/>
      <c r="G5255" s="5"/>
      <c r="H5255" s="5"/>
    </row>
    <row r="5256" spans="1:8" x14ac:dyDescent="0.25">
      <c r="A5256" s="4"/>
      <c r="B5256" s="5"/>
      <c r="C5256" s="5"/>
      <c r="D5256" s="5"/>
      <c r="E5256" s="5"/>
      <c r="F5256" s="5"/>
      <c r="G5256" s="5"/>
      <c r="H5256" s="5"/>
    </row>
    <row r="5257" spans="1:8" x14ac:dyDescent="0.25">
      <c r="A5257" s="4"/>
      <c r="B5257" s="5"/>
      <c r="C5257" s="5"/>
      <c r="D5257" s="5"/>
      <c r="E5257" s="5"/>
      <c r="F5257" s="5"/>
      <c r="G5257" s="5"/>
      <c r="H5257" s="5"/>
    </row>
    <row r="5258" spans="1:8" x14ac:dyDescent="0.25">
      <c r="A5258" s="4"/>
      <c r="B5258" s="5"/>
      <c r="C5258" s="5"/>
      <c r="D5258" s="5"/>
      <c r="E5258" s="5"/>
      <c r="F5258" s="5"/>
      <c r="G5258" s="5"/>
      <c r="H5258" s="5"/>
    </row>
    <row r="5259" spans="1:8" x14ac:dyDescent="0.25">
      <c r="A5259" s="4"/>
      <c r="B5259" s="5"/>
      <c r="C5259" s="5"/>
      <c r="D5259" s="5"/>
      <c r="E5259" s="5"/>
      <c r="F5259" s="5"/>
      <c r="G5259" s="5"/>
      <c r="H5259" s="5"/>
    </row>
    <row r="5260" spans="1:8" x14ac:dyDescent="0.25">
      <c r="A5260" s="4"/>
      <c r="B5260" s="5"/>
      <c r="C5260" s="5"/>
      <c r="D5260" s="5"/>
      <c r="E5260" s="5"/>
      <c r="F5260" s="5"/>
      <c r="G5260" s="5"/>
      <c r="H5260" s="5"/>
    </row>
    <row r="5261" spans="1:8" x14ac:dyDescent="0.25">
      <c r="A5261" s="4"/>
      <c r="B5261" s="5"/>
      <c r="C5261" s="5"/>
      <c r="D5261" s="5"/>
      <c r="E5261" s="5"/>
      <c r="F5261" s="5"/>
      <c r="G5261" s="5"/>
      <c r="H5261" s="5"/>
    </row>
    <row r="5262" spans="1:8" x14ac:dyDescent="0.25">
      <c r="A5262" s="4"/>
      <c r="B5262" s="5"/>
      <c r="C5262" s="5"/>
      <c r="D5262" s="5"/>
      <c r="E5262" s="5"/>
      <c r="F5262" s="5"/>
      <c r="G5262" s="5"/>
      <c r="H5262" s="5"/>
    </row>
    <row r="5263" spans="1:8" x14ac:dyDescent="0.25">
      <c r="A5263" s="4"/>
      <c r="B5263" s="5"/>
      <c r="C5263" s="5"/>
      <c r="D5263" s="5"/>
      <c r="E5263" s="5"/>
      <c r="F5263" s="5"/>
      <c r="G5263" s="5"/>
      <c r="H5263" s="5"/>
    </row>
    <row r="5264" spans="1:8" x14ac:dyDescent="0.25">
      <c r="A5264" s="4"/>
      <c r="B5264" s="5"/>
      <c r="C5264" s="5"/>
      <c r="D5264" s="5"/>
      <c r="E5264" s="5"/>
      <c r="F5264" s="5"/>
      <c r="G5264" s="5"/>
      <c r="H5264" s="5"/>
    </row>
    <row r="5265" spans="1:8" x14ac:dyDescent="0.25">
      <c r="A5265" s="4"/>
      <c r="B5265" s="5"/>
      <c r="C5265" s="5"/>
      <c r="D5265" s="5"/>
      <c r="E5265" s="5"/>
      <c r="F5265" s="5"/>
      <c r="G5265" s="5"/>
      <c r="H5265" s="5"/>
    </row>
    <row r="5266" spans="1:8" x14ac:dyDescent="0.25">
      <c r="A5266" s="4"/>
      <c r="B5266" s="5"/>
      <c r="C5266" s="5"/>
      <c r="D5266" s="5"/>
      <c r="E5266" s="5"/>
      <c r="F5266" s="5"/>
      <c r="G5266" s="5"/>
      <c r="H5266" s="5"/>
    </row>
    <row r="5267" spans="1:8" x14ac:dyDescent="0.25">
      <c r="A5267" s="4"/>
      <c r="B5267" s="5"/>
      <c r="C5267" s="5"/>
      <c r="D5267" s="5"/>
      <c r="E5267" s="5"/>
      <c r="F5267" s="5"/>
      <c r="G5267" s="5"/>
      <c r="H5267" s="5"/>
    </row>
    <row r="5268" spans="1:8" x14ac:dyDescent="0.25">
      <c r="A5268" s="4"/>
      <c r="B5268" s="5"/>
      <c r="C5268" s="5"/>
      <c r="D5268" s="5"/>
      <c r="E5268" s="5"/>
      <c r="F5268" s="5"/>
      <c r="G5268" s="5"/>
      <c r="H5268" s="5"/>
    </row>
    <row r="5269" spans="1:8" x14ac:dyDescent="0.25">
      <c r="A5269" s="4"/>
      <c r="B5269" s="5"/>
      <c r="C5269" s="5"/>
      <c r="D5269" s="5"/>
      <c r="E5269" s="5"/>
      <c r="F5269" s="5"/>
      <c r="G5269" s="5"/>
      <c r="H5269" s="5"/>
    </row>
    <row r="5270" spans="1:8" x14ac:dyDescent="0.25">
      <c r="A5270" s="4"/>
      <c r="B5270" s="5"/>
      <c r="C5270" s="5"/>
      <c r="D5270" s="5"/>
      <c r="E5270" s="5"/>
      <c r="F5270" s="5"/>
      <c r="G5270" s="5"/>
      <c r="H5270" s="5"/>
    </row>
    <row r="5271" spans="1:8" x14ac:dyDescent="0.25">
      <c r="A5271" s="4"/>
      <c r="B5271" s="5"/>
      <c r="C5271" s="5"/>
      <c r="D5271" s="5"/>
      <c r="E5271" s="5"/>
      <c r="F5271" s="5"/>
      <c r="G5271" s="5"/>
      <c r="H5271" s="5"/>
    </row>
    <row r="5272" spans="1:8" x14ac:dyDescent="0.25">
      <c r="A5272" s="4"/>
      <c r="B5272" s="5"/>
      <c r="C5272" s="5"/>
      <c r="D5272" s="5"/>
      <c r="E5272" s="5"/>
      <c r="F5272" s="5"/>
      <c r="G5272" s="5"/>
      <c r="H5272" s="5"/>
    </row>
    <row r="5273" spans="1:8" x14ac:dyDescent="0.25">
      <c r="A5273" s="4"/>
      <c r="B5273" s="5"/>
      <c r="C5273" s="5"/>
      <c r="D5273" s="5"/>
      <c r="E5273" s="5"/>
      <c r="F5273" s="5"/>
      <c r="G5273" s="5"/>
      <c r="H5273" s="5"/>
    </row>
    <row r="5274" spans="1:8" x14ac:dyDescent="0.25">
      <c r="A5274" s="4"/>
      <c r="B5274" s="5"/>
      <c r="C5274" s="5"/>
      <c r="D5274" s="5"/>
      <c r="E5274" s="5"/>
      <c r="F5274" s="5"/>
      <c r="G5274" s="5"/>
      <c r="H5274" s="5"/>
    </row>
    <row r="5275" spans="1:8" x14ac:dyDescent="0.25">
      <c r="A5275" s="4"/>
      <c r="B5275" s="5"/>
      <c r="C5275" s="5"/>
      <c r="D5275" s="5"/>
      <c r="E5275" s="5"/>
      <c r="F5275" s="5"/>
      <c r="G5275" s="5"/>
      <c r="H5275" s="5"/>
    </row>
    <row r="5276" spans="1:8" x14ac:dyDescent="0.25">
      <c r="A5276" s="4"/>
      <c r="B5276" s="5"/>
      <c r="C5276" s="5"/>
      <c r="D5276" s="5"/>
      <c r="E5276" s="5"/>
      <c r="F5276" s="5"/>
      <c r="G5276" s="5"/>
      <c r="H5276" s="5"/>
    </row>
    <row r="5277" spans="1:8" x14ac:dyDescent="0.25">
      <c r="A5277" s="4"/>
      <c r="B5277" s="5"/>
      <c r="C5277" s="5"/>
      <c r="D5277" s="5"/>
      <c r="E5277" s="5"/>
      <c r="F5277" s="5"/>
      <c r="G5277" s="5"/>
      <c r="H5277" s="5"/>
    </row>
    <row r="5278" spans="1:8" x14ac:dyDescent="0.25">
      <c r="A5278" s="4"/>
      <c r="B5278" s="5"/>
      <c r="C5278" s="5"/>
      <c r="D5278" s="5"/>
      <c r="E5278" s="5"/>
      <c r="F5278" s="5"/>
      <c r="G5278" s="5"/>
      <c r="H5278" s="5"/>
    </row>
    <row r="5279" spans="1:8" x14ac:dyDescent="0.25">
      <c r="A5279" s="4"/>
      <c r="B5279" s="5"/>
      <c r="C5279" s="5"/>
      <c r="D5279" s="5"/>
      <c r="E5279" s="5"/>
      <c r="F5279" s="5"/>
      <c r="G5279" s="5"/>
      <c r="H5279" s="5"/>
    </row>
    <row r="5280" spans="1:8" x14ac:dyDescent="0.25">
      <c r="A5280" s="4"/>
      <c r="B5280" s="5"/>
      <c r="C5280" s="5"/>
      <c r="D5280" s="5"/>
      <c r="E5280" s="5"/>
      <c r="F5280" s="5"/>
      <c r="G5280" s="5"/>
      <c r="H5280" s="5"/>
    </row>
    <row r="5281" spans="1:8" x14ac:dyDescent="0.25">
      <c r="A5281" s="4"/>
      <c r="B5281" s="5"/>
      <c r="C5281" s="5"/>
      <c r="D5281" s="5"/>
      <c r="E5281" s="5"/>
      <c r="F5281" s="5"/>
      <c r="G5281" s="5"/>
      <c r="H5281" s="5"/>
    </row>
    <row r="5282" spans="1:8" x14ac:dyDescent="0.25">
      <c r="A5282" s="4"/>
      <c r="B5282" s="5"/>
      <c r="C5282" s="5"/>
      <c r="D5282" s="5"/>
      <c r="E5282" s="5"/>
      <c r="F5282" s="5"/>
      <c r="G5282" s="5"/>
      <c r="H5282" s="5"/>
    </row>
    <row r="5283" spans="1:8" x14ac:dyDescent="0.25">
      <c r="A5283" s="4"/>
      <c r="B5283" s="5"/>
      <c r="C5283" s="5"/>
      <c r="D5283" s="5"/>
      <c r="E5283" s="5"/>
      <c r="F5283" s="5"/>
      <c r="G5283" s="5"/>
      <c r="H5283" s="5"/>
    </row>
    <row r="5284" spans="1:8" x14ac:dyDescent="0.25">
      <c r="A5284" s="4"/>
      <c r="B5284" s="5"/>
      <c r="C5284" s="5"/>
      <c r="D5284" s="5"/>
      <c r="E5284" s="5"/>
      <c r="F5284" s="5"/>
      <c r="G5284" s="5"/>
      <c r="H5284" s="5"/>
    </row>
    <row r="5285" spans="1:8" x14ac:dyDescent="0.25">
      <c r="A5285" s="4"/>
      <c r="B5285" s="5"/>
      <c r="C5285" s="5"/>
      <c r="D5285" s="5"/>
      <c r="E5285" s="5"/>
      <c r="F5285" s="5"/>
      <c r="G5285" s="5"/>
      <c r="H5285" s="5"/>
    </row>
    <row r="5286" spans="1:8" x14ac:dyDescent="0.25">
      <c r="A5286" s="4"/>
      <c r="B5286" s="5"/>
      <c r="C5286" s="5"/>
      <c r="D5286" s="5"/>
      <c r="E5286" s="5"/>
      <c r="F5286" s="5"/>
      <c r="G5286" s="5"/>
      <c r="H5286" s="5"/>
    </row>
    <row r="5287" spans="1:8" x14ac:dyDescent="0.25">
      <c r="A5287" s="4"/>
      <c r="B5287" s="5"/>
      <c r="C5287" s="5"/>
      <c r="D5287" s="5"/>
      <c r="E5287" s="5"/>
      <c r="F5287" s="5"/>
      <c r="G5287" s="5"/>
      <c r="H5287" s="5"/>
    </row>
    <row r="5288" spans="1:8" x14ac:dyDescent="0.25">
      <c r="A5288" s="4"/>
      <c r="B5288" s="5"/>
      <c r="C5288" s="5"/>
      <c r="D5288" s="5"/>
      <c r="E5288" s="5"/>
      <c r="F5288" s="5"/>
      <c r="G5288" s="5"/>
      <c r="H5288" s="5"/>
    </row>
    <row r="5289" spans="1:8" x14ac:dyDescent="0.25">
      <c r="A5289" s="4"/>
      <c r="B5289" s="5"/>
      <c r="C5289" s="5"/>
      <c r="D5289" s="5"/>
      <c r="E5289" s="5"/>
      <c r="F5289" s="5"/>
      <c r="G5289" s="5"/>
      <c r="H5289" s="5"/>
    </row>
    <row r="5290" spans="1:8" x14ac:dyDescent="0.25">
      <c r="A5290" s="4"/>
      <c r="B5290" s="5"/>
      <c r="C5290" s="5"/>
      <c r="D5290" s="5"/>
      <c r="E5290" s="5"/>
      <c r="F5290" s="5"/>
      <c r="G5290" s="5"/>
      <c r="H5290" s="5"/>
    </row>
    <row r="5291" spans="1:8" x14ac:dyDescent="0.25">
      <c r="A5291" s="4"/>
      <c r="B5291" s="5"/>
      <c r="C5291" s="5"/>
      <c r="D5291" s="5"/>
      <c r="E5291" s="5"/>
      <c r="F5291" s="5"/>
      <c r="G5291" s="5"/>
      <c r="H5291" s="5"/>
    </row>
    <row r="5292" spans="1:8" x14ac:dyDescent="0.25">
      <c r="A5292" s="4"/>
      <c r="B5292" s="5"/>
      <c r="C5292" s="5"/>
      <c r="D5292" s="5"/>
      <c r="E5292" s="5"/>
      <c r="F5292" s="5"/>
      <c r="G5292" s="5"/>
      <c r="H5292" s="5"/>
    </row>
    <row r="5293" spans="1:8" x14ac:dyDescent="0.25">
      <c r="A5293" s="4"/>
      <c r="B5293" s="5"/>
      <c r="C5293" s="5"/>
      <c r="D5293" s="5"/>
      <c r="E5293" s="5"/>
      <c r="F5293" s="5"/>
      <c r="G5293" s="5"/>
      <c r="H5293" s="5"/>
    </row>
    <row r="5294" spans="1:8" x14ac:dyDescent="0.25">
      <c r="A5294" s="4"/>
      <c r="B5294" s="5"/>
      <c r="C5294" s="5"/>
      <c r="D5294" s="5"/>
      <c r="E5294" s="5"/>
      <c r="F5294" s="5"/>
      <c r="G5294" s="5"/>
      <c r="H5294" s="5"/>
    </row>
    <row r="5295" spans="1:8" x14ac:dyDescent="0.25">
      <c r="A5295" s="4"/>
      <c r="B5295" s="5"/>
      <c r="C5295" s="5"/>
      <c r="D5295" s="5"/>
      <c r="E5295" s="5"/>
      <c r="F5295" s="5"/>
      <c r="G5295" s="5"/>
      <c r="H5295" s="5"/>
    </row>
    <row r="5296" spans="1:8" x14ac:dyDescent="0.25">
      <c r="A5296" s="4"/>
      <c r="B5296" s="5"/>
      <c r="C5296" s="5"/>
      <c r="D5296" s="5"/>
      <c r="E5296" s="5"/>
      <c r="F5296" s="5"/>
      <c r="G5296" s="5"/>
      <c r="H5296" s="5"/>
    </row>
    <row r="5297" spans="1:8" x14ac:dyDescent="0.25">
      <c r="A5297" s="4"/>
      <c r="B5297" s="5"/>
      <c r="C5297" s="5"/>
      <c r="D5297" s="5"/>
      <c r="E5297" s="5"/>
      <c r="F5297" s="5"/>
      <c r="G5297" s="5"/>
      <c r="H5297" s="5"/>
    </row>
    <row r="5298" spans="1:8" x14ac:dyDescent="0.25">
      <c r="A5298" s="4"/>
      <c r="B5298" s="5"/>
      <c r="C5298" s="5"/>
      <c r="D5298" s="5"/>
      <c r="E5298" s="5"/>
      <c r="F5298" s="5"/>
      <c r="G5298" s="5"/>
      <c r="H5298" s="5"/>
    </row>
    <row r="5299" spans="1:8" x14ac:dyDescent="0.25">
      <c r="A5299" s="4"/>
      <c r="B5299" s="5"/>
      <c r="C5299" s="5"/>
      <c r="D5299" s="5"/>
      <c r="E5299" s="5"/>
      <c r="F5299" s="5"/>
      <c r="G5299" s="5"/>
      <c r="H5299" s="5"/>
    </row>
    <row r="5300" spans="1:8" x14ac:dyDescent="0.25">
      <c r="A5300" s="4"/>
      <c r="B5300" s="5"/>
      <c r="C5300" s="5"/>
      <c r="D5300" s="5"/>
      <c r="E5300" s="5"/>
      <c r="F5300" s="5"/>
      <c r="G5300" s="5"/>
      <c r="H5300" s="5"/>
    </row>
    <row r="5301" spans="1:8" x14ac:dyDescent="0.25">
      <c r="A5301" s="4"/>
      <c r="B5301" s="5"/>
      <c r="C5301" s="5"/>
      <c r="D5301" s="5"/>
      <c r="E5301" s="5"/>
      <c r="F5301" s="5"/>
      <c r="G5301" s="5"/>
      <c r="H5301" s="5"/>
    </row>
    <row r="5302" spans="1:8" x14ac:dyDescent="0.25">
      <c r="A5302" s="4"/>
      <c r="B5302" s="5"/>
      <c r="C5302" s="5"/>
      <c r="D5302" s="5"/>
      <c r="E5302" s="5"/>
      <c r="F5302" s="5"/>
      <c r="G5302" s="5"/>
      <c r="H5302" s="5"/>
    </row>
    <row r="5303" spans="1:8" x14ac:dyDescent="0.25">
      <c r="A5303" s="4"/>
      <c r="B5303" s="5"/>
      <c r="C5303" s="5"/>
      <c r="D5303" s="5"/>
      <c r="E5303" s="5"/>
      <c r="F5303" s="5"/>
      <c r="G5303" s="5"/>
      <c r="H5303" s="5"/>
    </row>
    <row r="5304" spans="1:8" x14ac:dyDescent="0.25">
      <c r="A5304" s="4"/>
      <c r="B5304" s="5"/>
      <c r="C5304" s="5"/>
      <c r="D5304" s="5"/>
      <c r="E5304" s="5"/>
      <c r="F5304" s="5"/>
      <c r="G5304" s="5"/>
      <c r="H5304" s="5"/>
    </row>
    <row r="5305" spans="1:8" x14ac:dyDescent="0.25">
      <c r="A5305" s="4"/>
      <c r="B5305" s="5"/>
      <c r="C5305" s="5"/>
      <c r="D5305" s="5"/>
      <c r="E5305" s="5"/>
      <c r="F5305" s="5"/>
      <c r="G5305" s="5"/>
      <c r="H5305" s="5"/>
    </row>
    <row r="5306" spans="1:8" x14ac:dyDescent="0.25">
      <c r="A5306" s="4"/>
      <c r="B5306" s="5"/>
      <c r="C5306" s="5"/>
      <c r="D5306" s="5"/>
      <c r="E5306" s="5"/>
      <c r="F5306" s="5"/>
      <c r="G5306" s="5"/>
      <c r="H5306" s="5"/>
    </row>
    <row r="5307" spans="1:8" x14ac:dyDescent="0.25">
      <c r="A5307" s="4"/>
      <c r="B5307" s="5"/>
      <c r="C5307" s="5"/>
      <c r="D5307" s="5"/>
      <c r="E5307" s="5"/>
      <c r="F5307" s="5"/>
      <c r="G5307" s="5"/>
      <c r="H5307" s="5"/>
    </row>
    <row r="5308" spans="1:8" x14ac:dyDescent="0.25">
      <c r="A5308" s="4"/>
      <c r="B5308" s="5"/>
      <c r="C5308" s="5"/>
      <c r="D5308" s="5"/>
      <c r="E5308" s="5"/>
      <c r="F5308" s="5"/>
      <c r="G5308" s="5"/>
      <c r="H5308" s="5"/>
    </row>
    <row r="5309" spans="1:8" x14ac:dyDescent="0.25">
      <c r="A5309" s="4"/>
      <c r="B5309" s="5"/>
      <c r="C5309" s="5"/>
      <c r="D5309" s="5"/>
      <c r="E5309" s="5"/>
      <c r="F5309" s="5"/>
      <c r="G5309" s="5"/>
      <c r="H5309" s="5"/>
    </row>
    <row r="5310" spans="1:8" x14ac:dyDescent="0.25">
      <c r="A5310" s="4"/>
      <c r="B5310" s="5"/>
      <c r="C5310" s="5"/>
      <c r="D5310" s="5"/>
      <c r="E5310" s="5"/>
      <c r="F5310" s="5"/>
      <c r="G5310" s="5"/>
      <c r="H5310" s="5"/>
    </row>
    <row r="5311" spans="1:8" x14ac:dyDescent="0.25">
      <c r="A5311" s="4"/>
      <c r="B5311" s="5"/>
      <c r="C5311" s="5"/>
      <c r="D5311" s="5"/>
      <c r="E5311" s="5"/>
      <c r="F5311" s="5"/>
      <c r="G5311" s="5"/>
      <c r="H5311" s="5"/>
    </row>
    <row r="5312" spans="1:8" x14ac:dyDescent="0.25">
      <c r="A5312" s="4"/>
      <c r="B5312" s="5"/>
      <c r="C5312" s="5"/>
      <c r="D5312" s="5"/>
      <c r="E5312" s="5"/>
      <c r="F5312" s="5"/>
      <c r="G5312" s="5"/>
      <c r="H5312" s="5"/>
    </row>
    <row r="5313" spans="1:8" x14ac:dyDescent="0.25">
      <c r="A5313" s="4"/>
      <c r="B5313" s="5"/>
      <c r="C5313" s="5"/>
      <c r="D5313" s="5"/>
      <c r="E5313" s="5"/>
      <c r="F5313" s="5"/>
      <c r="G5313" s="5"/>
      <c r="H5313" s="5"/>
    </row>
    <row r="5314" spans="1:8" x14ac:dyDescent="0.25">
      <c r="A5314" s="4"/>
      <c r="B5314" s="5"/>
      <c r="C5314" s="5"/>
      <c r="D5314" s="5"/>
      <c r="E5314" s="5"/>
      <c r="F5314" s="5"/>
      <c r="G5314" s="5"/>
      <c r="H5314" s="5"/>
    </row>
    <row r="5315" spans="1:8" x14ac:dyDescent="0.25">
      <c r="A5315" s="4"/>
      <c r="B5315" s="5"/>
      <c r="C5315" s="5"/>
      <c r="D5315" s="5"/>
      <c r="E5315" s="5"/>
      <c r="F5315" s="5"/>
      <c r="G5315" s="5"/>
      <c r="H5315" s="5"/>
    </row>
    <row r="5316" spans="1:8" x14ac:dyDescent="0.25">
      <c r="A5316" s="4"/>
      <c r="B5316" s="5"/>
      <c r="C5316" s="5"/>
      <c r="D5316" s="5"/>
      <c r="E5316" s="5"/>
      <c r="F5316" s="5"/>
      <c r="G5316" s="5"/>
      <c r="H5316" s="5"/>
    </row>
    <row r="5317" spans="1:8" x14ac:dyDescent="0.25">
      <c r="A5317" s="4"/>
      <c r="B5317" s="5"/>
      <c r="C5317" s="5"/>
      <c r="D5317" s="5"/>
      <c r="E5317" s="5"/>
      <c r="F5317" s="5"/>
      <c r="G5317" s="5"/>
      <c r="H5317" s="5"/>
    </row>
    <row r="5318" spans="1:8" x14ac:dyDescent="0.25">
      <c r="A5318" s="4"/>
      <c r="B5318" s="5"/>
      <c r="C5318" s="5"/>
      <c r="D5318" s="5"/>
      <c r="E5318" s="5"/>
      <c r="F5318" s="5"/>
      <c r="G5318" s="5"/>
      <c r="H5318" s="5"/>
    </row>
    <row r="5319" spans="1:8" x14ac:dyDescent="0.25">
      <c r="A5319" s="4"/>
      <c r="B5319" s="5"/>
      <c r="C5319" s="5"/>
      <c r="D5319" s="5"/>
      <c r="E5319" s="5"/>
      <c r="F5319" s="5"/>
      <c r="G5319" s="5"/>
      <c r="H5319" s="5"/>
    </row>
    <row r="5320" spans="1:8" x14ac:dyDescent="0.25">
      <c r="A5320" s="4"/>
      <c r="B5320" s="5"/>
      <c r="C5320" s="5"/>
      <c r="D5320" s="5"/>
      <c r="E5320" s="5"/>
      <c r="F5320" s="5"/>
      <c r="G5320" s="5"/>
      <c r="H5320" s="5"/>
    </row>
    <row r="5321" spans="1:8" x14ac:dyDescent="0.25">
      <c r="A5321" s="4"/>
      <c r="B5321" s="5"/>
      <c r="C5321" s="5"/>
      <c r="D5321" s="5"/>
      <c r="E5321" s="5"/>
      <c r="F5321" s="5"/>
      <c r="G5321" s="5"/>
      <c r="H5321" s="5"/>
    </row>
    <row r="5322" spans="1:8" x14ac:dyDescent="0.25">
      <c r="A5322" s="4"/>
      <c r="B5322" s="5"/>
      <c r="C5322" s="5"/>
      <c r="D5322" s="5"/>
      <c r="E5322" s="5"/>
      <c r="F5322" s="5"/>
      <c r="G5322" s="5"/>
      <c r="H5322" s="5"/>
    </row>
    <row r="5323" spans="1:8" x14ac:dyDescent="0.25">
      <c r="A5323" s="4"/>
      <c r="B5323" s="5"/>
      <c r="C5323" s="5"/>
      <c r="D5323" s="5"/>
      <c r="E5323" s="5"/>
      <c r="F5323" s="5"/>
      <c r="G5323" s="5"/>
      <c r="H5323" s="5"/>
    </row>
    <row r="5324" spans="1:8" x14ac:dyDescent="0.25">
      <c r="A5324" s="4"/>
      <c r="B5324" s="5"/>
      <c r="C5324" s="5"/>
      <c r="D5324" s="5"/>
      <c r="E5324" s="5"/>
      <c r="F5324" s="5"/>
      <c r="G5324" s="5"/>
      <c r="H5324" s="5"/>
    </row>
    <row r="5325" spans="1:8" x14ac:dyDescent="0.25">
      <c r="A5325" s="4"/>
      <c r="B5325" s="5"/>
      <c r="C5325" s="5"/>
      <c r="D5325" s="5"/>
      <c r="E5325" s="5"/>
      <c r="F5325" s="5"/>
      <c r="G5325" s="5"/>
      <c r="H5325" s="5"/>
    </row>
    <row r="5326" spans="1:8" x14ac:dyDescent="0.25">
      <c r="A5326" s="4"/>
      <c r="B5326" s="5"/>
      <c r="C5326" s="5"/>
      <c r="D5326" s="5"/>
      <c r="E5326" s="5"/>
      <c r="F5326" s="5"/>
      <c r="G5326" s="5"/>
      <c r="H5326" s="5"/>
    </row>
    <row r="5327" spans="1:8" x14ac:dyDescent="0.25">
      <c r="A5327" s="4"/>
      <c r="B5327" s="5"/>
      <c r="C5327" s="5"/>
      <c r="D5327" s="5"/>
      <c r="E5327" s="5"/>
      <c r="F5327" s="5"/>
      <c r="G5327" s="5"/>
      <c r="H5327" s="5"/>
    </row>
    <row r="5328" spans="1:8" x14ac:dyDescent="0.25">
      <c r="A5328" s="4"/>
      <c r="B5328" s="5"/>
      <c r="C5328" s="5"/>
      <c r="D5328" s="5"/>
      <c r="E5328" s="5"/>
      <c r="F5328" s="5"/>
      <c r="G5328" s="5"/>
      <c r="H5328" s="5"/>
    </row>
    <row r="5329" spans="1:8" x14ac:dyDescent="0.25">
      <c r="A5329" s="4"/>
      <c r="B5329" s="5"/>
      <c r="C5329" s="5"/>
      <c r="D5329" s="5"/>
      <c r="E5329" s="5"/>
      <c r="F5329" s="5"/>
      <c r="G5329" s="5"/>
      <c r="H5329" s="5"/>
    </row>
    <row r="5330" spans="1:8" x14ac:dyDescent="0.25">
      <c r="A5330" s="4"/>
      <c r="B5330" s="5"/>
      <c r="C5330" s="5"/>
      <c r="D5330" s="5"/>
      <c r="E5330" s="5"/>
      <c r="F5330" s="5"/>
      <c r="G5330" s="5"/>
      <c r="H5330" s="5"/>
    </row>
    <row r="5331" spans="1:8" x14ac:dyDescent="0.25">
      <c r="A5331" s="4"/>
      <c r="B5331" s="5"/>
      <c r="C5331" s="5"/>
      <c r="D5331" s="5"/>
      <c r="E5331" s="5"/>
      <c r="F5331" s="5"/>
      <c r="G5331" s="5"/>
      <c r="H5331" s="5"/>
    </row>
    <row r="5332" spans="1:8" x14ac:dyDescent="0.25">
      <c r="A5332" s="4"/>
      <c r="B5332" s="5"/>
      <c r="C5332" s="5"/>
      <c r="D5332" s="5"/>
      <c r="E5332" s="5"/>
      <c r="F5332" s="5"/>
      <c r="G5332" s="5"/>
      <c r="H5332" s="5"/>
    </row>
    <row r="5333" spans="1:8" x14ac:dyDescent="0.25">
      <c r="A5333" s="4"/>
      <c r="B5333" s="5"/>
      <c r="C5333" s="5"/>
      <c r="D5333" s="5"/>
      <c r="E5333" s="5"/>
      <c r="F5333" s="5"/>
      <c r="G5333" s="5"/>
      <c r="H5333" s="5"/>
    </row>
    <row r="5334" spans="1:8" x14ac:dyDescent="0.25">
      <c r="A5334" s="4"/>
      <c r="B5334" s="5"/>
      <c r="C5334" s="5"/>
      <c r="D5334" s="5"/>
      <c r="E5334" s="5"/>
      <c r="F5334" s="5"/>
      <c r="G5334" s="5"/>
      <c r="H5334" s="5"/>
    </row>
    <row r="5335" spans="1:8" x14ac:dyDescent="0.25">
      <c r="A5335" s="4"/>
      <c r="B5335" s="5"/>
      <c r="C5335" s="5"/>
      <c r="D5335" s="5"/>
      <c r="E5335" s="5"/>
      <c r="F5335" s="5"/>
      <c r="G5335" s="5"/>
      <c r="H5335" s="5"/>
    </row>
    <row r="5336" spans="1:8" x14ac:dyDescent="0.25">
      <c r="A5336" s="4"/>
      <c r="B5336" s="5"/>
      <c r="C5336" s="5"/>
      <c r="D5336" s="5"/>
      <c r="E5336" s="5"/>
      <c r="F5336" s="5"/>
      <c r="G5336" s="5"/>
      <c r="H5336" s="5"/>
    </row>
    <row r="5337" spans="1:8" x14ac:dyDescent="0.25">
      <c r="A5337" s="4"/>
      <c r="B5337" s="5"/>
      <c r="C5337" s="5"/>
      <c r="D5337" s="5"/>
      <c r="E5337" s="5"/>
      <c r="F5337" s="5"/>
      <c r="G5337" s="5"/>
      <c r="H5337" s="5"/>
    </row>
    <row r="5338" spans="1:8" x14ac:dyDescent="0.25">
      <c r="A5338" s="4"/>
      <c r="B5338" s="5"/>
      <c r="C5338" s="5"/>
      <c r="D5338" s="5"/>
      <c r="E5338" s="5"/>
      <c r="F5338" s="5"/>
      <c r="G5338" s="5"/>
      <c r="H5338" s="5"/>
    </row>
    <row r="5339" spans="1:8" x14ac:dyDescent="0.25">
      <c r="A5339" s="4"/>
      <c r="B5339" s="5"/>
      <c r="C5339" s="5"/>
      <c r="D5339" s="5"/>
      <c r="E5339" s="5"/>
      <c r="F5339" s="5"/>
      <c r="G5339" s="5"/>
      <c r="H5339" s="5"/>
    </row>
    <row r="5340" spans="1:8" x14ac:dyDescent="0.25">
      <c r="A5340" s="4"/>
      <c r="B5340" s="5"/>
      <c r="C5340" s="5"/>
      <c r="D5340" s="5"/>
      <c r="E5340" s="5"/>
      <c r="F5340" s="5"/>
      <c r="G5340" s="5"/>
      <c r="H5340" s="5"/>
    </row>
    <row r="5341" spans="1:8" x14ac:dyDescent="0.25">
      <c r="A5341" s="4"/>
      <c r="B5341" s="5"/>
      <c r="C5341" s="5"/>
      <c r="D5341" s="5"/>
      <c r="E5341" s="5"/>
      <c r="F5341" s="5"/>
      <c r="G5341" s="5"/>
      <c r="H5341" s="5"/>
    </row>
    <row r="5342" spans="1:8" x14ac:dyDescent="0.25">
      <c r="A5342" s="4"/>
      <c r="B5342" s="5"/>
      <c r="C5342" s="5"/>
      <c r="D5342" s="5"/>
      <c r="E5342" s="5"/>
      <c r="F5342" s="5"/>
      <c r="G5342" s="5"/>
      <c r="H5342" s="5"/>
    </row>
    <row r="5343" spans="1:8" x14ac:dyDescent="0.25">
      <c r="A5343" s="4"/>
      <c r="B5343" s="5"/>
      <c r="C5343" s="5"/>
      <c r="D5343" s="5"/>
      <c r="E5343" s="5"/>
      <c r="F5343" s="5"/>
      <c r="G5343" s="5"/>
      <c r="H5343" s="5"/>
    </row>
    <row r="5344" spans="1:8" x14ac:dyDescent="0.25">
      <c r="A5344" s="4"/>
      <c r="B5344" s="5"/>
      <c r="C5344" s="5"/>
      <c r="D5344" s="5"/>
      <c r="E5344" s="5"/>
      <c r="F5344" s="5"/>
      <c r="G5344" s="5"/>
      <c r="H5344" s="5"/>
    </row>
    <row r="5345" spans="1:8" x14ac:dyDescent="0.25">
      <c r="A5345" s="4"/>
      <c r="B5345" s="5"/>
      <c r="C5345" s="5"/>
      <c r="D5345" s="5"/>
      <c r="E5345" s="5"/>
      <c r="F5345" s="5"/>
      <c r="G5345" s="5"/>
      <c r="H5345" s="5"/>
    </row>
    <row r="5346" spans="1:8" x14ac:dyDescent="0.25">
      <c r="A5346" s="4"/>
      <c r="B5346" s="5"/>
      <c r="C5346" s="5"/>
      <c r="D5346" s="5"/>
      <c r="E5346" s="5"/>
      <c r="F5346" s="5"/>
      <c r="G5346" s="5"/>
      <c r="H5346" s="5"/>
    </row>
    <row r="5347" spans="1:8" x14ac:dyDescent="0.25">
      <c r="A5347" s="4"/>
      <c r="B5347" s="5"/>
      <c r="C5347" s="5"/>
      <c r="D5347" s="5"/>
      <c r="E5347" s="5"/>
      <c r="F5347" s="5"/>
      <c r="G5347" s="5"/>
      <c r="H5347" s="5"/>
    </row>
    <row r="5348" spans="1:8" x14ac:dyDescent="0.25">
      <c r="A5348" s="4"/>
      <c r="B5348" s="5"/>
      <c r="C5348" s="5"/>
      <c r="D5348" s="5"/>
      <c r="E5348" s="5"/>
      <c r="F5348" s="5"/>
      <c r="G5348" s="5"/>
      <c r="H5348" s="5"/>
    </row>
    <row r="5349" spans="1:8" x14ac:dyDescent="0.25">
      <c r="A5349" s="4"/>
      <c r="B5349" s="5"/>
      <c r="C5349" s="5"/>
      <c r="D5349" s="5"/>
      <c r="E5349" s="5"/>
      <c r="F5349" s="5"/>
      <c r="G5349" s="5"/>
      <c r="H5349" s="5"/>
    </row>
    <row r="5350" spans="1:8" x14ac:dyDescent="0.25">
      <c r="A5350" s="4"/>
      <c r="B5350" s="5"/>
      <c r="C5350" s="5"/>
      <c r="D5350" s="5"/>
      <c r="E5350" s="5"/>
      <c r="F5350" s="5"/>
      <c r="G5350" s="5"/>
      <c r="H5350" s="5"/>
    </row>
    <row r="5351" spans="1:8" x14ac:dyDescent="0.25">
      <c r="A5351" s="4"/>
      <c r="B5351" s="5"/>
      <c r="C5351" s="5"/>
      <c r="D5351" s="5"/>
      <c r="E5351" s="5"/>
      <c r="F5351" s="5"/>
      <c r="G5351" s="5"/>
      <c r="H5351" s="5"/>
    </row>
    <row r="5352" spans="1:8" x14ac:dyDescent="0.25">
      <c r="A5352" s="4"/>
      <c r="B5352" s="5"/>
      <c r="C5352" s="5"/>
      <c r="D5352" s="5"/>
      <c r="E5352" s="5"/>
      <c r="F5352" s="5"/>
      <c r="G5352" s="5"/>
      <c r="H5352" s="5"/>
    </row>
    <row r="5353" spans="1:8" x14ac:dyDescent="0.25">
      <c r="A5353" s="4"/>
      <c r="B5353" s="5"/>
      <c r="C5353" s="5"/>
      <c r="D5353" s="5"/>
      <c r="E5353" s="5"/>
      <c r="F5353" s="5"/>
      <c r="G5353" s="5"/>
      <c r="H5353" s="5"/>
    </row>
    <row r="5354" spans="1:8" x14ac:dyDescent="0.25">
      <c r="A5354" s="4"/>
      <c r="B5354" s="5"/>
      <c r="C5354" s="5"/>
      <c r="D5354" s="5"/>
      <c r="E5354" s="5"/>
      <c r="F5354" s="5"/>
      <c r="G5354" s="5"/>
      <c r="H5354" s="5"/>
    </row>
    <row r="5355" spans="1:8" x14ac:dyDescent="0.25">
      <c r="A5355" s="4"/>
      <c r="B5355" s="5"/>
      <c r="C5355" s="5"/>
      <c r="D5355" s="5"/>
      <c r="E5355" s="5"/>
      <c r="F5355" s="5"/>
      <c r="G5355" s="5"/>
      <c r="H5355" s="5"/>
    </row>
    <row r="5356" spans="1:8" x14ac:dyDescent="0.25">
      <c r="A5356" s="4"/>
      <c r="B5356" s="5"/>
      <c r="C5356" s="5"/>
      <c r="D5356" s="5"/>
      <c r="E5356" s="5"/>
      <c r="F5356" s="5"/>
      <c r="G5356" s="5"/>
      <c r="H5356" s="5"/>
    </row>
    <row r="5357" spans="1:8" x14ac:dyDescent="0.25">
      <c r="A5357" s="4"/>
      <c r="B5357" s="5"/>
      <c r="C5357" s="5"/>
      <c r="D5357" s="5"/>
      <c r="E5357" s="5"/>
      <c r="F5357" s="5"/>
      <c r="G5357" s="5"/>
      <c r="H5357" s="5"/>
    </row>
    <row r="5358" spans="1:8" x14ac:dyDescent="0.25">
      <c r="A5358" s="4"/>
      <c r="B5358" s="5"/>
      <c r="C5358" s="5"/>
      <c r="D5358" s="5"/>
      <c r="E5358" s="5"/>
      <c r="F5358" s="5"/>
      <c r="G5358" s="5"/>
      <c r="H5358" s="5"/>
    </row>
    <row r="5359" spans="1:8" x14ac:dyDescent="0.25">
      <c r="A5359" s="4"/>
      <c r="B5359" s="5"/>
      <c r="C5359" s="5"/>
      <c r="D5359" s="5"/>
      <c r="E5359" s="5"/>
      <c r="F5359" s="5"/>
      <c r="G5359" s="5"/>
      <c r="H5359" s="5"/>
    </row>
    <row r="5360" spans="1:8" x14ac:dyDescent="0.25">
      <c r="A5360" s="4"/>
      <c r="B5360" s="5"/>
      <c r="C5360" s="5"/>
      <c r="D5360" s="5"/>
      <c r="E5360" s="5"/>
      <c r="F5360" s="5"/>
      <c r="G5360" s="5"/>
      <c r="H5360" s="5"/>
    </row>
    <row r="5361" spans="1:8" x14ac:dyDescent="0.25">
      <c r="A5361" s="4"/>
      <c r="B5361" s="5"/>
      <c r="C5361" s="5"/>
      <c r="D5361" s="5"/>
      <c r="E5361" s="5"/>
      <c r="F5361" s="5"/>
      <c r="G5361" s="5"/>
      <c r="H5361" s="5"/>
    </row>
    <row r="5362" spans="1:8" x14ac:dyDescent="0.25">
      <c r="A5362" s="4"/>
      <c r="B5362" s="5"/>
      <c r="C5362" s="5"/>
      <c r="D5362" s="5"/>
      <c r="E5362" s="5"/>
      <c r="F5362" s="5"/>
      <c r="G5362" s="5"/>
      <c r="H5362" s="5"/>
    </row>
    <row r="5363" spans="1:8" x14ac:dyDescent="0.25">
      <c r="A5363" s="4"/>
      <c r="B5363" s="5"/>
      <c r="C5363" s="5"/>
      <c r="D5363" s="5"/>
      <c r="E5363" s="5"/>
      <c r="F5363" s="5"/>
      <c r="G5363" s="5"/>
      <c r="H5363" s="5"/>
    </row>
    <row r="5364" spans="1:8" x14ac:dyDescent="0.25">
      <c r="A5364" s="4"/>
      <c r="B5364" s="5"/>
      <c r="C5364" s="5"/>
      <c r="D5364" s="5"/>
      <c r="E5364" s="5"/>
      <c r="F5364" s="5"/>
      <c r="G5364" s="5"/>
      <c r="H5364" s="5"/>
    </row>
    <row r="5365" spans="1:8" x14ac:dyDescent="0.25">
      <c r="A5365" s="4"/>
      <c r="B5365" s="5"/>
      <c r="C5365" s="5"/>
      <c r="D5365" s="5"/>
      <c r="E5365" s="5"/>
      <c r="F5365" s="5"/>
      <c r="G5365" s="5"/>
      <c r="H5365" s="5"/>
    </row>
    <row r="5366" spans="1:8" x14ac:dyDescent="0.25">
      <c r="A5366" s="4"/>
      <c r="B5366" s="5"/>
      <c r="C5366" s="5"/>
      <c r="D5366" s="5"/>
      <c r="E5366" s="5"/>
      <c r="F5366" s="5"/>
      <c r="G5366" s="5"/>
      <c r="H5366" s="5"/>
    </row>
    <row r="5367" spans="1:8" x14ac:dyDescent="0.25">
      <c r="A5367" s="4"/>
      <c r="B5367" s="5"/>
      <c r="C5367" s="5"/>
      <c r="D5367" s="5"/>
      <c r="E5367" s="5"/>
      <c r="F5367" s="5"/>
      <c r="G5367" s="5"/>
      <c r="H5367" s="5"/>
    </row>
    <row r="5368" spans="1:8" x14ac:dyDescent="0.25">
      <c r="A5368" s="4"/>
      <c r="B5368" s="5"/>
      <c r="C5368" s="5"/>
      <c r="D5368" s="5"/>
      <c r="E5368" s="5"/>
      <c r="F5368" s="5"/>
      <c r="G5368" s="5"/>
      <c r="H5368" s="5"/>
    </row>
    <row r="5369" spans="1:8" x14ac:dyDescent="0.25">
      <c r="A5369" s="4"/>
      <c r="B5369" s="5"/>
      <c r="C5369" s="5"/>
      <c r="D5369" s="5"/>
      <c r="E5369" s="5"/>
      <c r="F5369" s="5"/>
      <c r="G5369" s="5"/>
      <c r="H5369" s="5"/>
    </row>
    <row r="5370" spans="1:8" x14ac:dyDescent="0.25">
      <c r="A5370" s="4"/>
      <c r="B5370" s="5"/>
      <c r="C5370" s="5"/>
      <c r="D5370" s="5"/>
      <c r="E5370" s="5"/>
      <c r="F5370" s="5"/>
      <c r="G5370" s="5"/>
      <c r="H5370" s="5"/>
    </row>
    <row r="5371" spans="1:8" x14ac:dyDescent="0.25">
      <c r="A5371" s="4"/>
      <c r="B5371" s="5"/>
      <c r="C5371" s="5"/>
      <c r="D5371" s="5"/>
      <c r="E5371" s="5"/>
      <c r="F5371" s="5"/>
      <c r="G5371" s="5"/>
      <c r="H5371" s="5"/>
    </row>
    <row r="5372" spans="1:8" x14ac:dyDescent="0.25">
      <c r="A5372" s="4"/>
      <c r="B5372" s="5"/>
      <c r="C5372" s="5"/>
      <c r="D5372" s="5"/>
      <c r="E5372" s="5"/>
      <c r="F5372" s="5"/>
      <c r="G5372" s="5"/>
      <c r="H5372" s="5"/>
    </row>
    <row r="5373" spans="1:8" x14ac:dyDescent="0.25">
      <c r="A5373" s="4"/>
      <c r="B5373" s="5"/>
      <c r="C5373" s="5"/>
      <c r="D5373" s="5"/>
      <c r="E5373" s="5"/>
      <c r="F5373" s="5"/>
      <c r="G5373" s="5"/>
      <c r="H5373" s="5"/>
    </row>
    <row r="5374" spans="1:8" x14ac:dyDescent="0.25">
      <c r="A5374" s="4"/>
      <c r="B5374" s="5"/>
      <c r="C5374" s="5"/>
      <c r="D5374" s="5"/>
      <c r="E5374" s="5"/>
      <c r="F5374" s="5"/>
      <c r="G5374" s="5"/>
      <c r="H5374" s="5"/>
    </row>
    <row r="5375" spans="1:8" x14ac:dyDescent="0.25">
      <c r="A5375" s="4"/>
      <c r="B5375" s="5"/>
      <c r="C5375" s="5"/>
      <c r="D5375" s="5"/>
      <c r="E5375" s="5"/>
      <c r="F5375" s="5"/>
      <c r="G5375" s="5"/>
      <c r="H5375" s="5"/>
    </row>
    <row r="5376" spans="1:8" x14ac:dyDescent="0.25">
      <c r="A5376" s="4"/>
      <c r="B5376" s="5"/>
      <c r="C5376" s="5"/>
      <c r="D5376" s="5"/>
      <c r="E5376" s="5"/>
      <c r="F5376" s="5"/>
      <c r="G5376" s="5"/>
      <c r="H5376" s="5"/>
    </row>
    <row r="5377" spans="1:8" x14ac:dyDescent="0.25">
      <c r="A5377" s="4"/>
      <c r="B5377" s="5"/>
      <c r="C5377" s="5"/>
      <c r="D5377" s="5"/>
      <c r="E5377" s="5"/>
      <c r="F5377" s="5"/>
      <c r="G5377" s="5"/>
      <c r="H5377" s="5"/>
    </row>
    <row r="5378" spans="1:8" x14ac:dyDescent="0.25">
      <c r="A5378" s="4"/>
      <c r="B5378" s="5"/>
      <c r="C5378" s="5"/>
      <c r="D5378" s="5"/>
      <c r="E5378" s="5"/>
      <c r="F5378" s="5"/>
      <c r="G5378" s="5"/>
      <c r="H5378" s="5"/>
    </row>
    <row r="5379" spans="1:8" x14ac:dyDescent="0.25">
      <c r="A5379" s="4"/>
      <c r="B5379" s="5"/>
      <c r="C5379" s="5"/>
      <c r="D5379" s="5"/>
      <c r="E5379" s="5"/>
      <c r="F5379" s="5"/>
      <c r="G5379" s="5"/>
      <c r="H5379" s="5"/>
    </row>
    <row r="5380" spans="1:8" x14ac:dyDescent="0.25">
      <c r="A5380" s="4"/>
      <c r="B5380" s="5"/>
      <c r="C5380" s="5"/>
      <c r="D5380" s="5"/>
      <c r="E5380" s="5"/>
      <c r="F5380" s="5"/>
      <c r="G5380" s="5"/>
      <c r="H5380" s="5"/>
    </row>
    <row r="5381" spans="1:8" x14ac:dyDescent="0.25">
      <c r="A5381" s="4"/>
      <c r="B5381" s="5"/>
      <c r="C5381" s="5"/>
      <c r="D5381" s="5"/>
      <c r="E5381" s="5"/>
      <c r="F5381" s="5"/>
      <c r="G5381" s="5"/>
      <c r="H5381" s="5"/>
    </row>
    <row r="5382" spans="1:8" x14ac:dyDescent="0.25">
      <c r="A5382" s="4"/>
      <c r="B5382" s="5"/>
      <c r="C5382" s="5"/>
      <c r="D5382" s="5"/>
      <c r="E5382" s="5"/>
      <c r="F5382" s="5"/>
      <c r="G5382" s="5"/>
      <c r="H5382" s="5"/>
    </row>
    <row r="5383" spans="1:8" x14ac:dyDescent="0.25">
      <c r="A5383" s="4"/>
      <c r="B5383" s="5"/>
      <c r="C5383" s="5"/>
      <c r="D5383" s="5"/>
      <c r="E5383" s="5"/>
      <c r="F5383" s="5"/>
      <c r="G5383" s="5"/>
      <c r="H5383" s="5"/>
    </row>
    <row r="5384" spans="1:8" x14ac:dyDescent="0.25">
      <c r="A5384" s="4"/>
      <c r="B5384" s="5"/>
      <c r="C5384" s="5"/>
      <c r="D5384" s="5"/>
      <c r="E5384" s="5"/>
      <c r="F5384" s="5"/>
      <c r="G5384" s="5"/>
      <c r="H5384" s="5"/>
    </row>
    <row r="5385" spans="1:8" x14ac:dyDescent="0.25">
      <c r="A5385" s="4"/>
      <c r="B5385" s="5"/>
      <c r="C5385" s="5"/>
      <c r="D5385" s="5"/>
      <c r="E5385" s="5"/>
      <c r="F5385" s="5"/>
      <c r="G5385" s="5"/>
      <c r="H5385" s="5"/>
    </row>
    <row r="5386" spans="1:8" x14ac:dyDescent="0.25">
      <c r="A5386" s="4"/>
      <c r="B5386" s="5"/>
      <c r="C5386" s="5"/>
      <c r="D5386" s="5"/>
      <c r="E5386" s="5"/>
      <c r="F5386" s="5"/>
      <c r="G5386" s="5"/>
      <c r="H5386" s="5"/>
    </row>
    <row r="5387" spans="1:8" x14ac:dyDescent="0.25">
      <c r="A5387" s="4"/>
      <c r="B5387" s="5"/>
      <c r="C5387" s="5"/>
      <c r="D5387" s="5"/>
      <c r="E5387" s="5"/>
      <c r="F5387" s="5"/>
      <c r="G5387" s="5"/>
      <c r="H5387" s="5"/>
    </row>
    <row r="5388" spans="1:8" x14ac:dyDescent="0.25">
      <c r="A5388" s="4"/>
      <c r="B5388" s="5"/>
      <c r="C5388" s="5"/>
      <c r="D5388" s="5"/>
      <c r="E5388" s="5"/>
      <c r="F5388" s="5"/>
      <c r="G5388" s="5"/>
      <c r="H5388" s="5"/>
    </row>
    <row r="5389" spans="1:8" x14ac:dyDescent="0.25">
      <c r="A5389" s="4"/>
      <c r="B5389" s="5"/>
      <c r="C5389" s="5"/>
      <c r="D5389" s="5"/>
      <c r="E5389" s="5"/>
      <c r="F5389" s="5"/>
      <c r="G5389" s="5"/>
      <c r="H5389" s="5"/>
    </row>
    <row r="5390" spans="1:8" x14ac:dyDescent="0.25">
      <c r="A5390" s="4"/>
      <c r="B5390" s="5"/>
      <c r="C5390" s="5"/>
      <c r="D5390" s="5"/>
      <c r="E5390" s="5"/>
      <c r="F5390" s="5"/>
      <c r="G5390" s="5"/>
      <c r="H5390" s="5"/>
    </row>
    <row r="5391" spans="1:8" x14ac:dyDescent="0.25">
      <c r="A5391" s="4"/>
      <c r="B5391" s="5"/>
      <c r="C5391" s="5"/>
      <c r="D5391" s="5"/>
      <c r="E5391" s="5"/>
      <c r="F5391" s="5"/>
      <c r="G5391" s="5"/>
      <c r="H5391" s="5"/>
    </row>
    <row r="5392" spans="1:8" x14ac:dyDescent="0.25">
      <c r="A5392" s="4"/>
      <c r="B5392" s="5"/>
      <c r="C5392" s="5"/>
      <c r="D5392" s="5"/>
      <c r="E5392" s="5"/>
      <c r="F5392" s="5"/>
      <c r="G5392" s="5"/>
      <c r="H5392" s="5"/>
    </row>
    <row r="5393" spans="1:8" x14ac:dyDescent="0.25">
      <c r="A5393" s="4"/>
      <c r="B5393" s="5"/>
      <c r="C5393" s="5"/>
      <c r="D5393" s="5"/>
      <c r="E5393" s="5"/>
      <c r="F5393" s="5"/>
      <c r="G5393" s="5"/>
      <c r="H5393" s="5"/>
    </row>
    <row r="5394" spans="1:8" x14ac:dyDescent="0.25">
      <c r="A5394" s="4"/>
      <c r="B5394" s="5"/>
      <c r="C5394" s="5"/>
      <c r="D5394" s="5"/>
      <c r="E5394" s="5"/>
      <c r="F5394" s="5"/>
      <c r="G5394" s="5"/>
      <c r="H5394" s="5"/>
    </row>
    <row r="5395" spans="1:8" x14ac:dyDescent="0.25">
      <c r="A5395" s="4"/>
      <c r="B5395" s="5"/>
      <c r="C5395" s="5"/>
      <c r="D5395" s="5"/>
      <c r="E5395" s="5"/>
      <c r="F5395" s="5"/>
      <c r="G5395" s="5"/>
      <c r="H5395" s="5"/>
    </row>
    <row r="5396" spans="1:8" x14ac:dyDescent="0.25">
      <c r="A5396" s="4"/>
      <c r="B5396" s="5"/>
      <c r="C5396" s="5"/>
      <c r="D5396" s="5"/>
      <c r="E5396" s="5"/>
      <c r="F5396" s="5"/>
      <c r="G5396" s="5"/>
      <c r="H5396" s="5"/>
    </row>
    <row r="5397" spans="1:8" x14ac:dyDescent="0.25">
      <c r="A5397" s="4"/>
      <c r="B5397" s="5"/>
      <c r="C5397" s="5"/>
      <c r="D5397" s="5"/>
      <c r="E5397" s="5"/>
      <c r="F5397" s="5"/>
      <c r="G5397" s="5"/>
      <c r="H5397" s="5"/>
    </row>
    <row r="5398" spans="1:8" x14ac:dyDescent="0.25">
      <c r="A5398" s="4"/>
      <c r="B5398" s="5"/>
      <c r="C5398" s="5"/>
      <c r="D5398" s="5"/>
      <c r="E5398" s="5"/>
      <c r="F5398" s="5"/>
      <c r="G5398" s="5"/>
      <c r="H5398" s="5"/>
    </row>
    <row r="5399" spans="1:8" x14ac:dyDescent="0.25">
      <c r="A5399" s="4"/>
      <c r="B5399" s="5"/>
      <c r="C5399" s="5"/>
      <c r="D5399" s="5"/>
      <c r="E5399" s="5"/>
      <c r="F5399" s="5"/>
      <c r="G5399" s="5"/>
      <c r="H5399" s="5"/>
    </row>
    <row r="5400" spans="1:8" x14ac:dyDescent="0.25">
      <c r="A5400" s="4"/>
      <c r="B5400" s="5"/>
      <c r="C5400" s="5"/>
      <c r="D5400" s="5"/>
      <c r="E5400" s="5"/>
      <c r="F5400" s="5"/>
      <c r="G5400" s="5"/>
      <c r="H5400" s="5"/>
    </row>
    <row r="5401" spans="1:8" x14ac:dyDescent="0.25">
      <c r="A5401" s="4"/>
      <c r="B5401" s="5"/>
      <c r="C5401" s="5"/>
      <c r="D5401" s="5"/>
      <c r="E5401" s="5"/>
      <c r="F5401" s="5"/>
      <c r="G5401" s="5"/>
      <c r="H5401" s="5"/>
    </row>
    <row r="5402" spans="1:8" x14ac:dyDescent="0.25">
      <c r="A5402" s="4"/>
      <c r="B5402" s="5"/>
      <c r="C5402" s="5"/>
      <c r="D5402" s="5"/>
      <c r="E5402" s="5"/>
      <c r="F5402" s="5"/>
      <c r="G5402" s="5"/>
      <c r="H5402" s="5"/>
    </row>
    <row r="5403" spans="1:8" x14ac:dyDescent="0.25">
      <c r="A5403" s="4"/>
      <c r="B5403" s="5"/>
      <c r="C5403" s="5"/>
      <c r="D5403" s="5"/>
      <c r="E5403" s="5"/>
      <c r="F5403" s="5"/>
      <c r="G5403" s="5"/>
      <c r="H5403" s="5"/>
    </row>
    <row r="5404" spans="1:8" x14ac:dyDescent="0.25">
      <c r="A5404" s="4"/>
      <c r="B5404" s="5"/>
      <c r="C5404" s="5"/>
      <c r="D5404" s="5"/>
      <c r="E5404" s="5"/>
      <c r="F5404" s="5"/>
      <c r="G5404" s="5"/>
      <c r="H5404" s="5"/>
    </row>
    <row r="5405" spans="1:8" x14ac:dyDescent="0.25">
      <c r="A5405" s="4"/>
      <c r="B5405" s="5"/>
      <c r="C5405" s="5"/>
      <c r="D5405" s="5"/>
      <c r="E5405" s="5"/>
      <c r="F5405" s="5"/>
      <c r="G5405" s="5"/>
      <c r="H5405" s="5"/>
    </row>
    <row r="5406" spans="1:8" x14ac:dyDescent="0.25">
      <c r="A5406" s="4"/>
      <c r="B5406" s="5"/>
      <c r="C5406" s="5"/>
      <c r="D5406" s="5"/>
      <c r="E5406" s="5"/>
      <c r="F5406" s="5"/>
      <c r="G5406" s="5"/>
      <c r="H5406" s="5"/>
    </row>
    <row r="5407" spans="1:8" x14ac:dyDescent="0.25">
      <c r="A5407" s="4"/>
      <c r="B5407" s="5"/>
      <c r="C5407" s="5"/>
      <c r="D5407" s="5"/>
      <c r="E5407" s="5"/>
      <c r="F5407" s="5"/>
      <c r="G5407" s="5"/>
      <c r="H5407" s="5"/>
    </row>
    <row r="5408" spans="1:8" x14ac:dyDescent="0.25">
      <c r="A5408" s="4"/>
      <c r="B5408" s="5"/>
      <c r="C5408" s="5"/>
      <c r="D5408" s="5"/>
      <c r="E5408" s="5"/>
      <c r="F5408" s="5"/>
      <c r="G5408" s="5"/>
      <c r="H5408" s="5"/>
    </row>
    <row r="5409" spans="1:8" x14ac:dyDescent="0.25">
      <c r="A5409" s="4"/>
      <c r="B5409" s="5"/>
      <c r="C5409" s="5"/>
      <c r="D5409" s="5"/>
      <c r="E5409" s="5"/>
      <c r="F5409" s="5"/>
      <c r="G5409" s="5"/>
      <c r="H5409" s="5"/>
    </row>
    <row r="5410" spans="1:8" x14ac:dyDescent="0.25">
      <c r="A5410" s="4"/>
      <c r="B5410" s="5"/>
      <c r="C5410" s="5"/>
      <c r="D5410" s="5"/>
      <c r="E5410" s="5"/>
      <c r="F5410" s="5"/>
      <c r="G5410" s="5"/>
      <c r="H5410" s="5"/>
    </row>
    <row r="5411" spans="1:8" x14ac:dyDescent="0.25">
      <c r="A5411" s="4"/>
      <c r="B5411" s="5"/>
      <c r="C5411" s="5"/>
      <c r="D5411" s="5"/>
      <c r="E5411" s="5"/>
      <c r="F5411" s="5"/>
      <c r="G5411" s="5"/>
      <c r="H5411" s="5"/>
    </row>
    <row r="5412" spans="1:8" x14ac:dyDescent="0.25">
      <c r="A5412" s="4"/>
      <c r="B5412" s="5"/>
      <c r="C5412" s="5"/>
      <c r="D5412" s="5"/>
      <c r="E5412" s="5"/>
      <c r="F5412" s="5"/>
      <c r="G5412" s="5"/>
      <c r="H5412" s="5"/>
    </row>
    <row r="5413" spans="1:8" x14ac:dyDescent="0.25">
      <c r="A5413" s="4"/>
      <c r="B5413" s="5"/>
      <c r="C5413" s="5"/>
      <c r="D5413" s="5"/>
      <c r="E5413" s="5"/>
      <c r="F5413" s="5"/>
      <c r="G5413" s="5"/>
      <c r="H5413" s="5"/>
    </row>
    <row r="5414" spans="1:8" x14ac:dyDescent="0.25">
      <c r="A5414" s="4"/>
      <c r="B5414" s="5"/>
      <c r="C5414" s="5"/>
      <c r="D5414" s="5"/>
      <c r="E5414" s="5"/>
      <c r="F5414" s="5"/>
      <c r="G5414" s="5"/>
      <c r="H5414" s="5"/>
    </row>
    <row r="5415" spans="1:8" x14ac:dyDescent="0.25">
      <c r="A5415" s="4"/>
      <c r="B5415" s="5"/>
      <c r="C5415" s="5"/>
      <c r="D5415" s="5"/>
      <c r="E5415" s="5"/>
      <c r="F5415" s="5"/>
      <c r="G5415" s="5"/>
      <c r="H5415" s="5"/>
    </row>
    <row r="5416" spans="1:8" x14ac:dyDescent="0.25">
      <c r="A5416" s="4"/>
      <c r="B5416" s="5"/>
      <c r="C5416" s="5"/>
      <c r="D5416" s="5"/>
      <c r="E5416" s="5"/>
      <c r="F5416" s="5"/>
      <c r="G5416" s="5"/>
      <c r="H5416" s="5"/>
    </row>
    <row r="5417" spans="1:8" x14ac:dyDescent="0.25">
      <c r="A5417" s="4"/>
      <c r="B5417" s="5"/>
      <c r="C5417" s="5"/>
      <c r="D5417" s="5"/>
      <c r="E5417" s="5"/>
      <c r="F5417" s="5"/>
      <c r="G5417" s="5"/>
      <c r="H5417" s="5"/>
    </row>
    <row r="5418" spans="1:8" x14ac:dyDescent="0.25">
      <c r="A5418" s="4"/>
      <c r="B5418" s="5"/>
      <c r="C5418" s="5"/>
      <c r="D5418" s="5"/>
      <c r="E5418" s="5"/>
      <c r="F5418" s="5"/>
      <c r="G5418" s="5"/>
      <c r="H5418" s="5"/>
    </row>
    <row r="5419" spans="1:8" x14ac:dyDescent="0.25">
      <c r="A5419" s="4"/>
      <c r="B5419" s="5"/>
      <c r="C5419" s="5"/>
      <c r="D5419" s="5"/>
      <c r="E5419" s="5"/>
      <c r="F5419" s="5"/>
      <c r="G5419" s="5"/>
      <c r="H5419" s="5"/>
    </row>
    <row r="5420" spans="1:8" x14ac:dyDescent="0.25">
      <c r="A5420" s="4"/>
      <c r="B5420" s="5"/>
      <c r="C5420" s="5"/>
      <c r="D5420" s="5"/>
      <c r="E5420" s="5"/>
      <c r="F5420" s="5"/>
      <c r="G5420" s="5"/>
      <c r="H5420" s="5"/>
    </row>
    <row r="5421" spans="1:8" x14ac:dyDescent="0.25">
      <c r="A5421" s="4"/>
      <c r="B5421" s="5"/>
      <c r="C5421" s="5"/>
      <c r="D5421" s="5"/>
      <c r="E5421" s="5"/>
      <c r="F5421" s="5"/>
      <c r="G5421" s="5"/>
      <c r="H5421" s="5"/>
    </row>
    <row r="5422" spans="1:8" x14ac:dyDescent="0.25">
      <c r="A5422" s="4"/>
      <c r="B5422" s="5"/>
      <c r="C5422" s="5"/>
      <c r="D5422" s="5"/>
      <c r="E5422" s="5"/>
      <c r="F5422" s="5"/>
      <c r="G5422" s="5"/>
      <c r="H5422" s="5"/>
    </row>
    <row r="5423" spans="1:8" x14ac:dyDescent="0.25">
      <c r="A5423" s="4"/>
      <c r="B5423" s="5"/>
      <c r="C5423" s="5"/>
      <c r="D5423" s="5"/>
      <c r="E5423" s="5"/>
      <c r="F5423" s="5"/>
      <c r="G5423" s="5"/>
      <c r="H5423" s="5"/>
    </row>
    <row r="5424" spans="1:8" x14ac:dyDescent="0.25">
      <c r="A5424" s="4"/>
      <c r="B5424" s="5"/>
      <c r="C5424" s="5"/>
      <c r="D5424" s="5"/>
      <c r="E5424" s="5"/>
      <c r="F5424" s="5"/>
      <c r="G5424" s="5"/>
      <c r="H5424" s="5"/>
    </row>
    <row r="5425" spans="1:8" x14ac:dyDescent="0.25">
      <c r="A5425" s="4"/>
      <c r="B5425" s="5"/>
      <c r="C5425" s="5"/>
      <c r="D5425" s="5"/>
      <c r="E5425" s="5"/>
      <c r="F5425" s="5"/>
      <c r="G5425" s="5"/>
      <c r="H5425" s="5"/>
    </row>
    <row r="5426" spans="1:8" x14ac:dyDescent="0.25">
      <c r="A5426" s="4"/>
      <c r="B5426" s="5"/>
      <c r="C5426" s="5"/>
      <c r="D5426" s="5"/>
      <c r="E5426" s="5"/>
      <c r="F5426" s="5"/>
      <c r="G5426" s="5"/>
      <c r="H5426" s="5"/>
    </row>
    <row r="5427" spans="1:8" x14ac:dyDescent="0.25">
      <c r="A5427" s="4"/>
      <c r="B5427" s="5"/>
      <c r="C5427" s="5"/>
      <c r="D5427" s="5"/>
      <c r="E5427" s="5"/>
      <c r="F5427" s="5"/>
      <c r="G5427" s="5"/>
      <c r="H5427" s="5"/>
    </row>
    <row r="5428" spans="1:8" x14ac:dyDescent="0.25">
      <c r="A5428" s="4"/>
      <c r="B5428" s="5"/>
      <c r="C5428" s="5"/>
      <c r="D5428" s="5"/>
      <c r="E5428" s="5"/>
      <c r="F5428" s="5"/>
      <c r="G5428" s="5"/>
      <c r="H5428" s="5"/>
    </row>
    <row r="5429" spans="1:8" x14ac:dyDescent="0.25">
      <c r="A5429" s="4"/>
      <c r="B5429" s="5"/>
      <c r="C5429" s="5"/>
      <c r="D5429" s="5"/>
      <c r="E5429" s="5"/>
      <c r="F5429" s="5"/>
      <c r="G5429" s="5"/>
      <c r="H5429" s="5"/>
    </row>
    <row r="5430" spans="1:8" x14ac:dyDescent="0.25">
      <c r="A5430" s="4"/>
      <c r="B5430" s="5"/>
      <c r="C5430" s="5"/>
      <c r="D5430" s="5"/>
      <c r="E5430" s="5"/>
      <c r="F5430" s="5"/>
      <c r="G5430" s="5"/>
      <c r="H5430" s="5"/>
    </row>
    <row r="5431" spans="1:8" x14ac:dyDescent="0.25">
      <c r="A5431" s="4"/>
      <c r="B5431" s="5"/>
      <c r="C5431" s="5"/>
      <c r="D5431" s="5"/>
      <c r="E5431" s="5"/>
      <c r="F5431" s="5"/>
      <c r="G5431" s="5"/>
      <c r="H5431" s="5"/>
    </row>
    <row r="5432" spans="1:8" x14ac:dyDescent="0.25">
      <c r="A5432" s="4"/>
      <c r="B5432" s="5"/>
      <c r="C5432" s="5"/>
      <c r="D5432" s="5"/>
      <c r="E5432" s="5"/>
      <c r="F5432" s="5"/>
      <c r="G5432" s="5"/>
      <c r="H5432" s="5"/>
    </row>
    <row r="5433" spans="1:8" x14ac:dyDescent="0.25">
      <c r="A5433" s="4"/>
      <c r="B5433" s="5"/>
      <c r="C5433" s="5"/>
      <c r="D5433" s="5"/>
      <c r="E5433" s="5"/>
      <c r="F5433" s="5"/>
      <c r="G5433" s="5"/>
      <c r="H5433" s="5"/>
    </row>
    <row r="5434" spans="1:8" x14ac:dyDescent="0.25">
      <c r="A5434" s="4"/>
      <c r="B5434" s="5"/>
      <c r="C5434" s="5"/>
      <c r="D5434" s="5"/>
      <c r="E5434" s="5"/>
      <c r="F5434" s="5"/>
      <c r="G5434" s="5"/>
      <c r="H5434" s="5"/>
    </row>
    <row r="5435" spans="1:8" x14ac:dyDescent="0.25">
      <c r="A5435" s="4"/>
      <c r="B5435" s="5"/>
      <c r="C5435" s="5"/>
      <c r="D5435" s="5"/>
      <c r="E5435" s="5"/>
      <c r="F5435" s="5"/>
      <c r="G5435" s="5"/>
      <c r="H5435" s="5"/>
    </row>
    <row r="5436" spans="1:8" x14ac:dyDescent="0.25">
      <c r="A5436" s="4"/>
      <c r="B5436" s="5"/>
      <c r="C5436" s="5"/>
      <c r="D5436" s="5"/>
      <c r="E5436" s="5"/>
      <c r="F5436" s="5"/>
      <c r="G5436" s="5"/>
      <c r="H5436" s="5"/>
    </row>
    <row r="5437" spans="1:8" x14ac:dyDescent="0.25">
      <c r="A5437" s="4"/>
      <c r="B5437" s="5"/>
      <c r="C5437" s="5"/>
      <c r="D5437" s="5"/>
      <c r="E5437" s="5"/>
      <c r="F5437" s="5"/>
      <c r="G5437" s="5"/>
      <c r="H5437" s="5"/>
    </row>
    <row r="5438" spans="1:8" x14ac:dyDescent="0.25">
      <c r="A5438" s="4"/>
      <c r="B5438" s="5"/>
      <c r="C5438" s="5"/>
      <c r="D5438" s="5"/>
      <c r="E5438" s="5"/>
      <c r="F5438" s="5"/>
      <c r="G5438" s="5"/>
      <c r="H5438" s="5"/>
    </row>
    <row r="5439" spans="1:8" x14ac:dyDescent="0.25">
      <c r="A5439" s="4"/>
      <c r="B5439" s="5"/>
      <c r="C5439" s="5"/>
      <c r="D5439" s="5"/>
      <c r="E5439" s="5"/>
      <c r="F5439" s="5"/>
      <c r="G5439" s="5"/>
      <c r="H5439" s="5"/>
    </row>
    <row r="5440" spans="1:8" x14ac:dyDescent="0.25">
      <c r="A5440" s="4"/>
      <c r="B5440" s="5"/>
      <c r="C5440" s="5"/>
      <c r="D5440" s="5"/>
      <c r="E5440" s="5"/>
      <c r="F5440" s="5"/>
      <c r="G5440" s="5"/>
      <c r="H5440" s="5"/>
    </row>
    <row r="5441" spans="1:8" x14ac:dyDescent="0.25">
      <c r="A5441" s="4"/>
      <c r="B5441" s="5"/>
      <c r="C5441" s="5"/>
      <c r="D5441" s="5"/>
      <c r="E5441" s="5"/>
      <c r="F5441" s="5"/>
      <c r="G5441" s="5"/>
      <c r="H5441" s="5"/>
    </row>
    <row r="5442" spans="1:8" x14ac:dyDescent="0.25">
      <c r="A5442" s="4"/>
      <c r="B5442" s="5"/>
      <c r="C5442" s="5"/>
      <c r="D5442" s="5"/>
      <c r="E5442" s="5"/>
      <c r="F5442" s="5"/>
      <c r="G5442" s="5"/>
      <c r="H5442" s="5"/>
    </row>
    <row r="5443" spans="1:8" x14ac:dyDescent="0.25">
      <c r="A5443" s="4"/>
      <c r="B5443" s="5"/>
      <c r="C5443" s="5"/>
      <c r="D5443" s="5"/>
      <c r="E5443" s="5"/>
      <c r="F5443" s="5"/>
      <c r="G5443" s="5"/>
      <c r="H5443" s="5"/>
    </row>
    <row r="5444" spans="1:8" x14ac:dyDescent="0.25">
      <c r="A5444" s="4"/>
      <c r="B5444" s="5"/>
      <c r="C5444" s="5"/>
      <c r="D5444" s="5"/>
      <c r="E5444" s="5"/>
      <c r="F5444" s="5"/>
      <c r="G5444" s="5"/>
      <c r="H5444" s="5"/>
    </row>
    <row r="5445" spans="1:8" x14ac:dyDescent="0.25">
      <c r="A5445" s="4"/>
      <c r="B5445" s="5"/>
      <c r="C5445" s="5"/>
      <c r="D5445" s="5"/>
      <c r="E5445" s="5"/>
      <c r="F5445" s="5"/>
      <c r="G5445" s="5"/>
      <c r="H5445" s="5"/>
    </row>
    <row r="5446" spans="1:8" x14ac:dyDescent="0.25">
      <c r="A5446" s="4"/>
      <c r="B5446" s="5"/>
      <c r="C5446" s="5"/>
      <c r="D5446" s="5"/>
      <c r="E5446" s="5"/>
      <c r="F5446" s="5"/>
      <c r="G5446" s="5"/>
      <c r="H5446" s="5"/>
    </row>
    <row r="5447" spans="1:8" x14ac:dyDescent="0.25">
      <c r="A5447" s="4"/>
      <c r="B5447" s="5"/>
      <c r="C5447" s="5"/>
      <c r="D5447" s="5"/>
      <c r="E5447" s="5"/>
      <c r="F5447" s="5"/>
      <c r="G5447" s="5"/>
      <c r="H5447" s="5"/>
    </row>
    <row r="5448" spans="1:8" x14ac:dyDescent="0.25">
      <c r="A5448" s="4"/>
      <c r="B5448" s="5"/>
      <c r="C5448" s="5"/>
      <c r="D5448" s="5"/>
      <c r="E5448" s="5"/>
      <c r="F5448" s="5"/>
      <c r="G5448" s="5"/>
      <c r="H5448" s="5"/>
    </row>
    <row r="5449" spans="1:8" x14ac:dyDescent="0.25">
      <c r="A5449" s="4"/>
      <c r="B5449" s="5"/>
      <c r="C5449" s="5"/>
      <c r="D5449" s="5"/>
      <c r="E5449" s="5"/>
      <c r="F5449" s="5"/>
      <c r="G5449" s="5"/>
      <c r="H5449" s="5"/>
    </row>
    <row r="5450" spans="1:8" x14ac:dyDescent="0.25">
      <c r="A5450" s="4"/>
      <c r="B5450" s="5"/>
      <c r="C5450" s="5"/>
      <c r="D5450" s="5"/>
      <c r="E5450" s="5"/>
      <c r="F5450" s="5"/>
      <c r="G5450" s="5"/>
      <c r="H5450" s="5"/>
    </row>
    <row r="5451" spans="1:8" x14ac:dyDescent="0.25">
      <c r="A5451" s="4"/>
      <c r="B5451" s="5"/>
      <c r="C5451" s="5"/>
      <c r="D5451" s="5"/>
      <c r="E5451" s="5"/>
      <c r="F5451" s="5"/>
      <c r="G5451" s="5"/>
      <c r="H5451" s="5"/>
    </row>
    <row r="5452" spans="1:8" x14ac:dyDescent="0.25">
      <c r="A5452" s="4"/>
      <c r="B5452" s="5"/>
      <c r="C5452" s="5"/>
      <c r="D5452" s="5"/>
      <c r="E5452" s="5"/>
      <c r="F5452" s="5"/>
      <c r="G5452" s="5"/>
      <c r="H5452" s="5"/>
    </row>
    <row r="5453" spans="1:8" x14ac:dyDescent="0.25">
      <c r="A5453" s="4"/>
      <c r="B5453" s="5"/>
      <c r="C5453" s="5"/>
      <c r="D5453" s="5"/>
      <c r="E5453" s="5"/>
      <c r="F5453" s="5"/>
      <c r="G5453" s="5"/>
      <c r="H5453" s="5"/>
    </row>
    <row r="5454" spans="1:8" x14ac:dyDescent="0.25">
      <c r="A5454" s="4"/>
      <c r="B5454" s="5"/>
      <c r="C5454" s="5"/>
      <c r="D5454" s="5"/>
      <c r="E5454" s="5"/>
      <c r="F5454" s="5"/>
      <c r="G5454" s="5"/>
      <c r="H5454" s="5"/>
    </row>
    <row r="5455" spans="1:8" x14ac:dyDescent="0.25">
      <c r="A5455" s="4"/>
      <c r="B5455" s="5"/>
      <c r="C5455" s="5"/>
      <c r="D5455" s="5"/>
      <c r="E5455" s="5"/>
      <c r="F5455" s="5"/>
      <c r="G5455" s="5"/>
      <c r="H5455" s="5"/>
    </row>
    <row r="5456" spans="1:8" x14ac:dyDescent="0.25">
      <c r="A5456" s="4"/>
      <c r="B5456" s="5"/>
      <c r="C5456" s="5"/>
      <c r="D5456" s="5"/>
      <c r="E5456" s="5"/>
      <c r="F5456" s="5"/>
      <c r="G5456" s="5"/>
      <c r="H5456" s="5"/>
    </row>
    <row r="5457" spans="1:8" x14ac:dyDescent="0.25">
      <c r="A5457" s="4"/>
      <c r="B5457" s="5"/>
      <c r="C5457" s="5"/>
      <c r="D5457" s="5"/>
      <c r="E5457" s="5"/>
      <c r="F5457" s="5"/>
      <c r="G5457" s="5"/>
      <c r="H5457" s="5"/>
    </row>
    <row r="5458" spans="1:8" x14ac:dyDescent="0.25">
      <c r="A5458" s="4"/>
      <c r="B5458" s="5"/>
      <c r="C5458" s="5"/>
      <c r="D5458" s="5"/>
      <c r="E5458" s="5"/>
      <c r="F5458" s="5"/>
      <c r="G5458" s="5"/>
      <c r="H5458" s="5"/>
    </row>
    <row r="5459" spans="1:8" x14ac:dyDescent="0.25">
      <c r="A5459" s="4"/>
      <c r="B5459" s="5"/>
      <c r="C5459" s="5"/>
      <c r="D5459" s="5"/>
      <c r="E5459" s="5"/>
      <c r="F5459" s="5"/>
      <c r="G5459" s="5"/>
      <c r="H5459" s="5"/>
    </row>
    <row r="5460" spans="1:8" x14ac:dyDescent="0.25">
      <c r="A5460" s="4"/>
      <c r="B5460" s="5"/>
      <c r="C5460" s="5"/>
      <c r="D5460" s="5"/>
      <c r="E5460" s="5"/>
      <c r="F5460" s="5"/>
      <c r="G5460" s="5"/>
      <c r="H5460" s="5"/>
    </row>
    <row r="5461" spans="1:8" x14ac:dyDescent="0.25">
      <c r="A5461" s="4"/>
      <c r="B5461" s="5"/>
      <c r="C5461" s="5"/>
      <c r="D5461" s="5"/>
      <c r="E5461" s="5"/>
      <c r="F5461" s="5"/>
      <c r="G5461" s="5"/>
      <c r="H5461" s="5"/>
    </row>
    <row r="5462" spans="1:8" x14ac:dyDescent="0.25">
      <c r="A5462" s="4"/>
      <c r="B5462" s="5"/>
      <c r="C5462" s="5"/>
      <c r="D5462" s="5"/>
      <c r="E5462" s="5"/>
      <c r="F5462" s="5"/>
      <c r="G5462" s="5"/>
      <c r="H5462" s="5"/>
    </row>
    <row r="5463" spans="1:8" x14ac:dyDescent="0.25">
      <c r="A5463" s="4"/>
      <c r="B5463" s="5"/>
      <c r="C5463" s="5"/>
      <c r="D5463" s="5"/>
      <c r="E5463" s="5"/>
      <c r="F5463" s="5"/>
      <c r="G5463" s="5"/>
      <c r="H5463" s="5"/>
    </row>
    <row r="5464" spans="1:8" x14ac:dyDescent="0.25">
      <c r="A5464" s="4"/>
      <c r="B5464" s="5"/>
      <c r="C5464" s="5"/>
      <c r="D5464" s="5"/>
      <c r="E5464" s="5"/>
      <c r="F5464" s="5"/>
      <c r="G5464" s="5"/>
      <c r="H5464" s="5"/>
    </row>
    <row r="5465" spans="1:8" x14ac:dyDescent="0.25">
      <c r="A5465" s="4"/>
      <c r="B5465" s="5"/>
      <c r="C5465" s="5"/>
      <c r="D5465" s="5"/>
      <c r="E5465" s="5"/>
      <c r="F5465" s="5"/>
      <c r="G5465" s="5"/>
      <c r="H5465" s="5"/>
    </row>
    <row r="5466" spans="1:8" x14ac:dyDescent="0.25">
      <c r="A5466" s="4"/>
      <c r="B5466" s="5"/>
      <c r="C5466" s="5"/>
      <c r="D5466" s="5"/>
      <c r="E5466" s="5"/>
      <c r="F5466" s="5"/>
      <c r="G5466" s="5"/>
      <c r="H5466" s="5"/>
    </row>
    <row r="5467" spans="1:8" x14ac:dyDescent="0.25">
      <c r="A5467" s="4"/>
      <c r="B5467" s="5"/>
      <c r="C5467" s="5"/>
      <c r="D5467" s="5"/>
      <c r="E5467" s="5"/>
      <c r="F5467" s="5"/>
      <c r="G5467" s="5"/>
      <c r="H5467" s="5"/>
    </row>
    <row r="5468" spans="1:8" x14ac:dyDescent="0.25">
      <c r="A5468" s="4"/>
      <c r="B5468" s="5"/>
      <c r="C5468" s="5"/>
      <c r="D5468" s="5"/>
      <c r="E5468" s="5"/>
      <c r="F5468" s="5"/>
      <c r="G5468" s="5"/>
      <c r="H5468" s="5"/>
    </row>
    <row r="5469" spans="1:8" x14ac:dyDescent="0.25">
      <c r="A5469" s="4"/>
      <c r="B5469" s="5"/>
      <c r="C5469" s="5"/>
      <c r="D5469" s="5"/>
      <c r="E5469" s="5"/>
      <c r="F5469" s="5"/>
      <c r="G5469" s="5"/>
      <c r="H5469" s="5"/>
    </row>
    <row r="5470" spans="1:8" x14ac:dyDescent="0.25">
      <c r="A5470" s="4"/>
      <c r="B5470" s="5"/>
      <c r="C5470" s="5"/>
      <c r="D5470" s="5"/>
      <c r="E5470" s="5"/>
      <c r="F5470" s="5"/>
      <c r="G5470" s="5"/>
      <c r="H5470" s="5"/>
    </row>
    <row r="5471" spans="1:8" x14ac:dyDescent="0.25">
      <c r="A5471" s="4"/>
      <c r="B5471" s="5"/>
      <c r="C5471" s="5"/>
      <c r="D5471" s="5"/>
      <c r="E5471" s="5"/>
      <c r="F5471" s="5"/>
      <c r="G5471" s="5"/>
      <c r="H5471" s="5"/>
    </row>
    <row r="5472" spans="1:8" x14ac:dyDescent="0.25">
      <c r="A5472" s="4"/>
      <c r="B5472" s="5"/>
      <c r="C5472" s="5"/>
      <c r="D5472" s="5"/>
      <c r="E5472" s="5"/>
      <c r="F5472" s="5"/>
      <c r="G5472" s="5"/>
      <c r="H5472" s="5"/>
    </row>
    <row r="5473" spans="1:8" x14ac:dyDescent="0.25">
      <c r="A5473" s="4"/>
      <c r="B5473" s="5"/>
      <c r="C5473" s="5"/>
      <c r="D5473" s="5"/>
      <c r="E5473" s="5"/>
      <c r="F5473" s="5"/>
      <c r="G5473" s="5"/>
      <c r="H5473" s="5"/>
    </row>
    <row r="5474" spans="1:8" x14ac:dyDescent="0.25">
      <c r="A5474" s="4"/>
      <c r="B5474" s="5"/>
      <c r="C5474" s="5"/>
      <c r="D5474" s="5"/>
      <c r="E5474" s="5"/>
      <c r="F5474" s="5"/>
      <c r="G5474" s="5"/>
      <c r="H5474" s="5"/>
    </row>
    <row r="5475" spans="1:8" x14ac:dyDescent="0.25">
      <c r="A5475" s="4"/>
      <c r="B5475" s="5"/>
      <c r="C5475" s="5"/>
      <c r="D5475" s="5"/>
      <c r="E5475" s="5"/>
      <c r="F5475" s="5"/>
      <c r="G5475" s="5"/>
      <c r="H5475" s="5"/>
    </row>
    <row r="5476" spans="1:8" x14ac:dyDescent="0.25">
      <c r="A5476" s="4"/>
      <c r="B5476" s="5"/>
      <c r="C5476" s="5"/>
      <c r="D5476" s="5"/>
      <c r="E5476" s="5"/>
      <c r="F5476" s="5"/>
      <c r="G5476" s="5"/>
      <c r="H5476" s="5"/>
    </row>
    <row r="5477" spans="1:8" x14ac:dyDescent="0.25">
      <c r="A5477" s="4"/>
      <c r="B5477" s="5"/>
      <c r="C5477" s="5"/>
      <c r="D5477" s="5"/>
      <c r="E5477" s="5"/>
      <c r="F5477" s="5"/>
      <c r="G5477" s="5"/>
      <c r="H5477" s="5"/>
    </row>
    <row r="5478" spans="1:8" x14ac:dyDescent="0.25">
      <c r="A5478" s="4"/>
      <c r="B5478" s="5"/>
      <c r="C5478" s="5"/>
      <c r="D5478" s="5"/>
      <c r="E5478" s="5"/>
      <c r="F5478" s="5"/>
      <c r="G5478" s="5"/>
      <c r="H5478" s="5"/>
    </row>
    <row r="5479" spans="1:8" x14ac:dyDescent="0.25">
      <c r="A5479" s="4"/>
      <c r="B5479" s="5"/>
      <c r="C5479" s="5"/>
      <c r="D5479" s="5"/>
      <c r="E5479" s="5"/>
      <c r="F5479" s="5"/>
      <c r="G5479" s="5"/>
      <c r="H5479" s="5"/>
    </row>
    <row r="5480" spans="1:8" x14ac:dyDescent="0.25">
      <c r="A5480" s="4"/>
      <c r="B5480" s="5"/>
      <c r="C5480" s="5"/>
      <c r="D5480" s="5"/>
      <c r="E5480" s="5"/>
      <c r="F5480" s="5"/>
      <c r="G5480" s="5"/>
      <c r="H5480" s="5"/>
    </row>
    <row r="5481" spans="1:8" x14ac:dyDescent="0.25">
      <c r="A5481" s="4"/>
      <c r="B5481" s="5"/>
      <c r="C5481" s="5"/>
      <c r="D5481" s="5"/>
      <c r="E5481" s="5"/>
      <c r="F5481" s="5"/>
      <c r="G5481" s="5"/>
      <c r="H5481" s="5"/>
    </row>
    <row r="5482" spans="1:8" x14ac:dyDescent="0.25">
      <c r="A5482" s="4"/>
      <c r="B5482" s="5"/>
      <c r="C5482" s="5"/>
      <c r="D5482" s="5"/>
      <c r="E5482" s="5"/>
      <c r="F5482" s="5"/>
      <c r="G5482" s="5"/>
      <c r="H5482" s="5"/>
    </row>
    <row r="5483" spans="1:8" x14ac:dyDescent="0.25">
      <c r="A5483" s="4"/>
      <c r="B5483" s="5"/>
      <c r="C5483" s="5"/>
      <c r="D5483" s="5"/>
      <c r="E5483" s="5"/>
      <c r="F5483" s="5"/>
      <c r="G5483" s="5"/>
      <c r="H5483" s="5"/>
    </row>
    <row r="5484" spans="1:8" x14ac:dyDescent="0.25">
      <c r="A5484" s="4"/>
      <c r="B5484" s="5"/>
      <c r="C5484" s="5"/>
      <c r="D5484" s="5"/>
      <c r="E5484" s="5"/>
      <c r="F5484" s="5"/>
      <c r="G5484" s="5"/>
      <c r="H5484" s="5"/>
    </row>
    <row r="5485" spans="1:8" x14ac:dyDescent="0.25">
      <c r="A5485" s="4"/>
      <c r="B5485" s="5"/>
      <c r="C5485" s="5"/>
      <c r="D5485" s="5"/>
      <c r="E5485" s="5"/>
      <c r="F5485" s="5"/>
      <c r="G5485" s="5"/>
      <c r="H5485" s="5"/>
    </row>
    <row r="5486" spans="1:8" x14ac:dyDescent="0.25">
      <c r="A5486" s="4"/>
      <c r="B5486" s="5"/>
      <c r="C5486" s="5"/>
      <c r="D5486" s="5"/>
      <c r="E5486" s="5"/>
      <c r="F5486" s="5"/>
      <c r="G5486" s="5"/>
      <c r="H5486" s="5"/>
    </row>
    <row r="5487" spans="1:8" x14ac:dyDescent="0.25">
      <c r="A5487" s="4"/>
      <c r="B5487" s="5"/>
      <c r="C5487" s="5"/>
      <c r="D5487" s="5"/>
      <c r="E5487" s="5"/>
      <c r="F5487" s="5"/>
      <c r="G5487" s="5"/>
      <c r="H5487" s="5"/>
    </row>
    <row r="5488" spans="1:8" x14ac:dyDescent="0.25">
      <c r="A5488" s="4"/>
      <c r="B5488" s="5"/>
      <c r="C5488" s="5"/>
      <c r="D5488" s="5"/>
      <c r="E5488" s="5"/>
      <c r="F5488" s="5"/>
      <c r="G5488" s="5"/>
      <c r="H5488" s="5"/>
    </row>
    <row r="5489" spans="1:8" x14ac:dyDescent="0.25">
      <c r="A5489" s="4"/>
      <c r="B5489" s="5"/>
      <c r="C5489" s="5"/>
      <c r="D5489" s="5"/>
      <c r="E5489" s="5"/>
      <c r="F5489" s="5"/>
      <c r="G5489" s="5"/>
      <c r="H5489" s="5"/>
    </row>
    <row r="5490" spans="1:8" x14ac:dyDescent="0.25">
      <c r="A5490" s="4"/>
      <c r="B5490" s="5"/>
      <c r="C5490" s="5"/>
      <c r="D5490" s="5"/>
      <c r="E5490" s="5"/>
      <c r="F5490" s="5"/>
      <c r="G5490" s="5"/>
      <c r="H5490" s="5"/>
    </row>
    <row r="5491" spans="1:8" x14ac:dyDescent="0.25">
      <c r="A5491" s="4"/>
      <c r="B5491" s="5"/>
      <c r="C5491" s="5"/>
      <c r="D5491" s="5"/>
      <c r="E5491" s="5"/>
      <c r="F5491" s="5"/>
      <c r="G5491" s="5"/>
      <c r="H5491" s="5"/>
    </row>
    <row r="5492" spans="1:8" x14ac:dyDescent="0.25">
      <c r="A5492" s="4"/>
      <c r="B5492" s="5"/>
      <c r="C5492" s="5"/>
      <c r="D5492" s="5"/>
      <c r="E5492" s="5"/>
      <c r="F5492" s="5"/>
      <c r="G5492" s="5"/>
      <c r="H5492" s="5"/>
    </row>
    <row r="5493" spans="1:8" x14ac:dyDescent="0.25">
      <c r="A5493" s="4"/>
      <c r="B5493" s="5"/>
      <c r="C5493" s="5"/>
      <c r="D5493" s="5"/>
      <c r="E5493" s="5"/>
      <c r="F5493" s="5"/>
      <c r="G5493" s="5"/>
      <c r="H5493" s="5"/>
    </row>
    <row r="5494" spans="1:8" x14ac:dyDescent="0.25">
      <c r="A5494" s="4"/>
      <c r="B5494" s="5"/>
      <c r="C5494" s="5"/>
      <c r="D5494" s="5"/>
      <c r="E5494" s="5"/>
      <c r="F5494" s="5"/>
      <c r="G5494" s="5"/>
      <c r="H5494" s="5"/>
    </row>
    <row r="5495" spans="1:8" x14ac:dyDescent="0.25">
      <c r="A5495" s="4"/>
      <c r="B5495" s="5"/>
      <c r="C5495" s="5"/>
      <c r="D5495" s="5"/>
      <c r="E5495" s="5"/>
      <c r="F5495" s="5"/>
      <c r="G5495" s="5"/>
      <c r="H5495" s="5"/>
    </row>
    <row r="5496" spans="1:8" x14ac:dyDescent="0.25">
      <c r="A5496" s="4"/>
      <c r="B5496" s="5"/>
      <c r="C5496" s="5"/>
      <c r="D5496" s="5"/>
      <c r="E5496" s="5"/>
      <c r="F5496" s="5"/>
      <c r="G5496" s="5"/>
      <c r="H5496" s="5"/>
    </row>
    <row r="5497" spans="1:8" x14ac:dyDescent="0.25">
      <c r="A5497" s="4"/>
      <c r="B5497" s="5"/>
      <c r="C5497" s="5"/>
      <c r="D5497" s="5"/>
      <c r="E5497" s="5"/>
      <c r="F5497" s="5"/>
      <c r="G5497" s="5"/>
      <c r="H5497" s="5"/>
    </row>
    <row r="5498" spans="1:8" x14ac:dyDescent="0.25">
      <c r="A5498" s="4"/>
      <c r="B5498" s="5"/>
      <c r="C5498" s="5"/>
      <c r="D5498" s="5"/>
      <c r="E5498" s="5"/>
      <c r="F5498" s="5"/>
      <c r="G5498" s="5"/>
      <c r="H5498" s="5"/>
    </row>
    <row r="5499" spans="1:8" x14ac:dyDescent="0.25">
      <c r="A5499" s="4"/>
      <c r="B5499" s="5"/>
      <c r="C5499" s="5"/>
      <c r="D5499" s="5"/>
      <c r="E5499" s="5"/>
      <c r="F5499" s="5"/>
      <c r="G5499" s="5"/>
      <c r="H5499" s="5"/>
    </row>
    <row r="5500" spans="1:8" x14ac:dyDescent="0.25">
      <c r="A5500" s="4"/>
      <c r="B5500" s="5"/>
      <c r="C5500" s="5"/>
      <c r="D5500" s="5"/>
      <c r="E5500" s="5"/>
      <c r="F5500" s="5"/>
      <c r="G5500" s="5"/>
      <c r="H5500" s="5"/>
    </row>
    <row r="5501" spans="1:8" x14ac:dyDescent="0.25">
      <c r="A5501" s="4"/>
      <c r="B5501" s="5"/>
      <c r="C5501" s="5"/>
      <c r="D5501" s="5"/>
      <c r="E5501" s="5"/>
      <c r="F5501" s="5"/>
      <c r="G5501" s="5"/>
      <c r="H5501" s="5"/>
    </row>
    <row r="5502" spans="1:8" x14ac:dyDescent="0.25">
      <c r="A5502" s="4"/>
      <c r="B5502" s="5"/>
      <c r="C5502" s="5"/>
      <c r="D5502" s="5"/>
      <c r="E5502" s="5"/>
      <c r="F5502" s="5"/>
      <c r="G5502" s="5"/>
      <c r="H5502" s="5"/>
    </row>
    <row r="5503" spans="1:8" x14ac:dyDescent="0.25">
      <c r="A5503" s="4"/>
      <c r="B5503" s="5"/>
      <c r="C5503" s="5"/>
      <c r="D5503" s="5"/>
      <c r="E5503" s="5"/>
      <c r="F5503" s="5"/>
      <c r="G5503" s="5"/>
      <c r="H5503" s="5"/>
    </row>
    <row r="5504" spans="1:8" x14ac:dyDescent="0.25">
      <c r="A5504" s="4"/>
      <c r="B5504" s="5"/>
      <c r="C5504" s="5"/>
      <c r="D5504" s="5"/>
      <c r="E5504" s="5"/>
      <c r="F5504" s="5"/>
      <c r="G5504" s="5"/>
      <c r="H5504" s="5"/>
    </row>
    <row r="5505" spans="1:8" x14ac:dyDescent="0.25">
      <c r="A5505" s="4"/>
      <c r="B5505" s="5"/>
      <c r="C5505" s="5"/>
      <c r="D5505" s="5"/>
      <c r="E5505" s="5"/>
      <c r="F5505" s="5"/>
      <c r="G5505" s="5"/>
      <c r="H5505" s="5"/>
    </row>
    <row r="5506" spans="1:8" x14ac:dyDescent="0.25">
      <c r="A5506" s="4"/>
      <c r="B5506" s="5"/>
      <c r="C5506" s="5"/>
      <c r="D5506" s="5"/>
      <c r="E5506" s="5"/>
      <c r="F5506" s="5"/>
      <c r="G5506" s="5"/>
      <c r="H5506" s="5"/>
    </row>
    <row r="5507" spans="1:8" x14ac:dyDescent="0.25">
      <c r="A5507" s="4"/>
      <c r="B5507" s="5"/>
      <c r="C5507" s="5"/>
      <c r="D5507" s="5"/>
      <c r="E5507" s="5"/>
      <c r="F5507" s="5"/>
      <c r="G5507" s="5"/>
      <c r="H5507" s="5"/>
    </row>
    <row r="5508" spans="1:8" x14ac:dyDescent="0.25">
      <c r="A5508" s="4"/>
      <c r="B5508" s="5"/>
      <c r="C5508" s="5"/>
      <c r="D5508" s="5"/>
      <c r="E5508" s="5"/>
      <c r="F5508" s="5"/>
      <c r="G5508" s="5"/>
      <c r="H5508" s="5"/>
    </row>
    <row r="5509" spans="1:8" x14ac:dyDescent="0.25">
      <c r="A5509" s="4"/>
      <c r="B5509" s="5"/>
      <c r="C5509" s="5"/>
      <c r="D5509" s="5"/>
      <c r="E5509" s="5"/>
      <c r="F5509" s="5"/>
      <c r="G5509" s="5"/>
      <c r="H5509" s="5"/>
    </row>
    <row r="5510" spans="1:8" x14ac:dyDescent="0.25">
      <c r="A5510" s="4"/>
      <c r="B5510" s="5"/>
      <c r="C5510" s="5"/>
      <c r="D5510" s="5"/>
      <c r="E5510" s="5"/>
      <c r="F5510" s="5"/>
      <c r="G5510" s="5"/>
      <c r="H5510" s="5"/>
    </row>
    <row r="5511" spans="1:8" x14ac:dyDescent="0.25">
      <c r="A5511" s="4"/>
      <c r="B5511" s="5"/>
      <c r="C5511" s="5"/>
      <c r="D5511" s="5"/>
      <c r="E5511" s="5"/>
      <c r="F5511" s="5"/>
      <c r="G5511" s="5"/>
      <c r="H5511" s="5"/>
    </row>
    <row r="5512" spans="1:8" x14ac:dyDescent="0.25">
      <c r="A5512" s="4"/>
      <c r="B5512" s="5"/>
      <c r="C5512" s="5"/>
      <c r="D5512" s="5"/>
      <c r="E5512" s="5"/>
      <c r="F5512" s="5"/>
      <c r="G5512" s="5"/>
      <c r="H5512" s="5"/>
    </row>
    <row r="5513" spans="1:8" x14ac:dyDescent="0.25">
      <c r="A5513" s="4"/>
      <c r="B5513" s="5"/>
      <c r="C5513" s="5"/>
      <c r="D5513" s="5"/>
      <c r="E5513" s="5"/>
      <c r="F5513" s="5"/>
      <c r="G5513" s="5"/>
      <c r="H5513" s="5"/>
    </row>
    <row r="5514" spans="1:8" x14ac:dyDescent="0.25">
      <c r="A5514" s="4"/>
      <c r="B5514" s="5"/>
      <c r="C5514" s="5"/>
      <c r="D5514" s="5"/>
      <c r="E5514" s="5"/>
      <c r="F5514" s="5"/>
      <c r="G5514" s="5"/>
      <c r="H5514" s="5"/>
    </row>
    <row r="5515" spans="1:8" x14ac:dyDescent="0.25">
      <c r="A5515" s="4"/>
      <c r="B5515" s="5"/>
      <c r="C5515" s="5"/>
      <c r="D5515" s="5"/>
      <c r="E5515" s="5"/>
      <c r="F5515" s="5"/>
      <c r="G5515" s="5"/>
      <c r="H5515" s="5"/>
    </row>
    <row r="5516" spans="1:8" x14ac:dyDescent="0.25">
      <c r="A5516" s="4"/>
      <c r="B5516" s="5"/>
      <c r="C5516" s="5"/>
      <c r="D5516" s="5"/>
      <c r="E5516" s="5"/>
      <c r="F5516" s="5"/>
      <c r="G5516" s="5"/>
      <c r="H5516" s="5"/>
    </row>
    <row r="5517" spans="1:8" x14ac:dyDescent="0.25">
      <c r="A5517" s="4"/>
      <c r="B5517" s="5"/>
      <c r="C5517" s="5"/>
      <c r="D5517" s="5"/>
      <c r="E5517" s="5"/>
      <c r="F5517" s="5"/>
      <c r="G5517" s="5"/>
      <c r="H5517" s="5"/>
    </row>
    <row r="5518" spans="1:8" x14ac:dyDescent="0.25">
      <c r="A5518" s="4"/>
      <c r="B5518" s="5"/>
      <c r="C5518" s="5"/>
      <c r="D5518" s="5"/>
      <c r="E5518" s="5"/>
      <c r="F5518" s="5"/>
      <c r="G5518" s="5"/>
      <c r="H5518" s="5"/>
    </row>
    <row r="5519" spans="1:8" x14ac:dyDescent="0.25">
      <c r="A5519" s="4"/>
      <c r="B5519" s="5"/>
      <c r="C5519" s="5"/>
      <c r="D5519" s="5"/>
      <c r="E5519" s="5"/>
      <c r="F5519" s="5"/>
      <c r="G5519" s="5"/>
      <c r="H5519" s="5"/>
    </row>
    <row r="5520" spans="1:8" x14ac:dyDescent="0.25">
      <c r="A5520" s="4"/>
      <c r="B5520" s="5"/>
      <c r="C5520" s="5"/>
      <c r="D5520" s="5"/>
      <c r="E5520" s="5"/>
      <c r="F5520" s="5"/>
      <c r="G5520" s="5"/>
      <c r="H5520" s="5"/>
    </row>
    <row r="5521" spans="1:8" x14ac:dyDescent="0.25">
      <c r="A5521" s="4"/>
      <c r="B5521" s="5"/>
      <c r="C5521" s="5"/>
      <c r="D5521" s="5"/>
      <c r="E5521" s="5"/>
      <c r="F5521" s="5"/>
      <c r="G5521" s="5"/>
      <c r="H5521" s="5"/>
    </row>
    <row r="5522" spans="1:8" x14ac:dyDescent="0.25">
      <c r="A5522" s="4"/>
      <c r="B5522" s="5"/>
      <c r="C5522" s="5"/>
      <c r="D5522" s="5"/>
      <c r="E5522" s="5"/>
      <c r="F5522" s="5"/>
      <c r="G5522" s="5"/>
      <c r="H5522" s="5"/>
    </row>
    <row r="5523" spans="1:8" x14ac:dyDescent="0.25">
      <c r="A5523" s="4"/>
      <c r="B5523" s="5"/>
      <c r="C5523" s="5"/>
      <c r="D5523" s="5"/>
      <c r="E5523" s="5"/>
      <c r="F5523" s="5"/>
      <c r="G5523" s="5"/>
      <c r="H5523" s="5"/>
    </row>
    <row r="5524" spans="1:8" x14ac:dyDescent="0.25">
      <c r="A5524" s="4"/>
      <c r="B5524" s="5"/>
      <c r="C5524" s="5"/>
      <c r="D5524" s="5"/>
      <c r="E5524" s="5"/>
      <c r="F5524" s="5"/>
      <c r="G5524" s="5"/>
      <c r="H5524" s="5"/>
    </row>
    <row r="5525" spans="1:8" x14ac:dyDescent="0.25">
      <c r="A5525" s="4"/>
      <c r="B5525" s="5"/>
      <c r="C5525" s="5"/>
      <c r="D5525" s="5"/>
      <c r="E5525" s="5"/>
      <c r="F5525" s="5"/>
      <c r="G5525" s="5"/>
      <c r="H5525" s="5"/>
    </row>
    <row r="5526" spans="1:8" x14ac:dyDescent="0.25">
      <c r="A5526" s="4"/>
      <c r="B5526" s="5"/>
      <c r="C5526" s="5"/>
      <c r="D5526" s="5"/>
      <c r="E5526" s="5"/>
      <c r="F5526" s="5"/>
      <c r="G5526" s="5"/>
      <c r="H5526" s="5"/>
    </row>
    <row r="5527" spans="1:8" x14ac:dyDescent="0.25">
      <c r="A5527" s="4"/>
      <c r="B5527" s="5"/>
      <c r="C5527" s="5"/>
      <c r="D5527" s="5"/>
      <c r="E5527" s="5"/>
      <c r="F5527" s="5"/>
      <c r="G5527" s="5"/>
      <c r="H5527" s="5"/>
    </row>
    <row r="5528" spans="1:8" x14ac:dyDescent="0.25">
      <c r="A5528" s="4"/>
      <c r="B5528" s="5"/>
      <c r="C5528" s="5"/>
      <c r="D5528" s="5"/>
      <c r="E5528" s="5"/>
      <c r="F5528" s="5"/>
      <c r="G5528" s="5"/>
      <c r="H5528" s="5"/>
    </row>
    <row r="5529" spans="1:8" x14ac:dyDescent="0.25">
      <c r="A5529" s="4"/>
      <c r="B5529" s="5"/>
      <c r="C5529" s="5"/>
      <c r="D5529" s="5"/>
      <c r="E5529" s="5"/>
      <c r="F5529" s="5"/>
      <c r="G5529" s="5"/>
      <c r="H5529" s="5"/>
    </row>
    <row r="5530" spans="1:8" x14ac:dyDescent="0.25">
      <c r="A5530" s="4"/>
      <c r="B5530" s="5"/>
      <c r="C5530" s="5"/>
      <c r="D5530" s="5"/>
      <c r="E5530" s="5"/>
      <c r="F5530" s="5"/>
      <c r="G5530" s="5"/>
      <c r="H5530" s="5"/>
    </row>
    <row r="5531" spans="1:8" x14ac:dyDescent="0.25">
      <c r="A5531" s="4"/>
      <c r="B5531" s="5"/>
      <c r="C5531" s="5"/>
      <c r="D5531" s="5"/>
      <c r="E5531" s="5"/>
      <c r="F5531" s="5"/>
      <c r="G5531" s="5"/>
      <c r="H5531" s="5"/>
    </row>
    <row r="5532" spans="1:8" x14ac:dyDescent="0.25">
      <c r="A5532" s="4"/>
      <c r="B5532" s="5"/>
      <c r="C5532" s="5"/>
      <c r="D5532" s="5"/>
      <c r="E5532" s="5"/>
      <c r="F5532" s="5"/>
      <c r="G5532" s="5"/>
      <c r="H5532" s="5"/>
    </row>
    <row r="5533" spans="1:8" x14ac:dyDescent="0.25">
      <c r="A5533" s="4"/>
      <c r="B5533" s="5"/>
      <c r="C5533" s="5"/>
      <c r="D5533" s="5"/>
      <c r="E5533" s="5"/>
      <c r="F5533" s="5"/>
      <c r="G5533" s="5"/>
      <c r="H5533" s="5"/>
    </row>
    <row r="5534" spans="1:8" x14ac:dyDescent="0.25">
      <c r="A5534" s="4"/>
      <c r="B5534" s="5"/>
      <c r="C5534" s="5"/>
      <c r="D5534" s="5"/>
      <c r="E5534" s="5"/>
      <c r="F5534" s="5"/>
      <c r="G5534" s="5"/>
      <c r="H5534" s="5"/>
    </row>
    <row r="5535" spans="1:8" x14ac:dyDescent="0.25">
      <c r="A5535" s="4"/>
      <c r="B5535" s="5"/>
      <c r="C5535" s="5"/>
      <c r="D5535" s="5"/>
      <c r="E5535" s="5"/>
      <c r="F5535" s="5"/>
      <c r="G5535" s="5"/>
      <c r="H5535" s="5"/>
    </row>
    <row r="5536" spans="1:8" x14ac:dyDescent="0.25">
      <c r="A5536" s="4"/>
      <c r="B5536" s="5"/>
      <c r="C5536" s="5"/>
      <c r="D5536" s="5"/>
      <c r="E5536" s="5"/>
      <c r="F5536" s="5"/>
      <c r="G5536" s="5"/>
      <c r="H5536" s="5"/>
    </row>
    <row r="5537" spans="1:8" x14ac:dyDescent="0.25">
      <c r="A5537" s="4"/>
      <c r="B5537" s="5"/>
      <c r="C5537" s="5"/>
      <c r="D5537" s="5"/>
      <c r="E5537" s="5"/>
      <c r="F5537" s="5"/>
      <c r="G5537" s="5"/>
      <c r="H5537" s="5"/>
    </row>
    <row r="5538" spans="1:8" x14ac:dyDescent="0.25">
      <c r="A5538" s="4"/>
      <c r="B5538" s="5"/>
      <c r="C5538" s="5"/>
      <c r="D5538" s="5"/>
      <c r="E5538" s="5"/>
      <c r="F5538" s="5"/>
      <c r="G5538" s="5"/>
      <c r="H5538" s="5"/>
    </row>
    <row r="5539" spans="1:8" x14ac:dyDescent="0.25">
      <c r="A5539" s="4"/>
      <c r="B5539" s="5"/>
      <c r="C5539" s="5"/>
      <c r="D5539" s="5"/>
      <c r="E5539" s="5"/>
      <c r="F5539" s="5"/>
      <c r="G5539" s="5"/>
      <c r="H5539" s="5"/>
    </row>
    <row r="5540" spans="1:8" x14ac:dyDescent="0.25">
      <c r="A5540" s="4"/>
      <c r="B5540" s="5"/>
      <c r="C5540" s="5"/>
      <c r="D5540" s="5"/>
      <c r="E5540" s="5"/>
      <c r="F5540" s="5"/>
      <c r="G5540" s="5"/>
      <c r="H5540" s="5"/>
    </row>
    <row r="5541" spans="1:8" x14ac:dyDescent="0.25">
      <c r="A5541" s="4"/>
      <c r="B5541" s="5"/>
      <c r="C5541" s="5"/>
      <c r="D5541" s="5"/>
      <c r="E5541" s="5"/>
      <c r="F5541" s="5"/>
      <c r="G5541" s="5"/>
      <c r="H5541" s="5"/>
    </row>
    <row r="5542" spans="1:8" x14ac:dyDescent="0.25">
      <c r="A5542" s="4"/>
      <c r="B5542" s="5"/>
      <c r="C5542" s="5"/>
      <c r="D5542" s="5"/>
      <c r="E5542" s="5"/>
      <c r="F5542" s="5"/>
      <c r="G5542" s="5"/>
      <c r="H5542" s="5"/>
    </row>
    <row r="5543" spans="1:8" x14ac:dyDescent="0.25">
      <c r="A5543" s="4"/>
      <c r="B5543" s="5"/>
      <c r="C5543" s="5"/>
      <c r="D5543" s="5"/>
      <c r="E5543" s="5"/>
      <c r="F5543" s="5"/>
      <c r="G5543" s="5"/>
      <c r="H5543" s="5"/>
    </row>
    <row r="5544" spans="1:8" x14ac:dyDescent="0.25">
      <c r="A5544" s="4"/>
      <c r="B5544" s="5"/>
      <c r="C5544" s="5"/>
      <c r="D5544" s="5"/>
      <c r="E5544" s="5"/>
      <c r="F5544" s="5"/>
      <c r="G5544" s="5"/>
      <c r="H5544" s="5"/>
    </row>
    <row r="5545" spans="1:8" x14ac:dyDescent="0.25">
      <c r="A5545" s="4"/>
      <c r="B5545" s="5"/>
      <c r="C5545" s="5"/>
      <c r="D5545" s="5"/>
      <c r="E5545" s="5"/>
      <c r="F5545" s="5"/>
      <c r="G5545" s="5"/>
      <c r="H5545" s="5"/>
    </row>
    <row r="5546" spans="1:8" x14ac:dyDescent="0.25">
      <c r="A5546" s="4"/>
      <c r="B5546" s="5"/>
      <c r="C5546" s="5"/>
      <c r="D5546" s="5"/>
      <c r="E5546" s="5"/>
      <c r="F5546" s="5"/>
      <c r="G5546" s="5"/>
      <c r="H5546" s="5"/>
    </row>
    <row r="5547" spans="1:8" x14ac:dyDescent="0.25">
      <c r="A5547" s="4"/>
      <c r="B5547" s="5"/>
      <c r="C5547" s="5"/>
      <c r="D5547" s="5"/>
      <c r="E5547" s="5"/>
      <c r="F5547" s="5"/>
      <c r="G5547" s="5"/>
      <c r="H5547" s="5"/>
    </row>
    <row r="5548" spans="1:8" x14ac:dyDescent="0.25">
      <c r="A5548" s="4"/>
      <c r="B5548" s="5"/>
      <c r="C5548" s="5"/>
      <c r="D5548" s="5"/>
      <c r="E5548" s="5"/>
      <c r="F5548" s="5"/>
      <c r="G5548" s="5"/>
      <c r="H5548" s="5"/>
    </row>
    <row r="5549" spans="1:8" x14ac:dyDescent="0.25">
      <c r="A5549" s="4"/>
      <c r="B5549" s="5"/>
      <c r="C5549" s="5"/>
      <c r="D5549" s="5"/>
      <c r="E5549" s="5"/>
      <c r="F5549" s="5"/>
      <c r="G5549" s="5"/>
      <c r="H5549" s="5"/>
    </row>
    <row r="5550" spans="1:8" x14ac:dyDescent="0.25">
      <c r="A5550" s="4"/>
      <c r="B5550" s="5"/>
      <c r="C5550" s="5"/>
      <c r="D5550" s="5"/>
      <c r="E5550" s="5"/>
      <c r="F5550" s="5"/>
      <c r="G5550" s="5"/>
      <c r="H5550" s="5"/>
    </row>
    <row r="5551" spans="1:8" x14ac:dyDescent="0.25">
      <c r="A5551" s="4"/>
      <c r="B5551" s="5"/>
      <c r="C5551" s="5"/>
      <c r="D5551" s="5"/>
      <c r="E5551" s="5"/>
      <c r="F5551" s="5"/>
      <c r="G5551" s="5"/>
      <c r="H5551" s="5"/>
    </row>
    <row r="5552" spans="1:8" x14ac:dyDescent="0.25">
      <c r="A5552" s="4"/>
      <c r="B5552" s="5"/>
      <c r="C5552" s="5"/>
      <c r="D5552" s="5"/>
      <c r="E5552" s="5"/>
      <c r="F5552" s="5"/>
      <c r="G5552" s="5"/>
      <c r="H5552" s="5"/>
    </row>
    <row r="5553" spans="1:8" x14ac:dyDescent="0.25">
      <c r="A5553" s="4"/>
      <c r="B5553" s="5"/>
      <c r="C5553" s="5"/>
      <c r="D5553" s="5"/>
      <c r="E5553" s="5"/>
      <c r="F5553" s="5"/>
      <c r="G5553" s="5"/>
      <c r="H5553" s="5"/>
    </row>
    <row r="5554" spans="1:8" x14ac:dyDescent="0.25">
      <c r="A5554" s="4"/>
      <c r="B5554" s="5"/>
      <c r="C5554" s="5"/>
      <c r="D5554" s="5"/>
      <c r="E5554" s="5"/>
      <c r="F5554" s="5"/>
      <c r="G5554" s="5"/>
      <c r="H5554" s="5"/>
    </row>
    <row r="5555" spans="1:8" x14ac:dyDescent="0.25">
      <c r="A5555" s="4"/>
      <c r="B5555" s="5"/>
      <c r="C5555" s="5"/>
      <c r="D5555" s="5"/>
      <c r="E5555" s="5"/>
      <c r="F5555" s="5"/>
      <c r="G5555" s="5"/>
      <c r="H5555" s="5"/>
    </row>
    <row r="5556" spans="1:8" x14ac:dyDescent="0.25">
      <c r="A5556" s="4"/>
      <c r="B5556" s="5"/>
      <c r="C5556" s="5"/>
      <c r="D5556" s="5"/>
      <c r="E5556" s="5"/>
      <c r="F5556" s="5"/>
      <c r="G5556" s="5"/>
      <c r="H5556" s="5"/>
    </row>
    <row r="5557" spans="1:8" x14ac:dyDescent="0.25">
      <c r="A5557" s="4"/>
      <c r="B5557" s="5"/>
      <c r="C5557" s="5"/>
      <c r="D5557" s="5"/>
      <c r="E5557" s="5"/>
      <c r="F5557" s="5"/>
      <c r="G5557" s="5"/>
      <c r="H5557" s="5"/>
    </row>
    <row r="5558" spans="1:8" x14ac:dyDescent="0.25">
      <c r="A5558" s="4"/>
      <c r="B5558" s="5"/>
      <c r="C5558" s="5"/>
      <c r="D5558" s="5"/>
      <c r="E5558" s="5"/>
      <c r="F5558" s="5"/>
      <c r="G5558" s="5"/>
      <c r="H5558" s="5"/>
    </row>
    <row r="5559" spans="1:8" x14ac:dyDescent="0.25">
      <c r="A5559" s="4"/>
      <c r="B5559" s="5"/>
      <c r="C5559" s="5"/>
      <c r="D5559" s="5"/>
      <c r="E5559" s="5"/>
      <c r="F5559" s="5"/>
      <c r="G5559" s="5"/>
      <c r="H5559" s="5"/>
    </row>
    <row r="5560" spans="1:8" x14ac:dyDescent="0.25">
      <c r="A5560" s="4"/>
      <c r="B5560" s="5"/>
      <c r="C5560" s="5"/>
      <c r="D5560" s="5"/>
      <c r="E5560" s="5"/>
      <c r="F5560" s="5"/>
      <c r="G5560" s="5"/>
      <c r="H5560" s="5"/>
    </row>
    <row r="5561" spans="1:8" x14ac:dyDescent="0.25">
      <c r="A5561" s="4"/>
      <c r="B5561" s="5"/>
      <c r="C5561" s="5"/>
      <c r="D5561" s="5"/>
      <c r="E5561" s="5"/>
      <c r="F5561" s="5"/>
      <c r="G5561" s="5"/>
      <c r="H5561" s="5"/>
    </row>
    <row r="5562" spans="1:8" x14ac:dyDescent="0.25">
      <c r="A5562" s="4"/>
      <c r="B5562" s="5"/>
      <c r="C5562" s="5"/>
      <c r="D5562" s="5"/>
      <c r="E5562" s="5"/>
      <c r="F5562" s="5"/>
      <c r="G5562" s="5"/>
      <c r="H5562" s="5"/>
    </row>
    <row r="5563" spans="1:8" x14ac:dyDescent="0.25">
      <c r="A5563" s="4"/>
      <c r="B5563" s="5"/>
      <c r="C5563" s="5"/>
      <c r="D5563" s="5"/>
      <c r="E5563" s="5"/>
      <c r="F5563" s="5"/>
      <c r="G5563" s="5"/>
      <c r="H5563" s="5"/>
    </row>
    <row r="5564" spans="1:8" x14ac:dyDescent="0.25">
      <c r="A5564" s="4"/>
      <c r="B5564" s="5"/>
      <c r="C5564" s="5"/>
      <c r="D5564" s="5"/>
      <c r="E5564" s="5"/>
      <c r="F5564" s="5"/>
      <c r="G5564" s="5"/>
      <c r="H5564" s="5"/>
    </row>
    <row r="5565" spans="1:8" x14ac:dyDescent="0.25">
      <c r="A5565" s="4"/>
      <c r="B5565" s="5"/>
      <c r="C5565" s="5"/>
      <c r="D5565" s="5"/>
      <c r="E5565" s="5"/>
      <c r="F5565" s="5"/>
      <c r="G5565" s="5"/>
      <c r="H5565" s="5"/>
    </row>
    <row r="5566" spans="1:8" x14ac:dyDescent="0.25">
      <c r="A5566" s="4"/>
      <c r="B5566" s="5"/>
      <c r="C5566" s="5"/>
      <c r="D5566" s="5"/>
      <c r="E5566" s="5"/>
      <c r="F5566" s="5"/>
      <c r="G5566" s="5"/>
      <c r="H5566" s="5"/>
    </row>
    <row r="5567" spans="1:8" x14ac:dyDescent="0.25">
      <c r="A5567" s="4"/>
      <c r="B5567" s="5"/>
      <c r="C5567" s="5"/>
      <c r="D5567" s="5"/>
      <c r="E5567" s="5"/>
      <c r="F5567" s="5"/>
      <c r="G5567" s="5"/>
      <c r="H5567" s="5"/>
    </row>
    <row r="5568" spans="1:8" x14ac:dyDescent="0.25">
      <c r="A5568" s="4"/>
      <c r="B5568" s="5"/>
      <c r="C5568" s="5"/>
      <c r="D5568" s="5"/>
      <c r="E5568" s="5"/>
      <c r="F5568" s="5"/>
      <c r="G5568" s="5"/>
      <c r="H5568" s="5"/>
    </row>
    <row r="5569" spans="1:8" x14ac:dyDescent="0.25">
      <c r="A5569" s="4"/>
      <c r="B5569" s="5"/>
      <c r="C5569" s="5"/>
      <c r="D5569" s="5"/>
      <c r="E5569" s="5"/>
      <c r="F5569" s="5"/>
      <c r="G5569" s="5"/>
      <c r="H5569" s="5"/>
    </row>
    <row r="5570" spans="1:8" x14ac:dyDescent="0.25">
      <c r="A5570" s="4"/>
      <c r="B5570" s="5"/>
      <c r="C5570" s="5"/>
      <c r="D5570" s="5"/>
      <c r="E5570" s="5"/>
      <c r="F5570" s="5"/>
      <c r="G5570" s="5"/>
      <c r="H5570" s="5"/>
    </row>
    <row r="5571" spans="1:8" x14ac:dyDescent="0.25">
      <c r="A5571" s="4"/>
      <c r="B5571" s="5"/>
      <c r="C5571" s="5"/>
      <c r="D5571" s="5"/>
      <c r="E5571" s="5"/>
      <c r="F5571" s="5"/>
      <c r="G5571" s="5"/>
      <c r="H5571" s="5"/>
    </row>
    <row r="5572" spans="1:8" x14ac:dyDescent="0.25">
      <c r="A5572" s="4"/>
      <c r="B5572" s="5"/>
      <c r="C5572" s="5"/>
      <c r="D5572" s="5"/>
      <c r="E5572" s="5"/>
      <c r="F5572" s="5"/>
      <c r="G5572" s="5"/>
      <c r="H5572" s="5"/>
    </row>
    <row r="5573" spans="1:8" x14ac:dyDescent="0.25">
      <c r="A5573" s="4"/>
      <c r="B5573" s="5"/>
      <c r="C5573" s="5"/>
      <c r="D5573" s="5"/>
      <c r="E5573" s="5"/>
      <c r="F5573" s="5"/>
      <c r="G5573" s="5"/>
      <c r="H5573" s="5"/>
    </row>
    <row r="5574" spans="1:8" x14ac:dyDescent="0.25">
      <c r="A5574" s="4"/>
      <c r="B5574" s="5"/>
      <c r="C5574" s="5"/>
      <c r="D5574" s="5"/>
      <c r="E5574" s="5"/>
      <c r="F5574" s="5"/>
      <c r="G5574" s="5"/>
      <c r="H5574" s="5"/>
    </row>
    <row r="5575" spans="1:8" x14ac:dyDescent="0.25">
      <c r="A5575" s="4"/>
      <c r="B5575" s="5"/>
      <c r="C5575" s="5"/>
      <c r="D5575" s="5"/>
      <c r="E5575" s="5"/>
      <c r="F5575" s="5"/>
      <c r="G5575" s="5"/>
      <c r="H5575" s="5"/>
    </row>
    <row r="5576" spans="1:8" x14ac:dyDescent="0.25">
      <c r="A5576" s="4"/>
      <c r="B5576" s="5"/>
      <c r="C5576" s="5"/>
      <c r="D5576" s="5"/>
      <c r="E5576" s="5"/>
      <c r="F5576" s="5"/>
      <c r="G5576" s="5"/>
      <c r="H5576" s="5"/>
    </row>
    <row r="5577" spans="1:8" x14ac:dyDescent="0.25">
      <c r="A5577" s="4"/>
      <c r="B5577" s="5"/>
      <c r="C5577" s="5"/>
      <c r="D5577" s="5"/>
      <c r="E5577" s="5"/>
      <c r="F5577" s="5"/>
      <c r="G5577" s="5"/>
      <c r="H5577" s="5"/>
    </row>
    <row r="5578" spans="1:8" x14ac:dyDescent="0.25">
      <c r="A5578" s="4"/>
      <c r="B5578" s="5"/>
      <c r="C5578" s="5"/>
      <c r="D5578" s="5"/>
      <c r="E5578" s="5"/>
      <c r="F5578" s="5"/>
      <c r="G5578" s="5"/>
      <c r="H5578" s="5"/>
    </row>
    <row r="5579" spans="1:8" x14ac:dyDescent="0.25">
      <c r="A5579" s="4"/>
      <c r="B5579" s="5"/>
      <c r="C5579" s="5"/>
      <c r="D5579" s="5"/>
      <c r="E5579" s="5"/>
      <c r="F5579" s="5"/>
      <c r="G5579" s="5"/>
      <c r="H5579" s="5"/>
    </row>
    <row r="5580" spans="1:8" x14ac:dyDescent="0.25">
      <c r="A5580" s="4"/>
      <c r="B5580" s="5"/>
      <c r="C5580" s="5"/>
      <c r="D5580" s="5"/>
      <c r="E5580" s="5"/>
      <c r="F5580" s="5"/>
      <c r="G5580" s="5"/>
      <c r="H5580" s="5"/>
    </row>
    <row r="5581" spans="1:8" x14ac:dyDescent="0.25">
      <c r="A5581" s="4"/>
      <c r="B5581" s="5"/>
      <c r="C5581" s="5"/>
      <c r="D5581" s="5"/>
      <c r="E5581" s="5"/>
      <c r="F5581" s="5"/>
      <c r="G5581" s="5"/>
      <c r="H5581" s="5"/>
    </row>
    <row r="5582" spans="1:8" x14ac:dyDescent="0.25">
      <c r="A5582" s="4"/>
      <c r="B5582" s="5"/>
      <c r="C5582" s="5"/>
      <c r="D5582" s="5"/>
      <c r="E5582" s="5"/>
      <c r="F5582" s="5"/>
      <c r="G5582" s="5"/>
      <c r="H5582" s="5"/>
    </row>
    <row r="5583" spans="1:8" x14ac:dyDescent="0.25">
      <c r="A5583" s="4"/>
      <c r="B5583" s="5"/>
      <c r="C5583" s="5"/>
      <c r="D5583" s="5"/>
      <c r="E5583" s="5"/>
      <c r="F5583" s="5"/>
      <c r="G5583" s="5"/>
      <c r="H5583" s="5"/>
    </row>
    <row r="5584" spans="1:8" x14ac:dyDescent="0.25">
      <c r="A5584" s="4"/>
      <c r="B5584" s="5"/>
      <c r="C5584" s="5"/>
      <c r="D5584" s="5"/>
      <c r="E5584" s="5"/>
      <c r="F5584" s="5"/>
      <c r="G5584" s="5"/>
      <c r="H5584" s="5"/>
    </row>
    <row r="5585" spans="1:8" x14ac:dyDescent="0.25">
      <c r="A5585" s="4"/>
      <c r="B5585" s="5"/>
      <c r="C5585" s="5"/>
      <c r="D5585" s="5"/>
      <c r="E5585" s="5"/>
      <c r="F5585" s="5"/>
      <c r="G5585" s="5"/>
      <c r="H5585" s="5"/>
    </row>
    <row r="5586" spans="1:8" x14ac:dyDescent="0.25">
      <c r="A5586" s="4"/>
      <c r="B5586" s="5"/>
      <c r="C5586" s="5"/>
      <c r="D5586" s="5"/>
      <c r="E5586" s="5"/>
      <c r="F5586" s="5"/>
      <c r="G5586" s="5"/>
      <c r="H5586" s="5"/>
    </row>
    <row r="5587" spans="1:8" x14ac:dyDescent="0.25">
      <c r="A5587" s="4"/>
      <c r="B5587" s="5"/>
      <c r="C5587" s="5"/>
      <c r="D5587" s="5"/>
      <c r="E5587" s="5"/>
      <c r="F5587" s="5"/>
      <c r="G5587" s="5"/>
      <c r="H5587" s="5"/>
    </row>
    <row r="5588" spans="1:8" x14ac:dyDescent="0.25">
      <c r="A5588" s="4"/>
      <c r="B5588" s="5"/>
      <c r="C5588" s="5"/>
      <c r="D5588" s="5"/>
      <c r="E5588" s="5"/>
      <c r="F5588" s="5"/>
      <c r="G5588" s="5"/>
      <c r="H5588" s="5"/>
    </row>
    <row r="5589" spans="1:8" x14ac:dyDescent="0.25">
      <c r="A5589" s="4"/>
      <c r="B5589" s="5"/>
      <c r="C5589" s="5"/>
      <c r="D5589" s="5"/>
      <c r="E5589" s="5"/>
      <c r="F5589" s="5"/>
      <c r="G5589" s="5"/>
      <c r="H5589" s="5"/>
    </row>
    <row r="5590" spans="1:8" x14ac:dyDescent="0.25">
      <c r="A5590" s="4"/>
      <c r="B5590" s="5"/>
      <c r="C5590" s="5"/>
      <c r="D5590" s="5"/>
      <c r="E5590" s="5"/>
      <c r="F5590" s="5"/>
      <c r="G5590" s="5"/>
      <c r="H5590" s="5"/>
    </row>
    <row r="5591" spans="1:8" x14ac:dyDescent="0.25">
      <c r="A5591" s="4"/>
      <c r="B5591" s="5"/>
      <c r="C5591" s="5"/>
      <c r="D5591" s="5"/>
      <c r="E5591" s="5"/>
      <c r="F5591" s="5"/>
      <c r="G5591" s="5"/>
      <c r="H5591" s="5"/>
    </row>
    <row r="5592" spans="1:8" x14ac:dyDescent="0.25">
      <c r="A5592" s="4"/>
      <c r="B5592" s="5"/>
      <c r="C5592" s="5"/>
      <c r="D5592" s="5"/>
      <c r="E5592" s="5"/>
      <c r="F5592" s="5"/>
      <c r="G5592" s="5"/>
      <c r="H5592" s="5"/>
    </row>
    <row r="5593" spans="1:8" x14ac:dyDescent="0.25">
      <c r="A5593" s="4"/>
      <c r="B5593" s="5"/>
      <c r="C5593" s="5"/>
      <c r="D5593" s="5"/>
      <c r="E5593" s="5"/>
      <c r="F5593" s="5"/>
      <c r="G5593" s="5"/>
      <c r="H5593" s="5"/>
    </row>
    <row r="5594" spans="1:8" x14ac:dyDescent="0.25">
      <c r="A5594" s="4"/>
      <c r="B5594" s="5"/>
      <c r="C5594" s="5"/>
      <c r="D5594" s="5"/>
      <c r="E5594" s="5"/>
      <c r="F5594" s="5"/>
      <c r="G5594" s="5"/>
      <c r="H5594" s="5"/>
    </row>
    <row r="5595" spans="1:8" x14ac:dyDescent="0.25">
      <c r="A5595" s="4"/>
      <c r="B5595" s="5"/>
      <c r="C5595" s="5"/>
      <c r="D5595" s="5"/>
      <c r="E5595" s="5"/>
      <c r="F5595" s="5"/>
      <c r="G5595" s="5"/>
      <c r="H5595" s="5"/>
    </row>
    <row r="5596" spans="1:8" x14ac:dyDescent="0.25">
      <c r="A5596" s="4"/>
      <c r="B5596" s="5"/>
      <c r="C5596" s="5"/>
      <c r="D5596" s="5"/>
      <c r="E5596" s="5"/>
      <c r="F5596" s="5"/>
      <c r="G5596" s="5"/>
      <c r="H5596" s="5"/>
    </row>
    <row r="5597" spans="1:8" x14ac:dyDescent="0.25">
      <c r="A5597" s="4"/>
      <c r="B5597" s="5"/>
      <c r="C5597" s="5"/>
      <c r="D5597" s="5"/>
      <c r="E5597" s="5"/>
      <c r="F5597" s="5"/>
      <c r="G5597" s="5"/>
      <c r="H5597" s="5"/>
    </row>
    <row r="5598" spans="1:8" x14ac:dyDescent="0.25">
      <c r="A5598" s="4"/>
      <c r="B5598" s="5"/>
      <c r="C5598" s="5"/>
      <c r="D5598" s="5"/>
      <c r="E5598" s="5"/>
      <c r="F5598" s="5"/>
      <c r="G5598" s="5"/>
      <c r="H5598" s="5"/>
    </row>
    <row r="5599" spans="1:8" x14ac:dyDescent="0.25">
      <c r="A5599" s="4"/>
      <c r="B5599" s="5"/>
      <c r="C5599" s="5"/>
      <c r="D5599" s="5"/>
      <c r="E5599" s="5"/>
      <c r="F5599" s="5"/>
      <c r="G5599" s="5"/>
      <c r="H5599" s="5"/>
    </row>
    <row r="5600" spans="1:8" x14ac:dyDescent="0.25">
      <c r="A5600" s="4"/>
      <c r="B5600" s="5"/>
      <c r="C5600" s="5"/>
      <c r="D5600" s="5"/>
      <c r="E5600" s="5"/>
      <c r="F5600" s="5"/>
      <c r="G5600" s="5"/>
      <c r="H5600" s="5"/>
    </row>
    <row r="5601" spans="1:8" x14ac:dyDescent="0.25">
      <c r="A5601" s="4"/>
      <c r="B5601" s="5"/>
      <c r="C5601" s="5"/>
      <c r="D5601" s="5"/>
      <c r="E5601" s="5"/>
      <c r="F5601" s="5"/>
      <c r="G5601" s="5"/>
      <c r="H5601" s="5"/>
    </row>
    <row r="5602" spans="1:8" x14ac:dyDescent="0.25">
      <c r="A5602" s="4"/>
      <c r="B5602" s="5"/>
      <c r="C5602" s="5"/>
      <c r="D5602" s="5"/>
      <c r="E5602" s="5"/>
      <c r="F5602" s="5"/>
      <c r="G5602" s="5"/>
      <c r="H5602" s="5"/>
    </row>
    <row r="5603" spans="1:8" x14ac:dyDescent="0.25">
      <c r="A5603" s="4"/>
      <c r="B5603" s="5"/>
      <c r="C5603" s="5"/>
      <c r="D5603" s="5"/>
      <c r="E5603" s="5"/>
      <c r="F5603" s="5"/>
      <c r="G5603" s="5"/>
      <c r="H5603" s="5"/>
    </row>
    <row r="5604" spans="1:8" x14ac:dyDescent="0.25">
      <c r="A5604" s="4"/>
      <c r="B5604" s="5"/>
      <c r="C5604" s="5"/>
      <c r="D5604" s="5"/>
      <c r="E5604" s="5"/>
      <c r="F5604" s="5"/>
      <c r="G5604" s="5"/>
      <c r="H5604" s="5"/>
    </row>
    <row r="5605" spans="1:8" x14ac:dyDescent="0.25">
      <c r="A5605" s="4"/>
      <c r="B5605" s="5"/>
      <c r="C5605" s="5"/>
      <c r="D5605" s="5"/>
      <c r="E5605" s="5"/>
      <c r="F5605" s="5"/>
      <c r="G5605" s="5"/>
      <c r="H5605" s="5"/>
    </row>
    <row r="5606" spans="1:8" x14ac:dyDescent="0.25">
      <c r="A5606" s="4"/>
      <c r="B5606" s="5"/>
      <c r="C5606" s="5"/>
      <c r="D5606" s="5"/>
      <c r="E5606" s="5"/>
      <c r="F5606" s="5"/>
      <c r="G5606" s="5"/>
      <c r="H5606" s="5"/>
    </row>
    <row r="5607" spans="1:8" x14ac:dyDescent="0.25">
      <c r="A5607" s="4"/>
      <c r="B5607" s="5"/>
      <c r="C5607" s="5"/>
      <c r="D5607" s="5"/>
      <c r="E5607" s="5"/>
      <c r="F5607" s="5"/>
      <c r="G5607" s="5"/>
      <c r="H5607" s="5"/>
    </row>
    <row r="5608" spans="1:8" x14ac:dyDescent="0.25">
      <c r="A5608" s="4"/>
      <c r="B5608" s="5"/>
      <c r="C5608" s="5"/>
      <c r="D5608" s="5"/>
      <c r="E5608" s="5"/>
      <c r="F5608" s="5"/>
      <c r="G5608" s="5"/>
      <c r="H5608" s="5"/>
    </row>
    <row r="5609" spans="1:8" x14ac:dyDescent="0.25">
      <c r="A5609" s="4"/>
      <c r="B5609" s="5"/>
      <c r="C5609" s="5"/>
      <c r="D5609" s="5"/>
      <c r="E5609" s="5"/>
      <c r="F5609" s="5"/>
      <c r="G5609" s="5"/>
      <c r="H5609" s="5"/>
    </row>
    <row r="5610" spans="1:8" x14ac:dyDescent="0.25">
      <c r="A5610" s="4"/>
      <c r="B5610" s="5"/>
      <c r="C5610" s="5"/>
      <c r="D5610" s="5"/>
      <c r="E5610" s="5"/>
      <c r="F5610" s="5"/>
      <c r="G5610" s="5"/>
      <c r="H5610" s="5"/>
    </row>
    <row r="5611" spans="1:8" x14ac:dyDescent="0.25">
      <c r="A5611" s="4"/>
      <c r="B5611" s="5"/>
      <c r="C5611" s="5"/>
      <c r="D5611" s="5"/>
      <c r="E5611" s="5"/>
      <c r="F5611" s="5"/>
      <c r="G5611" s="5"/>
      <c r="H5611" s="5"/>
    </row>
    <row r="5612" spans="1:8" x14ac:dyDescent="0.25">
      <c r="A5612" s="4"/>
      <c r="B5612" s="5"/>
      <c r="C5612" s="5"/>
      <c r="D5612" s="5"/>
      <c r="E5612" s="5"/>
      <c r="F5612" s="5"/>
      <c r="G5612" s="5"/>
      <c r="H5612" s="5"/>
    </row>
    <row r="5613" spans="1:8" x14ac:dyDescent="0.25">
      <c r="A5613" s="4"/>
      <c r="B5613" s="5"/>
      <c r="C5613" s="5"/>
      <c r="D5613" s="5"/>
      <c r="E5613" s="5"/>
      <c r="F5613" s="5"/>
      <c r="G5613" s="5"/>
      <c r="H5613" s="5"/>
    </row>
    <row r="5614" spans="1:8" x14ac:dyDescent="0.25">
      <c r="A5614" s="4"/>
      <c r="B5614" s="5"/>
      <c r="C5614" s="5"/>
      <c r="D5614" s="5"/>
      <c r="E5614" s="5"/>
      <c r="F5614" s="5"/>
      <c r="G5614" s="5"/>
      <c r="H5614" s="5"/>
    </row>
    <row r="5615" spans="1:8" x14ac:dyDescent="0.25">
      <c r="A5615" s="4"/>
      <c r="B5615" s="5"/>
      <c r="C5615" s="5"/>
      <c r="D5615" s="5"/>
      <c r="E5615" s="5"/>
      <c r="F5615" s="5"/>
      <c r="G5615" s="5"/>
      <c r="H5615" s="5"/>
    </row>
    <row r="5616" spans="1:8" x14ac:dyDescent="0.25">
      <c r="A5616" s="4"/>
      <c r="B5616" s="5"/>
      <c r="C5616" s="5"/>
      <c r="D5616" s="5"/>
      <c r="E5616" s="5"/>
      <c r="F5616" s="5"/>
      <c r="G5616" s="5"/>
      <c r="H5616" s="5"/>
    </row>
    <row r="5617" spans="1:8" x14ac:dyDescent="0.25">
      <c r="A5617" s="4"/>
      <c r="B5617" s="5"/>
      <c r="C5617" s="5"/>
      <c r="D5617" s="5"/>
      <c r="E5617" s="5"/>
      <c r="F5617" s="5"/>
      <c r="G5617" s="5"/>
      <c r="H5617" s="5"/>
    </row>
    <row r="5618" spans="1:8" x14ac:dyDescent="0.25">
      <c r="A5618" s="4"/>
      <c r="B5618" s="5"/>
      <c r="C5618" s="5"/>
      <c r="D5618" s="5"/>
      <c r="E5618" s="5"/>
      <c r="F5618" s="5"/>
      <c r="G5618" s="5"/>
      <c r="H5618" s="5"/>
    </row>
    <row r="5619" spans="1:8" x14ac:dyDescent="0.25">
      <c r="A5619" s="4"/>
      <c r="B5619" s="5"/>
      <c r="C5619" s="5"/>
      <c r="D5619" s="5"/>
      <c r="E5619" s="5"/>
      <c r="F5619" s="5"/>
      <c r="G5619" s="5"/>
      <c r="H5619" s="5"/>
    </row>
    <row r="5620" spans="1:8" x14ac:dyDescent="0.25">
      <c r="A5620" s="4"/>
      <c r="B5620" s="5"/>
      <c r="C5620" s="5"/>
      <c r="D5620" s="5"/>
      <c r="E5620" s="5"/>
      <c r="F5620" s="5"/>
      <c r="G5620" s="5"/>
      <c r="H5620" s="5"/>
    </row>
    <row r="5621" spans="1:8" x14ac:dyDescent="0.25">
      <c r="A5621" s="4"/>
      <c r="B5621" s="5"/>
      <c r="C5621" s="5"/>
      <c r="D5621" s="5"/>
      <c r="E5621" s="5"/>
      <c r="F5621" s="5"/>
      <c r="G5621" s="5"/>
      <c r="H5621" s="5"/>
    </row>
    <row r="5622" spans="1:8" x14ac:dyDescent="0.25">
      <c r="A5622" s="4"/>
      <c r="B5622" s="5"/>
      <c r="C5622" s="5"/>
      <c r="D5622" s="5"/>
      <c r="E5622" s="5"/>
      <c r="F5622" s="5"/>
      <c r="G5622" s="5"/>
      <c r="H5622" s="5"/>
    </row>
    <row r="5623" spans="1:8" x14ac:dyDescent="0.25">
      <c r="A5623" s="4"/>
      <c r="B5623" s="5"/>
      <c r="C5623" s="5"/>
      <c r="D5623" s="5"/>
      <c r="E5623" s="5"/>
      <c r="F5623" s="5"/>
      <c r="G5623" s="5"/>
      <c r="H5623" s="5"/>
    </row>
    <row r="5624" spans="1:8" x14ac:dyDescent="0.25">
      <c r="A5624" s="4"/>
      <c r="B5624" s="5"/>
      <c r="C5624" s="5"/>
      <c r="D5624" s="5"/>
      <c r="E5624" s="5"/>
      <c r="F5624" s="5"/>
      <c r="G5624" s="5"/>
      <c r="H5624" s="5"/>
    </row>
    <row r="5625" spans="1:8" x14ac:dyDescent="0.25">
      <c r="A5625" s="4"/>
      <c r="B5625" s="5"/>
      <c r="C5625" s="5"/>
      <c r="D5625" s="5"/>
      <c r="E5625" s="5"/>
      <c r="F5625" s="5"/>
      <c r="G5625" s="5"/>
      <c r="H5625" s="5"/>
    </row>
    <row r="5626" spans="1:8" x14ac:dyDescent="0.25">
      <c r="A5626" s="4"/>
      <c r="B5626" s="5"/>
      <c r="C5626" s="5"/>
      <c r="D5626" s="5"/>
      <c r="E5626" s="5"/>
      <c r="F5626" s="5"/>
      <c r="G5626" s="5"/>
      <c r="H5626" s="5"/>
    </row>
    <row r="5627" spans="1:8" x14ac:dyDescent="0.25">
      <c r="A5627" s="4"/>
      <c r="B5627" s="5"/>
      <c r="C5627" s="5"/>
      <c r="D5627" s="5"/>
      <c r="E5627" s="5"/>
      <c r="F5627" s="5"/>
      <c r="G5627" s="5"/>
      <c r="H5627" s="5"/>
    </row>
    <row r="5628" spans="1:8" x14ac:dyDescent="0.25">
      <c r="A5628" s="4"/>
      <c r="B5628" s="5"/>
      <c r="C5628" s="5"/>
      <c r="D5628" s="5"/>
      <c r="E5628" s="5"/>
      <c r="F5628" s="5"/>
      <c r="G5628" s="5"/>
      <c r="H5628" s="5"/>
    </row>
    <row r="5629" spans="1:8" x14ac:dyDescent="0.25">
      <c r="A5629" s="4"/>
      <c r="B5629" s="5"/>
      <c r="C5629" s="5"/>
      <c r="D5629" s="5"/>
      <c r="E5629" s="5"/>
      <c r="F5629" s="5"/>
      <c r="G5629" s="5"/>
      <c r="H5629" s="5"/>
    </row>
    <row r="5630" spans="1:8" x14ac:dyDescent="0.25">
      <c r="A5630" s="4"/>
      <c r="B5630" s="5"/>
      <c r="C5630" s="5"/>
      <c r="D5630" s="5"/>
      <c r="E5630" s="5"/>
      <c r="F5630" s="5"/>
      <c r="G5630" s="5"/>
      <c r="H5630" s="5"/>
    </row>
    <row r="5631" spans="1:8" x14ac:dyDescent="0.25">
      <c r="A5631" s="4"/>
      <c r="B5631" s="5"/>
      <c r="C5631" s="5"/>
      <c r="D5631" s="5"/>
      <c r="E5631" s="5"/>
      <c r="F5631" s="5"/>
      <c r="G5631" s="5"/>
      <c r="H5631" s="5"/>
    </row>
    <row r="5632" spans="1:8" x14ac:dyDescent="0.25">
      <c r="A5632" s="4"/>
      <c r="B5632" s="5"/>
      <c r="C5632" s="5"/>
      <c r="D5632" s="5"/>
      <c r="E5632" s="5"/>
      <c r="F5632" s="5"/>
      <c r="G5632" s="5"/>
      <c r="H5632" s="5"/>
    </row>
    <row r="5633" spans="1:8" x14ac:dyDescent="0.25">
      <c r="A5633" s="4"/>
      <c r="B5633" s="5"/>
      <c r="C5633" s="5"/>
      <c r="D5633" s="5"/>
      <c r="E5633" s="5"/>
      <c r="F5633" s="5"/>
      <c r="G5633" s="5"/>
      <c r="H5633" s="5"/>
    </row>
    <row r="5634" spans="1:8" x14ac:dyDescent="0.25">
      <c r="A5634" s="4"/>
      <c r="B5634" s="5"/>
      <c r="C5634" s="5"/>
      <c r="D5634" s="5"/>
      <c r="E5634" s="5"/>
      <c r="F5634" s="5"/>
      <c r="G5634" s="5"/>
      <c r="H5634" s="5"/>
    </row>
    <row r="5635" spans="1:8" x14ac:dyDescent="0.25">
      <c r="A5635" s="4"/>
      <c r="B5635" s="5"/>
      <c r="C5635" s="5"/>
      <c r="D5635" s="5"/>
      <c r="E5635" s="5"/>
      <c r="F5635" s="5"/>
      <c r="G5635" s="5"/>
      <c r="H5635" s="5"/>
    </row>
    <row r="5636" spans="1:8" x14ac:dyDescent="0.25">
      <c r="A5636" s="4"/>
      <c r="B5636" s="5"/>
      <c r="C5636" s="5"/>
      <c r="D5636" s="5"/>
      <c r="E5636" s="5"/>
      <c r="F5636" s="5"/>
      <c r="G5636" s="5"/>
      <c r="H5636" s="5"/>
    </row>
    <row r="5637" spans="1:8" x14ac:dyDescent="0.25">
      <c r="A5637" s="4"/>
      <c r="B5637" s="5"/>
      <c r="C5637" s="5"/>
      <c r="D5637" s="5"/>
      <c r="E5637" s="5"/>
      <c r="F5637" s="5"/>
      <c r="G5637" s="5"/>
      <c r="H5637" s="5"/>
    </row>
    <row r="5638" spans="1:8" x14ac:dyDescent="0.25">
      <c r="A5638" s="4"/>
      <c r="B5638" s="5"/>
      <c r="C5638" s="5"/>
      <c r="D5638" s="5"/>
      <c r="E5638" s="5"/>
      <c r="F5638" s="5"/>
      <c r="G5638" s="5"/>
      <c r="H5638" s="5"/>
    </row>
    <row r="5639" spans="1:8" x14ac:dyDescent="0.25">
      <c r="A5639" s="4"/>
      <c r="B5639" s="5"/>
      <c r="C5639" s="5"/>
      <c r="D5639" s="5"/>
      <c r="E5639" s="5"/>
      <c r="F5639" s="5"/>
      <c r="G5639" s="5"/>
      <c r="H5639" s="5"/>
    </row>
    <row r="5640" spans="1:8" x14ac:dyDescent="0.25">
      <c r="A5640" s="4"/>
      <c r="B5640" s="5"/>
      <c r="C5640" s="5"/>
      <c r="D5640" s="5"/>
      <c r="E5640" s="5"/>
      <c r="F5640" s="5"/>
      <c r="G5640" s="5"/>
      <c r="H5640" s="5"/>
    </row>
    <row r="5641" spans="1:8" x14ac:dyDescent="0.25">
      <c r="A5641" s="4"/>
      <c r="B5641" s="5"/>
      <c r="C5641" s="5"/>
      <c r="D5641" s="5"/>
      <c r="E5641" s="5"/>
      <c r="F5641" s="5"/>
      <c r="G5641" s="5"/>
      <c r="H5641" s="5"/>
    </row>
    <row r="5642" spans="1:8" x14ac:dyDescent="0.25">
      <c r="A5642" s="4"/>
      <c r="B5642" s="5"/>
      <c r="C5642" s="5"/>
      <c r="D5642" s="5"/>
      <c r="E5642" s="5"/>
      <c r="F5642" s="5"/>
      <c r="G5642" s="5"/>
      <c r="H5642" s="5"/>
    </row>
    <row r="5643" spans="1:8" x14ac:dyDescent="0.25">
      <c r="A5643" s="4"/>
      <c r="B5643" s="5"/>
      <c r="C5643" s="5"/>
      <c r="D5643" s="5"/>
      <c r="E5643" s="5"/>
      <c r="F5643" s="5"/>
      <c r="G5643" s="5"/>
      <c r="H5643" s="5"/>
    </row>
    <row r="5644" spans="1:8" x14ac:dyDescent="0.25">
      <c r="A5644" s="4"/>
      <c r="B5644" s="5"/>
      <c r="C5644" s="5"/>
      <c r="D5644" s="5"/>
      <c r="E5644" s="5"/>
      <c r="F5644" s="5"/>
      <c r="G5644" s="5"/>
      <c r="H5644" s="5"/>
    </row>
    <row r="5645" spans="1:8" x14ac:dyDescent="0.25">
      <c r="A5645" s="4"/>
      <c r="B5645" s="5"/>
      <c r="C5645" s="5"/>
      <c r="D5645" s="5"/>
      <c r="E5645" s="5"/>
      <c r="F5645" s="5"/>
      <c r="G5645" s="5"/>
      <c r="H5645" s="5"/>
    </row>
    <row r="5646" spans="1:8" x14ac:dyDescent="0.25">
      <c r="A5646" s="4"/>
      <c r="B5646" s="5"/>
      <c r="C5646" s="5"/>
      <c r="D5646" s="5"/>
      <c r="E5646" s="5"/>
      <c r="F5646" s="5"/>
      <c r="G5646" s="5"/>
      <c r="H5646" s="5"/>
    </row>
    <row r="5647" spans="1:8" x14ac:dyDescent="0.25">
      <c r="A5647" s="4"/>
      <c r="B5647" s="5"/>
      <c r="C5647" s="5"/>
      <c r="D5647" s="5"/>
      <c r="E5647" s="5"/>
      <c r="F5647" s="5"/>
      <c r="G5647" s="5"/>
      <c r="H5647" s="5"/>
    </row>
    <row r="5648" spans="1:8" x14ac:dyDescent="0.25">
      <c r="A5648" s="4"/>
      <c r="B5648" s="5"/>
      <c r="C5648" s="5"/>
      <c r="D5648" s="5"/>
      <c r="E5648" s="5"/>
      <c r="F5648" s="5"/>
      <c r="G5648" s="5"/>
      <c r="H5648" s="5"/>
    </row>
    <row r="5649" spans="1:8" x14ac:dyDescent="0.25">
      <c r="A5649" s="4"/>
      <c r="B5649" s="5"/>
      <c r="C5649" s="5"/>
      <c r="D5649" s="5"/>
      <c r="E5649" s="5"/>
      <c r="F5649" s="5"/>
      <c r="G5649" s="5"/>
      <c r="H5649" s="5"/>
    </row>
    <row r="5650" spans="1:8" x14ac:dyDescent="0.25">
      <c r="A5650" s="4"/>
      <c r="B5650" s="5"/>
      <c r="C5650" s="5"/>
      <c r="D5650" s="5"/>
      <c r="E5650" s="5"/>
      <c r="F5650" s="5"/>
      <c r="G5650" s="5"/>
      <c r="H5650" s="5"/>
    </row>
    <row r="5651" spans="1:8" x14ac:dyDescent="0.25">
      <c r="A5651" s="4"/>
      <c r="B5651" s="5"/>
      <c r="C5651" s="5"/>
      <c r="D5651" s="5"/>
      <c r="E5651" s="5"/>
      <c r="F5651" s="5"/>
      <c r="G5651" s="5"/>
      <c r="H5651" s="5"/>
    </row>
    <row r="5652" spans="1:8" x14ac:dyDescent="0.25">
      <c r="A5652" s="4"/>
      <c r="B5652" s="5"/>
      <c r="C5652" s="5"/>
      <c r="D5652" s="5"/>
      <c r="E5652" s="5"/>
      <c r="F5652" s="5"/>
      <c r="G5652" s="5"/>
      <c r="H5652" s="5"/>
    </row>
    <row r="5653" spans="1:8" x14ac:dyDescent="0.25">
      <c r="A5653" s="4"/>
      <c r="B5653" s="5"/>
      <c r="C5653" s="5"/>
      <c r="D5653" s="5"/>
      <c r="E5653" s="5"/>
      <c r="F5653" s="5"/>
      <c r="G5653" s="5"/>
      <c r="H5653" s="5"/>
    </row>
    <row r="5654" spans="1:8" x14ac:dyDescent="0.25">
      <c r="A5654" s="4"/>
      <c r="B5654" s="5"/>
      <c r="C5654" s="5"/>
      <c r="D5654" s="5"/>
      <c r="E5654" s="5"/>
      <c r="F5654" s="5"/>
      <c r="G5654" s="5"/>
      <c r="H5654" s="5"/>
    </row>
    <row r="5655" spans="1:8" x14ac:dyDescent="0.25">
      <c r="A5655" s="4"/>
      <c r="B5655" s="5"/>
      <c r="C5655" s="5"/>
      <c r="D5655" s="5"/>
      <c r="E5655" s="5"/>
      <c r="F5655" s="5"/>
      <c r="G5655" s="5"/>
      <c r="H5655" s="5"/>
    </row>
    <row r="5656" spans="1:8" x14ac:dyDescent="0.25">
      <c r="A5656" s="4"/>
      <c r="B5656" s="5"/>
      <c r="C5656" s="5"/>
      <c r="D5656" s="5"/>
      <c r="E5656" s="5"/>
      <c r="F5656" s="5"/>
      <c r="G5656" s="5"/>
      <c r="H5656" s="5"/>
    </row>
    <row r="5657" spans="1:8" x14ac:dyDescent="0.25">
      <c r="A5657" s="4"/>
      <c r="B5657" s="5"/>
      <c r="C5657" s="5"/>
      <c r="D5657" s="5"/>
      <c r="E5657" s="5"/>
      <c r="F5657" s="5"/>
      <c r="G5657" s="5"/>
      <c r="H5657" s="5"/>
    </row>
    <row r="5658" spans="1:8" x14ac:dyDescent="0.25">
      <c r="A5658" s="4"/>
      <c r="B5658" s="5"/>
      <c r="C5658" s="5"/>
      <c r="D5658" s="5"/>
      <c r="E5658" s="5"/>
      <c r="F5658" s="5"/>
      <c r="G5658" s="5"/>
      <c r="H5658" s="5"/>
    </row>
    <row r="5659" spans="1:8" x14ac:dyDescent="0.25">
      <c r="A5659" s="4"/>
      <c r="B5659" s="5"/>
      <c r="C5659" s="5"/>
      <c r="D5659" s="5"/>
      <c r="E5659" s="5"/>
      <c r="F5659" s="5"/>
      <c r="G5659" s="5"/>
      <c r="H5659" s="5"/>
    </row>
    <row r="5660" spans="1:8" x14ac:dyDescent="0.25">
      <c r="A5660" s="4"/>
      <c r="B5660" s="5"/>
      <c r="C5660" s="5"/>
      <c r="D5660" s="5"/>
      <c r="E5660" s="5"/>
      <c r="F5660" s="5"/>
      <c r="G5660" s="5"/>
      <c r="H5660" s="5"/>
    </row>
    <row r="5661" spans="1:8" x14ac:dyDescent="0.25">
      <c r="A5661" s="4"/>
      <c r="B5661" s="5"/>
      <c r="C5661" s="5"/>
      <c r="D5661" s="5"/>
      <c r="E5661" s="5"/>
      <c r="F5661" s="5"/>
      <c r="G5661" s="5"/>
      <c r="H5661" s="5"/>
    </row>
    <row r="5662" spans="1:8" x14ac:dyDescent="0.25">
      <c r="A5662" s="4"/>
      <c r="B5662" s="5"/>
      <c r="C5662" s="5"/>
      <c r="D5662" s="5"/>
      <c r="E5662" s="5"/>
      <c r="F5662" s="5"/>
      <c r="G5662" s="5"/>
      <c r="H5662" s="5"/>
    </row>
    <row r="5663" spans="1:8" x14ac:dyDescent="0.25">
      <c r="A5663" s="4"/>
      <c r="B5663" s="5"/>
      <c r="C5663" s="5"/>
      <c r="D5663" s="5"/>
      <c r="E5663" s="5"/>
      <c r="F5663" s="5"/>
      <c r="G5663" s="5"/>
      <c r="H5663" s="5"/>
    </row>
    <row r="5664" spans="1:8" x14ac:dyDescent="0.25">
      <c r="A5664" s="4"/>
      <c r="B5664" s="5"/>
      <c r="C5664" s="5"/>
      <c r="D5664" s="5"/>
      <c r="E5664" s="5"/>
      <c r="F5664" s="5"/>
      <c r="G5664" s="5"/>
      <c r="H5664" s="5"/>
    </row>
    <row r="5665" spans="1:8" x14ac:dyDescent="0.25">
      <c r="A5665" s="4"/>
      <c r="B5665" s="5"/>
      <c r="C5665" s="5"/>
      <c r="D5665" s="5"/>
      <c r="E5665" s="5"/>
      <c r="F5665" s="5"/>
      <c r="G5665" s="5"/>
      <c r="H5665" s="5"/>
    </row>
    <row r="5666" spans="1:8" x14ac:dyDescent="0.25">
      <c r="A5666" s="4"/>
      <c r="B5666" s="5"/>
      <c r="C5666" s="5"/>
      <c r="D5666" s="5"/>
      <c r="E5666" s="5"/>
      <c r="F5666" s="5"/>
      <c r="G5666" s="5"/>
      <c r="H5666" s="5"/>
    </row>
    <row r="5667" spans="1:8" x14ac:dyDescent="0.25">
      <c r="A5667" s="4"/>
      <c r="B5667" s="5"/>
      <c r="C5667" s="5"/>
      <c r="D5667" s="5"/>
      <c r="E5667" s="5"/>
      <c r="F5667" s="5"/>
      <c r="G5667" s="5"/>
      <c r="H5667" s="5"/>
    </row>
    <row r="5668" spans="1:8" x14ac:dyDescent="0.25">
      <c r="A5668" s="4"/>
      <c r="B5668" s="5"/>
      <c r="C5668" s="5"/>
      <c r="D5668" s="5"/>
      <c r="E5668" s="5"/>
      <c r="F5668" s="5"/>
      <c r="G5668" s="5"/>
      <c r="H5668" s="5"/>
    </row>
    <row r="5669" spans="1:8" x14ac:dyDescent="0.25">
      <c r="A5669" s="4"/>
      <c r="B5669" s="5"/>
      <c r="C5669" s="5"/>
      <c r="D5669" s="5"/>
      <c r="E5669" s="5"/>
      <c r="F5669" s="5"/>
      <c r="G5669" s="5"/>
      <c r="H5669" s="5"/>
    </row>
    <row r="5670" spans="1:8" x14ac:dyDescent="0.25">
      <c r="A5670" s="4"/>
      <c r="B5670" s="5"/>
      <c r="C5670" s="5"/>
      <c r="D5670" s="5"/>
      <c r="E5670" s="5"/>
      <c r="F5670" s="5"/>
      <c r="G5670" s="5"/>
      <c r="H5670" s="5"/>
    </row>
    <row r="5671" spans="1:8" x14ac:dyDescent="0.25">
      <c r="A5671" s="4"/>
      <c r="B5671" s="5"/>
      <c r="C5671" s="5"/>
      <c r="D5671" s="5"/>
      <c r="E5671" s="5"/>
      <c r="F5671" s="5"/>
      <c r="G5671" s="5"/>
      <c r="H5671" s="5"/>
    </row>
    <row r="5672" spans="1:8" x14ac:dyDescent="0.25">
      <c r="A5672" s="4"/>
      <c r="B5672" s="5"/>
      <c r="C5672" s="5"/>
      <c r="D5672" s="5"/>
      <c r="E5672" s="5"/>
      <c r="F5672" s="5"/>
      <c r="G5672" s="5"/>
      <c r="H5672" s="5"/>
    </row>
    <row r="5673" spans="1:8" x14ac:dyDescent="0.25">
      <c r="A5673" s="4"/>
      <c r="B5673" s="5"/>
      <c r="C5673" s="5"/>
      <c r="D5673" s="5"/>
      <c r="E5673" s="5"/>
      <c r="F5673" s="5"/>
      <c r="G5673" s="5"/>
      <c r="H5673" s="5"/>
    </row>
    <row r="5674" spans="1:8" x14ac:dyDescent="0.25">
      <c r="A5674" s="4"/>
      <c r="B5674" s="5"/>
      <c r="C5674" s="5"/>
      <c r="D5674" s="5"/>
      <c r="E5674" s="5"/>
      <c r="F5674" s="5"/>
      <c r="G5674" s="5"/>
      <c r="H5674" s="5"/>
    </row>
    <row r="5675" spans="1:8" x14ac:dyDescent="0.25">
      <c r="A5675" s="4"/>
      <c r="B5675" s="5"/>
      <c r="C5675" s="5"/>
      <c r="D5675" s="5"/>
      <c r="E5675" s="5"/>
      <c r="F5675" s="5"/>
      <c r="G5675" s="5"/>
      <c r="H5675" s="5"/>
    </row>
    <row r="5676" spans="1:8" x14ac:dyDescent="0.25">
      <c r="A5676" s="4"/>
      <c r="B5676" s="5"/>
      <c r="C5676" s="5"/>
      <c r="D5676" s="5"/>
      <c r="E5676" s="5"/>
      <c r="F5676" s="5"/>
      <c r="G5676" s="5"/>
      <c r="H5676" s="5"/>
    </row>
    <row r="5677" spans="1:8" x14ac:dyDescent="0.25">
      <c r="A5677" s="4"/>
      <c r="B5677" s="5"/>
      <c r="C5677" s="5"/>
      <c r="D5677" s="5"/>
      <c r="E5677" s="5"/>
      <c r="F5677" s="5"/>
      <c r="G5677" s="5"/>
      <c r="H5677" s="5"/>
    </row>
    <row r="5678" spans="1:8" x14ac:dyDescent="0.25">
      <c r="A5678" s="4"/>
      <c r="B5678" s="5"/>
      <c r="C5678" s="5"/>
      <c r="D5678" s="5"/>
      <c r="E5678" s="5"/>
      <c r="F5678" s="5"/>
      <c r="G5678" s="5"/>
      <c r="H5678" s="5"/>
    </row>
    <row r="5679" spans="1:8" x14ac:dyDescent="0.25">
      <c r="A5679" s="4"/>
      <c r="B5679" s="5"/>
      <c r="C5679" s="5"/>
      <c r="D5679" s="5"/>
      <c r="E5679" s="5"/>
      <c r="F5679" s="5"/>
      <c r="G5679" s="5"/>
      <c r="H5679" s="5"/>
    </row>
    <row r="5680" spans="1:8" x14ac:dyDescent="0.25">
      <c r="A5680" s="4"/>
      <c r="B5680" s="5"/>
      <c r="C5680" s="5"/>
      <c r="D5680" s="5"/>
      <c r="E5680" s="5"/>
      <c r="F5680" s="5"/>
      <c r="G5680" s="5"/>
      <c r="H5680" s="5"/>
    </row>
    <row r="5681" spans="1:8" x14ac:dyDescent="0.25">
      <c r="A5681" s="4"/>
      <c r="B5681" s="5"/>
      <c r="C5681" s="5"/>
      <c r="D5681" s="5"/>
      <c r="E5681" s="5"/>
      <c r="F5681" s="5"/>
      <c r="G5681" s="5"/>
      <c r="H5681" s="5"/>
    </row>
    <row r="5682" spans="1:8" x14ac:dyDescent="0.25">
      <c r="A5682" s="4"/>
      <c r="B5682" s="5"/>
      <c r="C5682" s="5"/>
      <c r="D5682" s="5"/>
      <c r="E5682" s="5"/>
      <c r="F5682" s="5"/>
      <c r="G5682" s="5"/>
      <c r="H5682" s="5"/>
    </row>
    <row r="5683" spans="1:8" x14ac:dyDescent="0.25">
      <c r="A5683" s="4"/>
      <c r="B5683" s="5"/>
      <c r="C5683" s="5"/>
      <c r="D5683" s="5"/>
      <c r="E5683" s="5"/>
      <c r="F5683" s="5"/>
      <c r="G5683" s="5"/>
      <c r="H5683" s="5"/>
    </row>
    <row r="5684" spans="1:8" x14ac:dyDescent="0.25">
      <c r="A5684" s="4"/>
      <c r="B5684" s="5"/>
      <c r="C5684" s="5"/>
      <c r="D5684" s="5"/>
      <c r="E5684" s="5"/>
      <c r="F5684" s="5"/>
      <c r="G5684" s="5"/>
      <c r="H5684" s="5"/>
    </row>
    <row r="5685" spans="1:8" x14ac:dyDescent="0.25">
      <c r="A5685" s="4"/>
      <c r="B5685" s="5"/>
      <c r="C5685" s="5"/>
      <c r="D5685" s="5"/>
      <c r="E5685" s="5"/>
      <c r="F5685" s="5"/>
      <c r="G5685" s="5"/>
      <c r="H5685" s="5"/>
    </row>
    <row r="5686" spans="1:8" x14ac:dyDescent="0.25">
      <c r="A5686" s="4"/>
      <c r="B5686" s="5"/>
      <c r="C5686" s="5"/>
      <c r="D5686" s="5"/>
      <c r="E5686" s="5"/>
      <c r="F5686" s="5"/>
      <c r="G5686" s="5"/>
      <c r="H5686" s="5"/>
    </row>
    <row r="5687" spans="1:8" x14ac:dyDescent="0.25">
      <c r="A5687" s="4"/>
      <c r="B5687" s="5"/>
      <c r="C5687" s="5"/>
      <c r="D5687" s="5"/>
      <c r="E5687" s="5"/>
      <c r="F5687" s="5"/>
      <c r="G5687" s="5"/>
      <c r="H5687" s="5"/>
    </row>
    <row r="5688" spans="1:8" x14ac:dyDescent="0.25">
      <c r="A5688" s="4"/>
      <c r="B5688" s="5"/>
      <c r="C5688" s="5"/>
      <c r="D5688" s="5"/>
      <c r="E5688" s="5"/>
      <c r="F5688" s="5"/>
      <c r="G5688" s="5"/>
      <c r="H5688" s="5"/>
    </row>
    <row r="5689" spans="1:8" x14ac:dyDescent="0.25">
      <c r="A5689" s="4"/>
      <c r="B5689" s="5"/>
      <c r="C5689" s="5"/>
      <c r="D5689" s="5"/>
      <c r="E5689" s="5"/>
      <c r="F5689" s="5"/>
      <c r="G5689" s="5"/>
      <c r="H5689" s="5"/>
    </row>
    <row r="5690" spans="1:8" x14ac:dyDescent="0.25">
      <c r="A5690" s="4"/>
      <c r="B5690" s="5"/>
      <c r="C5690" s="5"/>
      <c r="D5690" s="5"/>
      <c r="E5690" s="5"/>
      <c r="F5690" s="5"/>
      <c r="G5690" s="5"/>
      <c r="H5690" s="5"/>
    </row>
    <row r="5691" spans="1:8" x14ac:dyDescent="0.25">
      <c r="A5691" s="4"/>
      <c r="B5691" s="5"/>
      <c r="C5691" s="5"/>
      <c r="D5691" s="5"/>
      <c r="E5691" s="5"/>
      <c r="F5691" s="5"/>
      <c r="G5691" s="5"/>
      <c r="H5691" s="5"/>
    </row>
    <row r="5692" spans="1:8" x14ac:dyDescent="0.25">
      <c r="A5692" s="4"/>
      <c r="B5692" s="5"/>
      <c r="C5692" s="5"/>
      <c r="D5692" s="5"/>
      <c r="E5692" s="5"/>
      <c r="F5692" s="5"/>
      <c r="G5692" s="5"/>
      <c r="H5692" s="5"/>
    </row>
    <row r="5693" spans="1:8" x14ac:dyDescent="0.25">
      <c r="A5693" s="4"/>
      <c r="B5693" s="5"/>
      <c r="C5693" s="5"/>
      <c r="D5693" s="5"/>
      <c r="E5693" s="5"/>
      <c r="F5693" s="5"/>
      <c r="G5693" s="5"/>
      <c r="H5693" s="5"/>
    </row>
    <row r="5694" spans="1:8" x14ac:dyDescent="0.25">
      <c r="A5694" s="4"/>
      <c r="B5694" s="5"/>
      <c r="C5694" s="5"/>
      <c r="D5694" s="5"/>
      <c r="E5694" s="5"/>
      <c r="F5694" s="5"/>
      <c r="G5694" s="5"/>
      <c r="H5694" s="5"/>
    </row>
    <row r="5695" spans="1:8" x14ac:dyDescent="0.25">
      <c r="A5695" s="4"/>
      <c r="B5695" s="5"/>
      <c r="C5695" s="5"/>
      <c r="D5695" s="5"/>
      <c r="E5695" s="5"/>
      <c r="F5695" s="5"/>
      <c r="G5695" s="5"/>
      <c r="H5695" s="5"/>
    </row>
    <row r="5696" spans="1:8" x14ac:dyDescent="0.25">
      <c r="A5696" s="4"/>
      <c r="B5696" s="5"/>
      <c r="C5696" s="5"/>
      <c r="D5696" s="5"/>
      <c r="E5696" s="5"/>
      <c r="F5696" s="5"/>
      <c r="G5696" s="5"/>
      <c r="H5696" s="5"/>
    </row>
    <row r="5697" spans="1:8" x14ac:dyDescent="0.25">
      <c r="A5697" s="4"/>
      <c r="B5697" s="5"/>
      <c r="C5697" s="5"/>
      <c r="D5697" s="5"/>
      <c r="E5697" s="5"/>
      <c r="F5697" s="5"/>
      <c r="G5697" s="5"/>
      <c r="H5697" s="5"/>
    </row>
    <row r="5698" spans="1:8" x14ac:dyDescent="0.25">
      <c r="A5698" s="4"/>
      <c r="B5698" s="5"/>
      <c r="C5698" s="5"/>
      <c r="D5698" s="5"/>
      <c r="E5698" s="5"/>
      <c r="F5698" s="5"/>
      <c r="G5698" s="5"/>
      <c r="H5698" s="5"/>
    </row>
    <row r="5699" spans="1:8" x14ac:dyDescent="0.25">
      <c r="A5699" s="4"/>
      <c r="B5699" s="5"/>
      <c r="C5699" s="5"/>
      <c r="D5699" s="5"/>
      <c r="E5699" s="5"/>
      <c r="F5699" s="5"/>
      <c r="G5699" s="5"/>
      <c r="H5699" s="5"/>
    </row>
    <row r="5700" spans="1:8" x14ac:dyDescent="0.25">
      <c r="A5700" s="4"/>
      <c r="B5700" s="5"/>
      <c r="C5700" s="5"/>
      <c r="D5700" s="5"/>
      <c r="E5700" s="5"/>
      <c r="F5700" s="5"/>
      <c r="G5700" s="5"/>
      <c r="H5700" s="5"/>
    </row>
    <row r="5701" spans="1:8" x14ac:dyDescent="0.25">
      <c r="A5701" s="4"/>
      <c r="B5701" s="5"/>
      <c r="C5701" s="5"/>
      <c r="D5701" s="5"/>
      <c r="E5701" s="5"/>
      <c r="F5701" s="5"/>
      <c r="G5701" s="5"/>
      <c r="H5701" s="5"/>
    </row>
    <row r="5702" spans="1:8" x14ac:dyDescent="0.25">
      <c r="A5702" s="4"/>
      <c r="B5702" s="5"/>
      <c r="C5702" s="5"/>
      <c r="D5702" s="5"/>
      <c r="E5702" s="5"/>
      <c r="F5702" s="5"/>
      <c r="G5702" s="5"/>
      <c r="H5702" s="5"/>
    </row>
    <row r="5703" spans="1:8" x14ac:dyDescent="0.25">
      <c r="A5703" s="4"/>
      <c r="B5703" s="5"/>
      <c r="C5703" s="5"/>
      <c r="D5703" s="5"/>
      <c r="E5703" s="5"/>
      <c r="F5703" s="5"/>
      <c r="G5703" s="5"/>
      <c r="H5703" s="5"/>
    </row>
    <row r="5704" spans="1:8" x14ac:dyDescent="0.25">
      <c r="A5704" s="4"/>
      <c r="B5704" s="5"/>
      <c r="C5704" s="5"/>
      <c r="D5704" s="5"/>
      <c r="E5704" s="5"/>
      <c r="F5704" s="5"/>
      <c r="G5704" s="5"/>
      <c r="H5704" s="5"/>
    </row>
    <row r="5705" spans="1:8" x14ac:dyDescent="0.25">
      <c r="A5705" s="4"/>
      <c r="B5705" s="5"/>
      <c r="C5705" s="5"/>
      <c r="D5705" s="5"/>
      <c r="E5705" s="5"/>
      <c r="F5705" s="5"/>
      <c r="G5705" s="5"/>
      <c r="H5705" s="5"/>
    </row>
    <row r="5706" spans="1:8" x14ac:dyDescent="0.25">
      <c r="A5706" s="4"/>
      <c r="B5706" s="5"/>
      <c r="C5706" s="5"/>
      <c r="D5706" s="5"/>
      <c r="E5706" s="5"/>
      <c r="F5706" s="5"/>
      <c r="G5706" s="5"/>
      <c r="H5706" s="5"/>
    </row>
    <row r="5707" spans="1:8" x14ac:dyDescent="0.25">
      <c r="A5707" s="4"/>
      <c r="B5707" s="5"/>
      <c r="C5707" s="5"/>
      <c r="D5707" s="5"/>
      <c r="E5707" s="5"/>
      <c r="F5707" s="5"/>
      <c r="G5707" s="5"/>
      <c r="H5707" s="5"/>
    </row>
    <row r="5708" spans="1:8" x14ac:dyDescent="0.25">
      <c r="A5708" s="4"/>
      <c r="B5708" s="5"/>
      <c r="C5708" s="5"/>
      <c r="D5708" s="5"/>
      <c r="E5708" s="5"/>
      <c r="F5708" s="5"/>
      <c r="G5708" s="5"/>
      <c r="H5708" s="5"/>
    </row>
    <row r="5709" spans="1:8" x14ac:dyDescent="0.25">
      <c r="A5709" s="4"/>
      <c r="B5709" s="5"/>
      <c r="C5709" s="5"/>
      <c r="D5709" s="5"/>
      <c r="E5709" s="5"/>
      <c r="F5709" s="5"/>
      <c r="G5709" s="5"/>
      <c r="H5709" s="5"/>
    </row>
    <row r="5710" spans="1:8" x14ac:dyDescent="0.25">
      <c r="A5710" s="4"/>
      <c r="B5710" s="5"/>
      <c r="C5710" s="5"/>
      <c r="D5710" s="5"/>
      <c r="E5710" s="5"/>
      <c r="F5710" s="5"/>
      <c r="G5710" s="5"/>
      <c r="H5710" s="5"/>
    </row>
    <row r="5711" spans="1:8" x14ac:dyDescent="0.25">
      <c r="A5711" s="4"/>
      <c r="B5711" s="5"/>
      <c r="C5711" s="5"/>
      <c r="D5711" s="5"/>
      <c r="E5711" s="5"/>
      <c r="F5711" s="5"/>
      <c r="G5711" s="5"/>
      <c r="H5711" s="5"/>
    </row>
    <row r="5712" spans="1:8" x14ac:dyDescent="0.25">
      <c r="A5712" s="4"/>
      <c r="B5712" s="5"/>
      <c r="C5712" s="5"/>
      <c r="D5712" s="5"/>
      <c r="E5712" s="5"/>
      <c r="F5712" s="5"/>
      <c r="G5712" s="5"/>
      <c r="H5712" s="5"/>
    </row>
    <row r="5713" spans="1:8" x14ac:dyDescent="0.25">
      <c r="A5713" s="4"/>
      <c r="B5713" s="5"/>
      <c r="C5713" s="5"/>
      <c r="D5713" s="5"/>
      <c r="E5713" s="5"/>
      <c r="F5713" s="5"/>
      <c r="G5713" s="5"/>
      <c r="H5713" s="5"/>
    </row>
    <row r="5714" spans="1:8" x14ac:dyDescent="0.25">
      <c r="A5714" s="4"/>
      <c r="B5714" s="5"/>
      <c r="C5714" s="5"/>
      <c r="D5714" s="5"/>
      <c r="E5714" s="5"/>
      <c r="F5714" s="5"/>
      <c r="G5714" s="5"/>
      <c r="H5714" s="5"/>
    </row>
    <row r="5715" spans="1:8" x14ac:dyDescent="0.25">
      <c r="A5715" s="4"/>
      <c r="B5715" s="5"/>
      <c r="C5715" s="5"/>
      <c r="D5715" s="5"/>
      <c r="E5715" s="5"/>
      <c r="F5715" s="5"/>
      <c r="G5715" s="5"/>
      <c r="H5715" s="5"/>
    </row>
    <row r="5716" spans="1:8" x14ac:dyDescent="0.25">
      <c r="A5716" s="4"/>
      <c r="B5716" s="5"/>
      <c r="C5716" s="5"/>
      <c r="D5716" s="5"/>
      <c r="E5716" s="5"/>
      <c r="F5716" s="5"/>
      <c r="G5716" s="5"/>
      <c r="H5716" s="5"/>
    </row>
    <row r="5717" spans="1:8" x14ac:dyDescent="0.25">
      <c r="A5717" s="4"/>
      <c r="B5717" s="5"/>
      <c r="C5717" s="5"/>
      <c r="D5717" s="5"/>
      <c r="E5717" s="5"/>
      <c r="F5717" s="5"/>
      <c r="G5717" s="5"/>
      <c r="H5717" s="5"/>
    </row>
    <row r="5718" spans="1:8" x14ac:dyDescent="0.25">
      <c r="A5718" s="4"/>
      <c r="B5718" s="5"/>
      <c r="C5718" s="5"/>
      <c r="D5718" s="5"/>
      <c r="E5718" s="5"/>
      <c r="F5718" s="5"/>
      <c r="G5718" s="5"/>
      <c r="H5718" s="5"/>
    </row>
    <row r="5719" spans="1:8" x14ac:dyDescent="0.25">
      <c r="A5719" s="4"/>
      <c r="B5719" s="5"/>
      <c r="C5719" s="5"/>
      <c r="D5719" s="5"/>
      <c r="E5719" s="5"/>
      <c r="F5719" s="5"/>
      <c r="G5719" s="5"/>
      <c r="H5719" s="5"/>
    </row>
    <row r="5720" spans="1:8" x14ac:dyDescent="0.25">
      <c r="A5720" s="4"/>
      <c r="B5720" s="5"/>
      <c r="C5720" s="5"/>
      <c r="D5720" s="5"/>
      <c r="E5720" s="5"/>
      <c r="F5720" s="5"/>
      <c r="G5720" s="5"/>
      <c r="H5720" s="5"/>
    </row>
    <row r="5721" spans="1:8" x14ac:dyDescent="0.25">
      <c r="A5721" s="4"/>
      <c r="B5721" s="5"/>
      <c r="C5721" s="5"/>
      <c r="D5721" s="5"/>
      <c r="E5721" s="5"/>
      <c r="F5721" s="5"/>
      <c r="G5721" s="5"/>
      <c r="H5721" s="5"/>
    </row>
    <row r="5722" spans="1:8" x14ac:dyDescent="0.25">
      <c r="A5722" s="4"/>
      <c r="B5722" s="5"/>
      <c r="C5722" s="5"/>
      <c r="D5722" s="5"/>
      <c r="E5722" s="5"/>
      <c r="F5722" s="5"/>
      <c r="G5722" s="5"/>
      <c r="H5722" s="5"/>
    </row>
    <row r="5723" spans="1:8" x14ac:dyDescent="0.25">
      <c r="A5723" s="4"/>
      <c r="B5723" s="5"/>
      <c r="C5723" s="5"/>
      <c r="D5723" s="5"/>
      <c r="E5723" s="5"/>
      <c r="F5723" s="5"/>
      <c r="G5723" s="5"/>
      <c r="H5723" s="5"/>
    </row>
    <row r="5724" spans="1:8" x14ac:dyDescent="0.25">
      <c r="A5724" s="4"/>
      <c r="B5724" s="5"/>
      <c r="C5724" s="5"/>
      <c r="D5724" s="5"/>
      <c r="E5724" s="5"/>
      <c r="F5724" s="5"/>
      <c r="G5724" s="5"/>
      <c r="H5724" s="5"/>
    </row>
    <row r="5725" spans="1:8" x14ac:dyDescent="0.25">
      <c r="A5725" s="4"/>
      <c r="B5725" s="5"/>
      <c r="C5725" s="5"/>
      <c r="D5725" s="5"/>
      <c r="E5725" s="5"/>
      <c r="F5725" s="5"/>
      <c r="G5725" s="5"/>
      <c r="H5725" s="5"/>
    </row>
    <row r="5726" spans="1:8" x14ac:dyDescent="0.25">
      <c r="A5726" s="4"/>
      <c r="B5726" s="5"/>
      <c r="C5726" s="5"/>
      <c r="D5726" s="5"/>
      <c r="E5726" s="5"/>
      <c r="F5726" s="5"/>
      <c r="G5726" s="5"/>
      <c r="H5726" s="5"/>
    </row>
    <row r="5727" spans="1:8" x14ac:dyDescent="0.25">
      <c r="A5727" s="4"/>
      <c r="B5727" s="5"/>
      <c r="C5727" s="5"/>
      <c r="D5727" s="5"/>
      <c r="E5727" s="5"/>
      <c r="F5727" s="5"/>
      <c r="G5727" s="5"/>
      <c r="H5727" s="5"/>
    </row>
    <row r="5728" spans="1:8" x14ac:dyDescent="0.25">
      <c r="A5728" s="4"/>
      <c r="B5728" s="5"/>
      <c r="C5728" s="5"/>
      <c r="D5728" s="5"/>
      <c r="E5728" s="5"/>
      <c r="F5728" s="5"/>
      <c r="G5728" s="5"/>
      <c r="H5728" s="5"/>
    </row>
    <row r="5729" spans="1:8" x14ac:dyDescent="0.25">
      <c r="A5729" s="4"/>
      <c r="B5729" s="5"/>
      <c r="C5729" s="5"/>
      <c r="D5729" s="5"/>
      <c r="E5729" s="5"/>
      <c r="F5729" s="5"/>
      <c r="G5729" s="5"/>
      <c r="H5729" s="5"/>
    </row>
    <row r="5730" spans="1:8" x14ac:dyDescent="0.25">
      <c r="A5730" s="4"/>
      <c r="B5730" s="5"/>
      <c r="C5730" s="5"/>
      <c r="D5730" s="5"/>
      <c r="E5730" s="5"/>
      <c r="F5730" s="5"/>
      <c r="G5730" s="5"/>
      <c r="H5730" s="5"/>
    </row>
    <row r="5731" spans="1:8" x14ac:dyDescent="0.25">
      <c r="A5731" s="4"/>
      <c r="B5731" s="5"/>
      <c r="C5731" s="5"/>
      <c r="D5731" s="5"/>
      <c r="E5731" s="5"/>
      <c r="F5731" s="5"/>
      <c r="G5731" s="5"/>
      <c r="H5731" s="5"/>
    </row>
    <row r="5732" spans="1:8" x14ac:dyDescent="0.25">
      <c r="A5732" s="4"/>
      <c r="B5732" s="5"/>
      <c r="C5732" s="5"/>
      <c r="D5732" s="5"/>
      <c r="E5732" s="5"/>
      <c r="F5732" s="5"/>
      <c r="G5732" s="5"/>
      <c r="H5732" s="5"/>
    </row>
    <row r="5733" spans="1:8" x14ac:dyDescent="0.25">
      <c r="A5733" s="4"/>
      <c r="B5733" s="5"/>
      <c r="C5733" s="5"/>
      <c r="D5733" s="5"/>
      <c r="E5733" s="5"/>
      <c r="F5733" s="5"/>
      <c r="G5733" s="5"/>
      <c r="H5733" s="5"/>
    </row>
    <row r="5734" spans="1:8" x14ac:dyDescent="0.25">
      <c r="A5734" s="4"/>
      <c r="B5734" s="5"/>
      <c r="C5734" s="5"/>
      <c r="D5734" s="5"/>
      <c r="E5734" s="5"/>
      <c r="F5734" s="5"/>
      <c r="G5734" s="5"/>
      <c r="H5734" s="5"/>
    </row>
    <row r="5735" spans="1:8" x14ac:dyDescent="0.25">
      <c r="A5735" s="4"/>
      <c r="B5735" s="5"/>
      <c r="C5735" s="5"/>
      <c r="D5735" s="5"/>
      <c r="E5735" s="5"/>
      <c r="F5735" s="5"/>
      <c r="G5735" s="5"/>
      <c r="H5735" s="5"/>
    </row>
    <row r="5736" spans="1:8" x14ac:dyDescent="0.25">
      <c r="A5736" s="4"/>
      <c r="B5736" s="5"/>
      <c r="C5736" s="5"/>
      <c r="D5736" s="5"/>
      <c r="E5736" s="5"/>
      <c r="F5736" s="5"/>
      <c r="G5736" s="5"/>
      <c r="H5736" s="5"/>
    </row>
    <row r="5737" spans="1:8" x14ac:dyDescent="0.25">
      <c r="A5737" s="4"/>
      <c r="B5737" s="5"/>
      <c r="C5737" s="5"/>
      <c r="D5737" s="5"/>
      <c r="E5737" s="5"/>
      <c r="F5737" s="5"/>
      <c r="G5737" s="5"/>
      <c r="H5737" s="5"/>
    </row>
    <row r="5738" spans="1:8" x14ac:dyDescent="0.25">
      <c r="A5738" s="4"/>
      <c r="B5738" s="5"/>
      <c r="C5738" s="5"/>
      <c r="D5738" s="5"/>
      <c r="E5738" s="5"/>
      <c r="F5738" s="5"/>
      <c r="G5738" s="5"/>
      <c r="H5738" s="5"/>
    </row>
    <row r="5739" spans="1:8" x14ac:dyDescent="0.25">
      <c r="A5739" s="4"/>
      <c r="B5739" s="5"/>
      <c r="C5739" s="5"/>
      <c r="D5739" s="5"/>
      <c r="E5739" s="5"/>
      <c r="F5739" s="5"/>
      <c r="G5739" s="5"/>
      <c r="H5739" s="5"/>
    </row>
    <row r="5740" spans="1:8" x14ac:dyDescent="0.25">
      <c r="A5740" s="4"/>
      <c r="B5740" s="5"/>
      <c r="C5740" s="5"/>
      <c r="D5740" s="5"/>
      <c r="E5740" s="5"/>
      <c r="F5740" s="5"/>
      <c r="G5740" s="5"/>
      <c r="H5740" s="5"/>
    </row>
    <row r="5741" spans="1:8" x14ac:dyDescent="0.25">
      <c r="A5741" s="4"/>
      <c r="B5741" s="5"/>
      <c r="C5741" s="5"/>
      <c r="D5741" s="5"/>
      <c r="E5741" s="5"/>
      <c r="F5741" s="5"/>
      <c r="G5741" s="5"/>
      <c r="H5741" s="5"/>
    </row>
    <row r="5742" spans="1:8" x14ac:dyDescent="0.25">
      <c r="A5742" s="4"/>
      <c r="B5742" s="5"/>
      <c r="C5742" s="5"/>
      <c r="D5742" s="5"/>
      <c r="E5742" s="5"/>
      <c r="F5742" s="5"/>
      <c r="G5742" s="5"/>
      <c r="H5742" s="5"/>
    </row>
    <row r="5743" spans="1:8" x14ac:dyDescent="0.25">
      <c r="A5743" s="4"/>
      <c r="B5743" s="5"/>
      <c r="C5743" s="5"/>
      <c r="D5743" s="5"/>
      <c r="E5743" s="5"/>
      <c r="F5743" s="5"/>
      <c r="G5743" s="5"/>
      <c r="H5743" s="5"/>
    </row>
    <row r="5744" spans="1:8" x14ac:dyDescent="0.25">
      <c r="A5744" s="4"/>
      <c r="B5744" s="5"/>
      <c r="C5744" s="5"/>
      <c r="D5744" s="5"/>
      <c r="E5744" s="5"/>
      <c r="F5744" s="5"/>
      <c r="G5744" s="5"/>
      <c r="H5744" s="5"/>
    </row>
    <row r="5745" spans="1:8" x14ac:dyDescent="0.25">
      <c r="A5745" s="4"/>
      <c r="B5745" s="5"/>
      <c r="C5745" s="5"/>
      <c r="D5745" s="5"/>
      <c r="E5745" s="5"/>
      <c r="F5745" s="5"/>
      <c r="G5745" s="5"/>
      <c r="H5745" s="5"/>
    </row>
    <row r="5746" spans="1:8" x14ac:dyDescent="0.25">
      <c r="A5746" s="4"/>
      <c r="B5746" s="5"/>
      <c r="C5746" s="5"/>
      <c r="D5746" s="5"/>
      <c r="E5746" s="5"/>
      <c r="F5746" s="5"/>
      <c r="G5746" s="5"/>
      <c r="H5746" s="5"/>
    </row>
    <row r="5747" spans="1:8" x14ac:dyDescent="0.25">
      <c r="A5747" s="4"/>
      <c r="B5747" s="5"/>
      <c r="C5747" s="5"/>
      <c r="D5747" s="5"/>
      <c r="E5747" s="5"/>
      <c r="F5747" s="5"/>
      <c r="G5747" s="5"/>
      <c r="H5747" s="5"/>
    </row>
    <row r="5748" spans="1:8" x14ac:dyDescent="0.25">
      <c r="A5748" s="4"/>
      <c r="B5748" s="5"/>
      <c r="C5748" s="5"/>
      <c r="D5748" s="5"/>
      <c r="E5748" s="5"/>
      <c r="F5748" s="5"/>
      <c r="G5748" s="5"/>
      <c r="H5748" s="5"/>
    </row>
    <row r="5749" spans="1:8" x14ac:dyDescent="0.25">
      <c r="A5749" s="4"/>
      <c r="B5749" s="5"/>
      <c r="C5749" s="5"/>
      <c r="D5749" s="5"/>
      <c r="E5749" s="5"/>
      <c r="F5749" s="5"/>
      <c r="G5749" s="5"/>
      <c r="H5749" s="5"/>
    </row>
    <row r="5750" spans="1:8" x14ac:dyDescent="0.25">
      <c r="A5750" s="4"/>
      <c r="B5750" s="5"/>
      <c r="C5750" s="5"/>
      <c r="D5750" s="5"/>
      <c r="E5750" s="5"/>
      <c r="F5750" s="5"/>
      <c r="G5750" s="5"/>
      <c r="H5750" s="5"/>
    </row>
    <row r="5751" spans="1:8" x14ac:dyDescent="0.25">
      <c r="A5751" s="4"/>
      <c r="B5751" s="5"/>
      <c r="C5751" s="5"/>
      <c r="D5751" s="5"/>
      <c r="E5751" s="5"/>
      <c r="F5751" s="5"/>
      <c r="G5751" s="5"/>
      <c r="H5751" s="5"/>
    </row>
    <row r="5752" spans="1:8" x14ac:dyDescent="0.25">
      <c r="A5752" s="4"/>
      <c r="B5752" s="5"/>
      <c r="C5752" s="5"/>
      <c r="D5752" s="5"/>
      <c r="E5752" s="5"/>
      <c r="F5752" s="5"/>
      <c r="G5752" s="5"/>
      <c r="H5752" s="5"/>
    </row>
    <row r="5753" spans="1:8" x14ac:dyDescent="0.25">
      <c r="A5753" s="4"/>
      <c r="B5753" s="5"/>
      <c r="C5753" s="5"/>
      <c r="D5753" s="5"/>
      <c r="E5753" s="5"/>
      <c r="F5753" s="5"/>
      <c r="G5753" s="5"/>
      <c r="H5753" s="5"/>
    </row>
    <row r="5754" spans="1:8" x14ac:dyDescent="0.25">
      <c r="A5754" s="4"/>
      <c r="B5754" s="5"/>
      <c r="C5754" s="5"/>
      <c r="D5754" s="5"/>
      <c r="E5754" s="5"/>
      <c r="F5754" s="5"/>
      <c r="G5754" s="5"/>
      <c r="H5754" s="5"/>
    </row>
    <row r="5755" spans="1:8" x14ac:dyDescent="0.25">
      <c r="A5755" s="4"/>
      <c r="B5755" s="5"/>
      <c r="C5755" s="5"/>
      <c r="D5755" s="5"/>
      <c r="E5755" s="5"/>
      <c r="F5755" s="5"/>
      <c r="G5755" s="5"/>
      <c r="H5755" s="5"/>
    </row>
    <row r="5756" spans="1:8" x14ac:dyDescent="0.25">
      <c r="A5756" s="4"/>
      <c r="B5756" s="5"/>
      <c r="C5756" s="5"/>
      <c r="D5756" s="5"/>
      <c r="E5756" s="5"/>
      <c r="F5756" s="5"/>
      <c r="G5756" s="5"/>
      <c r="H5756" s="5"/>
    </row>
    <row r="5757" spans="1:8" x14ac:dyDescent="0.25">
      <c r="A5757" s="4"/>
      <c r="B5757" s="5"/>
      <c r="C5757" s="5"/>
      <c r="D5757" s="5"/>
      <c r="E5757" s="5"/>
      <c r="F5757" s="5"/>
      <c r="G5757" s="5"/>
      <c r="H5757" s="5"/>
    </row>
    <row r="5758" spans="1:8" x14ac:dyDescent="0.25">
      <c r="A5758" s="4"/>
      <c r="B5758" s="5"/>
      <c r="C5758" s="5"/>
      <c r="D5758" s="5"/>
      <c r="E5758" s="5"/>
      <c r="F5758" s="5"/>
      <c r="G5758" s="5"/>
      <c r="H5758" s="5"/>
    </row>
    <row r="5759" spans="1:8" x14ac:dyDescent="0.25">
      <c r="A5759" s="4"/>
      <c r="B5759" s="5"/>
      <c r="C5759" s="5"/>
      <c r="D5759" s="5"/>
      <c r="E5759" s="5"/>
      <c r="F5759" s="5"/>
      <c r="G5759" s="5"/>
      <c r="H5759" s="5"/>
    </row>
    <row r="5760" spans="1:8" x14ac:dyDescent="0.25">
      <c r="A5760" s="4"/>
      <c r="B5760" s="5"/>
      <c r="C5760" s="5"/>
      <c r="D5760" s="5"/>
      <c r="E5760" s="5"/>
      <c r="F5760" s="5"/>
      <c r="G5760" s="5"/>
      <c r="H5760" s="5"/>
    </row>
    <row r="5761" spans="1:8" x14ac:dyDescent="0.25">
      <c r="A5761" s="4"/>
      <c r="B5761" s="5"/>
      <c r="C5761" s="5"/>
      <c r="D5761" s="5"/>
      <c r="E5761" s="5"/>
      <c r="F5761" s="5"/>
      <c r="G5761" s="5"/>
      <c r="H5761" s="5"/>
    </row>
    <row r="5762" spans="1:8" x14ac:dyDescent="0.25">
      <c r="A5762" s="4"/>
      <c r="B5762" s="5"/>
      <c r="C5762" s="5"/>
      <c r="D5762" s="5"/>
      <c r="E5762" s="5"/>
      <c r="F5762" s="5"/>
      <c r="G5762" s="5"/>
      <c r="H5762" s="5"/>
    </row>
    <row r="5763" spans="1:8" x14ac:dyDescent="0.25">
      <c r="A5763" s="4"/>
      <c r="B5763" s="5"/>
      <c r="C5763" s="5"/>
      <c r="D5763" s="5"/>
      <c r="E5763" s="5"/>
      <c r="F5763" s="5"/>
      <c r="G5763" s="5"/>
      <c r="H5763" s="5"/>
    </row>
    <row r="5764" spans="1:8" x14ac:dyDescent="0.25">
      <c r="A5764" s="4"/>
      <c r="B5764" s="5"/>
      <c r="C5764" s="5"/>
      <c r="D5764" s="5"/>
      <c r="E5764" s="5"/>
      <c r="F5764" s="5"/>
      <c r="G5764" s="5"/>
      <c r="H5764" s="5"/>
    </row>
    <row r="5765" spans="1:8" x14ac:dyDescent="0.25">
      <c r="A5765" s="4"/>
      <c r="B5765" s="5"/>
      <c r="C5765" s="5"/>
      <c r="D5765" s="5"/>
      <c r="E5765" s="5"/>
      <c r="F5765" s="5"/>
      <c r="G5765" s="5"/>
      <c r="H5765" s="5"/>
    </row>
    <row r="5766" spans="1:8" x14ac:dyDescent="0.25">
      <c r="A5766" s="4"/>
      <c r="B5766" s="5"/>
      <c r="C5766" s="5"/>
      <c r="D5766" s="5"/>
      <c r="E5766" s="5"/>
      <c r="F5766" s="5"/>
      <c r="G5766" s="5"/>
      <c r="H5766" s="5"/>
    </row>
    <row r="5767" spans="1:8" x14ac:dyDescent="0.25">
      <c r="A5767" s="4"/>
      <c r="B5767" s="5"/>
      <c r="C5767" s="5"/>
      <c r="D5767" s="5"/>
      <c r="E5767" s="5"/>
      <c r="F5767" s="5"/>
      <c r="G5767" s="5"/>
      <c r="H5767" s="5"/>
    </row>
    <row r="5768" spans="1:8" x14ac:dyDescent="0.25">
      <c r="A5768" s="4"/>
      <c r="B5768" s="5"/>
      <c r="C5768" s="5"/>
      <c r="D5768" s="5"/>
      <c r="E5768" s="5"/>
      <c r="F5768" s="5"/>
      <c r="G5768" s="5"/>
      <c r="H5768" s="5"/>
    </row>
    <row r="5769" spans="1:8" x14ac:dyDescent="0.25">
      <c r="A5769" s="4"/>
      <c r="B5769" s="5"/>
      <c r="C5769" s="5"/>
      <c r="D5769" s="5"/>
      <c r="E5769" s="5"/>
      <c r="F5769" s="5"/>
      <c r="G5769" s="5"/>
      <c r="H5769" s="5"/>
    </row>
    <row r="5770" spans="1:8" x14ac:dyDescent="0.25">
      <c r="A5770" s="4"/>
      <c r="B5770" s="5"/>
      <c r="C5770" s="5"/>
      <c r="D5770" s="5"/>
      <c r="E5770" s="5"/>
      <c r="F5770" s="5"/>
      <c r="G5770" s="5"/>
      <c r="H5770" s="5"/>
    </row>
    <row r="5771" spans="1:8" x14ac:dyDescent="0.25">
      <c r="A5771" s="4"/>
      <c r="B5771" s="5"/>
      <c r="C5771" s="5"/>
      <c r="D5771" s="5"/>
      <c r="E5771" s="5"/>
      <c r="F5771" s="5"/>
      <c r="G5771" s="5"/>
      <c r="H5771" s="5"/>
    </row>
    <row r="5772" spans="1:8" x14ac:dyDescent="0.25">
      <c r="A5772" s="4"/>
      <c r="B5772" s="5"/>
      <c r="C5772" s="5"/>
      <c r="D5772" s="5"/>
      <c r="E5772" s="5"/>
      <c r="F5772" s="5"/>
      <c r="G5772" s="5"/>
      <c r="H5772" s="5"/>
    </row>
    <row r="5773" spans="1:8" x14ac:dyDescent="0.25">
      <c r="A5773" s="4"/>
      <c r="B5773" s="5"/>
      <c r="C5773" s="5"/>
      <c r="D5773" s="5"/>
      <c r="E5773" s="5"/>
      <c r="F5773" s="5"/>
      <c r="G5773" s="5"/>
      <c r="H5773" s="5"/>
    </row>
    <row r="5774" spans="1:8" x14ac:dyDescent="0.25">
      <c r="A5774" s="4"/>
      <c r="B5774" s="5"/>
      <c r="C5774" s="5"/>
      <c r="D5774" s="5"/>
      <c r="E5774" s="5"/>
      <c r="F5774" s="5"/>
      <c r="G5774" s="5"/>
      <c r="H5774" s="5"/>
    </row>
    <row r="5775" spans="1:8" x14ac:dyDescent="0.25">
      <c r="A5775" s="4"/>
      <c r="B5775" s="5"/>
      <c r="C5775" s="5"/>
      <c r="D5775" s="5"/>
      <c r="E5775" s="5"/>
      <c r="F5775" s="5"/>
      <c r="G5775" s="5"/>
      <c r="H5775" s="5"/>
    </row>
    <row r="5776" spans="1:8" x14ac:dyDescent="0.25">
      <c r="A5776" s="4"/>
      <c r="B5776" s="5"/>
      <c r="C5776" s="5"/>
      <c r="D5776" s="5"/>
      <c r="E5776" s="5"/>
      <c r="F5776" s="5"/>
      <c r="G5776" s="5"/>
      <c r="H5776" s="5"/>
    </row>
    <row r="5777" spans="1:8" x14ac:dyDescent="0.25">
      <c r="A5777" s="4"/>
      <c r="B5777" s="5"/>
      <c r="C5777" s="5"/>
      <c r="D5777" s="5"/>
      <c r="E5777" s="5"/>
      <c r="F5777" s="5"/>
      <c r="G5777" s="5"/>
      <c r="H5777" s="5"/>
    </row>
    <row r="5778" spans="1:8" x14ac:dyDescent="0.25">
      <c r="A5778" s="4"/>
      <c r="B5778" s="5"/>
      <c r="C5778" s="5"/>
      <c r="D5778" s="5"/>
      <c r="E5778" s="5"/>
      <c r="F5778" s="5"/>
      <c r="G5778" s="5"/>
      <c r="H5778" s="5"/>
    </row>
    <row r="5779" spans="1:8" x14ac:dyDescent="0.25">
      <c r="A5779" s="4"/>
      <c r="B5779" s="5"/>
      <c r="C5779" s="5"/>
      <c r="D5779" s="5"/>
      <c r="E5779" s="5"/>
      <c r="F5779" s="5"/>
      <c r="G5779" s="5"/>
      <c r="H5779" s="5"/>
    </row>
    <row r="5780" spans="1:8" x14ac:dyDescent="0.25">
      <c r="A5780" s="4"/>
      <c r="B5780" s="5"/>
      <c r="C5780" s="5"/>
      <c r="D5780" s="5"/>
      <c r="E5780" s="5"/>
      <c r="F5780" s="5"/>
      <c r="G5780" s="5"/>
      <c r="H5780" s="5"/>
    </row>
    <row r="5781" spans="1:8" x14ac:dyDescent="0.25">
      <c r="A5781" s="4"/>
      <c r="B5781" s="5"/>
      <c r="C5781" s="5"/>
      <c r="D5781" s="5"/>
      <c r="E5781" s="5"/>
      <c r="F5781" s="5"/>
      <c r="G5781" s="5"/>
      <c r="H5781" s="5"/>
    </row>
    <row r="5782" spans="1:8" x14ac:dyDescent="0.25">
      <c r="A5782" s="4"/>
      <c r="B5782" s="5"/>
      <c r="C5782" s="5"/>
      <c r="D5782" s="5"/>
      <c r="E5782" s="5"/>
      <c r="F5782" s="5"/>
      <c r="G5782" s="5"/>
      <c r="H5782" s="5"/>
    </row>
    <row r="5783" spans="1:8" x14ac:dyDescent="0.25">
      <c r="A5783" s="4"/>
      <c r="B5783" s="5"/>
      <c r="C5783" s="5"/>
      <c r="D5783" s="5"/>
      <c r="E5783" s="5"/>
      <c r="F5783" s="5"/>
      <c r="G5783" s="5"/>
      <c r="H5783" s="5"/>
    </row>
    <row r="5784" spans="1:8" x14ac:dyDescent="0.25">
      <c r="A5784" s="4"/>
      <c r="B5784" s="5"/>
      <c r="C5784" s="5"/>
      <c r="D5784" s="5"/>
      <c r="E5784" s="5"/>
      <c r="F5784" s="5"/>
      <c r="G5784" s="5"/>
      <c r="H5784" s="5"/>
    </row>
    <row r="5785" spans="1:8" x14ac:dyDescent="0.25">
      <c r="A5785" s="4"/>
      <c r="B5785" s="5"/>
      <c r="C5785" s="5"/>
      <c r="D5785" s="5"/>
      <c r="E5785" s="5"/>
      <c r="F5785" s="5"/>
      <c r="G5785" s="5"/>
      <c r="H5785" s="5"/>
    </row>
    <row r="5786" spans="1:8" x14ac:dyDescent="0.25">
      <c r="A5786" s="4"/>
      <c r="B5786" s="5"/>
      <c r="C5786" s="5"/>
      <c r="D5786" s="5"/>
      <c r="E5786" s="5"/>
      <c r="F5786" s="5"/>
      <c r="G5786" s="5"/>
      <c r="H5786" s="5"/>
    </row>
    <row r="5787" spans="1:8" x14ac:dyDescent="0.25">
      <c r="A5787" s="4"/>
      <c r="B5787" s="5"/>
      <c r="C5787" s="5"/>
      <c r="D5787" s="5"/>
      <c r="E5787" s="5"/>
      <c r="F5787" s="5"/>
      <c r="G5787" s="5"/>
      <c r="H5787" s="5"/>
    </row>
    <row r="5788" spans="1:8" x14ac:dyDescent="0.25">
      <c r="A5788" s="4"/>
      <c r="B5788" s="5"/>
      <c r="C5788" s="5"/>
      <c r="D5788" s="5"/>
      <c r="E5788" s="5"/>
      <c r="F5788" s="5"/>
      <c r="G5788" s="5"/>
      <c r="H5788" s="5"/>
    </row>
    <row r="5789" spans="1:8" x14ac:dyDescent="0.25">
      <c r="A5789" s="4"/>
      <c r="B5789" s="5"/>
      <c r="C5789" s="5"/>
      <c r="D5789" s="5"/>
      <c r="E5789" s="5"/>
      <c r="F5789" s="5"/>
      <c r="G5789" s="5"/>
      <c r="H5789" s="5"/>
    </row>
    <row r="5790" spans="1:8" x14ac:dyDescent="0.25">
      <c r="A5790" s="4"/>
      <c r="B5790" s="5"/>
      <c r="C5790" s="5"/>
      <c r="D5790" s="5"/>
      <c r="E5790" s="5"/>
      <c r="F5790" s="5"/>
      <c r="G5790" s="5"/>
      <c r="H5790" s="5"/>
    </row>
    <row r="5791" spans="1:8" x14ac:dyDescent="0.25">
      <c r="A5791" s="4"/>
      <c r="B5791" s="5"/>
      <c r="C5791" s="5"/>
      <c r="D5791" s="5"/>
      <c r="E5791" s="5"/>
      <c r="F5791" s="5"/>
      <c r="G5791" s="5"/>
      <c r="H5791" s="5"/>
    </row>
    <row r="5792" spans="1:8" x14ac:dyDescent="0.25">
      <c r="A5792" s="4"/>
      <c r="B5792" s="5"/>
      <c r="C5792" s="5"/>
      <c r="D5792" s="5"/>
      <c r="E5792" s="5"/>
      <c r="F5792" s="5"/>
      <c r="G5792" s="5"/>
      <c r="H5792" s="5"/>
    </row>
    <row r="5793" spans="1:8" x14ac:dyDescent="0.25">
      <c r="A5793" s="4"/>
      <c r="B5793" s="5"/>
      <c r="C5793" s="5"/>
      <c r="D5793" s="5"/>
      <c r="E5793" s="5"/>
      <c r="F5793" s="5"/>
      <c r="G5793" s="5"/>
      <c r="H5793" s="5"/>
    </row>
    <row r="5794" spans="1:8" x14ac:dyDescent="0.25">
      <c r="A5794" s="4"/>
      <c r="B5794" s="5"/>
      <c r="C5794" s="5"/>
      <c r="D5794" s="5"/>
      <c r="E5794" s="5"/>
      <c r="F5794" s="5"/>
      <c r="G5794" s="5"/>
      <c r="H5794" s="5"/>
    </row>
    <row r="5795" spans="1:8" x14ac:dyDescent="0.25">
      <c r="A5795" s="4"/>
      <c r="B5795" s="5"/>
      <c r="C5795" s="5"/>
      <c r="D5795" s="5"/>
      <c r="E5795" s="5"/>
      <c r="F5795" s="5"/>
      <c r="G5795" s="5"/>
      <c r="H5795" s="5"/>
    </row>
    <row r="5796" spans="1:8" x14ac:dyDescent="0.25">
      <c r="A5796" s="4"/>
      <c r="B5796" s="5"/>
      <c r="C5796" s="5"/>
      <c r="D5796" s="5"/>
      <c r="E5796" s="5"/>
      <c r="F5796" s="5"/>
      <c r="G5796" s="5"/>
      <c r="H5796" s="5"/>
    </row>
    <row r="5797" spans="1:8" x14ac:dyDescent="0.25">
      <c r="A5797" s="4"/>
      <c r="B5797" s="5"/>
      <c r="C5797" s="5"/>
      <c r="D5797" s="5"/>
      <c r="E5797" s="5"/>
      <c r="F5797" s="5"/>
      <c r="G5797" s="5"/>
      <c r="H5797" s="5"/>
    </row>
    <row r="5798" spans="1:8" x14ac:dyDescent="0.25">
      <c r="A5798" s="4"/>
      <c r="B5798" s="5"/>
      <c r="C5798" s="5"/>
      <c r="D5798" s="5"/>
      <c r="E5798" s="5"/>
      <c r="F5798" s="5"/>
      <c r="G5798" s="5"/>
      <c r="H5798" s="5"/>
    </row>
    <row r="5799" spans="1:8" x14ac:dyDescent="0.25">
      <c r="A5799" s="4"/>
      <c r="B5799" s="5"/>
      <c r="C5799" s="5"/>
      <c r="D5799" s="5"/>
      <c r="E5799" s="5"/>
      <c r="F5799" s="5"/>
      <c r="G5799" s="5"/>
      <c r="H5799" s="5"/>
    </row>
    <row r="5800" spans="1:8" x14ac:dyDescent="0.25">
      <c r="A5800" s="4"/>
      <c r="B5800" s="5"/>
      <c r="C5800" s="5"/>
      <c r="D5800" s="5"/>
      <c r="E5800" s="5"/>
      <c r="F5800" s="5"/>
      <c r="G5800" s="5"/>
      <c r="H5800" s="5"/>
    </row>
    <row r="5801" spans="1:8" x14ac:dyDescent="0.25">
      <c r="A5801" s="4"/>
      <c r="B5801" s="5"/>
      <c r="C5801" s="5"/>
      <c r="D5801" s="5"/>
      <c r="E5801" s="5"/>
      <c r="F5801" s="5"/>
      <c r="G5801" s="5"/>
      <c r="H5801" s="5"/>
    </row>
    <row r="5802" spans="1:8" x14ac:dyDescent="0.25">
      <c r="A5802" s="4"/>
      <c r="B5802" s="5"/>
      <c r="C5802" s="5"/>
      <c r="D5802" s="5"/>
      <c r="E5802" s="5"/>
      <c r="F5802" s="5"/>
      <c r="G5802" s="5"/>
      <c r="H5802" s="5"/>
    </row>
    <row r="5803" spans="1:8" x14ac:dyDescent="0.25">
      <c r="A5803" s="4"/>
      <c r="B5803" s="5"/>
      <c r="C5803" s="5"/>
      <c r="D5803" s="5"/>
      <c r="E5803" s="5"/>
      <c r="F5803" s="5"/>
      <c r="G5803" s="5"/>
      <c r="H5803" s="5"/>
    </row>
    <row r="5804" spans="1:8" x14ac:dyDescent="0.25">
      <c r="A5804" s="4"/>
      <c r="B5804" s="5"/>
      <c r="C5804" s="5"/>
      <c r="D5804" s="5"/>
      <c r="E5804" s="5"/>
      <c r="F5804" s="5"/>
      <c r="G5804" s="5"/>
      <c r="H5804" s="5"/>
    </row>
    <row r="5805" spans="1:8" x14ac:dyDescent="0.25">
      <c r="A5805" s="4"/>
      <c r="B5805" s="5"/>
      <c r="C5805" s="5"/>
      <c r="D5805" s="5"/>
      <c r="E5805" s="5"/>
      <c r="F5805" s="5"/>
      <c r="G5805" s="5"/>
      <c r="H5805" s="5"/>
    </row>
    <row r="5806" spans="1:8" x14ac:dyDescent="0.25">
      <c r="A5806" s="4"/>
      <c r="B5806" s="5"/>
      <c r="C5806" s="5"/>
      <c r="D5806" s="5"/>
      <c r="E5806" s="5"/>
      <c r="F5806" s="5"/>
      <c r="G5806" s="5"/>
      <c r="H5806" s="5"/>
    </row>
    <row r="5807" spans="1:8" x14ac:dyDescent="0.25">
      <c r="A5807" s="4"/>
      <c r="B5807" s="5"/>
      <c r="C5807" s="5"/>
      <c r="D5807" s="5"/>
      <c r="E5807" s="5"/>
      <c r="F5807" s="5"/>
      <c r="G5807" s="5"/>
      <c r="H5807" s="5"/>
    </row>
    <row r="5808" spans="1:8" x14ac:dyDescent="0.25">
      <c r="A5808" s="4"/>
      <c r="B5808" s="5"/>
      <c r="C5808" s="5"/>
      <c r="D5808" s="5"/>
      <c r="E5808" s="5"/>
      <c r="F5808" s="5"/>
      <c r="G5808" s="5"/>
      <c r="H5808" s="5"/>
    </row>
    <row r="5809" spans="1:8" x14ac:dyDescent="0.25">
      <c r="A5809" s="4"/>
      <c r="B5809" s="5"/>
      <c r="C5809" s="5"/>
      <c r="D5809" s="5"/>
      <c r="E5809" s="5"/>
      <c r="F5809" s="5"/>
      <c r="G5809" s="5"/>
      <c r="H5809" s="5"/>
    </row>
    <row r="5810" spans="1:8" x14ac:dyDescent="0.25">
      <c r="A5810" s="4"/>
      <c r="B5810" s="5"/>
      <c r="C5810" s="5"/>
      <c r="D5810" s="5"/>
      <c r="E5810" s="5"/>
      <c r="F5810" s="5"/>
      <c r="G5810" s="5"/>
      <c r="H5810" s="5"/>
    </row>
    <row r="5811" spans="1:8" x14ac:dyDescent="0.25">
      <c r="A5811" s="4"/>
      <c r="B5811" s="5"/>
      <c r="C5811" s="5"/>
      <c r="D5811" s="5"/>
      <c r="E5811" s="5"/>
      <c r="F5811" s="5"/>
      <c r="G5811" s="5"/>
      <c r="H5811" s="5"/>
    </row>
    <row r="5812" spans="1:8" x14ac:dyDescent="0.25">
      <c r="A5812" s="4"/>
      <c r="B5812" s="5"/>
      <c r="C5812" s="5"/>
      <c r="D5812" s="5"/>
      <c r="E5812" s="5"/>
      <c r="F5812" s="5"/>
      <c r="G5812" s="5"/>
      <c r="H5812" s="5"/>
    </row>
    <row r="5813" spans="1:8" x14ac:dyDescent="0.25">
      <c r="A5813" s="4"/>
      <c r="B5813" s="5"/>
      <c r="C5813" s="5"/>
      <c r="D5813" s="5"/>
      <c r="E5813" s="5"/>
      <c r="F5813" s="5"/>
      <c r="G5813" s="5"/>
      <c r="H5813" s="5"/>
    </row>
    <row r="5814" spans="1:8" x14ac:dyDescent="0.25">
      <c r="A5814" s="4"/>
      <c r="B5814" s="5"/>
      <c r="C5814" s="5"/>
      <c r="D5814" s="5"/>
      <c r="E5814" s="5"/>
      <c r="F5814" s="5"/>
      <c r="G5814" s="5"/>
      <c r="H5814" s="5"/>
    </row>
    <row r="5815" spans="1:8" x14ac:dyDescent="0.25">
      <c r="A5815" s="4"/>
      <c r="B5815" s="5"/>
      <c r="C5815" s="5"/>
      <c r="D5815" s="5"/>
      <c r="E5815" s="5"/>
      <c r="F5815" s="5"/>
      <c r="G5815" s="5"/>
      <c r="H5815" s="5"/>
    </row>
    <row r="5816" spans="1:8" x14ac:dyDescent="0.25">
      <c r="A5816" s="4"/>
      <c r="B5816" s="5"/>
      <c r="C5816" s="5"/>
      <c r="D5816" s="5"/>
      <c r="E5816" s="5"/>
      <c r="F5816" s="5"/>
      <c r="G5816" s="5"/>
      <c r="H5816" s="5"/>
    </row>
    <row r="5817" spans="1:8" x14ac:dyDescent="0.25">
      <c r="A5817" s="4"/>
      <c r="B5817" s="5"/>
      <c r="C5817" s="5"/>
      <c r="D5817" s="5"/>
      <c r="E5817" s="5"/>
      <c r="F5817" s="5"/>
      <c r="G5817" s="5"/>
      <c r="H5817" s="5"/>
    </row>
    <row r="5818" spans="1:8" x14ac:dyDescent="0.25">
      <c r="A5818" s="4"/>
      <c r="B5818" s="5"/>
      <c r="C5818" s="5"/>
      <c r="D5818" s="5"/>
      <c r="E5818" s="5"/>
      <c r="F5818" s="5"/>
      <c r="G5818" s="5"/>
      <c r="H5818" s="5"/>
    </row>
    <row r="5819" spans="1:8" x14ac:dyDescent="0.25">
      <c r="A5819" s="4"/>
      <c r="B5819" s="5"/>
      <c r="C5819" s="5"/>
      <c r="D5819" s="5"/>
      <c r="E5819" s="5"/>
      <c r="F5819" s="5"/>
      <c r="G5819" s="5"/>
      <c r="H5819" s="5"/>
    </row>
    <row r="5820" spans="1:8" x14ac:dyDescent="0.25">
      <c r="A5820" s="4"/>
      <c r="B5820" s="5"/>
      <c r="C5820" s="5"/>
      <c r="D5820" s="5"/>
      <c r="E5820" s="5"/>
      <c r="F5820" s="5"/>
      <c r="G5820" s="5"/>
      <c r="H5820" s="5"/>
    </row>
    <row r="5821" spans="1:8" x14ac:dyDescent="0.25">
      <c r="A5821" s="4"/>
      <c r="B5821" s="5"/>
      <c r="C5821" s="5"/>
      <c r="D5821" s="5"/>
      <c r="E5821" s="5"/>
      <c r="F5821" s="5"/>
      <c r="G5821" s="5"/>
      <c r="H5821" s="5"/>
    </row>
    <row r="5822" spans="1:8" x14ac:dyDescent="0.25">
      <c r="A5822" s="4"/>
      <c r="B5822" s="5"/>
      <c r="C5822" s="5"/>
      <c r="D5822" s="5"/>
      <c r="E5822" s="5"/>
      <c r="F5822" s="5"/>
      <c r="G5822" s="5"/>
      <c r="H5822" s="5"/>
    </row>
    <row r="5823" spans="1:8" x14ac:dyDescent="0.25">
      <c r="A5823" s="4"/>
      <c r="B5823" s="5"/>
      <c r="C5823" s="5"/>
      <c r="D5823" s="5"/>
      <c r="E5823" s="5"/>
      <c r="F5823" s="5"/>
      <c r="G5823" s="5"/>
      <c r="H5823" s="5"/>
    </row>
    <row r="5824" spans="1:8" x14ac:dyDescent="0.25">
      <c r="A5824" s="4"/>
      <c r="B5824" s="5"/>
      <c r="C5824" s="5"/>
      <c r="D5824" s="5"/>
      <c r="E5824" s="5"/>
      <c r="F5824" s="5"/>
      <c r="G5824" s="5"/>
      <c r="H5824" s="5"/>
    </row>
    <row r="5825" spans="1:8" x14ac:dyDescent="0.25">
      <c r="A5825" s="4"/>
      <c r="B5825" s="5"/>
      <c r="C5825" s="5"/>
      <c r="D5825" s="5"/>
      <c r="E5825" s="5"/>
      <c r="F5825" s="5"/>
      <c r="G5825" s="5"/>
      <c r="H5825" s="5"/>
    </row>
    <row r="5826" spans="1:8" x14ac:dyDescent="0.25">
      <c r="A5826" s="4"/>
      <c r="B5826" s="5"/>
      <c r="C5826" s="5"/>
      <c r="D5826" s="5"/>
      <c r="E5826" s="5"/>
      <c r="F5826" s="5"/>
      <c r="G5826" s="5"/>
      <c r="H5826" s="5"/>
    </row>
    <row r="5827" spans="1:8" x14ac:dyDescent="0.25">
      <c r="A5827" s="4"/>
      <c r="B5827" s="5"/>
      <c r="C5827" s="5"/>
      <c r="D5827" s="5"/>
      <c r="E5827" s="5"/>
      <c r="F5827" s="5"/>
      <c r="G5827" s="5"/>
      <c r="H5827" s="5"/>
    </row>
    <row r="5828" spans="1:8" x14ac:dyDescent="0.25">
      <c r="A5828" s="4"/>
      <c r="B5828" s="5"/>
      <c r="C5828" s="5"/>
      <c r="D5828" s="5"/>
      <c r="E5828" s="5"/>
      <c r="F5828" s="5"/>
      <c r="G5828" s="5"/>
      <c r="H5828" s="5"/>
    </row>
    <row r="5829" spans="1:8" x14ac:dyDescent="0.25">
      <c r="A5829" s="4"/>
      <c r="B5829" s="5"/>
      <c r="C5829" s="5"/>
      <c r="D5829" s="5"/>
      <c r="E5829" s="5"/>
      <c r="F5829" s="5"/>
      <c r="G5829" s="5"/>
      <c r="H5829" s="5"/>
    </row>
    <row r="5830" spans="1:8" x14ac:dyDescent="0.25">
      <c r="A5830" s="4"/>
      <c r="B5830" s="5"/>
      <c r="C5830" s="5"/>
      <c r="D5830" s="5"/>
      <c r="E5830" s="5"/>
      <c r="F5830" s="5"/>
      <c r="G5830" s="5"/>
      <c r="H5830" s="5"/>
    </row>
    <row r="5831" spans="1:8" x14ac:dyDescent="0.25">
      <c r="A5831" s="4"/>
      <c r="B5831" s="5"/>
      <c r="C5831" s="5"/>
      <c r="D5831" s="5"/>
      <c r="E5831" s="5"/>
      <c r="F5831" s="5"/>
      <c r="G5831" s="5"/>
      <c r="H5831" s="5"/>
    </row>
    <row r="5832" spans="1:8" x14ac:dyDescent="0.25">
      <c r="A5832" s="4"/>
      <c r="B5832" s="5"/>
      <c r="C5832" s="5"/>
      <c r="D5832" s="5"/>
      <c r="E5832" s="5"/>
      <c r="F5832" s="5"/>
      <c r="G5832" s="5"/>
      <c r="H5832" s="5"/>
    </row>
    <row r="5833" spans="1:8" x14ac:dyDescent="0.25">
      <c r="A5833" s="4"/>
      <c r="B5833" s="5"/>
      <c r="C5833" s="5"/>
      <c r="D5833" s="5"/>
      <c r="E5833" s="5"/>
      <c r="F5833" s="5"/>
      <c r="G5833" s="5"/>
      <c r="H5833" s="5"/>
    </row>
    <row r="5834" spans="1:8" x14ac:dyDescent="0.25">
      <c r="A5834" s="4"/>
      <c r="B5834" s="5"/>
      <c r="C5834" s="5"/>
      <c r="D5834" s="5"/>
      <c r="E5834" s="5"/>
      <c r="F5834" s="5"/>
      <c r="G5834" s="5"/>
      <c r="H5834" s="5"/>
    </row>
    <row r="5835" spans="1:8" x14ac:dyDescent="0.25">
      <c r="A5835" s="4"/>
      <c r="B5835" s="5"/>
      <c r="C5835" s="5"/>
      <c r="D5835" s="5"/>
      <c r="E5835" s="5"/>
      <c r="F5835" s="5"/>
      <c r="G5835" s="5"/>
      <c r="H5835" s="5"/>
    </row>
    <row r="5836" spans="1:8" x14ac:dyDescent="0.25">
      <c r="A5836" s="4"/>
      <c r="B5836" s="5"/>
      <c r="C5836" s="5"/>
      <c r="D5836" s="5"/>
      <c r="E5836" s="5"/>
      <c r="F5836" s="5"/>
      <c r="G5836" s="5"/>
      <c r="H5836" s="5"/>
    </row>
    <row r="5837" spans="1:8" x14ac:dyDescent="0.25">
      <c r="A5837" s="4"/>
      <c r="B5837" s="5"/>
      <c r="C5837" s="5"/>
      <c r="D5837" s="5"/>
      <c r="E5837" s="5"/>
      <c r="F5837" s="5"/>
      <c r="G5837" s="5"/>
      <c r="H5837" s="5"/>
    </row>
    <row r="5838" spans="1:8" x14ac:dyDescent="0.25">
      <c r="A5838" s="4"/>
      <c r="B5838" s="5"/>
      <c r="C5838" s="5"/>
      <c r="D5838" s="5"/>
      <c r="E5838" s="5"/>
      <c r="F5838" s="5"/>
      <c r="G5838" s="5"/>
      <c r="H5838" s="5"/>
    </row>
    <row r="5839" spans="1:8" x14ac:dyDescent="0.25">
      <c r="A5839" s="4"/>
      <c r="B5839" s="5"/>
      <c r="C5839" s="5"/>
      <c r="D5839" s="5"/>
      <c r="E5839" s="5"/>
      <c r="F5839" s="5"/>
      <c r="G5839" s="5"/>
      <c r="H5839" s="5"/>
    </row>
    <row r="5840" spans="1:8" x14ac:dyDescent="0.25">
      <c r="A5840" s="4"/>
      <c r="B5840" s="5"/>
      <c r="C5840" s="5"/>
      <c r="D5840" s="5"/>
      <c r="E5840" s="5"/>
      <c r="F5840" s="5"/>
      <c r="G5840" s="5"/>
      <c r="H5840" s="5"/>
    </row>
    <row r="5841" spans="1:8" x14ac:dyDescent="0.25">
      <c r="A5841" s="4"/>
      <c r="B5841" s="5"/>
      <c r="C5841" s="5"/>
      <c r="D5841" s="5"/>
      <c r="E5841" s="5"/>
      <c r="F5841" s="5"/>
      <c r="G5841" s="5"/>
      <c r="H5841" s="5"/>
    </row>
    <row r="5842" spans="1:8" x14ac:dyDescent="0.25">
      <c r="A5842" s="4"/>
      <c r="B5842" s="5"/>
      <c r="C5842" s="5"/>
      <c r="D5842" s="5"/>
      <c r="E5842" s="5"/>
      <c r="F5842" s="5"/>
      <c r="G5842" s="5"/>
      <c r="H5842" s="5"/>
    </row>
    <row r="5843" spans="1:8" x14ac:dyDescent="0.25">
      <c r="A5843" s="4"/>
      <c r="B5843" s="5"/>
      <c r="C5843" s="5"/>
      <c r="D5843" s="5"/>
      <c r="E5843" s="5"/>
      <c r="F5843" s="5"/>
      <c r="G5843" s="5"/>
      <c r="H5843" s="5"/>
    </row>
    <row r="5844" spans="1:8" x14ac:dyDescent="0.25">
      <c r="A5844" s="4"/>
      <c r="B5844" s="5"/>
      <c r="C5844" s="5"/>
      <c r="D5844" s="5"/>
      <c r="E5844" s="5"/>
      <c r="F5844" s="5"/>
      <c r="G5844" s="5"/>
      <c r="H5844" s="5"/>
    </row>
    <row r="5845" spans="1:8" x14ac:dyDescent="0.25">
      <c r="A5845" s="4"/>
      <c r="B5845" s="5"/>
      <c r="C5845" s="5"/>
      <c r="D5845" s="5"/>
      <c r="E5845" s="5"/>
      <c r="F5845" s="5"/>
      <c r="G5845" s="5"/>
      <c r="H5845" s="5"/>
    </row>
    <row r="5846" spans="1:8" x14ac:dyDescent="0.25">
      <c r="A5846" s="4"/>
      <c r="B5846" s="5"/>
      <c r="C5846" s="5"/>
      <c r="D5846" s="5"/>
      <c r="E5846" s="5"/>
      <c r="F5846" s="5"/>
      <c r="G5846" s="5"/>
      <c r="H5846" s="5"/>
    </row>
    <row r="5847" spans="1:8" x14ac:dyDescent="0.25">
      <c r="A5847" s="4"/>
      <c r="B5847" s="5"/>
      <c r="C5847" s="5"/>
      <c r="D5847" s="5"/>
      <c r="E5847" s="5"/>
      <c r="F5847" s="5"/>
      <c r="G5847" s="5"/>
      <c r="H5847" s="5"/>
    </row>
    <row r="5848" spans="1:8" x14ac:dyDescent="0.25">
      <c r="A5848" s="4"/>
      <c r="B5848" s="5"/>
      <c r="C5848" s="5"/>
      <c r="D5848" s="5"/>
      <c r="E5848" s="5"/>
      <c r="F5848" s="5"/>
      <c r="G5848" s="5"/>
      <c r="H5848" s="5"/>
    </row>
    <row r="5849" spans="1:8" x14ac:dyDescent="0.25">
      <c r="A5849" s="4"/>
      <c r="B5849" s="5"/>
      <c r="C5849" s="5"/>
      <c r="D5849" s="5"/>
      <c r="E5849" s="5"/>
      <c r="F5849" s="5"/>
      <c r="G5849" s="5"/>
      <c r="H5849" s="5"/>
    </row>
    <row r="5850" spans="1:8" x14ac:dyDescent="0.25">
      <c r="A5850" s="4"/>
      <c r="B5850" s="5"/>
      <c r="C5850" s="5"/>
      <c r="D5850" s="5"/>
      <c r="E5850" s="5"/>
      <c r="F5850" s="5"/>
      <c r="G5850" s="5"/>
      <c r="H5850" s="5"/>
    </row>
    <row r="5851" spans="1:8" x14ac:dyDescent="0.25">
      <c r="A5851" s="4"/>
      <c r="B5851" s="5"/>
      <c r="C5851" s="5"/>
      <c r="D5851" s="5"/>
      <c r="E5851" s="5"/>
      <c r="F5851" s="5"/>
      <c r="G5851" s="5"/>
      <c r="H5851" s="5"/>
    </row>
    <row r="5852" spans="1:8" x14ac:dyDescent="0.25">
      <c r="A5852" s="4"/>
      <c r="B5852" s="5"/>
      <c r="C5852" s="5"/>
      <c r="D5852" s="5"/>
      <c r="E5852" s="5"/>
      <c r="F5852" s="5"/>
      <c r="G5852" s="5"/>
      <c r="H5852" s="5"/>
    </row>
    <row r="5853" spans="1:8" x14ac:dyDescent="0.25">
      <c r="A5853" s="4"/>
      <c r="B5853" s="5"/>
      <c r="C5853" s="5"/>
      <c r="D5853" s="5"/>
      <c r="E5853" s="5"/>
      <c r="F5853" s="5"/>
      <c r="G5853" s="5"/>
      <c r="H5853" s="5"/>
    </row>
    <row r="5854" spans="1:8" x14ac:dyDescent="0.25">
      <c r="A5854" s="4"/>
      <c r="B5854" s="5"/>
      <c r="C5854" s="5"/>
      <c r="D5854" s="5"/>
      <c r="E5854" s="5"/>
      <c r="F5854" s="5"/>
      <c r="G5854" s="5"/>
      <c r="H5854" s="5"/>
    </row>
    <row r="5855" spans="1:8" x14ac:dyDescent="0.25">
      <c r="A5855" s="4"/>
      <c r="B5855" s="5"/>
      <c r="C5855" s="5"/>
      <c r="D5855" s="5"/>
      <c r="E5855" s="5"/>
      <c r="F5855" s="5"/>
      <c r="G5855" s="5"/>
      <c r="H5855" s="5"/>
    </row>
    <row r="5856" spans="1:8" x14ac:dyDescent="0.25">
      <c r="A5856" s="4"/>
      <c r="B5856" s="5"/>
      <c r="C5856" s="5"/>
      <c r="D5856" s="5"/>
      <c r="E5856" s="5"/>
      <c r="F5856" s="5"/>
      <c r="G5856" s="5"/>
      <c r="H5856" s="5"/>
    </row>
    <row r="5857" spans="1:8" x14ac:dyDescent="0.25">
      <c r="A5857" s="4"/>
      <c r="B5857" s="5"/>
      <c r="C5857" s="5"/>
      <c r="D5857" s="5"/>
      <c r="E5857" s="5"/>
      <c r="F5857" s="5"/>
      <c r="G5857" s="5"/>
      <c r="H5857" s="5"/>
    </row>
    <row r="5858" spans="1:8" x14ac:dyDescent="0.25">
      <c r="A5858" s="4"/>
      <c r="B5858" s="5"/>
      <c r="C5858" s="5"/>
      <c r="D5858" s="5"/>
      <c r="E5858" s="5"/>
      <c r="F5858" s="5"/>
      <c r="G5858" s="5"/>
      <c r="H5858" s="5"/>
    </row>
    <row r="5859" spans="1:8" x14ac:dyDescent="0.25">
      <c r="A5859" s="4"/>
      <c r="B5859" s="5"/>
      <c r="C5859" s="5"/>
      <c r="D5859" s="5"/>
      <c r="E5859" s="5"/>
      <c r="F5859" s="5"/>
      <c r="G5859" s="5"/>
      <c r="H5859" s="5"/>
    </row>
    <row r="5860" spans="1:8" x14ac:dyDescent="0.25">
      <c r="A5860" s="4"/>
      <c r="B5860" s="5"/>
      <c r="C5860" s="5"/>
      <c r="D5860" s="5"/>
      <c r="E5860" s="5"/>
      <c r="F5860" s="5"/>
      <c r="G5860" s="5"/>
      <c r="H5860" s="5"/>
    </row>
    <row r="5861" spans="1:8" x14ac:dyDescent="0.25">
      <c r="A5861" s="4"/>
      <c r="B5861" s="5"/>
      <c r="C5861" s="5"/>
      <c r="D5861" s="5"/>
      <c r="E5861" s="5"/>
      <c r="F5861" s="5"/>
      <c r="G5861" s="5"/>
      <c r="H5861" s="5"/>
    </row>
    <row r="5862" spans="1:8" x14ac:dyDescent="0.25">
      <c r="A5862" s="4"/>
      <c r="B5862" s="5"/>
      <c r="C5862" s="5"/>
      <c r="D5862" s="5"/>
      <c r="E5862" s="5"/>
      <c r="F5862" s="5"/>
      <c r="G5862" s="5"/>
      <c r="H5862" s="5"/>
    </row>
    <row r="5863" spans="1:8" x14ac:dyDescent="0.25">
      <c r="A5863" s="4"/>
      <c r="B5863" s="5"/>
      <c r="C5863" s="5"/>
      <c r="D5863" s="5"/>
      <c r="E5863" s="5"/>
      <c r="F5863" s="5"/>
      <c r="G5863" s="5"/>
      <c r="H5863" s="5"/>
    </row>
    <row r="5864" spans="1:8" x14ac:dyDescent="0.25">
      <c r="A5864" s="4"/>
      <c r="B5864" s="5"/>
      <c r="C5864" s="5"/>
      <c r="D5864" s="5"/>
      <c r="E5864" s="5"/>
      <c r="F5864" s="5"/>
      <c r="G5864" s="5"/>
      <c r="H5864" s="5"/>
    </row>
    <row r="5865" spans="1:8" x14ac:dyDescent="0.25">
      <c r="A5865" s="4"/>
      <c r="B5865" s="5"/>
      <c r="C5865" s="5"/>
      <c r="D5865" s="5"/>
      <c r="E5865" s="5"/>
      <c r="F5865" s="5"/>
      <c r="G5865" s="5"/>
      <c r="H5865" s="5"/>
    </row>
    <row r="5866" spans="1:8" x14ac:dyDescent="0.25">
      <c r="A5866" s="4"/>
      <c r="B5866" s="5"/>
      <c r="C5866" s="5"/>
      <c r="D5866" s="5"/>
      <c r="E5866" s="5"/>
      <c r="F5866" s="5"/>
      <c r="G5866" s="5"/>
      <c r="H5866" s="5"/>
    </row>
    <row r="5867" spans="1:8" x14ac:dyDescent="0.25">
      <c r="A5867" s="4"/>
      <c r="B5867" s="5"/>
      <c r="C5867" s="5"/>
      <c r="D5867" s="5"/>
      <c r="E5867" s="5"/>
      <c r="F5867" s="5"/>
      <c r="G5867" s="5"/>
      <c r="H5867" s="5"/>
    </row>
    <row r="5868" spans="1:8" x14ac:dyDescent="0.25">
      <c r="A5868" s="4"/>
      <c r="B5868" s="5"/>
      <c r="C5868" s="5"/>
      <c r="D5868" s="5"/>
      <c r="E5868" s="5"/>
      <c r="F5868" s="5"/>
      <c r="G5868" s="5"/>
      <c r="H5868" s="5"/>
    </row>
    <row r="5869" spans="1:8" x14ac:dyDescent="0.25">
      <c r="A5869" s="4"/>
      <c r="B5869" s="5"/>
      <c r="C5869" s="5"/>
      <c r="D5869" s="5"/>
      <c r="E5869" s="5"/>
      <c r="F5869" s="5"/>
      <c r="G5869" s="5"/>
      <c r="H5869" s="5"/>
    </row>
    <row r="5870" spans="1:8" x14ac:dyDescent="0.25">
      <c r="A5870" s="4"/>
      <c r="B5870" s="5"/>
      <c r="C5870" s="5"/>
      <c r="D5870" s="5"/>
      <c r="E5870" s="5"/>
      <c r="F5870" s="5"/>
      <c r="G5870" s="5"/>
      <c r="H5870" s="5"/>
    </row>
    <row r="5871" spans="1:8" x14ac:dyDescent="0.25">
      <c r="A5871" s="4"/>
      <c r="B5871" s="5"/>
      <c r="C5871" s="5"/>
      <c r="D5871" s="5"/>
      <c r="E5871" s="5"/>
      <c r="F5871" s="5"/>
      <c r="G5871" s="5"/>
      <c r="H5871" s="5"/>
    </row>
    <row r="5872" spans="1:8" x14ac:dyDescent="0.25">
      <c r="A5872" s="4"/>
      <c r="B5872" s="5"/>
      <c r="C5872" s="5"/>
      <c r="D5872" s="5"/>
      <c r="E5872" s="5"/>
      <c r="F5872" s="5"/>
      <c r="G5872" s="5"/>
      <c r="H5872" s="5"/>
    </row>
    <row r="5873" spans="1:8" x14ac:dyDescent="0.25">
      <c r="A5873" s="4"/>
      <c r="B5873" s="5"/>
      <c r="C5873" s="5"/>
      <c r="D5873" s="5"/>
      <c r="E5873" s="5"/>
      <c r="F5873" s="5"/>
      <c r="G5873" s="5"/>
      <c r="H5873" s="5"/>
    </row>
    <row r="5874" spans="1:8" x14ac:dyDescent="0.25">
      <c r="A5874" s="4"/>
      <c r="B5874" s="5"/>
      <c r="C5874" s="5"/>
      <c r="D5874" s="5"/>
      <c r="E5874" s="5"/>
      <c r="F5874" s="5"/>
      <c r="G5874" s="5"/>
      <c r="H5874" s="5"/>
    </row>
    <row r="5875" spans="1:8" x14ac:dyDescent="0.25">
      <c r="A5875" s="4"/>
      <c r="B5875" s="5"/>
      <c r="C5875" s="5"/>
      <c r="D5875" s="5"/>
      <c r="E5875" s="5"/>
      <c r="F5875" s="5"/>
      <c r="G5875" s="5"/>
      <c r="H5875" s="5"/>
    </row>
    <row r="5876" spans="1:8" x14ac:dyDescent="0.25">
      <c r="A5876" s="4"/>
      <c r="B5876" s="5"/>
      <c r="C5876" s="5"/>
      <c r="D5876" s="5"/>
      <c r="E5876" s="5"/>
      <c r="F5876" s="5"/>
      <c r="G5876" s="5"/>
      <c r="H5876" s="5"/>
    </row>
    <row r="5877" spans="1:8" x14ac:dyDescent="0.25">
      <c r="A5877" s="4"/>
      <c r="B5877" s="5"/>
      <c r="C5877" s="5"/>
      <c r="D5877" s="5"/>
      <c r="E5877" s="5"/>
      <c r="F5877" s="5"/>
      <c r="G5877" s="5"/>
      <c r="H5877" s="5"/>
    </row>
    <row r="5878" spans="1:8" x14ac:dyDescent="0.25">
      <c r="A5878" s="4"/>
      <c r="B5878" s="5"/>
      <c r="C5878" s="5"/>
      <c r="D5878" s="5"/>
      <c r="E5878" s="5"/>
      <c r="F5878" s="5"/>
      <c r="G5878" s="5"/>
      <c r="H5878" s="5"/>
    </row>
    <row r="5879" spans="1:8" x14ac:dyDescent="0.25">
      <c r="A5879" s="4"/>
      <c r="B5879" s="5"/>
      <c r="C5879" s="5"/>
      <c r="D5879" s="5"/>
      <c r="E5879" s="5"/>
      <c r="F5879" s="5"/>
      <c r="G5879" s="5"/>
      <c r="H5879" s="5"/>
    </row>
    <row r="5880" spans="1:8" x14ac:dyDescent="0.25">
      <c r="A5880" s="4"/>
      <c r="B5880" s="5"/>
      <c r="C5880" s="5"/>
      <c r="D5880" s="5"/>
      <c r="E5880" s="5"/>
      <c r="F5880" s="5"/>
      <c r="G5880" s="5"/>
      <c r="H5880" s="5"/>
    </row>
    <row r="5881" spans="1:8" x14ac:dyDescent="0.25">
      <c r="A5881" s="4"/>
      <c r="B5881" s="5"/>
      <c r="C5881" s="5"/>
      <c r="D5881" s="5"/>
      <c r="E5881" s="5"/>
      <c r="F5881" s="5"/>
      <c r="G5881" s="5"/>
      <c r="H5881" s="5"/>
    </row>
    <row r="5882" spans="1:8" x14ac:dyDescent="0.25">
      <c r="A5882" s="4"/>
      <c r="B5882" s="5"/>
      <c r="C5882" s="5"/>
      <c r="D5882" s="5"/>
      <c r="E5882" s="5"/>
      <c r="F5882" s="5"/>
      <c r="G5882" s="5"/>
      <c r="H5882" s="5"/>
    </row>
    <row r="5883" spans="1:8" x14ac:dyDescent="0.25">
      <c r="A5883" s="4"/>
      <c r="B5883" s="5"/>
      <c r="C5883" s="5"/>
      <c r="D5883" s="5"/>
      <c r="E5883" s="5"/>
      <c r="F5883" s="5"/>
      <c r="G5883" s="5"/>
      <c r="H5883" s="5"/>
    </row>
    <row r="5884" spans="1:8" x14ac:dyDescent="0.25">
      <c r="A5884" s="4"/>
      <c r="B5884" s="5"/>
      <c r="C5884" s="5"/>
      <c r="D5884" s="5"/>
      <c r="E5884" s="5"/>
      <c r="F5884" s="5"/>
      <c r="G5884" s="5"/>
      <c r="H5884" s="5"/>
    </row>
    <row r="5885" spans="1:8" x14ac:dyDescent="0.25">
      <c r="A5885" s="4"/>
      <c r="B5885" s="5"/>
      <c r="C5885" s="5"/>
      <c r="D5885" s="5"/>
      <c r="E5885" s="5"/>
      <c r="F5885" s="5"/>
      <c r="G5885" s="5"/>
      <c r="H5885" s="5"/>
    </row>
    <row r="5886" spans="1:8" x14ac:dyDescent="0.25">
      <c r="A5886" s="4"/>
      <c r="B5886" s="5"/>
      <c r="C5886" s="5"/>
      <c r="D5886" s="5"/>
      <c r="E5886" s="5"/>
      <c r="F5886" s="5"/>
      <c r="G5886" s="5"/>
      <c r="H5886" s="5"/>
    </row>
    <row r="5887" spans="1:8" x14ac:dyDescent="0.25">
      <c r="A5887" s="4"/>
      <c r="B5887" s="5"/>
      <c r="C5887" s="5"/>
      <c r="D5887" s="5"/>
      <c r="E5887" s="5"/>
      <c r="F5887" s="5"/>
      <c r="G5887" s="5"/>
      <c r="H5887" s="5"/>
    </row>
    <row r="5888" spans="1:8" x14ac:dyDescent="0.25">
      <c r="A5888" s="4"/>
      <c r="B5888" s="5"/>
      <c r="C5888" s="5"/>
      <c r="D5888" s="5"/>
      <c r="E5888" s="5"/>
      <c r="F5888" s="5"/>
      <c r="G5888" s="5"/>
      <c r="H5888" s="5"/>
    </row>
    <row r="5889" spans="1:8" x14ac:dyDescent="0.25">
      <c r="A5889" s="4"/>
      <c r="B5889" s="5"/>
      <c r="C5889" s="5"/>
      <c r="D5889" s="5"/>
      <c r="E5889" s="5"/>
      <c r="F5889" s="5"/>
      <c r="G5889" s="5"/>
      <c r="H5889" s="5"/>
    </row>
    <row r="5890" spans="1:8" x14ac:dyDescent="0.25">
      <c r="A5890" s="4"/>
      <c r="B5890" s="5"/>
      <c r="C5890" s="5"/>
      <c r="D5890" s="5"/>
      <c r="E5890" s="5"/>
      <c r="F5890" s="5"/>
      <c r="G5890" s="5"/>
      <c r="H5890" s="5"/>
    </row>
    <row r="5891" spans="1:8" x14ac:dyDescent="0.25">
      <c r="A5891" s="4"/>
      <c r="B5891" s="5"/>
      <c r="C5891" s="5"/>
      <c r="D5891" s="5"/>
      <c r="E5891" s="5"/>
      <c r="F5891" s="5"/>
      <c r="G5891" s="5"/>
      <c r="H5891" s="5"/>
    </row>
    <row r="5892" spans="1:8" x14ac:dyDescent="0.25">
      <c r="A5892" s="4"/>
      <c r="B5892" s="5"/>
      <c r="C5892" s="5"/>
      <c r="D5892" s="5"/>
      <c r="E5892" s="5"/>
      <c r="F5892" s="5"/>
      <c r="G5892" s="5"/>
      <c r="H5892" s="5"/>
    </row>
    <row r="5893" spans="1:8" x14ac:dyDescent="0.25">
      <c r="A5893" s="4"/>
      <c r="B5893" s="5"/>
      <c r="C5893" s="5"/>
      <c r="D5893" s="5"/>
      <c r="E5893" s="5"/>
      <c r="F5893" s="5"/>
      <c r="G5893" s="5"/>
      <c r="H5893" s="5"/>
    </row>
    <row r="5894" spans="1:8" x14ac:dyDescent="0.25">
      <c r="A5894" s="4"/>
      <c r="B5894" s="5"/>
      <c r="C5894" s="5"/>
      <c r="D5894" s="5"/>
      <c r="E5894" s="5"/>
      <c r="F5894" s="5"/>
      <c r="G5894" s="5"/>
      <c r="H5894" s="5"/>
    </row>
    <row r="5895" spans="1:8" x14ac:dyDescent="0.25">
      <c r="A5895" s="4"/>
      <c r="B5895" s="5"/>
      <c r="C5895" s="5"/>
      <c r="D5895" s="5"/>
      <c r="E5895" s="5"/>
      <c r="F5895" s="5"/>
      <c r="G5895" s="5"/>
      <c r="H5895" s="5"/>
    </row>
    <row r="5896" spans="1:8" x14ac:dyDescent="0.25">
      <c r="A5896" s="4"/>
      <c r="B5896" s="5"/>
      <c r="C5896" s="5"/>
      <c r="D5896" s="5"/>
      <c r="E5896" s="5"/>
      <c r="F5896" s="5"/>
      <c r="G5896" s="5"/>
      <c r="H5896" s="5"/>
    </row>
    <row r="5897" spans="1:8" x14ac:dyDescent="0.25">
      <c r="A5897" s="4"/>
      <c r="B5897" s="5"/>
      <c r="C5897" s="5"/>
      <c r="D5897" s="5"/>
      <c r="E5897" s="5"/>
      <c r="F5897" s="5"/>
      <c r="G5897" s="5"/>
      <c r="H5897" s="5"/>
    </row>
    <row r="5898" spans="1:8" x14ac:dyDescent="0.25">
      <c r="A5898" s="4"/>
      <c r="B5898" s="5"/>
      <c r="C5898" s="5"/>
      <c r="D5898" s="5"/>
      <c r="E5898" s="5"/>
      <c r="F5898" s="5"/>
      <c r="G5898" s="5"/>
      <c r="H5898" s="5"/>
    </row>
    <row r="5899" spans="1:8" x14ac:dyDescent="0.25">
      <c r="A5899" s="4"/>
      <c r="B5899" s="5"/>
      <c r="C5899" s="5"/>
      <c r="D5899" s="5"/>
      <c r="E5899" s="5"/>
      <c r="F5899" s="5"/>
      <c r="G5899" s="5"/>
      <c r="H5899" s="5"/>
    </row>
    <row r="5900" spans="1:8" x14ac:dyDescent="0.25">
      <c r="A5900" s="4"/>
      <c r="B5900" s="5"/>
      <c r="C5900" s="5"/>
      <c r="D5900" s="5"/>
      <c r="E5900" s="5"/>
      <c r="F5900" s="5"/>
      <c r="G5900" s="5"/>
      <c r="H5900" s="5"/>
    </row>
    <row r="5901" spans="1:8" x14ac:dyDescent="0.25">
      <c r="A5901" s="4"/>
      <c r="B5901" s="5"/>
      <c r="C5901" s="5"/>
      <c r="D5901" s="5"/>
      <c r="E5901" s="5"/>
      <c r="F5901" s="5"/>
      <c r="G5901" s="5"/>
      <c r="H5901" s="5"/>
    </row>
    <row r="5902" spans="1:8" x14ac:dyDescent="0.25">
      <c r="A5902" s="4"/>
      <c r="B5902" s="5"/>
      <c r="C5902" s="5"/>
      <c r="D5902" s="5"/>
      <c r="E5902" s="5"/>
      <c r="F5902" s="5"/>
      <c r="G5902" s="5"/>
      <c r="H5902" s="5"/>
    </row>
    <row r="5903" spans="1:8" x14ac:dyDescent="0.25">
      <c r="A5903" s="4"/>
      <c r="B5903" s="5"/>
      <c r="C5903" s="5"/>
      <c r="D5903" s="5"/>
      <c r="E5903" s="5"/>
      <c r="F5903" s="5"/>
      <c r="G5903" s="5"/>
      <c r="H5903" s="5"/>
    </row>
    <row r="5904" spans="1:8" x14ac:dyDescent="0.25">
      <c r="A5904" s="4"/>
      <c r="B5904" s="5"/>
      <c r="C5904" s="5"/>
      <c r="D5904" s="5"/>
      <c r="E5904" s="5"/>
      <c r="F5904" s="5"/>
      <c r="G5904" s="5"/>
      <c r="H5904" s="5"/>
    </row>
    <row r="5905" spans="1:8" x14ac:dyDescent="0.25">
      <c r="A5905" s="4"/>
      <c r="B5905" s="5"/>
      <c r="C5905" s="5"/>
      <c r="D5905" s="5"/>
      <c r="E5905" s="5"/>
      <c r="F5905" s="5"/>
      <c r="G5905" s="5"/>
      <c r="H5905" s="5"/>
    </row>
    <row r="5906" spans="1:8" x14ac:dyDescent="0.25">
      <c r="A5906" s="4"/>
      <c r="B5906" s="5"/>
      <c r="C5906" s="5"/>
      <c r="D5906" s="5"/>
      <c r="E5906" s="5"/>
      <c r="F5906" s="5"/>
      <c r="G5906" s="5"/>
      <c r="H5906" s="5"/>
    </row>
    <row r="5907" spans="1:8" x14ac:dyDescent="0.25">
      <c r="A5907" s="4"/>
      <c r="B5907" s="5"/>
      <c r="C5907" s="5"/>
      <c r="D5907" s="5"/>
      <c r="E5907" s="5"/>
      <c r="F5907" s="5"/>
      <c r="G5907" s="5"/>
      <c r="H5907" s="5"/>
    </row>
    <row r="5908" spans="1:8" x14ac:dyDescent="0.25">
      <c r="A5908" s="4"/>
      <c r="B5908" s="5"/>
      <c r="C5908" s="5"/>
      <c r="D5908" s="5"/>
      <c r="E5908" s="5"/>
      <c r="F5908" s="5"/>
      <c r="G5908" s="5"/>
      <c r="H5908" s="5"/>
    </row>
    <row r="5909" spans="1:8" x14ac:dyDescent="0.25">
      <c r="A5909" s="4"/>
      <c r="B5909" s="5"/>
      <c r="C5909" s="5"/>
      <c r="D5909" s="5"/>
      <c r="E5909" s="5"/>
      <c r="F5909" s="5"/>
      <c r="G5909" s="5"/>
      <c r="H5909" s="5"/>
    </row>
    <row r="5910" spans="1:8" x14ac:dyDescent="0.25">
      <c r="A5910" s="4"/>
      <c r="B5910" s="5"/>
      <c r="C5910" s="5"/>
      <c r="D5910" s="5"/>
      <c r="E5910" s="5"/>
      <c r="F5910" s="5"/>
      <c r="G5910" s="5"/>
      <c r="H5910" s="5"/>
    </row>
    <row r="5911" spans="1:8" x14ac:dyDescent="0.25">
      <c r="A5911" s="4"/>
      <c r="B5911" s="5"/>
      <c r="C5911" s="5"/>
      <c r="D5911" s="5"/>
      <c r="E5911" s="5"/>
      <c r="F5911" s="5"/>
      <c r="G5911" s="5"/>
      <c r="H5911" s="5"/>
    </row>
    <row r="5912" spans="1:8" x14ac:dyDescent="0.25">
      <c r="A5912" s="4"/>
      <c r="B5912" s="5"/>
      <c r="C5912" s="5"/>
      <c r="D5912" s="5"/>
      <c r="E5912" s="5"/>
      <c r="F5912" s="5"/>
      <c r="G5912" s="5"/>
      <c r="H5912" s="5"/>
    </row>
    <row r="5913" spans="1:8" x14ac:dyDescent="0.25">
      <c r="A5913" s="4"/>
      <c r="B5913" s="5"/>
      <c r="C5913" s="5"/>
      <c r="D5913" s="5"/>
      <c r="E5913" s="5"/>
      <c r="F5913" s="5"/>
      <c r="G5913" s="5"/>
      <c r="H5913" s="5"/>
    </row>
    <row r="5914" spans="1:8" x14ac:dyDescent="0.25">
      <c r="A5914" s="4"/>
      <c r="B5914" s="5"/>
      <c r="C5914" s="5"/>
      <c r="D5914" s="5"/>
      <c r="E5914" s="5"/>
      <c r="F5914" s="5"/>
      <c r="G5914" s="5"/>
      <c r="H5914" s="5"/>
    </row>
    <row r="5915" spans="1:8" x14ac:dyDescent="0.25">
      <c r="A5915" s="4"/>
      <c r="B5915" s="5"/>
      <c r="C5915" s="5"/>
      <c r="D5915" s="5"/>
      <c r="E5915" s="5"/>
      <c r="F5915" s="5"/>
      <c r="G5915" s="5"/>
      <c r="H5915" s="5"/>
    </row>
    <row r="5916" spans="1:8" x14ac:dyDescent="0.25">
      <c r="A5916" s="4"/>
      <c r="B5916" s="5"/>
      <c r="C5916" s="5"/>
      <c r="D5916" s="5"/>
      <c r="E5916" s="5"/>
      <c r="F5916" s="5"/>
      <c r="G5916" s="5"/>
      <c r="H5916" s="5"/>
    </row>
    <row r="5917" spans="1:8" x14ac:dyDescent="0.25">
      <c r="A5917" s="4"/>
      <c r="B5917" s="5"/>
      <c r="C5917" s="5"/>
      <c r="D5917" s="5"/>
      <c r="E5917" s="5"/>
      <c r="F5917" s="5"/>
      <c r="G5917" s="5"/>
      <c r="H5917" s="5"/>
    </row>
    <row r="5918" spans="1:8" x14ac:dyDescent="0.25">
      <c r="A5918" s="4"/>
      <c r="B5918" s="5"/>
      <c r="C5918" s="5"/>
      <c r="D5918" s="5"/>
      <c r="E5918" s="5"/>
      <c r="F5918" s="5"/>
      <c r="G5918" s="5"/>
      <c r="H5918" s="5"/>
    </row>
    <row r="5919" spans="1:8" x14ac:dyDescent="0.25">
      <c r="A5919" s="4"/>
      <c r="B5919" s="5"/>
      <c r="C5919" s="5"/>
      <c r="D5919" s="5"/>
      <c r="E5919" s="5"/>
      <c r="F5919" s="5"/>
      <c r="G5919" s="5"/>
      <c r="H5919" s="5"/>
    </row>
    <row r="5920" spans="1:8" x14ac:dyDescent="0.25">
      <c r="A5920" s="4"/>
      <c r="B5920" s="5"/>
      <c r="C5920" s="5"/>
      <c r="D5920" s="5"/>
      <c r="E5920" s="5"/>
      <c r="F5920" s="5"/>
      <c r="G5920" s="5"/>
      <c r="H5920" s="5"/>
    </row>
    <row r="5921" spans="1:8" x14ac:dyDescent="0.25">
      <c r="A5921" s="4"/>
      <c r="B5921" s="5"/>
      <c r="C5921" s="5"/>
      <c r="D5921" s="5"/>
      <c r="E5921" s="5"/>
      <c r="F5921" s="5"/>
      <c r="G5921" s="5"/>
      <c r="H5921" s="5"/>
    </row>
    <row r="5922" spans="1:8" x14ac:dyDescent="0.25">
      <c r="A5922" s="4"/>
      <c r="B5922" s="5"/>
      <c r="C5922" s="5"/>
      <c r="D5922" s="5"/>
      <c r="E5922" s="5"/>
      <c r="F5922" s="5"/>
      <c r="G5922" s="5"/>
      <c r="H5922" s="5"/>
    </row>
    <row r="5923" spans="1:8" x14ac:dyDescent="0.25">
      <c r="A5923" s="4"/>
      <c r="B5923" s="5"/>
      <c r="C5923" s="5"/>
      <c r="D5923" s="5"/>
      <c r="E5923" s="5"/>
      <c r="F5923" s="5"/>
      <c r="G5923" s="5"/>
      <c r="H5923" s="5"/>
    </row>
    <row r="5924" spans="1:8" x14ac:dyDescent="0.25">
      <c r="A5924" s="4"/>
      <c r="B5924" s="5"/>
      <c r="C5924" s="5"/>
      <c r="D5924" s="5"/>
      <c r="E5924" s="5"/>
      <c r="F5924" s="5"/>
      <c r="G5924" s="5"/>
      <c r="H5924" s="5"/>
    </row>
    <row r="5925" spans="1:8" x14ac:dyDescent="0.25">
      <c r="A5925" s="4"/>
      <c r="B5925" s="5"/>
      <c r="C5925" s="5"/>
      <c r="D5925" s="5"/>
      <c r="E5925" s="5"/>
      <c r="F5925" s="5"/>
      <c r="G5925" s="5"/>
      <c r="H5925" s="5"/>
    </row>
    <row r="5926" spans="1:8" x14ac:dyDescent="0.25">
      <c r="A5926" s="4"/>
      <c r="B5926" s="5"/>
      <c r="C5926" s="5"/>
      <c r="D5926" s="5"/>
      <c r="E5926" s="5"/>
      <c r="F5926" s="5"/>
      <c r="G5926" s="5"/>
      <c r="H5926" s="5"/>
    </row>
    <row r="5927" spans="1:8" x14ac:dyDescent="0.25">
      <c r="A5927" s="4"/>
      <c r="B5927" s="5"/>
      <c r="C5927" s="5"/>
      <c r="D5927" s="5"/>
      <c r="E5927" s="5"/>
      <c r="F5927" s="5"/>
      <c r="G5927" s="5"/>
      <c r="H5927" s="5"/>
    </row>
    <row r="5928" spans="1:8" x14ac:dyDescent="0.25">
      <c r="A5928" s="4"/>
      <c r="B5928" s="5"/>
      <c r="C5928" s="5"/>
      <c r="D5928" s="5"/>
      <c r="E5928" s="5"/>
      <c r="F5928" s="5"/>
      <c r="G5928" s="5"/>
      <c r="H5928" s="5"/>
    </row>
    <row r="5929" spans="1:8" x14ac:dyDescent="0.25">
      <c r="A5929" s="4"/>
      <c r="B5929" s="5"/>
      <c r="C5929" s="5"/>
      <c r="D5929" s="5"/>
      <c r="E5929" s="5"/>
      <c r="F5929" s="5"/>
      <c r="G5929" s="5"/>
      <c r="H5929" s="5"/>
    </row>
    <row r="5930" spans="1:8" x14ac:dyDescent="0.25">
      <c r="A5930" s="4"/>
      <c r="B5930" s="5"/>
      <c r="C5930" s="5"/>
      <c r="D5930" s="5"/>
      <c r="E5930" s="5"/>
      <c r="F5930" s="5"/>
      <c r="G5930" s="5"/>
      <c r="H5930" s="5"/>
    </row>
    <row r="5931" spans="1:8" x14ac:dyDescent="0.25">
      <c r="A5931" s="4"/>
      <c r="B5931" s="5"/>
      <c r="C5931" s="5"/>
      <c r="D5931" s="5"/>
      <c r="E5931" s="5"/>
      <c r="F5931" s="5"/>
      <c r="G5931" s="5"/>
      <c r="H5931" s="5"/>
    </row>
    <row r="5932" spans="1:8" x14ac:dyDescent="0.25">
      <c r="A5932" s="4"/>
      <c r="B5932" s="5"/>
      <c r="C5932" s="5"/>
      <c r="D5932" s="5"/>
      <c r="E5932" s="5"/>
      <c r="F5932" s="5"/>
      <c r="G5932" s="5"/>
      <c r="H5932" s="5"/>
    </row>
    <row r="5933" spans="1:8" x14ac:dyDescent="0.25">
      <c r="A5933" s="4"/>
      <c r="B5933" s="5"/>
      <c r="C5933" s="5"/>
      <c r="D5933" s="5"/>
      <c r="E5933" s="5"/>
      <c r="F5933" s="5"/>
      <c r="G5933" s="5"/>
      <c r="H5933" s="5"/>
    </row>
    <row r="5934" spans="1:8" x14ac:dyDescent="0.25">
      <c r="A5934" s="4"/>
      <c r="B5934" s="5"/>
      <c r="C5934" s="5"/>
      <c r="D5934" s="5"/>
      <c r="E5934" s="5"/>
      <c r="F5934" s="5"/>
      <c r="G5934" s="5"/>
      <c r="H5934" s="5"/>
    </row>
    <row r="5935" spans="1:8" x14ac:dyDescent="0.25">
      <c r="A5935" s="4"/>
      <c r="B5935" s="5"/>
      <c r="C5935" s="5"/>
      <c r="D5935" s="5"/>
      <c r="E5935" s="5"/>
      <c r="F5935" s="5"/>
      <c r="G5935" s="5"/>
      <c r="H5935" s="5"/>
    </row>
    <row r="5936" spans="1:8" x14ac:dyDescent="0.25">
      <c r="A5936" s="4"/>
      <c r="B5936" s="5"/>
      <c r="C5936" s="5"/>
      <c r="D5936" s="5"/>
      <c r="E5936" s="5"/>
      <c r="F5936" s="5"/>
      <c r="G5936" s="5"/>
      <c r="H5936" s="5"/>
    </row>
    <row r="5937" spans="1:8" x14ac:dyDescent="0.25">
      <c r="A5937" s="4"/>
      <c r="B5937" s="5"/>
      <c r="C5937" s="5"/>
      <c r="D5937" s="5"/>
      <c r="E5937" s="5"/>
      <c r="F5937" s="5"/>
      <c r="G5937" s="5"/>
      <c r="H5937" s="5"/>
    </row>
    <row r="5938" spans="1:8" x14ac:dyDescent="0.25">
      <c r="A5938" s="4"/>
      <c r="B5938" s="5"/>
      <c r="C5938" s="5"/>
      <c r="D5938" s="5"/>
      <c r="E5938" s="5"/>
      <c r="F5938" s="5"/>
      <c r="G5938" s="5"/>
      <c r="H5938" s="5"/>
    </row>
    <row r="5939" spans="1:8" x14ac:dyDescent="0.25">
      <c r="A5939" s="4"/>
      <c r="B5939" s="5"/>
      <c r="C5939" s="5"/>
      <c r="D5939" s="5"/>
      <c r="E5939" s="5"/>
      <c r="F5939" s="5"/>
      <c r="G5939" s="5"/>
      <c r="H5939" s="5"/>
    </row>
    <row r="5940" spans="1:8" x14ac:dyDescent="0.25">
      <c r="A5940" s="4"/>
      <c r="B5940" s="5"/>
      <c r="C5940" s="5"/>
      <c r="D5940" s="5"/>
      <c r="E5940" s="5"/>
      <c r="F5940" s="5"/>
      <c r="G5940" s="5"/>
      <c r="H5940" s="5"/>
    </row>
    <row r="5941" spans="1:8" x14ac:dyDescent="0.25">
      <c r="A5941" s="4"/>
      <c r="B5941" s="5"/>
      <c r="C5941" s="5"/>
      <c r="D5941" s="5"/>
      <c r="E5941" s="5"/>
      <c r="F5941" s="5"/>
      <c r="G5941" s="5"/>
      <c r="H5941" s="5"/>
    </row>
    <row r="5942" spans="1:8" x14ac:dyDescent="0.25">
      <c r="A5942" s="4"/>
      <c r="B5942" s="5"/>
      <c r="C5942" s="5"/>
      <c r="D5942" s="5"/>
      <c r="E5942" s="5"/>
      <c r="F5942" s="5"/>
      <c r="G5942" s="5"/>
      <c r="H5942" s="5"/>
    </row>
    <row r="5943" spans="1:8" x14ac:dyDescent="0.25">
      <c r="A5943" s="4"/>
      <c r="B5943" s="5"/>
      <c r="C5943" s="5"/>
      <c r="D5943" s="5"/>
      <c r="E5943" s="5"/>
      <c r="F5943" s="5"/>
      <c r="G5943" s="5"/>
      <c r="H5943" s="5"/>
    </row>
    <row r="5944" spans="1:8" x14ac:dyDescent="0.25">
      <c r="A5944" s="4"/>
      <c r="B5944" s="5"/>
      <c r="C5944" s="5"/>
      <c r="D5944" s="5"/>
      <c r="E5944" s="5"/>
      <c r="F5944" s="5"/>
      <c r="G5944" s="5"/>
      <c r="H5944" s="5"/>
    </row>
    <row r="5945" spans="1:8" x14ac:dyDescent="0.25">
      <c r="A5945" s="4"/>
      <c r="B5945" s="5"/>
      <c r="C5945" s="5"/>
      <c r="D5945" s="5"/>
      <c r="E5945" s="5"/>
      <c r="F5945" s="5"/>
      <c r="G5945" s="5"/>
      <c r="H5945" s="5"/>
    </row>
    <row r="5946" spans="1:8" x14ac:dyDescent="0.25">
      <c r="A5946" s="4"/>
      <c r="B5946" s="5"/>
      <c r="C5946" s="5"/>
      <c r="D5946" s="5"/>
      <c r="E5946" s="5"/>
      <c r="F5946" s="5"/>
      <c r="G5946" s="5"/>
      <c r="H5946" s="5"/>
    </row>
    <row r="5947" spans="1:8" x14ac:dyDescent="0.25">
      <c r="A5947" s="4"/>
      <c r="B5947" s="5"/>
      <c r="C5947" s="5"/>
      <c r="D5947" s="5"/>
      <c r="E5947" s="5"/>
      <c r="F5947" s="5"/>
      <c r="G5947" s="5"/>
      <c r="H5947" s="5"/>
    </row>
    <row r="5948" spans="1:8" x14ac:dyDescent="0.25">
      <c r="A5948" s="4"/>
      <c r="B5948" s="5"/>
      <c r="C5948" s="5"/>
      <c r="D5948" s="5"/>
      <c r="E5948" s="5"/>
      <c r="F5948" s="5"/>
      <c r="G5948" s="5"/>
      <c r="H5948" s="5"/>
    </row>
    <row r="5949" spans="1:8" x14ac:dyDescent="0.25">
      <c r="A5949" s="4"/>
      <c r="B5949" s="5"/>
      <c r="C5949" s="5"/>
      <c r="D5949" s="5"/>
      <c r="E5949" s="5"/>
      <c r="F5949" s="5"/>
      <c r="G5949" s="5"/>
      <c r="H5949" s="5"/>
    </row>
    <row r="5950" spans="1:8" x14ac:dyDescent="0.25">
      <c r="A5950" s="4"/>
      <c r="B5950" s="5"/>
      <c r="C5950" s="5"/>
      <c r="D5950" s="5"/>
      <c r="E5950" s="5"/>
      <c r="F5950" s="5"/>
      <c r="G5950" s="5"/>
      <c r="H5950" s="5"/>
    </row>
    <row r="5951" spans="1:8" x14ac:dyDescent="0.25">
      <c r="A5951" s="4"/>
      <c r="B5951" s="5"/>
      <c r="C5951" s="5"/>
      <c r="D5951" s="5"/>
      <c r="E5951" s="5"/>
      <c r="F5951" s="5"/>
      <c r="G5951" s="5"/>
      <c r="H5951" s="5"/>
    </row>
    <row r="5952" spans="1:8" x14ac:dyDescent="0.25">
      <c r="A5952" s="4"/>
      <c r="B5952" s="5"/>
      <c r="C5952" s="5"/>
      <c r="D5952" s="5"/>
      <c r="E5952" s="5"/>
      <c r="F5952" s="5"/>
      <c r="G5952" s="5"/>
      <c r="H5952" s="5"/>
    </row>
    <row r="5953" spans="1:8" x14ac:dyDescent="0.25">
      <c r="A5953" s="4"/>
      <c r="B5953" s="5"/>
      <c r="C5953" s="5"/>
      <c r="D5953" s="5"/>
      <c r="E5953" s="5"/>
      <c r="F5953" s="5"/>
      <c r="G5953" s="5"/>
      <c r="H5953" s="5"/>
    </row>
    <row r="5954" spans="1:8" x14ac:dyDescent="0.25">
      <c r="A5954" s="4"/>
      <c r="B5954" s="5"/>
      <c r="C5954" s="5"/>
      <c r="D5954" s="5"/>
      <c r="E5954" s="5"/>
      <c r="F5954" s="5"/>
      <c r="G5954" s="5"/>
      <c r="H5954" s="5"/>
    </row>
    <row r="5955" spans="1:8" x14ac:dyDescent="0.25">
      <c r="A5955" s="4"/>
      <c r="B5955" s="5"/>
      <c r="C5955" s="5"/>
      <c r="D5955" s="5"/>
      <c r="E5955" s="5"/>
      <c r="F5955" s="5"/>
      <c r="G5955" s="5"/>
      <c r="H5955" s="5"/>
    </row>
    <row r="5956" spans="1:8" x14ac:dyDescent="0.25">
      <c r="A5956" s="4"/>
      <c r="B5956" s="5"/>
      <c r="C5956" s="5"/>
      <c r="D5956" s="5"/>
      <c r="E5956" s="5"/>
      <c r="F5956" s="5"/>
      <c r="G5956" s="5"/>
      <c r="H5956" s="5"/>
    </row>
    <row r="5957" spans="1:8" x14ac:dyDescent="0.25">
      <c r="A5957" s="4"/>
      <c r="B5957" s="5"/>
      <c r="C5957" s="5"/>
      <c r="D5957" s="5"/>
      <c r="E5957" s="5"/>
      <c r="F5957" s="5"/>
      <c r="G5957" s="5"/>
      <c r="H5957" s="5"/>
    </row>
    <row r="5958" spans="1:8" x14ac:dyDescent="0.25">
      <c r="A5958" s="4"/>
      <c r="B5958" s="5"/>
      <c r="C5958" s="5"/>
      <c r="D5958" s="5"/>
      <c r="E5958" s="5"/>
      <c r="F5958" s="5"/>
      <c r="G5958" s="5"/>
      <c r="H5958" s="5"/>
    </row>
    <row r="5959" spans="1:8" x14ac:dyDescent="0.25">
      <c r="A5959" s="4"/>
      <c r="B5959" s="5"/>
      <c r="C5959" s="5"/>
      <c r="D5959" s="5"/>
      <c r="E5959" s="5"/>
      <c r="F5959" s="5"/>
      <c r="G5959" s="5"/>
      <c r="H5959" s="5"/>
    </row>
    <row r="5960" spans="1:8" x14ac:dyDescent="0.25">
      <c r="A5960" s="4"/>
      <c r="B5960" s="5"/>
      <c r="C5960" s="5"/>
      <c r="D5960" s="5"/>
      <c r="E5960" s="5"/>
      <c r="F5960" s="5"/>
      <c r="G5960" s="5"/>
      <c r="H5960" s="5"/>
    </row>
    <row r="5961" spans="1:8" x14ac:dyDescent="0.25">
      <c r="A5961" s="4"/>
      <c r="B5961" s="5"/>
      <c r="C5961" s="5"/>
      <c r="D5961" s="5"/>
      <c r="E5961" s="5"/>
      <c r="F5961" s="5"/>
      <c r="G5961" s="5"/>
      <c r="H5961" s="5"/>
    </row>
    <row r="5962" spans="1:8" x14ac:dyDescent="0.25">
      <c r="A5962" s="4"/>
      <c r="B5962" s="5"/>
      <c r="C5962" s="5"/>
      <c r="D5962" s="5"/>
      <c r="E5962" s="5"/>
      <c r="F5962" s="5"/>
      <c r="G5962" s="5"/>
      <c r="H5962" s="5"/>
    </row>
    <row r="5963" spans="1:8" x14ac:dyDescent="0.25">
      <c r="A5963" s="4"/>
      <c r="B5963" s="5"/>
      <c r="C5963" s="5"/>
      <c r="D5963" s="5"/>
      <c r="E5963" s="5"/>
      <c r="F5963" s="5"/>
      <c r="G5963" s="5"/>
      <c r="H5963" s="5"/>
    </row>
    <row r="5964" spans="1:8" x14ac:dyDescent="0.25">
      <c r="A5964" s="4"/>
      <c r="B5964" s="5"/>
      <c r="C5964" s="5"/>
      <c r="D5964" s="5"/>
      <c r="E5964" s="5"/>
      <c r="F5964" s="5"/>
      <c r="G5964" s="5"/>
      <c r="H5964" s="5"/>
    </row>
    <row r="5965" spans="1:8" x14ac:dyDescent="0.25">
      <c r="A5965" s="4"/>
      <c r="B5965" s="5"/>
      <c r="C5965" s="5"/>
      <c r="D5965" s="5"/>
      <c r="E5965" s="5"/>
      <c r="F5965" s="5"/>
      <c r="G5965" s="5"/>
      <c r="H5965" s="5"/>
    </row>
    <row r="5966" spans="1:8" x14ac:dyDescent="0.25">
      <c r="A5966" s="4"/>
      <c r="B5966" s="5"/>
      <c r="C5966" s="5"/>
      <c r="D5966" s="5"/>
      <c r="E5966" s="5"/>
      <c r="F5966" s="5"/>
      <c r="G5966" s="5"/>
      <c r="H5966" s="5"/>
    </row>
    <row r="5967" spans="1:8" x14ac:dyDescent="0.25">
      <c r="A5967" s="4"/>
      <c r="B5967" s="5"/>
      <c r="C5967" s="5"/>
      <c r="D5967" s="5"/>
      <c r="E5967" s="5"/>
      <c r="F5967" s="5"/>
      <c r="G5967" s="5"/>
      <c r="H5967" s="5"/>
    </row>
    <row r="5968" spans="1:8" x14ac:dyDescent="0.25">
      <c r="A5968" s="4"/>
      <c r="B5968" s="5"/>
      <c r="C5968" s="5"/>
      <c r="D5968" s="5"/>
      <c r="E5968" s="5"/>
      <c r="F5968" s="5"/>
      <c r="G5968" s="5"/>
      <c r="H5968" s="5"/>
    </row>
    <row r="5969" spans="1:8" x14ac:dyDescent="0.25">
      <c r="A5969" s="4"/>
      <c r="B5969" s="5"/>
      <c r="C5969" s="5"/>
      <c r="D5969" s="5"/>
      <c r="E5969" s="5"/>
      <c r="F5969" s="5"/>
      <c r="G5969" s="5"/>
      <c r="H5969" s="5"/>
    </row>
    <row r="5970" spans="1:8" x14ac:dyDescent="0.25">
      <c r="A5970" s="4"/>
      <c r="B5970" s="5"/>
      <c r="C5970" s="5"/>
      <c r="D5970" s="5"/>
      <c r="E5970" s="5"/>
      <c r="F5970" s="5"/>
      <c r="G5970" s="5"/>
      <c r="H5970" s="5"/>
    </row>
    <row r="5971" spans="1:8" x14ac:dyDescent="0.25">
      <c r="A5971" s="4"/>
      <c r="B5971" s="5"/>
      <c r="C5971" s="5"/>
      <c r="D5971" s="5"/>
      <c r="E5971" s="5"/>
      <c r="F5971" s="5"/>
      <c r="G5971" s="5"/>
      <c r="H5971" s="5"/>
    </row>
    <row r="5972" spans="1:8" x14ac:dyDescent="0.25">
      <c r="A5972" s="4"/>
      <c r="B5972" s="5"/>
      <c r="C5972" s="5"/>
      <c r="D5972" s="5"/>
      <c r="E5972" s="5"/>
      <c r="F5972" s="5"/>
      <c r="G5972" s="5"/>
      <c r="H5972" s="5"/>
    </row>
    <row r="5973" spans="1:8" x14ac:dyDescent="0.25">
      <c r="A5973" s="4"/>
      <c r="B5973" s="5"/>
      <c r="C5973" s="5"/>
      <c r="D5973" s="5"/>
      <c r="E5973" s="5"/>
      <c r="F5973" s="5"/>
      <c r="G5973" s="5"/>
      <c r="H5973" s="5"/>
    </row>
    <row r="5974" spans="1:8" x14ac:dyDescent="0.25">
      <c r="A5974" s="4"/>
      <c r="B5974" s="5"/>
      <c r="C5974" s="5"/>
      <c r="D5974" s="5"/>
      <c r="E5974" s="5"/>
      <c r="F5974" s="5"/>
      <c r="G5974" s="5"/>
      <c r="H5974" s="5"/>
    </row>
    <row r="5975" spans="1:8" x14ac:dyDescent="0.25">
      <c r="A5975" s="4"/>
      <c r="B5975" s="5"/>
      <c r="C5975" s="5"/>
      <c r="D5975" s="5"/>
      <c r="E5975" s="5"/>
      <c r="F5975" s="5"/>
      <c r="G5975" s="5"/>
      <c r="H5975" s="5"/>
    </row>
    <row r="5976" spans="1:8" x14ac:dyDescent="0.25">
      <c r="A5976" s="4"/>
      <c r="B5976" s="5"/>
      <c r="C5976" s="5"/>
      <c r="D5976" s="5"/>
      <c r="E5976" s="5"/>
      <c r="F5976" s="5"/>
      <c r="G5976" s="5"/>
      <c r="H5976" s="5"/>
    </row>
    <row r="5977" spans="1:8" x14ac:dyDescent="0.25">
      <c r="A5977" s="4"/>
      <c r="B5977" s="5"/>
      <c r="C5977" s="5"/>
      <c r="D5977" s="5"/>
      <c r="E5977" s="5"/>
      <c r="F5977" s="5"/>
      <c r="G5977" s="5"/>
      <c r="H5977" s="5"/>
    </row>
    <row r="5978" spans="1:8" x14ac:dyDescent="0.25">
      <c r="A5978" s="4"/>
      <c r="B5978" s="5"/>
      <c r="C5978" s="5"/>
      <c r="D5978" s="5"/>
      <c r="E5978" s="5"/>
      <c r="F5978" s="5"/>
      <c r="G5978" s="5"/>
      <c r="H5978" s="5"/>
    </row>
    <row r="5979" spans="1:8" x14ac:dyDescent="0.25">
      <c r="A5979" s="4"/>
      <c r="B5979" s="5"/>
      <c r="C5979" s="5"/>
      <c r="D5979" s="5"/>
      <c r="E5979" s="5"/>
      <c r="F5979" s="5"/>
      <c r="G5979" s="5"/>
      <c r="H5979" s="5"/>
    </row>
    <row r="5980" spans="1:8" x14ac:dyDescent="0.25">
      <c r="A5980" s="4"/>
      <c r="B5980" s="5"/>
      <c r="C5980" s="5"/>
      <c r="D5980" s="5"/>
      <c r="E5980" s="5"/>
      <c r="F5980" s="5"/>
      <c r="G5980" s="5"/>
      <c r="H5980" s="5"/>
    </row>
    <row r="5981" spans="1:8" x14ac:dyDescent="0.25">
      <c r="A5981" s="4"/>
      <c r="B5981" s="5"/>
      <c r="C5981" s="5"/>
      <c r="D5981" s="5"/>
      <c r="E5981" s="5"/>
      <c r="F5981" s="5"/>
      <c r="G5981" s="5"/>
      <c r="H5981" s="5"/>
    </row>
    <row r="5982" spans="1:8" x14ac:dyDescent="0.25">
      <c r="A5982" s="4"/>
      <c r="B5982" s="5"/>
      <c r="C5982" s="5"/>
      <c r="D5982" s="5"/>
      <c r="E5982" s="5"/>
      <c r="F5982" s="5"/>
      <c r="G5982" s="5"/>
      <c r="H5982" s="5"/>
    </row>
    <row r="5983" spans="1:8" x14ac:dyDescent="0.25">
      <c r="A5983" s="4"/>
      <c r="B5983" s="5"/>
      <c r="C5983" s="5"/>
      <c r="D5983" s="5"/>
      <c r="E5983" s="5"/>
      <c r="F5983" s="5"/>
      <c r="G5983" s="5"/>
      <c r="H5983" s="5"/>
    </row>
    <row r="5984" spans="1:8" x14ac:dyDescent="0.25">
      <c r="A5984" s="4"/>
      <c r="B5984" s="5"/>
      <c r="C5984" s="5"/>
      <c r="D5984" s="5"/>
      <c r="E5984" s="5"/>
      <c r="F5984" s="5"/>
      <c r="G5984" s="5"/>
      <c r="H5984" s="5"/>
    </row>
    <row r="5985" spans="1:8" x14ac:dyDescent="0.25">
      <c r="A5985" s="4"/>
      <c r="B5985" s="5"/>
      <c r="C5985" s="5"/>
      <c r="D5985" s="5"/>
      <c r="E5985" s="5"/>
      <c r="F5985" s="5"/>
      <c r="G5985" s="5"/>
      <c r="H5985" s="5"/>
    </row>
    <row r="5986" spans="1:8" x14ac:dyDescent="0.25">
      <c r="A5986" s="4"/>
      <c r="B5986" s="5"/>
      <c r="C5986" s="5"/>
      <c r="D5986" s="5"/>
      <c r="E5986" s="5"/>
      <c r="F5986" s="5"/>
      <c r="G5986" s="5"/>
      <c r="H5986" s="5"/>
    </row>
    <row r="5987" spans="1:8" x14ac:dyDescent="0.25">
      <c r="A5987" s="4"/>
      <c r="B5987" s="5"/>
      <c r="C5987" s="5"/>
      <c r="D5987" s="5"/>
      <c r="E5987" s="5"/>
      <c r="F5987" s="5"/>
      <c r="G5987" s="5"/>
      <c r="H5987" s="5"/>
    </row>
    <row r="5988" spans="1:8" x14ac:dyDescent="0.25">
      <c r="A5988" s="4"/>
      <c r="B5988" s="5"/>
      <c r="C5988" s="5"/>
      <c r="D5988" s="5"/>
      <c r="E5988" s="5"/>
      <c r="F5988" s="5"/>
      <c r="G5988" s="5"/>
      <c r="H5988" s="5"/>
    </row>
    <row r="5989" spans="1:8" x14ac:dyDescent="0.25">
      <c r="A5989" s="4"/>
      <c r="B5989" s="5"/>
      <c r="C5989" s="5"/>
      <c r="D5989" s="5"/>
      <c r="E5989" s="5"/>
      <c r="F5989" s="5"/>
      <c r="G5989" s="5"/>
      <c r="H5989" s="5"/>
    </row>
    <row r="5990" spans="1:8" x14ac:dyDescent="0.25">
      <c r="A5990" s="4"/>
      <c r="B5990" s="5"/>
      <c r="C5990" s="5"/>
      <c r="D5990" s="5"/>
      <c r="E5990" s="5"/>
      <c r="F5990" s="5"/>
      <c r="G5990" s="5"/>
      <c r="H5990" s="5"/>
    </row>
    <row r="5991" spans="1:8" x14ac:dyDescent="0.25">
      <c r="A5991" s="4"/>
      <c r="B5991" s="5"/>
      <c r="C5991" s="5"/>
      <c r="D5991" s="5"/>
      <c r="E5991" s="5"/>
      <c r="F5991" s="5"/>
      <c r="G5991" s="5"/>
      <c r="H5991" s="5"/>
    </row>
    <row r="5992" spans="1:8" x14ac:dyDescent="0.25">
      <c r="A5992" s="4"/>
      <c r="B5992" s="5"/>
      <c r="C5992" s="5"/>
      <c r="D5992" s="5"/>
      <c r="E5992" s="5"/>
      <c r="F5992" s="5"/>
      <c r="G5992" s="5"/>
      <c r="H5992" s="5"/>
    </row>
    <row r="5993" spans="1:8" x14ac:dyDescent="0.25">
      <c r="A5993" s="4"/>
      <c r="B5993" s="5"/>
      <c r="C5993" s="5"/>
      <c r="D5993" s="5"/>
      <c r="E5993" s="5"/>
      <c r="F5993" s="5"/>
      <c r="G5993" s="5"/>
      <c r="H5993" s="5"/>
    </row>
    <row r="5994" spans="1:8" x14ac:dyDescent="0.25">
      <c r="A5994" s="4"/>
      <c r="B5994" s="5"/>
      <c r="C5994" s="5"/>
      <c r="D5994" s="5"/>
      <c r="E5994" s="5"/>
      <c r="F5994" s="5"/>
      <c r="G5994" s="5"/>
      <c r="H5994" s="5"/>
    </row>
    <row r="5995" spans="1:8" x14ac:dyDescent="0.25">
      <c r="A5995" s="4"/>
      <c r="B5995" s="5"/>
      <c r="C5995" s="5"/>
      <c r="D5995" s="5"/>
      <c r="E5995" s="5"/>
      <c r="F5995" s="5"/>
      <c r="G5995" s="5"/>
      <c r="H5995" s="5"/>
    </row>
    <row r="5996" spans="1:8" x14ac:dyDescent="0.25">
      <c r="A5996" s="4"/>
      <c r="B5996" s="5"/>
      <c r="C5996" s="5"/>
      <c r="D5996" s="5"/>
      <c r="E5996" s="5"/>
      <c r="F5996" s="5"/>
      <c r="G5996" s="5"/>
      <c r="H5996" s="5"/>
    </row>
    <row r="5997" spans="1:8" x14ac:dyDescent="0.25">
      <c r="A5997" s="4"/>
      <c r="B5997" s="5"/>
      <c r="C5997" s="5"/>
      <c r="D5997" s="5"/>
      <c r="E5997" s="5"/>
      <c r="F5997" s="5"/>
      <c r="G5997" s="5"/>
      <c r="H5997" s="5"/>
    </row>
    <row r="5998" spans="1:8" x14ac:dyDescent="0.25">
      <c r="A5998" s="4"/>
      <c r="B5998" s="5"/>
      <c r="C5998" s="5"/>
      <c r="D5998" s="5"/>
      <c r="E5998" s="5"/>
      <c r="F5998" s="5"/>
      <c r="G5998" s="5"/>
      <c r="H5998" s="5"/>
    </row>
    <row r="5999" spans="1:8" x14ac:dyDescent="0.25">
      <c r="A5999" s="4"/>
      <c r="B5999" s="5"/>
      <c r="C5999" s="5"/>
      <c r="D5999" s="5"/>
      <c r="E5999" s="5"/>
      <c r="F5999" s="5"/>
      <c r="G5999" s="5"/>
      <c r="H5999" s="5"/>
    </row>
    <row r="6000" spans="1:8" x14ac:dyDescent="0.25">
      <c r="A6000" s="4"/>
      <c r="B6000" s="5"/>
      <c r="C6000" s="5"/>
      <c r="D6000" s="5"/>
      <c r="E6000" s="5"/>
      <c r="F6000" s="5"/>
      <c r="G6000" s="5"/>
      <c r="H6000" s="5"/>
    </row>
    <row r="6001" spans="1:8" x14ac:dyDescent="0.25">
      <c r="A6001" s="4"/>
      <c r="B6001" s="5"/>
      <c r="C6001" s="5"/>
      <c r="D6001" s="5"/>
      <c r="E6001" s="5"/>
      <c r="F6001" s="5"/>
      <c r="G6001" s="5"/>
      <c r="H6001" s="5"/>
    </row>
    <row r="6002" spans="1:8" x14ac:dyDescent="0.25">
      <c r="A6002" s="4"/>
      <c r="B6002" s="5"/>
      <c r="C6002" s="5"/>
      <c r="D6002" s="5"/>
      <c r="E6002" s="5"/>
      <c r="F6002" s="5"/>
      <c r="G6002" s="5"/>
      <c r="H6002" s="5"/>
    </row>
    <row r="6003" spans="1:8" x14ac:dyDescent="0.25">
      <c r="A6003" s="4"/>
      <c r="B6003" s="5"/>
      <c r="C6003" s="5"/>
      <c r="D6003" s="5"/>
      <c r="E6003" s="5"/>
      <c r="F6003" s="5"/>
      <c r="G6003" s="5"/>
      <c r="H6003" s="5"/>
    </row>
    <row r="6004" spans="1:8" x14ac:dyDescent="0.25">
      <c r="A6004" s="4"/>
      <c r="B6004" s="5"/>
      <c r="C6004" s="5"/>
      <c r="D6004" s="5"/>
      <c r="E6004" s="5"/>
      <c r="F6004" s="5"/>
      <c r="G6004" s="5"/>
      <c r="H6004" s="5"/>
    </row>
    <row r="6005" spans="1:8" x14ac:dyDescent="0.25">
      <c r="A6005" s="4"/>
      <c r="B6005" s="5"/>
      <c r="C6005" s="5"/>
      <c r="D6005" s="5"/>
      <c r="E6005" s="5"/>
      <c r="F6005" s="5"/>
      <c r="G6005" s="5"/>
      <c r="H6005" s="5"/>
    </row>
    <row r="6006" spans="1:8" x14ac:dyDescent="0.25">
      <c r="A6006" s="4"/>
      <c r="B6006" s="5"/>
      <c r="C6006" s="5"/>
      <c r="D6006" s="5"/>
      <c r="E6006" s="5"/>
      <c r="F6006" s="5"/>
      <c r="G6006" s="5"/>
      <c r="H6006" s="5"/>
    </row>
    <row r="6007" spans="1:8" x14ac:dyDescent="0.25">
      <c r="A6007" s="4"/>
      <c r="B6007" s="5"/>
      <c r="C6007" s="5"/>
      <c r="D6007" s="5"/>
      <c r="E6007" s="5"/>
      <c r="F6007" s="5"/>
      <c r="G6007" s="5"/>
      <c r="H6007" s="5"/>
    </row>
    <row r="6008" spans="1:8" x14ac:dyDescent="0.25">
      <c r="A6008" s="4"/>
      <c r="B6008" s="5"/>
      <c r="C6008" s="5"/>
      <c r="D6008" s="5"/>
      <c r="E6008" s="5"/>
      <c r="F6008" s="5"/>
      <c r="G6008" s="5"/>
      <c r="H6008" s="5"/>
    </row>
    <row r="6009" spans="1:8" x14ac:dyDescent="0.25">
      <c r="A6009" s="4"/>
      <c r="B6009" s="5"/>
      <c r="C6009" s="5"/>
      <c r="D6009" s="5"/>
      <c r="E6009" s="5"/>
      <c r="F6009" s="5"/>
      <c r="G6009" s="5"/>
      <c r="H6009" s="5"/>
    </row>
    <row r="6010" spans="1:8" x14ac:dyDescent="0.25">
      <c r="A6010" s="4"/>
      <c r="B6010" s="5"/>
      <c r="C6010" s="5"/>
      <c r="D6010" s="5"/>
      <c r="E6010" s="5"/>
      <c r="F6010" s="5"/>
      <c r="G6010" s="5"/>
      <c r="H6010" s="5"/>
    </row>
    <row r="6011" spans="1:8" x14ac:dyDescent="0.25">
      <c r="A6011" s="4"/>
      <c r="B6011" s="5"/>
      <c r="C6011" s="5"/>
      <c r="D6011" s="5"/>
      <c r="E6011" s="5"/>
      <c r="F6011" s="5"/>
      <c r="G6011" s="5"/>
      <c r="H6011" s="5"/>
    </row>
    <row r="6012" spans="1:8" x14ac:dyDescent="0.25">
      <c r="A6012" s="4"/>
      <c r="B6012" s="5"/>
      <c r="C6012" s="5"/>
      <c r="D6012" s="5"/>
      <c r="E6012" s="5"/>
      <c r="F6012" s="5"/>
      <c r="G6012" s="5"/>
      <c r="H6012" s="5"/>
    </row>
    <row r="6013" spans="1:8" x14ac:dyDescent="0.25">
      <c r="A6013" s="4"/>
      <c r="B6013" s="5"/>
      <c r="C6013" s="5"/>
      <c r="D6013" s="5"/>
      <c r="E6013" s="5"/>
      <c r="F6013" s="5"/>
      <c r="G6013" s="5"/>
      <c r="H6013" s="5"/>
    </row>
    <row r="6014" spans="1:8" x14ac:dyDescent="0.25">
      <c r="A6014" s="4"/>
      <c r="B6014" s="5"/>
      <c r="C6014" s="5"/>
      <c r="D6014" s="5"/>
      <c r="E6014" s="5"/>
      <c r="F6014" s="5"/>
      <c r="G6014" s="5"/>
      <c r="H6014" s="5"/>
    </row>
    <row r="6015" spans="1:8" x14ac:dyDescent="0.25">
      <c r="A6015" s="4"/>
      <c r="B6015" s="5"/>
      <c r="C6015" s="5"/>
      <c r="D6015" s="5"/>
      <c r="E6015" s="5"/>
      <c r="F6015" s="5"/>
      <c r="G6015" s="5"/>
      <c r="H6015" s="5"/>
    </row>
    <row r="6016" spans="1:8" x14ac:dyDescent="0.25">
      <c r="A6016" s="4"/>
      <c r="B6016" s="5"/>
      <c r="C6016" s="5"/>
      <c r="D6016" s="5"/>
      <c r="E6016" s="5"/>
      <c r="F6016" s="5"/>
      <c r="G6016" s="5"/>
      <c r="H6016" s="5"/>
    </row>
    <row r="6017" spans="1:8" x14ac:dyDescent="0.25">
      <c r="A6017" s="4"/>
      <c r="B6017" s="5"/>
      <c r="C6017" s="5"/>
      <c r="D6017" s="5"/>
      <c r="E6017" s="5"/>
      <c r="F6017" s="5"/>
      <c r="G6017" s="5"/>
      <c r="H6017" s="5"/>
    </row>
    <row r="6018" spans="1:8" x14ac:dyDescent="0.25">
      <c r="A6018" s="4"/>
      <c r="B6018" s="5"/>
      <c r="C6018" s="5"/>
      <c r="D6018" s="5"/>
      <c r="E6018" s="5"/>
      <c r="F6018" s="5"/>
      <c r="G6018" s="5"/>
      <c r="H6018" s="5"/>
    </row>
    <row r="6019" spans="1:8" x14ac:dyDescent="0.25">
      <c r="A6019" s="4"/>
      <c r="B6019" s="5"/>
      <c r="C6019" s="5"/>
      <c r="D6019" s="5"/>
      <c r="E6019" s="5"/>
      <c r="F6019" s="5"/>
      <c r="G6019" s="5"/>
      <c r="H6019" s="5"/>
    </row>
    <row r="6020" spans="1:8" x14ac:dyDescent="0.25">
      <c r="A6020" s="4"/>
      <c r="B6020" s="5"/>
      <c r="C6020" s="5"/>
      <c r="D6020" s="5"/>
      <c r="E6020" s="5"/>
      <c r="F6020" s="5"/>
      <c r="G6020" s="5"/>
      <c r="H6020" s="5"/>
    </row>
    <row r="6021" spans="1:8" x14ac:dyDescent="0.25">
      <c r="A6021" s="4"/>
      <c r="B6021" s="5"/>
      <c r="C6021" s="5"/>
      <c r="D6021" s="5"/>
      <c r="E6021" s="5"/>
      <c r="F6021" s="5"/>
      <c r="G6021" s="5"/>
      <c r="H6021" s="5"/>
    </row>
    <row r="6022" spans="1:8" x14ac:dyDescent="0.25">
      <c r="A6022" s="4"/>
      <c r="B6022" s="5"/>
      <c r="C6022" s="5"/>
      <c r="D6022" s="5"/>
      <c r="E6022" s="5"/>
      <c r="F6022" s="5"/>
      <c r="G6022" s="5"/>
      <c r="H6022" s="5"/>
    </row>
    <row r="6023" spans="1:8" x14ac:dyDescent="0.25">
      <c r="A6023" s="4"/>
      <c r="B6023" s="5"/>
      <c r="C6023" s="5"/>
      <c r="D6023" s="5"/>
      <c r="E6023" s="5"/>
      <c r="F6023" s="5"/>
      <c r="G6023" s="5"/>
      <c r="H6023" s="5"/>
    </row>
    <row r="6024" spans="1:8" x14ac:dyDescent="0.25">
      <c r="A6024" s="4"/>
      <c r="B6024" s="5"/>
      <c r="C6024" s="5"/>
      <c r="D6024" s="5"/>
      <c r="E6024" s="5"/>
      <c r="F6024" s="5"/>
      <c r="G6024" s="5"/>
      <c r="H6024" s="5"/>
    </row>
    <row r="6025" spans="1:8" x14ac:dyDescent="0.25">
      <c r="A6025" s="4"/>
      <c r="B6025" s="5"/>
      <c r="C6025" s="5"/>
      <c r="D6025" s="5"/>
      <c r="E6025" s="5"/>
      <c r="F6025" s="5"/>
      <c r="G6025" s="5"/>
      <c r="H6025" s="5"/>
    </row>
    <row r="6026" spans="1:8" x14ac:dyDescent="0.25">
      <c r="A6026" s="4"/>
      <c r="B6026" s="5"/>
      <c r="C6026" s="5"/>
      <c r="D6026" s="5"/>
      <c r="E6026" s="5"/>
      <c r="F6026" s="5"/>
      <c r="G6026" s="5"/>
      <c r="H6026" s="5"/>
    </row>
    <row r="6027" spans="1:8" x14ac:dyDescent="0.25">
      <c r="A6027" s="4"/>
      <c r="B6027" s="5"/>
      <c r="C6027" s="5"/>
      <c r="D6027" s="5"/>
      <c r="E6027" s="5"/>
      <c r="F6027" s="5"/>
      <c r="G6027" s="5"/>
      <c r="H6027" s="5"/>
    </row>
    <row r="6028" spans="1:8" x14ac:dyDescent="0.25">
      <c r="A6028" s="4"/>
      <c r="B6028" s="5"/>
      <c r="C6028" s="5"/>
      <c r="D6028" s="5"/>
      <c r="E6028" s="5"/>
      <c r="F6028" s="5"/>
      <c r="G6028" s="5"/>
      <c r="H6028" s="5"/>
    </row>
    <row r="6029" spans="1:8" x14ac:dyDescent="0.25">
      <c r="A6029" s="4"/>
      <c r="B6029" s="5"/>
      <c r="C6029" s="5"/>
      <c r="D6029" s="5"/>
      <c r="E6029" s="5"/>
      <c r="F6029" s="5"/>
      <c r="G6029" s="5"/>
      <c r="H6029" s="5"/>
    </row>
    <row r="6030" spans="1:8" x14ac:dyDescent="0.25">
      <c r="A6030" s="4"/>
      <c r="B6030" s="5"/>
      <c r="C6030" s="5"/>
      <c r="D6030" s="5"/>
      <c r="E6030" s="5"/>
      <c r="F6030" s="5"/>
      <c r="G6030" s="5"/>
      <c r="H6030" s="5"/>
    </row>
    <row r="6031" spans="1:8" x14ac:dyDescent="0.25">
      <c r="A6031" s="4"/>
      <c r="B6031" s="5"/>
      <c r="C6031" s="5"/>
      <c r="D6031" s="5"/>
      <c r="E6031" s="5"/>
      <c r="F6031" s="5"/>
      <c r="G6031" s="5"/>
      <c r="H6031" s="5"/>
    </row>
    <row r="6032" spans="1:8" x14ac:dyDescent="0.25">
      <c r="A6032" s="4"/>
      <c r="B6032" s="5"/>
      <c r="C6032" s="5"/>
      <c r="D6032" s="5"/>
      <c r="E6032" s="5"/>
      <c r="F6032" s="5"/>
      <c r="G6032" s="5"/>
      <c r="H6032" s="5"/>
    </row>
    <row r="6033" spans="1:8" x14ac:dyDescent="0.25">
      <c r="A6033" s="4"/>
      <c r="B6033" s="5"/>
      <c r="C6033" s="5"/>
      <c r="D6033" s="5"/>
      <c r="E6033" s="5"/>
      <c r="F6033" s="5"/>
      <c r="G6033" s="5"/>
      <c r="H6033" s="5"/>
    </row>
    <row r="6034" spans="1:8" x14ac:dyDescent="0.25">
      <c r="A6034" s="4"/>
      <c r="B6034" s="5"/>
      <c r="C6034" s="5"/>
      <c r="D6034" s="5"/>
      <c r="E6034" s="5"/>
      <c r="F6034" s="5"/>
      <c r="G6034" s="5"/>
      <c r="H6034" s="5"/>
    </row>
    <row r="6035" spans="1:8" x14ac:dyDescent="0.25">
      <c r="A6035" s="4"/>
      <c r="B6035" s="5"/>
      <c r="C6035" s="5"/>
      <c r="D6035" s="5"/>
      <c r="E6035" s="5"/>
      <c r="F6035" s="5"/>
      <c r="G6035" s="5"/>
      <c r="H6035" s="5"/>
    </row>
    <row r="6036" spans="1:8" x14ac:dyDescent="0.25">
      <c r="A6036" s="4"/>
      <c r="B6036" s="5"/>
      <c r="C6036" s="5"/>
      <c r="D6036" s="5"/>
      <c r="E6036" s="5"/>
      <c r="F6036" s="5"/>
      <c r="G6036" s="5"/>
      <c r="H6036" s="5"/>
    </row>
    <row r="6037" spans="1:8" x14ac:dyDescent="0.25">
      <c r="A6037" s="4"/>
      <c r="B6037" s="5"/>
      <c r="C6037" s="5"/>
      <c r="D6037" s="5"/>
      <c r="E6037" s="5"/>
      <c r="F6037" s="5"/>
      <c r="G6037" s="5"/>
      <c r="H6037" s="5"/>
    </row>
    <row r="6038" spans="1:8" x14ac:dyDescent="0.25">
      <c r="A6038" s="4"/>
      <c r="B6038" s="5"/>
      <c r="C6038" s="5"/>
      <c r="D6038" s="5"/>
      <c r="E6038" s="5"/>
      <c r="F6038" s="5"/>
      <c r="G6038" s="5"/>
      <c r="H6038" s="5"/>
    </row>
    <row r="6039" spans="1:8" x14ac:dyDescent="0.25">
      <c r="A6039" s="4"/>
      <c r="B6039" s="5"/>
      <c r="C6039" s="5"/>
      <c r="D6039" s="5"/>
      <c r="E6039" s="5"/>
      <c r="F6039" s="5"/>
      <c r="G6039" s="5"/>
      <c r="H6039" s="5"/>
    </row>
    <row r="6040" spans="1:8" x14ac:dyDescent="0.25">
      <c r="A6040" s="4"/>
      <c r="B6040" s="5"/>
      <c r="C6040" s="5"/>
      <c r="D6040" s="5"/>
      <c r="E6040" s="5"/>
      <c r="F6040" s="5"/>
      <c r="G6040" s="5"/>
      <c r="H6040" s="5"/>
    </row>
    <row r="6041" spans="1:8" x14ac:dyDescent="0.25">
      <c r="A6041" s="4"/>
      <c r="B6041" s="5"/>
      <c r="C6041" s="5"/>
      <c r="D6041" s="5"/>
      <c r="E6041" s="5"/>
      <c r="F6041" s="5"/>
      <c r="G6041" s="5"/>
      <c r="H6041" s="5"/>
    </row>
    <row r="6042" spans="1:8" x14ac:dyDescent="0.25">
      <c r="A6042" s="4"/>
      <c r="B6042" s="5"/>
      <c r="C6042" s="5"/>
      <c r="D6042" s="5"/>
      <c r="E6042" s="5"/>
      <c r="F6042" s="5"/>
      <c r="G6042" s="5"/>
      <c r="H6042" s="5"/>
    </row>
    <row r="6043" spans="1:8" x14ac:dyDescent="0.25">
      <c r="A6043" s="4"/>
      <c r="B6043" s="5"/>
      <c r="C6043" s="5"/>
      <c r="D6043" s="5"/>
      <c r="E6043" s="5"/>
      <c r="F6043" s="5"/>
      <c r="G6043" s="5"/>
      <c r="H6043" s="5"/>
    </row>
    <row r="6044" spans="1:8" x14ac:dyDescent="0.25">
      <c r="A6044" s="4"/>
      <c r="B6044" s="5"/>
      <c r="C6044" s="5"/>
      <c r="D6044" s="5"/>
      <c r="E6044" s="5"/>
      <c r="F6044" s="5"/>
      <c r="G6044" s="5"/>
      <c r="H6044" s="5"/>
    </row>
    <row r="6045" spans="1:8" x14ac:dyDescent="0.25">
      <c r="A6045" s="4"/>
      <c r="B6045" s="5"/>
      <c r="C6045" s="5"/>
      <c r="D6045" s="5"/>
      <c r="E6045" s="5"/>
      <c r="F6045" s="5"/>
      <c r="G6045" s="5"/>
      <c r="H6045" s="5"/>
    </row>
    <row r="6046" spans="1:8" x14ac:dyDescent="0.25">
      <c r="A6046" s="4"/>
      <c r="B6046" s="5"/>
      <c r="C6046" s="5"/>
      <c r="D6046" s="5"/>
      <c r="E6046" s="5"/>
      <c r="F6046" s="5"/>
      <c r="G6046" s="5"/>
      <c r="H6046" s="5"/>
    </row>
    <row r="6047" spans="1:8" x14ac:dyDescent="0.25">
      <c r="A6047" s="4"/>
      <c r="B6047" s="5"/>
      <c r="C6047" s="5"/>
      <c r="D6047" s="5"/>
      <c r="E6047" s="5"/>
      <c r="F6047" s="5"/>
      <c r="G6047" s="5"/>
      <c r="H6047" s="5"/>
    </row>
    <row r="6048" spans="1:8" x14ac:dyDescent="0.25">
      <c r="A6048" s="4"/>
      <c r="B6048" s="5"/>
      <c r="C6048" s="5"/>
      <c r="D6048" s="5"/>
      <c r="E6048" s="5"/>
      <c r="F6048" s="5"/>
      <c r="G6048" s="5"/>
      <c r="H6048" s="5"/>
    </row>
    <row r="6049" spans="1:8" x14ac:dyDescent="0.25">
      <c r="A6049" s="4"/>
      <c r="B6049" s="5"/>
      <c r="C6049" s="5"/>
      <c r="D6049" s="5"/>
      <c r="E6049" s="5"/>
      <c r="F6049" s="5"/>
      <c r="G6049" s="5"/>
      <c r="H6049" s="5"/>
    </row>
    <row r="6050" spans="1:8" x14ac:dyDescent="0.25">
      <c r="A6050" s="4"/>
      <c r="B6050" s="5"/>
      <c r="C6050" s="5"/>
      <c r="D6050" s="5"/>
      <c r="E6050" s="5"/>
      <c r="F6050" s="5"/>
      <c r="G6050" s="5"/>
      <c r="H6050" s="5"/>
    </row>
    <row r="6051" spans="1:8" x14ac:dyDescent="0.25">
      <c r="A6051" s="4"/>
      <c r="B6051" s="5"/>
      <c r="C6051" s="5"/>
      <c r="D6051" s="5"/>
      <c r="E6051" s="5"/>
      <c r="F6051" s="5"/>
      <c r="G6051" s="5"/>
      <c r="H6051" s="5"/>
    </row>
    <row r="6052" spans="1:8" x14ac:dyDescent="0.25">
      <c r="A6052" s="4"/>
      <c r="B6052" s="5"/>
      <c r="C6052" s="5"/>
      <c r="D6052" s="5"/>
      <c r="E6052" s="5"/>
      <c r="F6052" s="5"/>
      <c r="G6052" s="5"/>
      <c r="H6052" s="5"/>
    </row>
    <row r="6053" spans="1:8" x14ac:dyDescent="0.25">
      <c r="A6053" s="4"/>
      <c r="B6053" s="5"/>
      <c r="C6053" s="5"/>
      <c r="D6053" s="5"/>
      <c r="E6053" s="5"/>
      <c r="F6053" s="5"/>
      <c r="G6053" s="5"/>
      <c r="H6053" s="5"/>
    </row>
    <row r="6054" spans="1:8" x14ac:dyDescent="0.25">
      <c r="A6054" s="4"/>
      <c r="B6054" s="5"/>
      <c r="C6054" s="5"/>
      <c r="D6054" s="5"/>
      <c r="E6054" s="5"/>
      <c r="F6054" s="5"/>
      <c r="G6054" s="5"/>
      <c r="H6054" s="5"/>
    </row>
    <row r="6055" spans="1:8" x14ac:dyDescent="0.25">
      <c r="A6055" s="4"/>
      <c r="B6055" s="5"/>
      <c r="C6055" s="5"/>
      <c r="D6055" s="5"/>
      <c r="E6055" s="5"/>
      <c r="F6055" s="5"/>
      <c r="G6055" s="5"/>
      <c r="H6055" s="5"/>
    </row>
    <row r="6056" spans="1:8" x14ac:dyDescent="0.25">
      <c r="A6056" s="4"/>
      <c r="B6056" s="5"/>
      <c r="C6056" s="5"/>
      <c r="D6056" s="5"/>
      <c r="E6056" s="5"/>
      <c r="F6056" s="5"/>
      <c r="G6056" s="5"/>
      <c r="H6056" s="5"/>
    </row>
    <row r="6057" spans="1:8" x14ac:dyDescent="0.25">
      <c r="A6057" s="4"/>
      <c r="B6057" s="5"/>
      <c r="C6057" s="5"/>
      <c r="D6057" s="5"/>
      <c r="E6057" s="5"/>
      <c r="F6057" s="5"/>
      <c r="G6057" s="5"/>
      <c r="H6057" s="5"/>
    </row>
    <row r="6058" spans="1:8" x14ac:dyDescent="0.25">
      <c r="A6058" s="4"/>
      <c r="B6058" s="5"/>
      <c r="C6058" s="5"/>
      <c r="D6058" s="5"/>
      <c r="E6058" s="5"/>
      <c r="F6058" s="5"/>
      <c r="G6058" s="5"/>
      <c r="H6058" s="5"/>
    </row>
    <row r="6059" spans="1:8" x14ac:dyDescent="0.25">
      <c r="A6059" s="4"/>
      <c r="B6059" s="5"/>
      <c r="C6059" s="5"/>
      <c r="D6059" s="5"/>
      <c r="E6059" s="5"/>
      <c r="F6059" s="5"/>
      <c r="G6059" s="5"/>
      <c r="H6059" s="5"/>
    </row>
    <row r="6060" spans="1:8" x14ac:dyDescent="0.25">
      <c r="A6060" s="4"/>
      <c r="B6060" s="5"/>
      <c r="C6060" s="5"/>
      <c r="D6060" s="5"/>
      <c r="E6060" s="5"/>
      <c r="F6060" s="5"/>
      <c r="G6060" s="5"/>
      <c r="H6060" s="5"/>
    </row>
    <row r="6061" spans="1:8" x14ac:dyDescent="0.25">
      <c r="A6061" s="4"/>
      <c r="B6061" s="5"/>
      <c r="C6061" s="5"/>
      <c r="D6061" s="5"/>
      <c r="E6061" s="5"/>
      <c r="F6061" s="5"/>
      <c r="G6061" s="5"/>
      <c r="H6061" s="5"/>
    </row>
    <row r="6062" spans="1:8" x14ac:dyDescent="0.25">
      <c r="A6062" s="4"/>
      <c r="B6062" s="5"/>
      <c r="C6062" s="5"/>
      <c r="D6062" s="5"/>
      <c r="E6062" s="5"/>
      <c r="F6062" s="5"/>
      <c r="G6062" s="5"/>
      <c r="H6062" s="5"/>
    </row>
    <row r="6063" spans="1:8" x14ac:dyDescent="0.25">
      <c r="A6063" s="4"/>
      <c r="B6063" s="5"/>
      <c r="C6063" s="5"/>
      <c r="D6063" s="5"/>
      <c r="E6063" s="5"/>
      <c r="F6063" s="5"/>
      <c r="G6063" s="5"/>
      <c r="H6063" s="5"/>
    </row>
    <row r="6064" spans="1:8" x14ac:dyDescent="0.25">
      <c r="A6064" s="4"/>
      <c r="B6064" s="5"/>
      <c r="C6064" s="5"/>
      <c r="D6064" s="5"/>
      <c r="E6064" s="5"/>
      <c r="F6064" s="5"/>
      <c r="G6064" s="5"/>
      <c r="H6064" s="5"/>
    </row>
    <row r="6065" spans="1:8" x14ac:dyDescent="0.25">
      <c r="A6065" s="4"/>
      <c r="B6065" s="5"/>
      <c r="C6065" s="5"/>
      <c r="D6065" s="5"/>
      <c r="E6065" s="5"/>
      <c r="F6065" s="5"/>
      <c r="G6065" s="5"/>
      <c r="H6065" s="5"/>
    </row>
    <row r="6066" spans="1:8" x14ac:dyDescent="0.25">
      <c r="A6066" s="4"/>
      <c r="B6066" s="5"/>
      <c r="C6066" s="5"/>
      <c r="D6066" s="5"/>
      <c r="E6066" s="5"/>
      <c r="F6066" s="5"/>
      <c r="G6066" s="5"/>
      <c r="H6066" s="5"/>
    </row>
    <row r="6067" spans="1:8" x14ac:dyDescent="0.25">
      <c r="A6067" s="4"/>
      <c r="B6067" s="5"/>
      <c r="C6067" s="5"/>
      <c r="D6067" s="5"/>
      <c r="E6067" s="5"/>
      <c r="F6067" s="5"/>
      <c r="G6067" s="5"/>
      <c r="H6067" s="5"/>
    </row>
    <row r="6068" spans="1:8" x14ac:dyDescent="0.25">
      <c r="A6068" s="4"/>
      <c r="B6068" s="5"/>
      <c r="C6068" s="5"/>
      <c r="D6068" s="5"/>
      <c r="E6068" s="5"/>
      <c r="F6068" s="5"/>
      <c r="G6068" s="5"/>
      <c r="H6068" s="5"/>
    </row>
    <row r="6069" spans="1:8" x14ac:dyDescent="0.25">
      <c r="A6069" s="4"/>
      <c r="B6069" s="5"/>
      <c r="C6069" s="5"/>
      <c r="D6069" s="5"/>
      <c r="E6069" s="5"/>
      <c r="F6069" s="5"/>
      <c r="G6069" s="5"/>
      <c r="H6069" s="5"/>
    </row>
    <row r="6070" spans="1:8" x14ac:dyDescent="0.25">
      <c r="A6070" s="4"/>
      <c r="B6070" s="5"/>
      <c r="C6070" s="5"/>
      <c r="D6070" s="5"/>
      <c r="E6070" s="5"/>
      <c r="F6070" s="5"/>
      <c r="G6070" s="5"/>
      <c r="H6070" s="5"/>
    </row>
    <row r="6071" spans="1:8" x14ac:dyDescent="0.25">
      <c r="A6071" s="4"/>
      <c r="B6071" s="5"/>
      <c r="C6071" s="5"/>
      <c r="D6071" s="5"/>
      <c r="E6071" s="5"/>
      <c r="F6071" s="5"/>
      <c r="G6071" s="5"/>
      <c r="H6071" s="5"/>
    </row>
    <row r="6072" spans="1:8" x14ac:dyDescent="0.25">
      <c r="A6072" s="4"/>
      <c r="B6072" s="5"/>
      <c r="C6072" s="5"/>
      <c r="D6072" s="5"/>
      <c r="E6072" s="5"/>
      <c r="F6072" s="5"/>
      <c r="G6072" s="5"/>
      <c r="H6072" s="5"/>
    </row>
    <row r="6073" spans="1:8" x14ac:dyDescent="0.25">
      <c r="A6073" s="4"/>
      <c r="B6073" s="5"/>
      <c r="C6073" s="5"/>
      <c r="D6073" s="5"/>
      <c r="E6073" s="5"/>
      <c r="F6073" s="5"/>
      <c r="G6073" s="5"/>
      <c r="H6073" s="5"/>
    </row>
    <row r="6074" spans="1:8" x14ac:dyDescent="0.25">
      <c r="A6074" s="4"/>
      <c r="B6074" s="5"/>
      <c r="C6074" s="5"/>
      <c r="D6074" s="5"/>
      <c r="E6074" s="5"/>
      <c r="F6074" s="5"/>
      <c r="G6074" s="5"/>
      <c r="H6074" s="5"/>
    </row>
    <row r="6075" spans="1:8" x14ac:dyDescent="0.25">
      <c r="A6075" s="4"/>
      <c r="B6075" s="5"/>
      <c r="C6075" s="5"/>
      <c r="D6075" s="5"/>
      <c r="E6075" s="5"/>
      <c r="F6075" s="5"/>
      <c r="G6075" s="5"/>
      <c r="H6075" s="5"/>
    </row>
    <row r="6076" spans="1:8" x14ac:dyDescent="0.25">
      <c r="A6076" s="4"/>
      <c r="B6076" s="5"/>
      <c r="C6076" s="5"/>
      <c r="D6076" s="5"/>
      <c r="E6076" s="5"/>
      <c r="F6076" s="5"/>
      <c r="G6076" s="5"/>
      <c r="H6076" s="5"/>
    </row>
    <row r="6077" spans="1:8" x14ac:dyDescent="0.25">
      <c r="A6077" s="4"/>
      <c r="B6077" s="5"/>
      <c r="C6077" s="5"/>
      <c r="D6077" s="5"/>
      <c r="E6077" s="5"/>
      <c r="F6077" s="5"/>
      <c r="G6077" s="5"/>
      <c r="H6077" s="5"/>
    </row>
    <row r="6078" spans="1:8" x14ac:dyDescent="0.25">
      <c r="A6078" s="4"/>
      <c r="B6078" s="5"/>
      <c r="C6078" s="5"/>
      <c r="D6078" s="5"/>
      <c r="E6078" s="5"/>
      <c r="F6078" s="5"/>
      <c r="G6078" s="5"/>
      <c r="H6078" s="5"/>
    </row>
    <row r="6079" spans="1:8" x14ac:dyDescent="0.25">
      <c r="A6079" s="4"/>
      <c r="B6079" s="5"/>
      <c r="C6079" s="5"/>
      <c r="D6079" s="5"/>
      <c r="E6079" s="5"/>
      <c r="F6079" s="5"/>
      <c r="G6079" s="5"/>
      <c r="H6079" s="5"/>
    </row>
    <row r="6080" spans="1:8" x14ac:dyDescent="0.25">
      <c r="A6080" s="4"/>
      <c r="B6080" s="5"/>
      <c r="C6080" s="5"/>
      <c r="D6080" s="5"/>
      <c r="E6080" s="5"/>
      <c r="F6080" s="5"/>
      <c r="G6080" s="5"/>
      <c r="H6080" s="5"/>
    </row>
    <row r="6081" spans="1:8" x14ac:dyDescent="0.25">
      <c r="A6081" s="4"/>
      <c r="B6081" s="5"/>
      <c r="C6081" s="5"/>
      <c r="D6081" s="5"/>
      <c r="E6081" s="5"/>
      <c r="F6081" s="5"/>
      <c r="G6081" s="5"/>
      <c r="H6081" s="5"/>
    </row>
    <row r="6082" spans="1:8" x14ac:dyDescent="0.25">
      <c r="A6082" s="4"/>
      <c r="B6082" s="5"/>
      <c r="C6082" s="5"/>
      <c r="D6082" s="5"/>
      <c r="E6082" s="5"/>
      <c r="F6082" s="5"/>
      <c r="G6082" s="5"/>
      <c r="H6082" s="5"/>
    </row>
    <row r="6083" spans="1:8" x14ac:dyDescent="0.25">
      <c r="A6083" s="4"/>
      <c r="B6083" s="5"/>
      <c r="C6083" s="5"/>
      <c r="D6083" s="5"/>
      <c r="E6083" s="5"/>
      <c r="F6083" s="5"/>
      <c r="G6083" s="5"/>
      <c r="H6083" s="5"/>
    </row>
    <row r="6084" spans="1:8" x14ac:dyDescent="0.25">
      <c r="A6084" s="4"/>
      <c r="B6084" s="5"/>
      <c r="C6084" s="5"/>
      <c r="D6084" s="5"/>
      <c r="E6084" s="5"/>
      <c r="F6084" s="5"/>
      <c r="G6084" s="5"/>
      <c r="H6084" s="5"/>
    </row>
    <row r="6085" spans="1:8" x14ac:dyDescent="0.25">
      <c r="A6085" s="4"/>
      <c r="B6085" s="5"/>
      <c r="C6085" s="5"/>
      <c r="D6085" s="5"/>
      <c r="E6085" s="5"/>
      <c r="F6085" s="5"/>
      <c r="G6085" s="5"/>
      <c r="H6085" s="5"/>
    </row>
    <row r="6086" spans="1:8" x14ac:dyDescent="0.25">
      <c r="A6086" s="4"/>
      <c r="B6086" s="5"/>
      <c r="C6086" s="5"/>
      <c r="D6086" s="5"/>
      <c r="E6086" s="5"/>
      <c r="F6086" s="5"/>
      <c r="G6086" s="5"/>
      <c r="H6086" s="5"/>
    </row>
    <row r="6087" spans="1:8" x14ac:dyDescent="0.25">
      <c r="A6087" s="4"/>
      <c r="B6087" s="5"/>
      <c r="C6087" s="5"/>
      <c r="D6087" s="5"/>
      <c r="E6087" s="5"/>
      <c r="F6087" s="5"/>
      <c r="G6087" s="5"/>
      <c r="H6087" s="5"/>
    </row>
    <row r="6088" spans="1:8" x14ac:dyDescent="0.25">
      <c r="A6088" s="4"/>
      <c r="B6088" s="5"/>
      <c r="C6088" s="5"/>
      <c r="D6088" s="5"/>
      <c r="E6088" s="5"/>
      <c r="F6088" s="5"/>
      <c r="G6088" s="5"/>
      <c r="H6088" s="5"/>
    </row>
    <row r="6089" spans="1:8" x14ac:dyDescent="0.25">
      <c r="A6089" s="4"/>
      <c r="B6089" s="5"/>
      <c r="C6089" s="5"/>
      <c r="D6089" s="5"/>
      <c r="E6089" s="5"/>
      <c r="F6089" s="5"/>
      <c r="G6089" s="5"/>
      <c r="H6089" s="5"/>
    </row>
    <row r="6090" spans="1:8" x14ac:dyDescent="0.25">
      <c r="A6090" s="4"/>
      <c r="B6090" s="5"/>
      <c r="C6090" s="5"/>
      <c r="D6090" s="5"/>
      <c r="E6090" s="5"/>
      <c r="F6090" s="5"/>
      <c r="G6090" s="5"/>
      <c r="H6090" s="5"/>
    </row>
    <row r="6091" spans="1:8" x14ac:dyDescent="0.25">
      <c r="A6091" s="4"/>
      <c r="B6091" s="5"/>
      <c r="C6091" s="5"/>
      <c r="D6091" s="5"/>
      <c r="E6091" s="5"/>
      <c r="F6091" s="5"/>
      <c r="G6091" s="5"/>
      <c r="H6091" s="5"/>
    </row>
    <row r="6092" spans="1:8" x14ac:dyDescent="0.25">
      <c r="A6092" s="4"/>
      <c r="B6092" s="5"/>
      <c r="C6092" s="5"/>
      <c r="D6092" s="5"/>
      <c r="E6092" s="5"/>
      <c r="F6092" s="5"/>
      <c r="G6092" s="5"/>
      <c r="H6092" s="5"/>
    </row>
    <row r="6093" spans="1:8" x14ac:dyDescent="0.25">
      <c r="A6093" s="4"/>
      <c r="B6093" s="5"/>
      <c r="C6093" s="5"/>
      <c r="D6093" s="5"/>
      <c r="E6093" s="5"/>
      <c r="F6093" s="5"/>
      <c r="G6093" s="5"/>
      <c r="H6093" s="5"/>
    </row>
    <row r="6094" spans="1:8" x14ac:dyDescent="0.25">
      <c r="A6094" s="4"/>
      <c r="B6094" s="5"/>
      <c r="C6094" s="5"/>
      <c r="D6094" s="5"/>
      <c r="E6094" s="5"/>
      <c r="F6094" s="5"/>
      <c r="G6094" s="5"/>
      <c r="H6094" s="5"/>
    </row>
    <row r="6095" spans="1:8" x14ac:dyDescent="0.25">
      <c r="A6095" s="4"/>
      <c r="B6095" s="5"/>
      <c r="C6095" s="5"/>
      <c r="D6095" s="5"/>
      <c r="E6095" s="5"/>
      <c r="F6095" s="5"/>
      <c r="G6095" s="5"/>
      <c r="H6095" s="5"/>
    </row>
    <row r="6096" spans="1:8" x14ac:dyDescent="0.25">
      <c r="A6096" s="4"/>
      <c r="B6096" s="5"/>
      <c r="C6096" s="5"/>
      <c r="D6096" s="5"/>
      <c r="E6096" s="5"/>
      <c r="F6096" s="5"/>
      <c r="G6096" s="5"/>
      <c r="H6096" s="5"/>
    </row>
    <row r="6097" spans="1:8" x14ac:dyDescent="0.25">
      <c r="A6097" s="4"/>
      <c r="B6097" s="5"/>
      <c r="C6097" s="5"/>
      <c r="D6097" s="5"/>
      <c r="E6097" s="5"/>
      <c r="F6097" s="5"/>
      <c r="G6097" s="5"/>
      <c r="H6097" s="5"/>
    </row>
    <row r="6098" spans="1:8" x14ac:dyDescent="0.25">
      <c r="A6098" s="4"/>
      <c r="B6098" s="5"/>
      <c r="C6098" s="5"/>
      <c r="D6098" s="5"/>
      <c r="E6098" s="5"/>
      <c r="F6098" s="5"/>
      <c r="G6098" s="5"/>
      <c r="H6098" s="5"/>
    </row>
    <row r="6099" spans="1:8" x14ac:dyDescent="0.25">
      <c r="A6099" s="4"/>
      <c r="B6099" s="5"/>
      <c r="C6099" s="5"/>
      <c r="D6099" s="5"/>
      <c r="E6099" s="5"/>
      <c r="F6099" s="5"/>
      <c r="G6099" s="5"/>
      <c r="H6099" s="5"/>
    </row>
    <row r="6100" spans="1:8" x14ac:dyDescent="0.25">
      <c r="A6100" s="4"/>
      <c r="B6100" s="5"/>
      <c r="C6100" s="5"/>
      <c r="D6100" s="5"/>
      <c r="E6100" s="5"/>
      <c r="F6100" s="5"/>
      <c r="G6100" s="5"/>
      <c r="H6100" s="5"/>
    </row>
    <row r="6101" spans="1:8" x14ac:dyDescent="0.25">
      <c r="A6101" s="4"/>
      <c r="B6101" s="5"/>
      <c r="C6101" s="5"/>
      <c r="D6101" s="5"/>
      <c r="E6101" s="5"/>
      <c r="F6101" s="5"/>
      <c r="G6101" s="5"/>
      <c r="H6101" s="5"/>
    </row>
    <row r="6102" spans="1:8" x14ac:dyDescent="0.25">
      <c r="A6102" s="4"/>
      <c r="B6102" s="5"/>
      <c r="C6102" s="5"/>
      <c r="D6102" s="5"/>
      <c r="E6102" s="5"/>
      <c r="F6102" s="5"/>
      <c r="G6102" s="5"/>
      <c r="H6102" s="5"/>
    </row>
    <row r="6103" spans="1:8" x14ac:dyDescent="0.25">
      <c r="A6103" s="4"/>
      <c r="B6103" s="5"/>
      <c r="C6103" s="5"/>
      <c r="D6103" s="5"/>
      <c r="E6103" s="5"/>
      <c r="F6103" s="5"/>
      <c r="G6103" s="5"/>
      <c r="H6103" s="5"/>
    </row>
    <row r="6104" spans="1:8" x14ac:dyDescent="0.25">
      <c r="A6104" s="4"/>
      <c r="B6104" s="5"/>
      <c r="C6104" s="5"/>
      <c r="D6104" s="5"/>
      <c r="E6104" s="5"/>
      <c r="F6104" s="5"/>
      <c r="G6104" s="5"/>
      <c r="H6104" s="5"/>
    </row>
    <row r="6105" spans="1:8" x14ac:dyDescent="0.25">
      <c r="A6105" s="4"/>
      <c r="B6105" s="5"/>
      <c r="C6105" s="5"/>
      <c r="D6105" s="5"/>
      <c r="E6105" s="5"/>
      <c r="F6105" s="5"/>
      <c r="G6105" s="5"/>
      <c r="H6105" s="5"/>
    </row>
    <row r="6106" spans="1:8" x14ac:dyDescent="0.25">
      <c r="A6106" s="4"/>
      <c r="B6106" s="5"/>
      <c r="C6106" s="5"/>
      <c r="D6106" s="5"/>
      <c r="E6106" s="5"/>
      <c r="F6106" s="5"/>
      <c r="G6106" s="5"/>
      <c r="H6106" s="5"/>
    </row>
    <row r="6107" spans="1:8" x14ac:dyDescent="0.25">
      <c r="A6107" s="4"/>
      <c r="B6107" s="5"/>
      <c r="C6107" s="5"/>
      <c r="D6107" s="5"/>
      <c r="E6107" s="5"/>
      <c r="F6107" s="5"/>
      <c r="G6107" s="5"/>
      <c r="H6107" s="5"/>
    </row>
    <row r="6108" spans="1:8" x14ac:dyDescent="0.25">
      <c r="A6108" s="4"/>
      <c r="B6108" s="5"/>
      <c r="C6108" s="5"/>
      <c r="D6108" s="5"/>
      <c r="E6108" s="5"/>
      <c r="F6108" s="5"/>
      <c r="G6108" s="5"/>
      <c r="H6108" s="5"/>
    </row>
    <row r="6109" spans="1:8" x14ac:dyDescent="0.25">
      <c r="A6109" s="4"/>
      <c r="B6109" s="5"/>
      <c r="C6109" s="5"/>
      <c r="D6109" s="5"/>
      <c r="E6109" s="5"/>
      <c r="F6109" s="5"/>
      <c r="G6109" s="5"/>
      <c r="H6109" s="5"/>
    </row>
    <row r="6110" spans="1:8" x14ac:dyDescent="0.25">
      <c r="A6110" s="4"/>
      <c r="B6110" s="5"/>
      <c r="C6110" s="5"/>
      <c r="D6110" s="5"/>
      <c r="E6110" s="5"/>
      <c r="F6110" s="5"/>
      <c r="G6110" s="5"/>
      <c r="H6110" s="5"/>
    </row>
    <row r="6111" spans="1:8" x14ac:dyDescent="0.25">
      <c r="A6111" s="4"/>
      <c r="B6111" s="5"/>
      <c r="C6111" s="5"/>
      <c r="D6111" s="5"/>
      <c r="E6111" s="5"/>
      <c r="F6111" s="5"/>
      <c r="G6111" s="5"/>
      <c r="H6111" s="5"/>
    </row>
    <row r="6112" spans="1:8" x14ac:dyDescent="0.25">
      <c r="A6112" s="4"/>
      <c r="B6112" s="5"/>
      <c r="C6112" s="5"/>
      <c r="D6112" s="5"/>
      <c r="E6112" s="5"/>
      <c r="F6112" s="5"/>
      <c r="G6112" s="5"/>
      <c r="H6112" s="5"/>
    </row>
    <row r="6113" spans="1:8" x14ac:dyDescent="0.25">
      <c r="A6113" s="4"/>
      <c r="B6113" s="5"/>
      <c r="C6113" s="5"/>
      <c r="D6113" s="5"/>
      <c r="E6113" s="5"/>
      <c r="F6113" s="5"/>
      <c r="G6113" s="5"/>
      <c r="H6113" s="5"/>
    </row>
    <row r="6114" spans="1:8" x14ac:dyDescent="0.25">
      <c r="A6114" s="4"/>
      <c r="B6114" s="5"/>
      <c r="C6114" s="5"/>
      <c r="D6114" s="5"/>
      <c r="E6114" s="5"/>
      <c r="F6114" s="5"/>
      <c r="G6114" s="5"/>
      <c r="H6114" s="5"/>
    </row>
    <row r="6115" spans="1:8" x14ac:dyDescent="0.25">
      <c r="A6115" s="4"/>
      <c r="B6115" s="5"/>
      <c r="C6115" s="5"/>
      <c r="D6115" s="5"/>
      <c r="E6115" s="5"/>
      <c r="F6115" s="5"/>
      <c r="G6115" s="5"/>
      <c r="H6115" s="5"/>
    </row>
    <row r="6116" spans="1:8" x14ac:dyDescent="0.25">
      <c r="A6116" s="4"/>
      <c r="B6116" s="5"/>
      <c r="C6116" s="5"/>
      <c r="D6116" s="5"/>
      <c r="E6116" s="5"/>
      <c r="F6116" s="5"/>
      <c r="G6116" s="5"/>
      <c r="H6116" s="5"/>
    </row>
    <row r="6117" spans="1:8" x14ac:dyDescent="0.25">
      <c r="A6117" s="4"/>
      <c r="B6117" s="5"/>
      <c r="C6117" s="5"/>
      <c r="D6117" s="5"/>
      <c r="E6117" s="5"/>
      <c r="F6117" s="5"/>
      <c r="G6117" s="5"/>
      <c r="H6117" s="5"/>
    </row>
    <row r="6118" spans="1:8" x14ac:dyDescent="0.25">
      <c r="A6118" s="4"/>
      <c r="B6118" s="5"/>
      <c r="C6118" s="5"/>
      <c r="D6118" s="5"/>
      <c r="E6118" s="5"/>
      <c r="F6118" s="5"/>
      <c r="G6118" s="5"/>
      <c r="H6118" s="5"/>
    </row>
    <row r="6119" spans="1:8" x14ac:dyDescent="0.25">
      <c r="A6119" s="4"/>
      <c r="B6119" s="5"/>
      <c r="C6119" s="5"/>
      <c r="D6119" s="5"/>
      <c r="E6119" s="5"/>
      <c r="F6119" s="5"/>
      <c r="G6119" s="5"/>
      <c r="H6119" s="5"/>
    </row>
    <row r="6120" spans="1:8" x14ac:dyDescent="0.25">
      <c r="A6120" s="4"/>
      <c r="B6120" s="5"/>
      <c r="C6120" s="5"/>
      <c r="D6120" s="5"/>
      <c r="E6120" s="5"/>
      <c r="F6120" s="5"/>
      <c r="G6120" s="5"/>
      <c r="H6120" s="5"/>
    </row>
    <row r="6121" spans="1:8" x14ac:dyDescent="0.25">
      <c r="A6121" s="4"/>
      <c r="B6121" s="5"/>
      <c r="C6121" s="5"/>
      <c r="D6121" s="5"/>
      <c r="E6121" s="5"/>
      <c r="F6121" s="5"/>
      <c r="G6121" s="5"/>
      <c r="H6121" s="5"/>
    </row>
    <row r="6122" spans="1:8" x14ac:dyDescent="0.25">
      <c r="A6122" s="4"/>
      <c r="B6122" s="5"/>
      <c r="C6122" s="5"/>
      <c r="D6122" s="5"/>
      <c r="E6122" s="5"/>
      <c r="F6122" s="5"/>
      <c r="G6122" s="5"/>
      <c r="H6122" s="5"/>
    </row>
    <row r="6123" spans="1:8" x14ac:dyDescent="0.25">
      <c r="A6123" s="4"/>
      <c r="B6123" s="5"/>
      <c r="C6123" s="5"/>
      <c r="D6123" s="5"/>
      <c r="E6123" s="5"/>
      <c r="F6123" s="5"/>
      <c r="G6123" s="5"/>
      <c r="H6123" s="5"/>
    </row>
    <row r="6124" spans="1:8" x14ac:dyDescent="0.25">
      <c r="A6124" s="4"/>
      <c r="B6124" s="5"/>
      <c r="C6124" s="5"/>
      <c r="D6124" s="5"/>
      <c r="E6124" s="5"/>
      <c r="F6124" s="5"/>
      <c r="G6124" s="5"/>
      <c r="H6124" s="5"/>
    </row>
    <row r="6125" spans="1:8" x14ac:dyDescent="0.25">
      <c r="A6125" s="4"/>
      <c r="B6125" s="5"/>
      <c r="C6125" s="5"/>
      <c r="D6125" s="5"/>
      <c r="E6125" s="5"/>
      <c r="F6125" s="5"/>
      <c r="G6125" s="5"/>
      <c r="H6125" s="5"/>
    </row>
    <row r="6126" spans="1:8" x14ac:dyDescent="0.25">
      <c r="A6126" s="4"/>
      <c r="B6126" s="5"/>
      <c r="C6126" s="5"/>
      <c r="D6126" s="5"/>
      <c r="E6126" s="5"/>
      <c r="F6126" s="5"/>
      <c r="G6126" s="5"/>
      <c r="H6126" s="5"/>
    </row>
    <row r="6127" spans="1:8" x14ac:dyDescent="0.25">
      <c r="A6127" s="4"/>
      <c r="B6127" s="5"/>
      <c r="C6127" s="5"/>
      <c r="D6127" s="5"/>
      <c r="E6127" s="5"/>
      <c r="F6127" s="5"/>
      <c r="G6127" s="5"/>
      <c r="H6127" s="5"/>
    </row>
    <row r="6128" spans="1:8" x14ac:dyDescent="0.25">
      <c r="A6128" s="4"/>
      <c r="B6128" s="5"/>
      <c r="C6128" s="5"/>
      <c r="D6128" s="5"/>
      <c r="E6128" s="5"/>
      <c r="F6128" s="5"/>
      <c r="G6128" s="5"/>
      <c r="H6128" s="5"/>
    </row>
    <row r="6129" spans="1:8" x14ac:dyDescent="0.25">
      <c r="A6129" s="4"/>
      <c r="B6129" s="5"/>
      <c r="C6129" s="5"/>
      <c r="D6129" s="5"/>
      <c r="E6129" s="5"/>
      <c r="F6129" s="5"/>
      <c r="G6129" s="5"/>
      <c r="H6129" s="5"/>
    </row>
    <row r="6130" spans="1:8" x14ac:dyDescent="0.25">
      <c r="A6130" s="4"/>
      <c r="B6130" s="5"/>
      <c r="C6130" s="5"/>
      <c r="D6130" s="5"/>
      <c r="E6130" s="5"/>
      <c r="F6130" s="5"/>
      <c r="G6130" s="5"/>
      <c r="H6130" s="5"/>
    </row>
    <row r="6131" spans="1:8" x14ac:dyDescent="0.25">
      <c r="A6131" s="4"/>
      <c r="B6131" s="5"/>
      <c r="C6131" s="5"/>
      <c r="D6131" s="5"/>
      <c r="E6131" s="5"/>
      <c r="F6131" s="5"/>
      <c r="G6131" s="5"/>
      <c r="H6131" s="5"/>
    </row>
    <row r="6132" spans="1:8" x14ac:dyDescent="0.25">
      <c r="A6132" s="4"/>
      <c r="B6132" s="5"/>
      <c r="C6132" s="5"/>
      <c r="D6132" s="5"/>
      <c r="E6132" s="5"/>
      <c r="F6132" s="5"/>
      <c r="G6132" s="5"/>
      <c r="H6132" s="5"/>
    </row>
    <row r="6133" spans="1:8" x14ac:dyDescent="0.25">
      <c r="A6133" s="4"/>
      <c r="B6133" s="5"/>
      <c r="C6133" s="5"/>
      <c r="D6133" s="5"/>
      <c r="E6133" s="5"/>
      <c r="F6133" s="5"/>
      <c r="G6133" s="5"/>
      <c r="H6133" s="5"/>
    </row>
    <row r="6134" spans="1:8" x14ac:dyDescent="0.25">
      <c r="A6134" s="4"/>
      <c r="B6134" s="5"/>
      <c r="C6134" s="5"/>
      <c r="D6134" s="5"/>
      <c r="E6134" s="5"/>
      <c r="F6134" s="5"/>
      <c r="G6134" s="5"/>
      <c r="H6134" s="5"/>
    </row>
    <row r="6135" spans="1:8" x14ac:dyDescent="0.25">
      <c r="A6135" s="4"/>
      <c r="B6135" s="5"/>
      <c r="C6135" s="5"/>
      <c r="D6135" s="5"/>
      <c r="E6135" s="5"/>
      <c r="F6135" s="5"/>
      <c r="G6135" s="5"/>
      <c r="H6135" s="5"/>
    </row>
    <row r="6136" spans="1:8" x14ac:dyDescent="0.25">
      <c r="A6136" s="4"/>
      <c r="B6136" s="5"/>
      <c r="C6136" s="5"/>
      <c r="D6136" s="5"/>
      <c r="E6136" s="5"/>
      <c r="F6136" s="5"/>
      <c r="G6136" s="5"/>
      <c r="H6136" s="5"/>
    </row>
    <row r="6137" spans="1:8" x14ac:dyDescent="0.25">
      <c r="A6137" s="4"/>
      <c r="B6137" s="5"/>
      <c r="C6137" s="5"/>
      <c r="D6137" s="5"/>
      <c r="E6137" s="5"/>
      <c r="F6137" s="5"/>
      <c r="G6137" s="5"/>
      <c r="H6137" s="5"/>
    </row>
    <row r="6138" spans="1:8" x14ac:dyDescent="0.25">
      <c r="A6138" s="4"/>
      <c r="B6138" s="5"/>
      <c r="C6138" s="5"/>
      <c r="D6138" s="5"/>
      <c r="E6138" s="5"/>
      <c r="F6138" s="5"/>
      <c r="G6138" s="5"/>
      <c r="H6138" s="5"/>
    </row>
    <row r="6139" spans="1:8" x14ac:dyDescent="0.25">
      <c r="A6139" s="4"/>
      <c r="B6139" s="5"/>
      <c r="C6139" s="5"/>
      <c r="D6139" s="5"/>
      <c r="E6139" s="5"/>
      <c r="F6139" s="5"/>
      <c r="G6139" s="5"/>
      <c r="H6139" s="5"/>
    </row>
    <row r="6140" spans="1:8" x14ac:dyDescent="0.25">
      <c r="A6140" s="4"/>
      <c r="B6140" s="5"/>
      <c r="C6140" s="5"/>
      <c r="D6140" s="5"/>
      <c r="E6140" s="5"/>
      <c r="F6140" s="5"/>
      <c r="G6140" s="5"/>
      <c r="H6140" s="5"/>
    </row>
    <row r="6141" spans="1:8" x14ac:dyDescent="0.25">
      <c r="A6141" s="4"/>
      <c r="B6141" s="5"/>
      <c r="C6141" s="5"/>
      <c r="D6141" s="5"/>
      <c r="E6141" s="5"/>
      <c r="F6141" s="5"/>
      <c r="G6141" s="5"/>
      <c r="H6141" s="5"/>
    </row>
    <row r="6142" spans="1:8" x14ac:dyDescent="0.25">
      <c r="A6142" s="4"/>
      <c r="B6142" s="5"/>
      <c r="C6142" s="5"/>
      <c r="D6142" s="5"/>
      <c r="E6142" s="5"/>
      <c r="F6142" s="5"/>
      <c r="G6142" s="5"/>
      <c r="H6142" s="5"/>
    </row>
    <row r="6143" spans="1:8" x14ac:dyDescent="0.25">
      <c r="A6143" s="4"/>
      <c r="B6143" s="5"/>
      <c r="C6143" s="5"/>
      <c r="D6143" s="5"/>
      <c r="E6143" s="5"/>
      <c r="F6143" s="5"/>
      <c r="G6143" s="5"/>
      <c r="H6143" s="5"/>
    </row>
    <row r="6144" spans="1:8" x14ac:dyDescent="0.25">
      <c r="A6144" s="4"/>
      <c r="B6144" s="5"/>
      <c r="C6144" s="5"/>
      <c r="D6144" s="5"/>
      <c r="E6144" s="5"/>
      <c r="F6144" s="5"/>
      <c r="G6144" s="5"/>
      <c r="H6144" s="5"/>
    </row>
    <row r="6145" spans="1:8" x14ac:dyDescent="0.25">
      <c r="A6145" s="4"/>
      <c r="B6145" s="5"/>
      <c r="C6145" s="5"/>
      <c r="D6145" s="5"/>
      <c r="E6145" s="5"/>
      <c r="F6145" s="5"/>
      <c r="G6145" s="5"/>
      <c r="H6145" s="5"/>
    </row>
    <row r="6146" spans="1:8" x14ac:dyDescent="0.25">
      <c r="A6146" s="4"/>
      <c r="B6146" s="5"/>
      <c r="C6146" s="5"/>
      <c r="D6146" s="5"/>
      <c r="E6146" s="5"/>
      <c r="F6146" s="5"/>
      <c r="G6146" s="5"/>
      <c r="H6146" s="5"/>
    </row>
    <row r="6147" spans="1:8" x14ac:dyDescent="0.25">
      <c r="A6147" s="4"/>
      <c r="B6147" s="5"/>
      <c r="C6147" s="5"/>
      <c r="D6147" s="5"/>
      <c r="E6147" s="5"/>
      <c r="F6147" s="5"/>
      <c r="G6147" s="5"/>
      <c r="H6147" s="5"/>
    </row>
    <row r="6148" spans="1:8" x14ac:dyDescent="0.25">
      <c r="A6148" s="4"/>
      <c r="B6148" s="5"/>
      <c r="C6148" s="5"/>
      <c r="D6148" s="5"/>
      <c r="E6148" s="5"/>
      <c r="F6148" s="5"/>
      <c r="G6148" s="5"/>
      <c r="H6148" s="5"/>
    </row>
    <row r="6149" spans="1:8" x14ac:dyDescent="0.25">
      <c r="A6149" s="4"/>
      <c r="B6149" s="5"/>
      <c r="C6149" s="5"/>
      <c r="D6149" s="5"/>
      <c r="E6149" s="5"/>
      <c r="F6149" s="5"/>
      <c r="G6149" s="5"/>
      <c r="H6149" s="5"/>
    </row>
    <row r="6150" spans="1:8" x14ac:dyDescent="0.25">
      <c r="A6150" s="4"/>
      <c r="B6150" s="5"/>
      <c r="C6150" s="5"/>
      <c r="D6150" s="5"/>
      <c r="E6150" s="5"/>
      <c r="F6150" s="5"/>
      <c r="G6150" s="5"/>
      <c r="H6150" s="5"/>
    </row>
    <row r="6151" spans="1:8" x14ac:dyDescent="0.25">
      <c r="A6151" s="4"/>
      <c r="B6151" s="5"/>
      <c r="C6151" s="5"/>
      <c r="D6151" s="5"/>
      <c r="E6151" s="5"/>
      <c r="F6151" s="5"/>
      <c r="G6151" s="5"/>
      <c r="H6151" s="5"/>
    </row>
    <row r="6152" spans="1:8" x14ac:dyDescent="0.25">
      <c r="A6152" s="4"/>
      <c r="B6152" s="5"/>
      <c r="C6152" s="5"/>
      <c r="D6152" s="5"/>
      <c r="E6152" s="5"/>
      <c r="F6152" s="5"/>
      <c r="G6152" s="5"/>
      <c r="H6152" s="5"/>
    </row>
    <row r="6153" spans="1:8" x14ac:dyDescent="0.25">
      <c r="A6153" s="4"/>
      <c r="B6153" s="5"/>
      <c r="C6153" s="5"/>
      <c r="D6153" s="5"/>
      <c r="E6153" s="5"/>
      <c r="F6153" s="5"/>
      <c r="G6153" s="5"/>
      <c r="H6153" s="5"/>
    </row>
    <row r="6154" spans="1:8" x14ac:dyDescent="0.25">
      <c r="A6154" s="4"/>
      <c r="B6154" s="5"/>
      <c r="C6154" s="5"/>
      <c r="D6154" s="5"/>
      <c r="E6154" s="5"/>
      <c r="F6154" s="5"/>
      <c r="G6154" s="5"/>
      <c r="H6154" s="5"/>
    </row>
    <row r="6155" spans="1:8" x14ac:dyDescent="0.25">
      <c r="A6155" s="4"/>
      <c r="B6155" s="5"/>
      <c r="C6155" s="5"/>
      <c r="D6155" s="5"/>
      <c r="E6155" s="5"/>
      <c r="F6155" s="5"/>
      <c r="G6155" s="5"/>
      <c r="H6155" s="5"/>
    </row>
    <row r="6156" spans="1:8" x14ac:dyDescent="0.25">
      <c r="A6156" s="4"/>
      <c r="B6156" s="5"/>
      <c r="C6156" s="5"/>
      <c r="D6156" s="5"/>
      <c r="E6156" s="5"/>
      <c r="F6156" s="5"/>
      <c r="G6156" s="5"/>
      <c r="H6156" s="5"/>
    </row>
    <row r="6157" spans="1:8" x14ac:dyDescent="0.25">
      <c r="A6157" s="4"/>
      <c r="B6157" s="5"/>
      <c r="C6157" s="5"/>
      <c r="D6157" s="5"/>
      <c r="E6157" s="5"/>
      <c r="F6157" s="5"/>
      <c r="G6157" s="5"/>
      <c r="H6157" s="5"/>
    </row>
    <row r="6158" spans="1:8" x14ac:dyDescent="0.25">
      <c r="A6158" s="4"/>
      <c r="B6158" s="5"/>
      <c r="C6158" s="5"/>
      <c r="D6158" s="5"/>
      <c r="E6158" s="5"/>
      <c r="F6158" s="5"/>
      <c r="G6158" s="5"/>
      <c r="H6158" s="5"/>
    </row>
    <row r="6159" spans="1:8" x14ac:dyDescent="0.25">
      <c r="A6159" s="4"/>
      <c r="B6159" s="5"/>
      <c r="C6159" s="5"/>
      <c r="D6159" s="5"/>
      <c r="E6159" s="5"/>
      <c r="F6159" s="5"/>
      <c r="G6159" s="5"/>
      <c r="H6159" s="5"/>
    </row>
    <row r="6160" spans="1:8" x14ac:dyDescent="0.25">
      <c r="A6160" s="4"/>
      <c r="B6160" s="5"/>
      <c r="C6160" s="5"/>
      <c r="D6160" s="5"/>
      <c r="E6160" s="5"/>
      <c r="F6160" s="5"/>
      <c r="G6160" s="5"/>
      <c r="H6160" s="5"/>
    </row>
    <row r="6161" spans="1:8" x14ac:dyDescent="0.25">
      <c r="A6161" s="4"/>
      <c r="B6161" s="5"/>
      <c r="C6161" s="5"/>
      <c r="D6161" s="5"/>
      <c r="E6161" s="5"/>
      <c r="F6161" s="5"/>
      <c r="G6161" s="5"/>
      <c r="H6161" s="5"/>
    </row>
    <row r="6162" spans="1:8" x14ac:dyDescent="0.25">
      <c r="A6162" s="4"/>
      <c r="B6162" s="5"/>
      <c r="C6162" s="5"/>
      <c r="D6162" s="5"/>
      <c r="E6162" s="5"/>
      <c r="F6162" s="5"/>
      <c r="G6162" s="5"/>
      <c r="H6162" s="5"/>
    </row>
    <row r="6163" spans="1:8" x14ac:dyDescent="0.25">
      <c r="A6163" s="4"/>
      <c r="B6163" s="5"/>
      <c r="C6163" s="5"/>
      <c r="D6163" s="5"/>
      <c r="E6163" s="5"/>
      <c r="F6163" s="5"/>
      <c r="G6163" s="5"/>
      <c r="H6163" s="5"/>
    </row>
    <row r="6164" spans="1:8" x14ac:dyDescent="0.25">
      <c r="A6164" s="4"/>
      <c r="B6164" s="5"/>
      <c r="C6164" s="5"/>
      <c r="D6164" s="5"/>
      <c r="E6164" s="5"/>
      <c r="F6164" s="5"/>
      <c r="G6164" s="5"/>
      <c r="H6164" s="5"/>
    </row>
    <row r="6165" spans="1:8" x14ac:dyDescent="0.25">
      <c r="A6165" s="4"/>
      <c r="B6165" s="5"/>
      <c r="C6165" s="5"/>
      <c r="D6165" s="5"/>
      <c r="E6165" s="5"/>
      <c r="F6165" s="5"/>
      <c r="G6165" s="5"/>
      <c r="H6165" s="5"/>
    </row>
    <row r="6166" spans="1:8" x14ac:dyDescent="0.25">
      <c r="A6166" s="4"/>
      <c r="B6166" s="5"/>
      <c r="C6166" s="5"/>
      <c r="D6166" s="5"/>
      <c r="E6166" s="5"/>
      <c r="F6166" s="5"/>
      <c r="G6166" s="5"/>
      <c r="H6166" s="5"/>
    </row>
    <row r="6167" spans="1:8" x14ac:dyDescent="0.25">
      <c r="A6167" s="4"/>
      <c r="B6167" s="5"/>
      <c r="C6167" s="5"/>
      <c r="D6167" s="5"/>
      <c r="E6167" s="5"/>
      <c r="F6167" s="5"/>
      <c r="G6167" s="5"/>
      <c r="H6167" s="5"/>
    </row>
    <row r="6168" spans="1:8" x14ac:dyDescent="0.25">
      <c r="A6168" s="4"/>
      <c r="B6168" s="5"/>
      <c r="C6168" s="5"/>
      <c r="D6168" s="5"/>
      <c r="E6168" s="5"/>
      <c r="F6168" s="5"/>
      <c r="G6168" s="5"/>
      <c r="H6168" s="5"/>
    </row>
    <row r="6169" spans="1:8" x14ac:dyDescent="0.25">
      <c r="A6169" s="4"/>
      <c r="B6169" s="5"/>
      <c r="C6169" s="5"/>
      <c r="D6169" s="5"/>
      <c r="E6169" s="5"/>
      <c r="F6169" s="5"/>
      <c r="G6169" s="5"/>
      <c r="H6169" s="5"/>
    </row>
    <row r="6170" spans="1:8" x14ac:dyDescent="0.25">
      <c r="A6170" s="4"/>
      <c r="B6170" s="5"/>
      <c r="C6170" s="5"/>
      <c r="D6170" s="5"/>
      <c r="E6170" s="5"/>
      <c r="F6170" s="5"/>
      <c r="G6170" s="5"/>
      <c r="H6170" s="5"/>
    </row>
    <row r="6171" spans="1:8" x14ac:dyDescent="0.25">
      <c r="A6171" s="4"/>
      <c r="B6171" s="5"/>
      <c r="C6171" s="5"/>
      <c r="D6171" s="5"/>
      <c r="E6171" s="5"/>
      <c r="F6171" s="5"/>
      <c r="G6171" s="5"/>
      <c r="H6171" s="5"/>
    </row>
    <row r="6172" spans="1:8" x14ac:dyDescent="0.25">
      <c r="A6172" s="4"/>
      <c r="B6172" s="5"/>
      <c r="C6172" s="5"/>
      <c r="D6172" s="5"/>
      <c r="E6172" s="5"/>
      <c r="F6172" s="5"/>
      <c r="G6172" s="5"/>
      <c r="H6172" s="5"/>
    </row>
    <row r="6173" spans="1:8" x14ac:dyDescent="0.25">
      <c r="A6173" s="4"/>
      <c r="B6173" s="5"/>
      <c r="C6173" s="5"/>
      <c r="D6173" s="5"/>
      <c r="E6173" s="5"/>
      <c r="F6173" s="5"/>
      <c r="G6173" s="5"/>
      <c r="H6173" s="5"/>
    </row>
    <row r="6174" spans="1:8" x14ac:dyDescent="0.25">
      <c r="A6174" s="4"/>
      <c r="B6174" s="5"/>
      <c r="C6174" s="5"/>
      <c r="D6174" s="5"/>
      <c r="E6174" s="5"/>
      <c r="F6174" s="5"/>
      <c r="G6174" s="5"/>
      <c r="H6174" s="5"/>
    </row>
    <row r="6175" spans="1:8" x14ac:dyDescent="0.25">
      <c r="A6175" s="4"/>
      <c r="B6175" s="5"/>
      <c r="C6175" s="5"/>
      <c r="D6175" s="5"/>
      <c r="E6175" s="5"/>
      <c r="F6175" s="5"/>
      <c r="G6175" s="5"/>
      <c r="H6175" s="5"/>
    </row>
    <row r="6176" spans="1:8" x14ac:dyDescent="0.25">
      <c r="A6176" s="4"/>
      <c r="B6176" s="5"/>
      <c r="C6176" s="5"/>
      <c r="D6176" s="5"/>
      <c r="E6176" s="5"/>
      <c r="F6176" s="5"/>
      <c r="G6176" s="5"/>
      <c r="H6176" s="5"/>
    </row>
    <row r="6177" spans="1:8" x14ac:dyDescent="0.25">
      <c r="A6177" s="4"/>
      <c r="B6177" s="5"/>
      <c r="C6177" s="5"/>
      <c r="D6177" s="5"/>
      <c r="E6177" s="5"/>
      <c r="F6177" s="5"/>
      <c r="G6177" s="5"/>
      <c r="H6177" s="5"/>
    </row>
    <row r="6178" spans="1:8" x14ac:dyDescent="0.25">
      <c r="A6178" s="4"/>
      <c r="B6178" s="5"/>
      <c r="C6178" s="5"/>
      <c r="D6178" s="5"/>
      <c r="E6178" s="5"/>
      <c r="F6178" s="5"/>
      <c r="G6178" s="5"/>
      <c r="H6178" s="5"/>
    </row>
    <row r="6179" spans="1:8" x14ac:dyDescent="0.25">
      <c r="A6179" s="4"/>
      <c r="B6179" s="5"/>
      <c r="C6179" s="5"/>
      <c r="D6179" s="5"/>
      <c r="E6179" s="5"/>
      <c r="F6179" s="5"/>
      <c r="G6179" s="5"/>
      <c r="H6179" s="5"/>
    </row>
    <row r="6180" spans="1:8" x14ac:dyDescent="0.25">
      <c r="A6180" s="4"/>
      <c r="B6180" s="5"/>
      <c r="C6180" s="5"/>
      <c r="D6180" s="5"/>
      <c r="E6180" s="5"/>
      <c r="F6180" s="5"/>
      <c r="G6180" s="5"/>
      <c r="H6180" s="5"/>
    </row>
    <row r="6181" spans="1:8" x14ac:dyDescent="0.25">
      <c r="A6181" s="4"/>
      <c r="B6181" s="5"/>
      <c r="C6181" s="5"/>
      <c r="D6181" s="5"/>
      <c r="E6181" s="5"/>
      <c r="F6181" s="5"/>
      <c r="G6181" s="5"/>
      <c r="H6181" s="5"/>
    </row>
    <row r="6182" spans="1:8" x14ac:dyDescent="0.25">
      <c r="A6182" s="4"/>
      <c r="B6182" s="5"/>
      <c r="C6182" s="5"/>
      <c r="D6182" s="5"/>
      <c r="E6182" s="5"/>
      <c r="F6182" s="5"/>
      <c r="G6182" s="5"/>
      <c r="H6182" s="5"/>
    </row>
    <row r="6183" spans="1:8" x14ac:dyDescent="0.25">
      <c r="A6183" s="4"/>
      <c r="B6183" s="5"/>
      <c r="C6183" s="5"/>
      <c r="D6183" s="5"/>
      <c r="E6183" s="5"/>
      <c r="F6183" s="5"/>
      <c r="G6183" s="5"/>
      <c r="H6183" s="5"/>
    </row>
    <row r="6184" spans="1:8" x14ac:dyDescent="0.25">
      <c r="A6184" s="4"/>
      <c r="B6184" s="5"/>
      <c r="C6184" s="5"/>
      <c r="D6184" s="5"/>
      <c r="E6184" s="5"/>
      <c r="F6184" s="5"/>
      <c r="G6184" s="5"/>
      <c r="H6184" s="5"/>
    </row>
    <row r="6185" spans="1:8" x14ac:dyDescent="0.25">
      <c r="A6185" s="4"/>
      <c r="B6185" s="5"/>
      <c r="C6185" s="5"/>
      <c r="D6185" s="5"/>
      <c r="E6185" s="5"/>
      <c r="F6185" s="5"/>
      <c r="G6185" s="5"/>
      <c r="H6185" s="5"/>
    </row>
    <row r="6186" spans="1:8" x14ac:dyDescent="0.25">
      <c r="A6186" s="4"/>
      <c r="B6186" s="5"/>
      <c r="C6186" s="5"/>
      <c r="D6186" s="5"/>
      <c r="E6186" s="5"/>
      <c r="F6186" s="5"/>
      <c r="G6186" s="5"/>
      <c r="H6186" s="5"/>
    </row>
    <row r="6187" spans="1:8" x14ac:dyDescent="0.25">
      <c r="A6187" s="4"/>
      <c r="B6187" s="5"/>
      <c r="C6187" s="5"/>
      <c r="D6187" s="5"/>
      <c r="E6187" s="5"/>
      <c r="F6187" s="5"/>
      <c r="G6187" s="5"/>
      <c r="H6187" s="5"/>
    </row>
    <row r="6188" spans="1:8" x14ac:dyDescent="0.25">
      <c r="A6188" s="4"/>
      <c r="B6188" s="5"/>
      <c r="C6188" s="5"/>
      <c r="D6188" s="5"/>
      <c r="E6188" s="5"/>
      <c r="F6188" s="5"/>
      <c r="G6188" s="5"/>
      <c r="H6188" s="5"/>
    </row>
    <row r="6189" spans="1:8" x14ac:dyDescent="0.25">
      <c r="A6189" s="4"/>
      <c r="B6189" s="5"/>
      <c r="C6189" s="5"/>
      <c r="D6189" s="5"/>
      <c r="E6189" s="5"/>
      <c r="F6189" s="5"/>
      <c r="G6189" s="5"/>
      <c r="H6189" s="5"/>
    </row>
    <row r="6190" spans="1:8" x14ac:dyDescent="0.25">
      <c r="A6190" s="4"/>
      <c r="B6190" s="5"/>
      <c r="C6190" s="5"/>
      <c r="D6190" s="5"/>
      <c r="E6190" s="5"/>
      <c r="F6190" s="5"/>
      <c r="G6190" s="5"/>
      <c r="H6190" s="5"/>
    </row>
    <row r="6191" spans="1:8" x14ac:dyDescent="0.25">
      <c r="A6191" s="4"/>
      <c r="B6191" s="5"/>
      <c r="C6191" s="5"/>
      <c r="D6191" s="5"/>
      <c r="E6191" s="5"/>
      <c r="F6191" s="5"/>
      <c r="G6191" s="5"/>
      <c r="H6191" s="5"/>
    </row>
    <row r="6192" spans="1:8" x14ac:dyDescent="0.25">
      <c r="A6192" s="4"/>
      <c r="B6192" s="5"/>
      <c r="C6192" s="5"/>
      <c r="D6192" s="5"/>
      <c r="E6192" s="5"/>
      <c r="F6192" s="5"/>
      <c r="G6192" s="5"/>
      <c r="H6192" s="5"/>
    </row>
    <row r="6193" spans="1:8" x14ac:dyDescent="0.25">
      <c r="A6193" s="4"/>
      <c r="B6193" s="5"/>
      <c r="C6193" s="5"/>
      <c r="D6193" s="5"/>
      <c r="E6193" s="5"/>
      <c r="F6193" s="5"/>
      <c r="G6193" s="5"/>
      <c r="H6193" s="5"/>
    </row>
    <row r="6194" spans="1:8" x14ac:dyDescent="0.25">
      <c r="A6194" s="4"/>
      <c r="B6194" s="5"/>
      <c r="C6194" s="5"/>
      <c r="D6194" s="5"/>
      <c r="E6194" s="5"/>
      <c r="F6194" s="5"/>
      <c r="G6194" s="5"/>
      <c r="H6194" s="5"/>
    </row>
    <row r="6195" spans="1:8" x14ac:dyDescent="0.25">
      <c r="A6195" s="4"/>
      <c r="B6195" s="5"/>
      <c r="C6195" s="5"/>
      <c r="D6195" s="5"/>
      <c r="E6195" s="5"/>
      <c r="F6195" s="5"/>
      <c r="G6195" s="5"/>
      <c r="H6195" s="5"/>
    </row>
    <row r="6196" spans="1:8" x14ac:dyDescent="0.25">
      <c r="A6196" s="4"/>
      <c r="B6196" s="5"/>
      <c r="C6196" s="5"/>
      <c r="D6196" s="5"/>
      <c r="E6196" s="5"/>
      <c r="F6196" s="5"/>
      <c r="G6196" s="5"/>
      <c r="H6196" s="5"/>
    </row>
    <row r="6197" spans="1:8" x14ac:dyDescent="0.25">
      <c r="A6197" s="4"/>
      <c r="B6197" s="5"/>
      <c r="C6197" s="5"/>
      <c r="D6197" s="5"/>
      <c r="E6197" s="5"/>
      <c r="F6197" s="5"/>
      <c r="G6197" s="5"/>
      <c r="H6197" s="5"/>
    </row>
    <row r="6198" spans="1:8" x14ac:dyDescent="0.25">
      <c r="A6198" s="4"/>
      <c r="B6198" s="5"/>
      <c r="C6198" s="5"/>
      <c r="D6198" s="5"/>
      <c r="E6198" s="5"/>
      <c r="F6198" s="5"/>
      <c r="G6198" s="5"/>
      <c r="H6198" s="5"/>
    </row>
    <row r="6199" spans="1:8" x14ac:dyDescent="0.25">
      <c r="A6199" s="4"/>
      <c r="B6199" s="5"/>
      <c r="C6199" s="5"/>
      <c r="D6199" s="5"/>
      <c r="E6199" s="5"/>
      <c r="F6199" s="5"/>
      <c r="G6199" s="5"/>
      <c r="H6199" s="5"/>
    </row>
    <row r="6200" spans="1:8" x14ac:dyDescent="0.25">
      <c r="A6200" s="4"/>
      <c r="B6200" s="5"/>
      <c r="C6200" s="5"/>
      <c r="D6200" s="5"/>
      <c r="E6200" s="5"/>
      <c r="F6200" s="5"/>
      <c r="G6200" s="5"/>
      <c r="H6200" s="5"/>
    </row>
    <row r="6201" spans="1:8" x14ac:dyDescent="0.25">
      <c r="A6201" s="4"/>
      <c r="B6201" s="5"/>
      <c r="C6201" s="5"/>
      <c r="D6201" s="5"/>
      <c r="E6201" s="5"/>
      <c r="F6201" s="5"/>
      <c r="G6201" s="5"/>
      <c r="H6201" s="5"/>
    </row>
    <row r="6202" spans="1:8" x14ac:dyDescent="0.25">
      <c r="A6202" s="4"/>
      <c r="B6202" s="5"/>
      <c r="C6202" s="5"/>
      <c r="D6202" s="5"/>
      <c r="E6202" s="5"/>
      <c r="F6202" s="5"/>
      <c r="G6202" s="5"/>
      <c r="H6202" s="5"/>
    </row>
    <row r="6203" spans="1:8" x14ac:dyDescent="0.25">
      <c r="A6203" s="4"/>
      <c r="B6203" s="5"/>
      <c r="C6203" s="5"/>
      <c r="D6203" s="5"/>
      <c r="E6203" s="5"/>
      <c r="F6203" s="5"/>
      <c r="G6203" s="5"/>
      <c r="H6203" s="5"/>
    </row>
    <row r="6204" spans="1:8" x14ac:dyDescent="0.25">
      <c r="A6204" s="4"/>
      <c r="B6204" s="5"/>
      <c r="C6204" s="5"/>
      <c r="D6204" s="5"/>
      <c r="E6204" s="5"/>
      <c r="F6204" s="5"/>
      <c r="G6204" s="5"/>
      <c r="H6204" s="5"/>
    </row>
    <row r="6205" spans="1:8" x14ac:dyDescent="0.25">
      <c r="A6205" s="4"/>
      <c r="B6205" s="5"/>
      <c r="C6205" s="5"/>
      <c r="D6205" s="5"/>
      <c r="E6205" s="5"/>
      <c r="F6205" s="5"/>
      <c r="G6205" s="5"/>
      <c r="H6205" s="5"/>
    </row>
    <row r="6206" spans="1:8" x14ac:dyDescent="0.25">
      <c r="A6206" s="4"/>
      <c r="B6206" s="5"/>
      <c r="C6206" s="5"/>
      <c r="D6206" s="5"/>
      <c r="E6206" s="5"/>
      <c r="F6206" s="5"/>
      <c r="G6206" s="5"/>
      <c r="H6206" s="5"/>
    </row>
    <row r="6207" spans="1:8" x14ac:dyDescent="0.25">
      <c r="A6207" s="4"/>
      <c r="B6207" s="5"/>
      <c r="C6207" s="5"/>
      <c r="D6207" s="5"/>
      <c r="E6207" s="5"/>
      <c r="F6207" s="5"/>
      <c r="G6207" s="5"/>
      <c r="H6207" s="5"/>
    </row>
    <row r="6208" spans="1:8" x14ac:dyDescent="0.25">
      <c r="A6208" s="4"/>
      <c r="B6208" s="5"/>
      <c r="C6208" s="5"/>
      <c r="D6208" s="5"/>
      <c r="E6208" s="5"/>
      <c r="F6208" s="5"/>
      <c r="G6208" s="5"/>
      <c r="H6208" s="5"/>
    </row>
    <row r="6209" spans="1:8" x14ac:dyDescent="0.25">
      <c r="A6209" s="4"/>
      <c r="B6209" s="5"/>
      <c r="C6209" s="5"/>
      <c r="D6209" s="5"/>
      <c r="E6209" s="5"/>
      <c r="F6209" s="5"/>
      <c r="G6209" s="5"/>
      <c r="H6209" s="5"/>
    </row>
    <row r="6210" spans="1:8" x14ac:dyDescent="0.25">
      <c r="A6210" s="4"/>
      <c r="B6210" s="5"/>
      <c r="C6210" s="5"/>
      <c r="D6210" s="5"/>
      <c r="E6210" s="5"/>
      <c r="F6210" s="5"/>
      <c r="G6210" s="5"/>
      <c r="H6210" s="5"/>
    </row>
    <row r="6211" spans="1:8" x14ac:dyDescent="0.25">
      <c r="A6211" s="4"/>
      <c r="B6211" s="5"/>
      <c r="C6211" s="5"/>
      <c r="D6211" s="5"/>
      <c r="E6211" s="5"/>
      <c r="F6211" s="5"/>
      <c r="G6211" s="5"/>
      <c r="H6211" s="5"/>
    </row>
    <row r="6212" spans="1:8" x14ac:dyDescent="0.25">
      <c r="A6212" s="4"/>
      <c r="B6212" s="5"/>
      <c r="C6212" s="5"/>
      <c r="D6212" s="5"/>
      <c r="E6212" s="5"/>
      <c r="F6212" s="5"/>
      <c r="G6212" s="5"/>
      <c r="H6212" s="5"/>
    </row>
    <row r="6213" spans="1:8" x14ac:dyDescent="0.25">
      <c r="A6213" s="4"/>
      <c r="B6213" s="5"/>
      <c r="C6213" s="5"/>
      <c r="D6213" s="5"/>
      <c r="E6213" s="5"/>
      <c r="F6213" s="5"/>
      <c r="G6213" s="5"/>
      <c r="H6213" s="5"/>
    </row>
    <row r="6214" spans="1:8" x14ac:dyDescent="0.25">
      <c r="A6214" s="4"/>
      <c r="B6214" s="5"/>
      <c r="C6214" s="5"/>
      <c r="D6214" s="5"/>
      <c r="E6214" s="5"/>
      <c r="F6214" s="5"/>
      <c r="G6214" s="5"/>
      <c r="H6214" s="5"/>
    </row>
    <row r="6215" spans="1:8" x14ac:dyDescent="0.25">
      <c r="A6215" s="4"/>
      <c r="B6215" s="5"/>
      <c r="C6215" s="5"/>
      <c r="D6215" s="5"/>
      <c r="E6215" s="5"/>
      <c r="F6215" s="5"/>
      <c r="G6215" s="5"/>
      <c r="H6215" s="5"/>
    </row>
    <row r="6216" spans="1:8" x14ac:dyDescent="0.25">
      <c r="A6216" s="4"/>
      <c r="B6216" s="5"/>
      <c r="C6216" s="5"/>
      <c r="D6216" s="5"/>
      <c r="E6216" s="5"/>
      <c r="F6216" s="5"/>
      <c r="G6216" s="5"/>
      <c r="H6216" s="5"/>
    </row>
    <row r="6217" spans="1:8" x14ac:dyDescent="0.25">
      <c r="A6217" s="4"/>
      <c r="B6217" s="5"/>
      <c r="C6217" s="5"/>
      <c r="D6217" s="5"/>
      <c r="E6217" s="5"/>
      <c r="F6217" s="5"/>
      <c r="G6217" s="5"/>
      <c r="H6217" s="5"/>
    </row>
    <row r="6218" spans="1:8" x14ac:dyDescent="0.25">
      <c r="A6218" s="4"/>
      <c r="B6218" s="5"/>
      <c r="C6218" s="5"/>
      <c r="D6218" s="5"/>
      <c r="E6218" s="5"/>
      <c r="F6218" s="5"/>
      <c r="G6218" s="5"/>
      <c r="H6218" s="5"/>
    </row>
    <row r="6219" spans="1:8" x14ac:dyDescent="0.25">
      <c r="A6219" s="4"/>
      <c r="B6219" s="5"/>
      <c r="C6219" s="5"/>
      <c r="D6219" s="5"/>
      <c r="E6219" s="5"/>
      <c r="F6219" s="5"/>
      <c r="G6219" s="5"/>
      <c r="H6219" s="5"/>
    </row>
    <row r="6220" spans="1:8" x14ac:dyDescent="0.25">
      <c r="A6220" s="4"/>
      <c r="B6220" s="5"/>
      <c r="C6220" s="5"/>
      <c r="D6220" s="5"/>
      <c r="E6220" s="5"/>
      <c r="F6220" s="5"/>
      <c r="G6220" s="5"/>
      <c r="H6220" s="5"/>
    </row>
    <row r="6221" spans="1:8" x14ac:dyDescent="0.25">
      <c r="A6221" s="4"/>
      <c r="B6221" s="5"/>
      <c r="C6221" s="5"/>
      <c r="D6221" s="5"/>
      <c r="E6221" s="5"/>
      <c r="F6221" s="5"/>
      <c r="G6221" s="5"/>
      <c r="H6221" s="5"/>
    </row>
    <row r="6222" spans="1:8" x14ac:dyDescent="0.25">
      <c r="A6222" s="4"/>
      <c r="B6222" s="5"/>
      <c r="C6222" s="5"/>
      <c r="D6222" s="5"/>
      <c r="E6222" s="5"/>
      <c r="F6222" s="5"/>
      <c r="G6222" s="5"/>
      <c r="H6222" s="5"/>
    </row>
    <row r="6223" spans="1:8" x14ac:dyDescent="0.25">
      <c r="A6223" s="4"/>
      <c r="B6223" s="5"/>
      <c r="C6223" s="5"/>
      <c r="D6223" s="5"/>
      <c r="E6223" s="5"/>
      <c r="F6223" s="5"/>
      <c r="G6223" s="5"/>
      <c r="H6223" s="5"/>
    </row>
    <row r="6224" spans="1:8" x14ac:dyDescent="0.25">
      <c r="A6224" s="4"/>
      <c r="B6224" s="5"/>
      <c r="C6224" s="5"/>
      <c r="D6224" s="5"/>
      <c r="E6224" s="5"/>
      <c r="F6224" s="5"/>
      <c r="G6224" s="5"/>
      <c r="H6224" s="5"/>
    </row>
    <row r="6225" spans="1:8" x14ac:dyDescent="0.25">
      <c r="A6225" s="4"/>
      <c r="B6225" s="5"/>
      <c r="C6225" s="5"/>
      <c r="D6225" s="5"/>
      <c r="E6225" s="5"/>
      <c r="F6225" s="5"/>
      <c r="G6225" s="5"/>
      <c r="H6225" s="5"/>
    </row>
    <row r="6226" spans="1:8" x14ac:dyDescent="0.25">
      <c r="A6226" s="4"/>
      <c r="B6226" s="5"/>
      <c r="C6226" s="5"/>
      <c r="D6226" s="5"/>
      <c r="E6226" s="5"/>
      <c r="F6226" s="5"/>
      <c r="G6226" s="5"/>
      <c r="H6226" s="5"/>
    </row>
    <row r="6227" spans="1:8" x14ac:dyDescent="0.25">
      <c r="A6227" s="4"/>
      <c r="B6227" s="5"/>
      <c r="C6227" s="5"/>
      <c r="D6227" s="5"/>
      <c r="E6227" s="5"/>
      <c r="F6227" s="5"/>
      <c r="G6227" s="5"/>
      <c r="H6227" s="5"/>
    </row>
    <row r="6228" spans="1:8" x14ac:dyDescent="0.25">
      <c r="A6228" s="4"/>
      <c r="B6228" s="5"/>
      <c r="C6228" s="5"/>
      <c r="D6228" s="5"/>
      <c r="E6228" s="5"/>
      <c r="F6228" s="5"/>
      <c r="G6228" s="5"/>
      <c r="H6228" s="5"/>
    </row>
    <row r="6229" spans="1:8" x14ac:dyDescent="0.25">
      <c r="A6229" s="4"/>
      <c r="B6229" s="5"/>
      <c r="C6229" s="5"/>
      <c r="D6229" s="5"/>
      <c r="E6229" s="5"/>
      <c r="F6229" s="5"/>
      <c r="G6229" s="5"/>
      <c r="H6229" s="5"/>
    </row>
    <row r="6230" spans="1:8" x14ac:dyDescent="0.25">
      <c r="A6230" s="4"/>
      <c r="B6230" s="5"/>
      <c r="C6230" s="5"/>
      <c r="D6230" s="5"/>
      <c r="E6230" s="5"/>
      <c r="F6230" s="5"/>
      <c r="G6230" s="5"/>
      <c r="H6230" s="5"/>
    </row>
    <row r="6231" spans="1:8" x14ac:dyDescent="0.25">
      <c r="A6231" s="4"/>
      <c r="B6231" s="5"/>
      <c r="C6231" s="5"/>
      <c r="D6231" s="5"/>
      <c r="E6231" s="5"/>
      <c r="F6231" s="5"/>
      <c r="G6231" s="5"/>
      <c r="H6231" s="5"/>
    </row>
    <row r="6232" spans="1:8" x14ac:dyDescent="0.25">
      <c r="A6232" s="4"/>
      <c r="B6232" s="5"/>
      <c r="C6232" s="5"/>
      <c r="D6232" s="5"/>
      <c r="E6232" s="5"/>
      <c r="F6232" s="5"/>
      <c r="G6232" s="5"/>
      <c r="H6232" s="5"/>
    </row>
    <row r="6233" spans="1:8" x14ac:dyDescent="0.25">
      <c r="A6233" s="4"/>
      <c r="B6233" s="5"/>
      <c r="C6233" s="5"/>
      <c r="D6233" s="5"/>
      <c r="E6233" s="5"/>
      <c r="F6233" s="5"/>
      <c r="G6233" s="5"/>
      <c r="H6233" s="5"/>
    </row>
    <row r="6234" spans="1:8" x14ac:dyDescent="0.25">
      <c r="A6234" s="4"/>
      <c r="B6234" s="5"/>
      <c r="C6234" s="5"/>
      <c r="D6234" s="5"/>
      <c r="E6234" s="5"/>
      <c r="F6234" s="5"/>
      <c r="G6234" s="5"/>
      <c r="H6234" s="5"/>
    </row>
    <row r="6235" spans="1:8" x14ac:dyDescent="0.25">
      <c r="A6235" s="4"/>
      <c r="B6235" s="5"/>
      <c r="C6235" s="5"/>
      <c r="D6235" s="5"/>
      <c r="E6235" s="5"/>
      <c r="F6235" s="5"/>
      <c r="G6235" s="5"/>
      <c r="H6235" s="5"/>
    </row>
    <row r="6236" spans="1:8" x14ac:dyDescent="0.25">
      <c r="A6236" s="4"/>
      <c r="B6236" s="5"/>
      <c r="C6236" s="5"/>
      <c r="D6236" s="5"/>
      <c r="E6236" s="5"/>
      <c r="F6236" s="5"/>
      <c r="G6236" s="5"/>
      <c r="H6236" s="5"/>
    </row>
    <row r="6237" spans="1:8" x14ac:dyDescent="0.25">
      <c r="A6237" s="4"/>
      <c r="B6237" s="5"/>
      <c r="C6237" s="5"/>
      <c r="D6237" s="5"/>
      <c r="E6237" s="5"/>
      <c r="F6237" s="5"/>
      <c r="G6237" s="5"/>
      <c r="H6237" s="5"/>
    </row>
    <row r="6238" spans="1:8" x14ac:dyDescent="0.25">
      <c r="A6238" s="4"/>
      <c r="B6238" s="5"/>
      <c r="C6238" s="5"/>
      <c r="D6238" s="5"/>
      <c r="E6238" s="5"/>
      <c r="F6238" s="5"/>
      <c r="G6238" s="5"/>
      <c r="H6238" s="5"/>
    </row>
    <row r="6239" spans="1:8" x14ac:dyDescent="0.25">
      <c r="A6239" s="4"/>
      <c r="B6239" s="5"/>
      <c r="C6239" s="5"/>
      <c r="D6239" s="5"/>
      <c r="E6239" s="5"/>
      <c r="F6239" s="5"/>
      <c r="G6239" s="5"/>
      <c r="H6239" s="5"/>
    </row>
    <row r="6240" spans="1:8" x14ac:dyDescent="0.25">
      <c r="A6240" s="4"/>
      <c r="B6240" s="5"/>
      <c r="C6240" s="5"/>
      <c r="D6240" s="5"/>
      <c r="E6240" s="5"/>
      <c r="F6240" s="5"/>
      <c r="G6240" s="5"/>
      <c r="H6240" s="5"/>
    </row>
    <row r="6241" spans="1:8" x14ac:dyDescent="0.25">
      <c r="A6241" s="4"/>
      <c r="B6241" s="5"/>
      <c r="C6241" s="5"/>
      <c r="D6241" s="5"/>
      <c r="E6241" s="5"/>
      <c r="F6241" s="5"/>
      <c r="G6241" s="5"/>
      <c r="H6241" s="5"/>
    </row>
    <row r="6242" spans="1:8" x14ac:dyDescent="0.25">
      <c r="A6242" s="4"/>
      <c r="B6242" s="5"/>
      <c r="C6242" s="5"/>
      <c r="D6242" s="5"/>
      <c r="E6242" s="5"/>
      <c r="F6242" s="5"/>
      <c r="G6242" s="5"/>
      <c r="H6242" s="5"/>
    </row>
    <row r="6243" spans="1:8" x14ac:dyDescent="0.25">
      <c r="A6243" s="4"/>
      <c r="B6243" s="5"/>
      <c r="C6243" s="5"/>
      <c r="D6243" s="5"/>
      <c r="E6243" s="5"/>
      <c r="F6243" s="5"/>
      <c r="G6243" s="5"/>
      <c r="H6243" s="5"/>
    </row>
    <row r="6244" spans="1:8" x14ac:dyDescent="0.25">
      <c r="A6244" s="4"/>
      <c r="B6244" s="5"/>
      <c r="C6244" s="5"/>
      <c r="D6244" s="5"/>
      <c r="E6244" s="5"/>
      <c r="F6244" s="5"/>
      <c r="G6244" s="5"/>
      <c r="H6244" s="5"/>
    </row>
    <row r="6245" spans="1:8" x14ac:dyDescent="0.25">
      <c r="A6245" s="4"/>
      <c r="B6245" s="5"/>
      <c r="C6245" s="5"/>
      <c r="D6245" s="5"/>
      <c r="E6245" s="5"/>
      <c r="F6245" s="5"/>
      <c r="G6245" s="5"/>
      <c r="H6245" s="5"/>
    </row>
    <row r="6246" spans="1:8" x14ac:dyDescent="0.25">
      <c r="A6246" s="4"/>
      <c r="B6246" s="5"/>
      <c r="C6246" s="5"/>
      <c r="D6246" s="5"/>
      <c r="E6246" s="5"/>
      <c r="F6246" s="5"/>
      <c r="G6246" s="5"/>
      <c r="H6246" s="5"/>
    </row>
    <row r="6247" spans="1:8" x14ac:dyDescent="0.25">
      <c r="A6247" s="4"/>
      <c r="B6247" s="5"/>
      <c r="C6247" s="5"/>
      <c r="D6247" s="5"/>
      <c r="E6247" s="5"/>
      <c r="F6247" s="5"/>
      <c r="G6247" s="5"/>
      <c r="H6247" s="5"/>
    </row>
    <row r="6248" spans="1:8" x14ac:dyDescent="0.25">
      <c r="A6248" s="4"/>
      <c r="B6248" s="5"/>
      <c r="C6248" s="5"/>
      <c r="D6248" s="5"/>
      <c r="E6248" s="5"/>
      <c r="F6248" s="5"/>
      <c r="G6248" s="5"/>
      <c r="H6248" s="5"/>
    </row>
    <row r="6249" spans="1:8" x14ac:dyDescent="0.25">
      <c r="A6249" s="4"/>
      <c r="B6249" s="5"/>
      <c r="C6249" s="5"/>
      <c r="D6249" s="5"/>
      <c r="E6249" s="5"/>
      <c r="F6249" s="5"/>
      <c r="G6249" s="5"/>
      <c r="H6249" s="5"/>
    </row>
    <row r="6250" spans="1:8" x14ac:dyDescent="0.25">
      <c r="A6250" s="4"/>
      <c r="B6250" s="5"/>
      <c r="C6250" s="5"/>
      <c r="D6250" s="5"/>
      <c r="E6250" s="5"/>
      <c r="F6250" s="5"/>
      <c r="G6250" s="5"/>
      <c r="H6250" s="5"/>
    </row>
    <row r="6251" spans="1:8" x14ac:dyDescent="0.25">
      <c r="A6251" s="4"/>
      <c r="B6251" s="5"/>
      <c r="C6251" s="5"/>
      <c r="D6251" s="5"/>
      <c r="E6251" s="5"/>
      <c r="F6251" s="5"/>
      <c r="G6251" s="5"/>
      <c r="H6251" s="5"/>
    </row>
    <row r="6252" spans="1:8" x14ac:dyDescent="0.25">
      <c r="A6252" s="4"/>
      <c r="B6252" s="5"/>
      <c r="C6252" s="5"/>
      <c r="D6252" s="5"/>
      <c r="E6252" s="5"/>
      <c r="F6252" s="5"/>
      <c r="G6252" s="5"/>
      <c r="H6252" s="5"/>
    </row>
    <row r="6253" spans="1:8" x14ac:dyDescent="0.25">
      <c r="A6253" s="4"/>
      <c r="B6253" s="5"/>
      <c r="C6253" s="5"/>
      <c r="D6253" s="5"/>
      <c r="E6253" s="5"/>
      <c r="F6253" s="5"/>
      <c r="G6253" s="5"/>
      <c r="H6253" s="5"/>
    </row>
    <row r="6254" spans="1:8" x14ac:dyDescent="0.25">
      <c r="A6254" s="4"/>
      <c r="B6254" s="5"/>
      <c r="C6254" s="5"/>
      <c r="D6254" s="5"/>
      <c r="E6254" s="5"/>
      <c r="F6254" s="5"/>
      <c r="G6254" s="5"/>
      <c r="H6254" s="5"/>
    </row>
    <row r="6255" spans="1:8" x14ac:dyDescent="0.25">
      <c r="A6255" s="4"/>
      <c r="B6255" s="5"/>
      <c r="C6255" s="5"/>
      <c r="D6255" s="5"/>
      <c r="E6255" s="5"/>
      <c r="F6255" s="5"/>
      <c r="G6255" s="5"/>
      <c r="H6255" s="5"/>
    </row>
    <row r="6256" spans="1:8" x14ac:dyDescent="0.25">
      <c r="A6256" s="4"/>
      <c r="B6256" s="5"/>
      <c r="C6256" s="5"/>
      <c r="D6256" s="5"/>
      <c r="E6256" s="5"/>
      <c r="F6256" s="5"/>
      <c r="G6256" s="5"/>
      <c r="H6256" s="5"/>
    </row>
    <row r="6257" spans="1:8" x14ac:dyDescent="0.25">
      <c r="A6257" s="4"/>
      <c r="B6257" s="5"/>
      <c r="C6257" s="5"/>
      <c r="D6257" s="5"/>
      <c r="E6257" s="5"/>
      <c r="F6257" s="5"/>
      <c r="G6257" s="5"/>
      <c r="H6257" s="5"/>
    </row>
    <row r="6258" spans="1:8" x14ac:dyDescent="0.25">
      <c r="A6258" s="4"/>
      <c r="B6258" s="5"/>
      <c r="C6258" s="5"/>
      <c r="D6258" s="5"/>
      <c r="E6258" s="5"/>
      <c r="F6258" s="5"/>
      <c r="G6258" s="5"/>
      <c r="H6258" s="5"/>
    </row>
    <row r="6259" spans="1:8" x14ac:dyDescent="0.25">
      <c r="A6259" s="4"/>
      <c r="B6259" s="5"/>
      <c r="C6259" s="5"/>
      <c r="D6259" s="5"/>
      <c r="E6259" s="5"/>
      <c r="F6259" s="5"/>
      <c r="G6259" s="5"/>
      <c r="H6259" s="5"/>
    </row>
    <row r="6260" spans="1:8" x14ac:dyDescent="0.25">
      <c r="A6260" s="4"/>
      <c r="B6260" s="5"/>
      <c r="C6260" s="5"/>
      <c r="D6260" s="5"/>
      <c r="E6260" s="5"/>
      <c r="F6260" s="5"/>
      <c r="G6260" s="5"/>
      <c r="H6260" s="5"/>
    </row>
    <row r="6261" spans="1:8" x14ac:dyDescent="0.25">
      <c r="A6261" s="4"/>
      <c r="B6261" s="5"/>
      <c r="C6261" s="5"/>
      <c r="D6261" s="5"/>
      <c r="E6261" s="5"/>
      <c r="F6261" s="5"/>
      <c r="G6261" s="5"/>
      <c r="H6261" s="5"/>
    </row>
    <row r="6262" spans="1:8" x14ac:dyDescent="0.25">
      <c r="A6262" s="4"/>
      <c r="B6262" s="5"/>
      <c r="C6262" s="5"/>
      <c r="D6262" s="5"/>
      <c r="E6262" s="5"/>
      <c r="F6262" s="5"/>
      <c r="G6262" s="5"/>
      <c r="H6262" s="5"/>
    </row>
    <row r="6263" spans="1:8" x14ac:dyDescent="0.25">
      <c r="A6263" s="4"/>
      <c r="B6263" s="5"/>
      <c r="C6263" s="5"/>
      <c r="D6263" s="5"/>
      <c r="E6263" s="5"/>
      <c r="F6263" s="5"/>
      <c r="G6263" s="5"/>
      <c r="H6263" s="5"/>
    </row>
    <row r="6264" spans="1:8" x14ac:dyDescent="0.25">
      <c r="A6264" s="4"/>
      <c r="B6264" s="5"/>
      <c r="C6264" s="5"/>
      <c r="D6264" s="5"/>
      <c r="E6264" s="5"/>
      <c r="F6264" s="5"/>
      <c r="G6264" s="5"/>
      <c r="H6264" s="5"/>
    </row>
    <row r="6265" spans="1:8" x14ac:dyDescent="0.25">
      <c r="A6265" s="4"/>
      <c r="B6265" s="5"/>
      <c r="C6265" s="5"/>
      <c r="D6265" s="5"/>
      <c r="E6265" s="5"/>
      <c r="F6265" s="5"/>
      <c r="G6265" s="5"/>
      <c r="H6265" s="5"/>
    </row>
    <row r="6266" spans="1:8" x14ac:dyDescent="0.25">
      <c r="A6266" s="4"/>
      <c r="B6266" s="5"/>
      <c r="C6266" s="5"/>
      <c r="D6266" s="5"/>
      <c r="E6266" s="5"/>
      <c r="F6266" s="5"/>
      <c r="G6266" s="5"/>
      <c r="H6266" s="5"/>
    </row>
    <row r="6267" spans="1:8" x14ac:dyDescent="0.25">
      <c r="A6267" s="4"/>
      <c r="B6267" s="5"/>
      <c r="C6267" s="5"/>
      <c r="D6267" s="5"/>
      <c r="E6267" s="5"/>
      <c r="F6267" s="5"/>
      <c r="G6267" s="5"/>
      <c r="H6267" s="5"/>
    </row>
    <row r="6268" spans="1:8" x14ac:dyDescent="0.25">
      <c r="A6268" s="4"/>
      <c r="B6268" s="5"/>
      <c r="C6268" s="5"/>
      <c r="D6268" s="5"/>
      <c r="E6268" s="5"/>
      <c r="F6268" s="5"/>
      <c r="G6268" s="5"/>
      <c r="H6268" s="5"/>
    </row>
    <row r="6269" spans="1:8" x14ac:dyDescent="0.25">
      <c r="A6269" s="4"/>
      <c r="B6269" s="5"/>
      <c r="C6269" s="5"/>
      <c r="D6269" s="5"/>
      <c r="E6269" s="5"/>
      <c r="F6269" s="5"/>
      <c r="G6269" s="5"/>
      <c r="H6269" s="5"/>
    </row>
    <row r="6270" spans="1:8" x14ac:dyDescent="0.25">
      <c r="A6270" s="4"/>
      <c r="B6270" s="5"/>
      <c r="C6270" s="5"/>
      <c r="D6270" s="5"/>
      <c r="E6270" s="5"/>
      <c r="F6270" s="5"/>
      <c r="G6270" s="5"/>
      <c r="H6270" s="5"/>
    </row>
    <row r="6271" spans="1:8" x14ac:dyDescent="0.25">
      <c r="A6271" s="4"/>
      <c r="B6271" s="5"/>
      <c r="C6271" s="5"/>
      <c r="D6271" s="5"/>
      <c r="E6271" s="5"/>
      <c r="F6271" s="5"/>
      <c r="G6271" s="5"/>
      <c r="H6271" s="5"/>
    </row>
    <row r="6272" spans="1:8" x14ac:dyDescent="0.25">
      <c r="A6272" s="4"/>
      <c r="B6272" s="5"/>
      <c r="C6272" s="5"/>
      <c r="D6272" s="5"/>
      <c r="E6272" s="5"/>
      <c r="F6272" s="5"/>
      <c r="G6272" s="5"/>
      <c r="H6272" s="5"/>
    </row>
    <row r="6273" spans="1:8" x14ac:dyDescent="0.25">
      <c r="A6273" s="4"/>
      <c r="B6273" s="5"/>
      <c r="C6273" s="5"/>
      <c r="D6273" s="5"/>
      <c r="E6273" s="5"/>
      <c r="F6273" s="5"/>
      <c r="G6273" s="5"/>
      <c r="H6273" s="5"/>
    </row>
    <row r="6274" spans="1:8" x14ac:dyDescent="0.25">
      <c r="A6274" s="4"/>
      <c r="B6274" s="5"/>
      <c r="C6274" s="5"/>
      <c r="D6274" s="5"/>
      <c r="E6274" s="5"/>
      <c r="F6274" s="5"/>
      <c r="G6274" s="5"/>
      <c r="H6274" s="5"/>
    </row>
    <row r="6275" spans="1:8" x14ac:dyDescent="0.25">
      <c r="A6275" s="4"/>
      <c r="B6275" s="5"/>
      <c r="C6275" s="5"/>
      <c r="D6275" s="5"/>
      <c r="E6275" s="5"/>
      <c r="F6275" s="5"/>
      <c r="G6275" s="5"/>
      <c r="H6275" s="5"/>
    </row>
    <row r="6276" spans="1:8" x14ac:dyDescent="0.25">
      <c r="A6276" s="4"/>
      <c r="B6276" s="5"/>
      <c r="C6276" s="5"/>
      <c r="D6276" s="5"/>
      <c r="E6276" s="5"/>
      <c r="F6276" s="5"/>
      <c r="G6276" s="5"/>
      <c r="H6276" s="5"/>
    </row>
    <row r="6277" spans="1:8" x14ac:dyDescent="0.25">
      <c r="A6277" s="4"/>
      <c r="B6277" s="5"/>
      <c r="C6277" s="5"/>
      <c r="D6277" s="5"/>
      <c r="E6277" s="5"/>
      <c r="F6277" s="5"/>
      <c r="G6277" s="5"/>
      <c r="H6277" s="5"/>
    </row>
    <row r="6278" spans="1:8" x14ac:dyDescent="0.25">
      <c r="A6278" s="4"/>
      <c r="B6278" s="5"/>
      <c r="C6278" s="5"/>
      <c r="D6278" s="5"/>
      <c r="E6278" s="5"/>
      <c r="F6278" s="5"/>
      <c r="G6278" s="5"/>
      <c r="H6278" s="5"/>
    </row>
    <row r="6279" spans="1:8" x14ac:dyDescent="0.25">
      <c r="A6279" s="4"/>
      <c r="B6279" s="5"/>
      <c r="C6279" s="5"/>
      <c r="D6279" s="5"/>
      <c r="E6279" s="5"/>
      <c r="F6279" s="5"/>
      <c r="G6279" s="5"/>
      <c r="H6279" s="5"/>
    </row>
    <row r="6280" spans="1:8" x14ac:dyDescent="0.25">
      <c r="A6280" s="4"/>
      <c r="B6280" s="5"/>
      <c r="C6280" s="5"/>
      <c r="D6280" s="5"/>
      <c r="E6280" s="5"/>
      <c r="F6280" s="5"/>
      <c r="G6280" s="5"/>
      <c r="H6280" s="5"/>
    </row>
    <row r="6281" spans="1:8" x14ac:dyDescent="0.25">
      <c r="A6281" s="4"/>
      <c r="B6281" s="5"/>
      <c r="C6281" s="5"/>
      <c r="D6281" s="5"/>
      <c r="E6281" s="5"/>
      <c r="F6281" s="5"/>
      <c r="G6281" s="5"/>
      <c r="H6281" s="5"/>
    </row>
    <row r="6282" spans="1:8" x14ac:dyDescent="0.25">
      <c r="A6282" s="4"/>
      <c r="B6282" s="5"/>
      <c r="C6282" s="5"/>
      <c r="D6282" s="5"/>
      <c r="E6282" s="5"/>
      <c r="F6282" s="5"/>
      <c r="G6282" s="5"/>
      <c r="H6282" s="5"/>
    </row>
    <row r="6283" spans="1:8" x14ac:dyDescent="0.25">
      <c r="A6283" s="4"/>
      <c r="B6283" s="5"/>
      <c r="C6283" s="5"/>
      <c r="D6283" s="5"/>
      <c r="E6283" s="5"/>
      <c r="F6283" s="5"/>
      <c r="G6283" s="5"/>
      <c r="H6283" s="5"/>
    </row>
    <row r="6284" spans="1:8" x14ac:dyDescent="0.25">
      <c r="A6284" s="4"/>
      <c r="B6284" s="5"/>
      <c r="C6284" s="5"/>
      <c r="D6284" s="5"/>
      <c r="E6284" s="5"/>
      <c r="F6284" s="5"/>
      <c r="G6284" s="5"/>
      <c r="H6284" s="5"/>
    </row>
    <row r="6285" spans="1:8" x14ac:dyDescent="0.25">
      <c r="A6285" s="4"/>
      <c r="B6285" s="5"/>
      <c r="C6285" s="5"/>
      <c r="D6285" s="5"/>
      <c r="E6285" s="5"/>
      <c r="F6285" s="5"/>
      <c r="G6285" s="5"/>
      <c r="H6285" s="5"/>
    </row>
    <row r="6286" spans="1:8" x14ac:dyDescent="0.25">
      <c r="A6286" s="4"/>
      <c r="B6286" s="5"/>
      <c r="C6286" s="5"/>
      <c r="D6286" s="5"/>
      <c r="E6286" s="5"/>
      <c r="F6286" s="5"/>
      <c r="G6286" s="5"/>
      <c r="H6286" s="5"/>
    </row>
    <row r="6287" spans="1:8" x14ac:dyDescent="0.25">
      <c r="A6287" s="4"/>
      <c r="B6287" s="5"/>
      <c r="C6287" s="5"/>
      <c r="D6287" s="5"/>
      <c r="E6287" s="5"/>
      <c r="F6287" s="5"/>
      <c r="G6287" s="5"/>
      <c r="H6287" s="5"/>
    </row>
    <row r="6288" spans="1:8" x14ac:dyDescent="0.25">
      <c r="A6288" s="4"/>
      <c r="B6288" s="5"/>
      <c r="C6288" s="5"/>
      <c r="D6288" s="5"/>
      <c r="E6288" s="5"/>
      <c r="F6288" s="5"/>
      <c r="G6288" s="5"/>
      <c r="H6288" s="5"/>
    </row>
    <row r="6289" spans="1:8" x14ac:dyDescent="0.25">
      <c r="A6289" s="4"/>
      <c r="B6289" s="5"/>
      <c r="C6289" s="5"/>
      <c r="D6289" s="5"/>
      <c r="E6289" s="5"/>
      <c r="F6289" s="5"/>
      <c r="G6289" s="5"/>
      <c r="H6289" s="5"/>
    </row>
    <row r="6290" spans="1:8" x14ac:dyDescent="0.25">
      <c r="A6290" s="4"/>
      <c r="B6290" s="5"/>
      <c r="C6290" s="5"/>
      <c r="D6290" s="5"/>
      <c r="E6290" s="5"/>
      <c r="F6290" s="5"/>
      <c r="G6290" s="5"/>
      <c r="H6290" s="5"/>
    </row>
    <row r="6291" spans="1:8" x14ac:dyDescent="0.25">
      <c r="A6291" s="4"/>
      <c r="B6291" s="5"/>
      <c r="C6291" s="5"/>
      <c r="D6291" s="5"/>
      <c r="E6291" s="5"/>
      <c r="F6291" s="5"/>
      <c r="G6291" s="5"/>
      <c r="H6291" s="5"/>
    </row>
    <row r="6292" spans="1:8" x14ac:dyDescent="0.25">
      <c r="A6292" s="4"/>
      <c r="B6292" s="5"/>
      <c r="C6292" s="5"/>
      <c r="D6292" s="5"/>
      <c r="E6292" s="5"/>
      <c r="F6292" s="5"/>
      <c r="G6292" s="5"/>
      <c r="H6292" s="5"/>
    </row>
    <row r="6293" spans="1:8" x14ac:dyDescent="0.25">
      <c r="A6293" s="4"/>
      <c r="B6293" s="5"/>
      <c r="C6293" s="5"/>
      <c r="D6293" s="5"/>
      <c r="E6293" s="5"/>
      <c r="F6293" s="5"/>
      <c r="G6293" s="5"/>
      <c r="H6293" s="5"/>
    </row>
    <row r="6294" spans="1:8" x14ac:dyDescent="0.25">
      <c r="A6294" s="4"/>
      <c r="B6294" s="5"/>
      <c r="C6294" s="5"/>
      <c r="D6294" s="5"/>
      <c r="E6294" s="5"/>
      <c r="F6294" s="5"/>
      <c r="G6294" s="5"/>
      <c r="H6294" s="5"/>
    </row>
    <row r="6295" spans="1:8" x14ac:dyDescent="0.25">
      <c r="A6295" s="4"/>
      <c r="B6295" s="5"/>
      <c r="C6295" s="5"/>
      <c r="D6295" s="5"/>
      <c r="E6295" s="5"/>
      <c r="F6295" s="5"/>
      <c r="G6295" s="5"/>
      <c r="H6295" s="5"/>
    </row>
    <row r="6296" spans="1:8" x14ac:dyDescent="0.25">
      <c r="A6296" s="4"/>
      <c r="B6296" s="5"/>
      <c r="C6296" s="5"/>
      <c r="D6296" s="5"/>
      <c r="E6296" s="5"/>
      <c r="F6296" s="5"/>
      <c r="G6296" s="5"/>
      <c r="H6296" s="5"/>
    </row>
    <row r="6297" spans="1:8" x14ac:dyDescent="0.25">
      <c r="A6297" s="4"/>
      <c r="B6297" s="5"/>
      <c r="C6297" s="5"/>
      <c r="D6297" s="5"/>
      <c r="E6297" s="5"/>
      <c r="F6297" s="5"/>
      <c r="G6297" s="5"/>
      <c r="H6297" s="5"/>
    </row>
    <row r="6298" spans="1:8" x14ac:dyDescent="0.25">
      <c r="A6298" s="4"/>
      <c r="B6298" s="5"/>
      <c r="C6298" s="5"/>
      <c r="D6298" s="5"/>
      <c r="E6298" s="5"/>
      <c r="F6298" s="5"/>
      <c r="G6298" s="5"/>
      <c r="H6298" s="5"/>
    </row>
    <row r="6299" spans="1:8" x14ac:dyDescent="0.25">
      <c r="A6299" s="4"/>
      <c r="B6299" s="5"/>
      <c r="C6299" s="5"/>
      <c r="D6299" s="5"/>
      <c r="E6299" s="5"/>
      <c r="F6299" s="5"/>
      <c r="G6299" s="5"/>
      <c r="H6299" s="5"/>
    </row>
    <row r="6300" spans="1:8" x14ac:dyDescent="0.25">
      <c r="A6300" s="4"/>
      <c r="B6300" s="5"/>
      <c r="C6300" s="5"/>
      <c r="D6300" s="5"/>
      <c r="E6300" s="5"/>
      <c r="F6300" s="5"/>
      <c r="G6300" s="5"/>
      <c r="H6300" s="5"/>
    </row>
    <row r="6301" spans="1:8" x14ac:dyDescent="0.25">
      <c r="A6301" s="4"/>
      <c r="B6301" s="5"/>
      <c r="C6301" s="5"/>
      <c r="D6301" s="5"/>
      <c r="E6301" s="5"/>
      <c r="F6301" s="5"/>
      <c r="G6301" s="5"/>
      <c r="H6301" s="5"/>
    </row>
    <row r="6302" spans="1:8" x14ac:dyDescent="0.25">
      <c r="A6302" s="4"/>
      <c r="B6302" s="5"/>
      <c r="C6302" s="5"/>
      <c r="D6302" s="5"/>
      <c r="E6302" s="5"/>
      <c r="F6302" s="5"/>
      <c r="G6302" s="5"/>
      <c r="H6302" s="5"/>
    </row>
    <row r="6303" spans="1:8" x14ac:dyDescent="0.25">
      <c r="A6303" s="4"/>
      <c r="B6303" s="5"/>
      <c r="C6303" s="5"/>
      <c r="D6303" s="5"/>
      <c r="E6303" s="5"/>
      <c r="F6303" s="5"/>
      <c r="G6303" s="5"/>
      <c r="H6303" s="5"/>
    </row>
    <row r="6304" spans="1:8" x14ac:dyDescent="0.25">
      <c r="A6304" s="4"/>
      <c r="B6304" s="5"/>
      <c r="C6304" s="5"/>
      <c r="D6304" s="5"/>
      <c r="E6304" s="5"/>
      <c r="F6304" s="5"/>
      <c r="G6304" s="5"/>
      <c r="H6304" s="5"/>
    </row>
    <row r="6305" spans="1:8" x14ac:dyDescent="0.25">
      <c r="A6305" s="4"/>
      <c r="B6305" s="5"/>
      <c r="C6305" s="5"/>
      <c r="D6305" s="5"/>
      <c r="E6305" s="5"/>
      <c r="F6305" s="5"/>
      <c r="G6305" s="5"/>
      <c r="H6305" s="5"/>
    </row>
    <row r="6306" spans="1:8" x14ac:dyDescent="0.25">
      <c r="A6306" s="4"/>
      <c r="B6306" s="5"/>
      <c r="C6306" s="5"/>
      <c r="D6306" s="5"/>
      <c r="E6306" s="5"/>
      <c r="F6306" s="5"/>
      <c r="G6306" s="5"/>
      <c r="H6306" s="5"/>
    </row>
    <row r="6307" spans="1:8" x14ac:dyDescent="0.25">
      <c r="A6307" s="4"/>
      <c r="B6307" s="5"/>
      <c r="C6307" s="5"/>
      <c r="D6307" s="5"/>
      <c r="E6307" s="5"/>
      <c r="F6307" s="5"/>
      <c r="G6307" s="5"/>
      <c r="H6307" s="5"/>
    </row>
    <row r="6308" spans="1:8" x14ac:dyDescent="0.25">
      <c r="A6308" s="4"/>
      <c r="B6308" s="5"/>
      <c r="C6308" s="5"/>
      <c r="D6308" s="5"/>
      <c r="E6308" s="5"/>
      <c r="F6308" s="5"/>
      <c r="G6308" s="5"/>
      <c r="H6308" s="5"/>
    </row>
    <row r="6309" spans="1:8" x14ac:dyDescent="0.25">
      <c r="A6309" s="4"/>
      <c r="B6309" s="5"/>
      <c r="C6309" s="5"/>
      <c r="D6309" s="5"/>
      <c r="E6309" s="5"/>
      <c r="F6309" s="5"/>
      <c r="G6309" s="5"/>
      <c r="H6309" s="5"/>
    </row>
    <row r="6310" spans="1:8" x14ac:dyDescent="0.25">
      <c r="A6310" s="4"/>
      <c r="B6310" s="5"/>
      <c r="C6310" s="5"/>
      <c r="D6310" s="5"/>
      <c r="E6310" s="5"/>
      <c r="F6310" s="5"/>
      <c r="G6310" s="5"/>
      <c r="H6310" s="5"/>
    </row>
    <row r="6311" spans="1:8" x14ac:dyDescent="0.25">
      <c r="A6311" s="4"/>
      <c r="B6311" s="5"/>
      <c r="C6311" s="5"/>
      <c r="D6311" s="5"/>
      <c r="E6311" s="5"/>
      <c r="F6311" s="5"/>
      <c r="G6311" s="5"/>
      <c r="H6311" s="5"/>
    </row>
    <row r="6312" spans="1:8" x14ac:dyDescent="0.25">
      <c r="A6312" s="4"/>
      <c r="B6312" s="5"/>
      <c r="C6312" s="5"/>
      <c r="D6312" s="5"/>
      <c r="E6312" s="5"/>
      <c r="F6312" s="5"/>
      <c r="G6312" s="5"/>
      <c r="H6312" s="5"/>
    </row>
    <row r="6313" spans="1:8" x14ac:dyDescent="0.25">
      <c r="A6313" s="4"/>
      <c r="B6313" s="5"/>
      <c r="C6313" s="5"/>
      <c r="D6313" s="5"/>
      <c r="E6313" s="5"/>
      <c r="F6313" s="5"/>
      <c r="G6313" s="5"/>
      <c r="H6313" s="5"/>
    </row>
    <row r="6314" spans="1:8" x14ac:dyDescent="0.25">
      <c r="A6314" s="4"/>
      <c r="B6314" s="5"/>
      <c r="C6314" s="5"/>
      <c r="D6314" s="5"/>
      <c r="E6314" s="5"/>
      <c r="F6314" s="5"/>
      <c r="G6314" s="5"/>
      <c r="H6314" s="5"/>
    </row>
    <row r="6315" spans="1:8" x14ac:dyDescent="0.25">
      <c r="A6315" s="4"/>
      <c r="B6315" s="5"/>
      <c r="C6315" s="5"/>
      <c r="D6315" s="5"/>
      <c r="E6315" s="5"/>
      <c r="F6315" s="5"/>
      <c r="G6315" s="5"/>
      <c r="H6315" s="5"/>
    </row>
    <row r="6316" spans="1:8" x14ac:dyDescent="0.25">
      <c r="A6316" s="4"/>
      <c r="B6316" s="5"/>
      <c r="C6316" s="5"/>
      <c r="D6316" s="5"/>
      <c r="E6316" s="5"/>
      <c r="F6316" s="5"/>
      <c r="G6316" s="5"/>
      <c r="H6316" s="5"/>
    </row>
    <row r="6317" spans="1:8" x14ac:dyDescent="0.25">
      <c r="A6317" s="4"/>
      <c r="B6317" s="5"/>
      <c r="C6317" s="5"/>
      <c r="D6317" s="5"/>
      <c r="E6317" s="5"/>
      <c r="F6317" s="5"/>
      <c r="G6317" s="5"/>
      <c r="H6317" s="5"/>
    </row>
    <row r="6318" spans="1:8" x14ac:dyDescent="0.25">
      <c r="A6318" s="4"/>
      <c r="B6318" s="5"/>
      <c r="C6318" s="5"/>
      <c r="D6318" s="5"/>
      <c r="E6318" s="5"/>
      <c r="F6318" s="5"/>
      <c r="G6318" s="5"/>
      <c r="H6318" s="5"/>
    </row>
    <row r="6319" spans="1:8" x14ac:dyDescent="0.25">
      <c r="A6319" s="4"/>
      <c r="B6319" s="5"/>
      <c r="C6319" s="5"/>
      <c r="D6319" s="5"/>
      <c r="E6319" s="5"/>
      <c r="F6319" s="5"/>
      <c r="G6319" s="5"/>
      <c r="H6319" s="5"/>
    </row>
    <row r="6320" spans="1:8" x14ac:dyDescent="0.25">
      <c r="A6320" s="4"/>
      <c r="B6320" s="5"/>
      <c r="C6320" s="5"/>
      <c r="D6320" s="5"/>
      <c r="E6320" s="5"/>
      <c r="F6320" s="5"/>
      <c r="G6320" s="5"/>
      <c r="H6320" s="5"/>
    </row>
    <row r="6321" spans="1:8" x14ac:dyDescent="0.25">
      <c r="A6321" s="4"/>
      <c r="B6321" s="5"/>
      <c r="C6321" s="5"/>
      <c r="D6321" s="5"/>
      <c r="E6321" s="5"/>
      <c r="F6321" s="5"/>
      <c r="G6321" s="5"/>
      <c r="H6321" s="5"/>
    </row>
    <row r="6322" spans="1:8" x14ac:dyDescent="0.25">
      <c r="A6322" s="4"/>
      <c r="B6322" s="5"/>
      <c r="C6322" s="5"/>
      <c r="D6322" s="5"/>
      <c r="E6322" s="5"/>
      <c r="F6322" s="5"/>
      <c r="G6322" s="5"/>
      <c r="H6322" s="5"/>
    </row>
    <row r="6323" spans="1:8" x14ac:dyDescent="0.25">
      <c r="A6323" s="4"/>
      <c r="B6323" s="5"/>
      <c r="C6323" s="5"/>
      <c r="D6323" s="5"/>
      <c r="E6323" s="5"/>
      <c r="F6323" s="5"/>
      <c r="G6323" s="5"/>
      <c r="H6323" s="5"/>
    </row>
    <row r="6324" spans="1:8" x14ac:dyDescent="0.25">
      <c r="A6324" s="4"/>
      <c r="B6324" s="5"/>
      <c r="C6324" s="5"/>
      <c r="D6324" s="5"/>
      <c r="E6324" s="5"/>
      <c r="F6324" s="5"/>
      <c r="G6324" s="5"/>
      <c r="H6324" s="5"/>
    </row>
    <row r="6325" spans="1:8" x14ac:dyDescent="0.25">
      <c r="A6325" s="4"/>
      <c r="B6325" s="5"/>
      <c r="C6325" s="5"/>
      <c r="D6325" s="5"/>
      <c r="E6325" s="5"/>
      <c r="F6325" s="5"/>
      <c r="G6325" s="5"/>
      <c r="H6325" s="5"/>
    </row>
    <row r="6326" spans="1:8" x14ac:dyDescent="0.25">
      <c r="A6326" s="4"/>
      <c r="B6326" s="5"/>
      <c r="C6326" s="5"/>
      <c r="D6326" s="5"/>
      <c r="E6326" s="5"/>
      <c r="F6326" s="5"/>
      <c r="G6326" s="5"/>
      <c r="H6326" s="5"/>
    </row>
    <row r="6327" spans="1:8" x14ac:dyDescent="0.25">
      <c r="A6327" s="4"/>
      <c r="B6327" s="5"/>
      <c r="C6327" s="5"/>
      <c r="D6327" s="5"/>
      <c r="E6327" s="5"/>
      <c r="F6327" s="5"/>
      <c r="G6327" s="5"/>
      <c r="H6327" s="5"/>
    </row>
    <row r="6328" spans="1:8" x14ac:dyDescent="0.25">
      <c r="A6328" s="4"/>
      <c r="B6328" s="5"/>
      <c r="C6328" s="5"/>
      <c r="D6328" s="5"/>
      <c r="E6328" s="5"/>
      <c r="F6328" s="5"/>
      <c r="G6328" s="5"/>
      <c r="H6328" s="5"/>
    </row>
    <row r="6329" spans="1:8" x14ac:dyDescent="0.25">
      <c r="A6329" s="4"/>
      <c r="B6329" s="5"/>
      <c r="C6329" s="5"/>
      <c r="D6329" s="5"/>
      <c r="E6329" s="5"/>
      <c r="F6329" s="5"/>
      <c r="G6329" s="5"/>
      <c r="H6329" s="5"/>
    </row>
    <row r="6330" spans="1:8" x14ac:dyDescent="0.25">
      <c r="A6330" s="4"/>
      <c r="B6330" s="5"/>
      <c r="C6330" s="5"/>
      <c r="D6330" s="5"/>
      <c r="E6330" s="5"/>
      <c r="F6330" s="5"/>
      <c r="G6330" s="5"/>
      <c r="H6330" s="5"/>
    </row>
    <row r="6331" spans="1:8" x14ac:dyDescent="0.25">
      <c r="A6331" s="4"/>
      <c r="B6331" s="5"/>
      <c r="C6331" s="5"/>
      <c r="D6331" s="5"/>
      <c r="E6331" s="5"/>
      <c r="F6331" s="5"/>
      <c r="G6331" s="5"/>
      <c r="H6331" s="5"/>
    </row>
    <row r="6332" spans="1:8" x14ac:dyDescent="0.25">
      <c r="A6332" s="4"/>
      <c r="B6332" s="5"/>
      <c r="C6332" s="5"/>
      <c r="D6332" s="5"/>
      <c r="E6332" s="5"/>
      <c r="F6332" s="5"/>
      <c r="G6332" s="5"/>
      <c r="H6332" s="5"/>
    </row>
    <row r="6333" spans="1:8" x14ac:dyDescent="0.25">
      <c r="A6333" s="4"/>
      <c r="B6333" s="5"/>
      <c r="C6333" s="5"/>
      <c r="D6333" s="5"/>
      <c r="E6333" s="5"/>
      <c r="F6333" s="5"/>
      <c r="G6333" s="5"/>
      <c r="H6333" s="5"/>
    </row>
    <row r="6334" spans="1:8" x14ac:dyDescent="0.25">
      <c r="A6334" s="4"/>
      <c r="B6334" s="5"/>
      <c r="C6334" s="5"/>
      <c r="D6334" s="5"/>
      <c r="E6334" s="5"/>
      <c r="F6334" s="5"/>
      <c r="G6334" s="5"/>
      <c r="H6334" s="5"/>
    </row>
    <row r="6335" spans="1:8" x14ac:dyDescent="0.25">
      <c r="A6335" s="4"/>
      <c r="B6335" s="5"/>
      <c r="C6335" s="5"/>
      <c r="D6335" s="5"/>
      <c r="E6335" s="5"/>
      <c r="F6335" s="5"/>
      <c r="G6335" s="5"/>
      <c r="H6335" s="5"/>
    </row>
    <row r="6336" spans="1:8" x14ac:dyDescent="0.25">
      <c r="A6336" s="4"/>
      <c r="B6336" s="5"/>
      <c r="C6336" s="5"/>
      <c r="D6336" s="5"/>
      <c r="E6336" s="5"/>
      <c r="F6336" s="5"/>
      <c r="G6336" s="5"/>
      <c r="H6336" s="5"/>
    </row>
    <row r="6337" spans="1:8" x14ac:dyDescent="0.25">
      <c r="A6337" s="4"/>
      <c r="B6337" s="5"/>
      <c r="C6337" s="5"/>
      <c r="D6337" s="5"/>
      <c r="E6337" s="5"/>
      <c r="F6337" s="5"/>
      <c r="G6337" s="5"/>
      <c r="H6337" s="5"/>
    </row>
    <row r="6338" spans="1:8" x14ac:dyDescent="0.25">
      <c r="A6338" s="4"/>
      <c r="B6338" s="5"/>
      <c r="C6338" s="5"/>
      <c r="D6338" s="5"/>
      <c r="E6338" s="5"/>
      <c r="F6338" s="5"/>
      <c r="G6338" s="5"/>
      <c r="H6338" s="5"/>
    </row>
    <row r="6339" spans="1:8" x14ac:dyDescent="0.25">
      <c r="A6339" s="4"/>
      <c r="B6339" s="5"/>
      <c r="C6339" s="5"/>
      <c r="D6339" s="5"/>
      <c r="E6339" s="5"/>
      <c r="F6339" s="5"/>
      <c r="G6339" s="5"/>
      <c r="H6339" s="5"/>
    </row>
    <row r="6340" spans="1:8" x14ac:dyDescent="0.25">
      <c r="A6340" s="4"/>
      <c r="B6340" s="5"/>
      <c r="C6340" s="5"/>
      <c r="D6340" s="5"/>
      <c r="E6340" s="5"/>
      <c r="F6340" s="5"/>
      <c r="G6340" s="5"/>
      <c r="H6340" s="5"/>
    </row>
    <row r="6341" spans="1:8" x14ac:dyDescent="0.25">
      <c r="A6341" s="4"/>
      <c r="B6341" s="5"/>
      <c r="C6341" s="5"/>
      <c r="D6341" s="5"/>
      <c r="E6341" s="5"/>
      <c r="F6341" s="5"/>
      <c r="G6341" s="5"/>
      <c r="H6341" s="5"/>
    </row>
    <row r="6342" spans="1:8" x14ac:dyDescent="0.25">
      <c r="A6342" s="4"/>
      <c r="B6342" s="5"/>
      <c r="C6342" s="5"/>
      <c r="D6342" s="5"/>
      <c r="E6342" s="5"/>
      <c r="F6342" s="5"/>
      <c r="G6342" s="5"/>
      <c r="H6342" s="5"/>
    </row>
    <row r="6343" spans="1:8" x14ac:dyDescent="0.25">
      <c r="A6343" s="4"/>
      <c r="B6343" s="5"/>
      <c r="C6343" s="5"/>
      <c r="D6343" s="5"/>
      <c r="E6343" s="5"/>
      <c r="F6343" s="5"/>
      <c r="G6343" s="5"/>
      <c r="H6343" s="5"/>
    </row>
    <row r="6344" spans="1:8" x14ac:dyDescent="0.25">
      <c r="A6344" s="4"/>
      <c r="B6344" s="5"/>
      <c r="C6344" s="5"/>
      <c r="D6344" s="5"/>
      <c r="E6344" s="5"/>
      <c r="F6344" s="5"/>
      <c r="G6344" s="5"/>
      <c r="H6344" s="5"/>
    </row>
    <row r="6345" spans="1:8" x14ac:dyDescent="0.25">
      <c r="A6345" s="4"/>
      <c r="B6345" s="5"/>
      <c r="C6345" s="5"/>
      <c r="D6345" s="5"/>
      <c r="E6345" s="5"/>
      <c r="F6345" s="5"/>
      <c r="G6345" s="5"/>
      <c r="H6345" s="5"/>
    </row>
    <row r="6346" spans="1:8" x14ac:dyDescent="0.25">
      <c r="A6346" s="4"/>
      <c r="B6346" s="5"/>
      <c r="C6346" s="5"/>
      <c r="D6346" s="5"/>
      <c r="E6346" s="5"/>
      <c r="F6346" s="5"/>
      <c r="G6346" s="5"/>
      <c r="H6346" s="5"/>
    </row>
    <row r="6347" spans="1:8" x14ac:dyDescent="0.25">
      <c r="A6347" s="4"/>
      <c r="B6347" s="5"/>
      <c r="C6347" s="5"/>
      <c r="D6347" s="5"/>
      <c r="E6347" s="5"/>
      <c r="F6347" s="5"/>
      <c r="G6347" s="5"/>
      <c r="H6347" s="5"/>
    </row>
    <row r="6348" spans="1:8" x14ac:dyDescent="0.25">
      <c r="A6348" s="4"/>
      <c r="B6348" s="5"/>
      <c r="C6348" s="5"/>
      <c r="D6348" s="5"/>
      <c r="E6348" s="5"/>
      <c r="F6348" s="5"/>
      <c r="G6348" s="5"/>
      <c r="H6348" s="5"/>
    </row>
    <row r="6349" spans="1:8" x14ac:dyDescent="0.25">
      <c r="A6349" s="4"/>
      <c r="B6349" s="5"/>
      <c r="C6349" s="5"/>
      <c r="D6349" s="5"/>
      <c r="E6349" s="5"/>
      <c r="F6349" s="5"/>
      <c r="G6349" s="5"/>
      <c r="H6349" s="5"/>
    </row>
    <row r="6350" spans="1:8" x14ac:dyDescent="0.25">
      <c r="A6350" s="4"/>
      <c r="B6350" s="5"/>
      <c r="C6350" s="5"/>
      <c r="D6350" s="5"/>
      <c r="E6350" s="5"/>
      <c r="F6350" s="5"/>
      <c r="G6350" s="5"/>
      <c r="H6350" s="5"/>
    </row>
    <row r="6351" spans="1:8" x14ac:dyDescent="0.25">
      <c r="A6351" s="4"/>
      <c r="B6351" s="5"/>
      <c r="C6351" s="5"/>
      <c r="D6351" s="5"/>
      <c r="E6351" s="5"/>
      <c r="F6351" s="5"/>
      <c r="G6351" s="5"/>
      <c r="H6351" s="5"/>
    </row>
    <row r="6352" spans="1:8" x14ac:dyDescent="0.25">
      <c r="A6352" s="4"/>
      <c r="B6352" s="5"/>
      <c r="C6352" s="5"/>
      <c r="D6352" s="5"/>
      <c r="E6352" s="5"/>
      <c r="F6352" s="5"/>
      <c r="G6352" s="5"/>
      <c r="H6352" s="5"/>
    </row>
    <row r="6353" spans="1:8" x14ac:dyDescent="0.25">
      <c r="A6353" s="4"/>
      <c r="B6353" s="5"/>
      <c r="C6353" s="5"/>
      <c r="D6353" s="5"/>
      <c r="E6353" s="5"/>
      <c r="F6353" s="5"/>
      <c r="G6353" s="5"/>
      <c r="H6353" s="5"/>
    </row>
    <row r="6354" spans="1:8" x14ac:dyDescent="0.25">
      <c r="A6354" s="4"/>
      <c r="B6354" s="5"/>
      <c r="C6354" s="5"/>
      <c r="D6354" s="5"/>
      <c r="E6354" s="5"/>
      <c r="F6354" s="5"/>
      <c r="G6354" s="5"/>
      <c r="H6354" s="5"/>
    </row>
    <row r="6355" spans="1:8" x14ac:dyDescent="0.25">
      <c r="A6355" s="4"/>
      <c r="B6355" s="5"/>
      <c r="C6355" s="5"/>
      <c r="D6355" s="5"/>
      <c r="E6355" s="5"/>
      <c r="F6355" s="5"/>
      <c r="G6355" s="5"/>
      <c r="H6355" s="5"/>
    </row>
    <row r="6356" spans="1:8" x14ac:dyDescent="0.25">
      <c r="A6356" s="4"/>
      <c r="B6356" s="5"/>
      <c r="C6356" s="5"/>
      <c r="D6356" s="5"/>
      <c r="E6356" s="5"/>
      <c r="F6356" s="5"/>
      <c r="G6356" s="5"/>
      <c r="H6356" s="5"/>
    </row>
    <row r="6357" spans="1:8" x14ac:dyDescent="0.25">
      <c r="A6357" s="4"/>
      <c r="B6357" s="5"/>
      <c r="C6357" s="5"/>
      <c r="D6357" s="5"/>
      <c r="E6357" s="5"/>
      <c r="F6357" s="5"/>
      <c r="G6357" s="5"/>
      <c r="H6357" s="5"/>
    </row>
    <row r="6358" spans="1:8" x14ac:dyDescent="0.25">
      <c r="A6358" s="4"/>
      <c r="B6358" s="5"/>
      <c r="C6358" s="5"/>
      <c r="D6358" s="5"/>
      <c r="E6358" s="5"/>
      <c r="F6358" s="5"/>
      <c r="G6358" s="5"/>
      <c r="H6358" s="5"/>
    </row>
    <row r="6359" spans="1:8" x14ac:dyDescent="0.25">
      <c r="A6359" s="4"/>
      <c r="B6359" s="5"/>
      <c r="C6359" s="5"/>
      <c r="D6359" s="5"/>
      <c r="E6359" s="5"/>
      <c r="F6359" s="5"/>
      <c r="G6359" s="5"/>
      <c r="H6359" s="5"/>
    </row>
    <row r="6360" spans="1:8" x14ac:dyDescent="0.25">
      <c r="A6360" s="4"/>
      <c r="B6360" s="5"/>
      <c r="C6360" s="5"/>
      <c r="D6360" s="5"/>
      <c r="E6360" s="5"/>
      <c r="F6360" s="5"/>
      <c r="G6360" s="5"/>
      <c r="H6360" s="5"/>
    </row>
    <row r="6361" spans="1:8" x14ac:dyDescent="0.25">
      <c r="A6361" s="4"/>
      <c r="B6361" s="5"/>
      <c r="C6361" s="5"/>
      <c r="D6361" s="5"/>
      <c r="E6361" s="5"/>
      <c r="F6361" s="5"/>
      <c r="G6361" s="5"/>
      <c r="H6361" s="5"/>
    </row>
    <row r="6362" spans="1:8" x14ac:dyDescent="0.25">
      <c r="A6362" s="4"/>
      <c r="B6362" s="5"/>
      <c r="C6362" s="5"/>
      <c r="D6362" s="5"/>
      <c r="E6362" s="5"/>
      <c r="F6362" s="5"/>
      <c r="G6362" s="5"/>
      <c r="H6362" s="5"/>
    </row>
    <row r="6363" spans="1:8" x14ac:dyDescent="0.25">
      <c r="A6363" s="4"/>
      <c r="B6363" s="5"/>
      <c r="C6363" s="5"/>
      <c r="D6363" s="5"/>
      <c r="E6363" s="5"/>
      <c r="F6363" s="5"/>
      <c r="G6363" s="5"/>
      <c r="H6363" s="5"/>
    </row>
    <row r="6364" spans="1:8" x14ac:dyDescent="0.25">
      <c r="A6364" s="4"/>
      <c r="B6364" s="5"/>
      <c r="C6364" s="5"/>
      <c r="D6364" s="5"/>
      <c r="E6364" s="5"/>
      <c r="F6364" s="5"/>
      <c r="G6364" s="5"/>
      <c r="H6364" s="5"/>
    </row>
    <row r="6365" spans="1:8" x14ac:dyDescent="0.25">
      <c r="A6365" s="4"/>
      <c r="B6365" s="5"/>
      <c r="C6365" s="5"/>
      <c r="D6365" s="5"/>
      <c r="E6365" s="5"/>
      <c r="F6365" s="5"/>
      <c r="G6365" s="5"/>
      <c r="H6365" s="5"/>
    </row>
    <row r="6366" spans="1:8" x14ac:dyDescent="0.25">
      <c r="A6366" s="4"/>
      <c r="B6366" s="5"/>
      <c r="C6366" s="5"/>
      <c r="D6366" s="5"/>
      <c r="E6366" s="5"/>
      <c r="F6366" s="5"/>
      <c r="G6366" s="5"/>
      <c r="H6366" s="5"/>
    </row>
    <row r="6367" spans="1:8" x14ac:dyDescent="0.25">
      <c r="A6367" s="4"/>
      <c r="B6367" s="5"/>
      <c r="C6367" s="5"/>
      <c r="D6367" s="5"/>
      <c r="E6367" s="5"/>
      <c r="F6367" s="5"/>
      <c r="G6367" s="5"/>
      <c r="H6367" s="5"/>
    </row>
    <row r="6368" spans="1:8" x14ac:dyDescent="0.25">
      <c r="A6368" s="4"/>
      <c r="B6368" s="5"/>
      <c r="C6368" s="5"/>
      <c r="D6368" s="5"/>
      <c r="E6368" s="5"/>
      <c r="F6368" s="5"/>
      <c r="G6368" s="5"/>
      <c r="H6368" s="5"/>
    </row>
    <row r="6369" spans="1:8" x14ac:dyDescent="0.25">
      <c r="A6369" s="4"/>
      <c r="B6369" s="5"/>
      <c r="C6369" s="5"/>
      <c r="D6369" s="5"/>
      <c r="E6369" s="5"/>
      <c r="F6369" s="5"/>
      <c r="G6369" s="5"/>
      <c r="H6369" s="5"/>
    </row>
    <row r="6370" spans="1:8" x14ac:dyDescent="0.25">
      <c r="A6370" s="4"/>
      <c r="B6370" s="5"/>
      <c r="C6370" s="5"/>
      <c r="D6370" s="5"/>
      <c r="E6370" s="5"/>
      <c r="F6370" s="5"/>
      <c r="G6370" s="5"/>
      <c r="H6370" s="5"/>
    </row>
    <row r="6371" spans="1:8" x14ac:dyDescent="0.25">
      <c r="A6371" s="4"/>
      <c r="B6371" s="5"/>
      <c r="C6371" s="5"/>
      <c r="D6371" s="5"/>
      <c r="E6371" s="5"/>
      <c r="F6371" s="5"/>
      <c r="G6371" s="5"/>
      <c r="H6371" s="5"/>
    </row>
    <row r="6372" spans="1:8" x14ac:dyDescent="0.25">
      <c r="A6372" s="4"/>
      <c r="B6372" s="5"/>
      <c r="C6372" s="5"/>
      <c r="D6372" s="5"/>
      <c r="E6372" s="5"/>
      <c r="F6372" s="5"/>
      <c r="G6372" s="5"/>
      <c r="H6372" s="5"/>
    </row>
    <row r="6373" spans="1:8" x14ac:dyDescent="0.25">
      <c r="A6373" s="4"/>
      <c r="B6373" s="5"/>
      <c r="C6373" s="5"/>
      <c r="D6373" s="5"/>
      <c r="E6373" s="5"/>
      <c r="F6373" s="5"/>
      <c r="G6373" s="5"/>
      <c r="H6373" s="5"/>
    </row>
    <row r="6374" spans="1:8" x14ac:dyDescent="0.25">
      <c r="A6374" s="4"/>
      <c r="B6374" s="5"/>
      <c r="C6374" s="5"/>
      <c r="D6374" s="5"/>
      <c r="E6374" s="5"/>
      <c r="F6374" s="5"/>
      <c r="G6374" s="5"/>
      <c r="H6374" s="5"/>
    </row>
    <row r="6375" spans="1:8" x14ac:dyDescent="0.25">
      <c r="A6375" s="4"/>
      <c r="B6375" s="5"/>
      <c r="C6375" s="5"/>
      <c r="D6375" s="5"/>
      <c r="E6375" s="5"/>
      <c r="F6375" s="5"/>
      <c r="G6375" s="5"/>
      <c r="H6375" s="5"/>
    </row>
    <row r="6376" spans="1:8" x14ac:dyDescent="0.25">
      <c r="A6376" s="4"/>
      <c r="B6376" s="5"/>
      <c r="C6376" s="5"/>
      <c r="D6376" s="5"/>
      <c r="E6376" s="5"/>
      <c r="F6376" s="5"/>
      <c r="G6376" s="5"/>
      <c r="H6376" s="5"/>
    </row>
    <row r="6377" spans="1:8" x14ac:dyDescent="0.25">
      <c r="A6377" s="4"/>
      <c r="B6377" s="5"/>
      <c r="C6377" s="5"/>
      <c r="D6377" s="5"/>
      <c r="E6377" s="5"/>
      <c r="F6377" s="5"/>
      <c r="G6377" s="5"/>
      <c r="H6377" s="5"/>
    </row>
    <row r="6378" spans="1:8" x14ac:dyDescent="0.25">
      <c r="A6378" s="4"/>
      <c r="B6378" s="5"/>
      <c r="C6378" s="5"/>
      <c r="D6378" s="5"/>
      <c r="E6378" s="5"/>
      <c r="F6378" s="5"/>
      <c r="G6378" s="5"/>
      <c r="H6378" s="5"/>
    </row>
    <row r="6379" spans="1:8" x14ac:dyDescent="0.25">
      <c r="A6379" s="4"/>
      <c r="B6379" s="5"/>
      <c r="C6379" s="5"/>
      <c r="D6379" s="5"/>
      <c r="E6379" s="5"/>
      <c r="F6379" s="5"/>
      <c r="G6379" s="5"/>
      <c r="H6379" s="5"/>
    </row>
    <row r="6380" spans="1:8" x14ac:dyDescent="0.25">
      <c r="A6380" s="4"/>
      <c r="B6380" s="5"/>
      <c r="C6380" s="5"/>
      <c r="D6380" s="5"/>
      <c r="E6380" s="5"/>
      <c r="F6380" s="5"/>
      <c r="G6380" s="5"/>
      <c r="H6380" s="5"/>
    </row>
    <row r="6381" spans="1:8" x14ac:dyDescent="0.25">
      <c r="A6381" s="4"/>
      <c r="B6381" s="5"/>
      <c r="C6381" s="5"/>
      <c r="D6381" s="5"/>
      <c r="E6381" s="5"/>
      <c r="F6381" s="5"/>
      <c r="G6381" s="5"/>
      <c r="H6381" s="5"/>
    </row>
    <row r="6382" spans="1:8" x14ac:dyDescent="0.25">
      <c r="A6382" s="4"/>
      <c r="B6382" s="5"/>
      <c r="C6382" s="5"/>
      <c r="D6382" s="5"/>
      <c r="E6382" s="5"/>
      <c r="F6382" s="5"/>
      <c r="G6382" s="5"/>
      <c r="H6382" s="5"/>
    </row>
    <row r="6383" spans="1:8" x14ac:dyDescent="0.25">
      <c r="A6383" s="4"/>
      <c r="B6383" s="5"/>
      <c r="C6383" s="5"/>
      <c r="D6383" s="5"/>
      <c r="E6383" s="5"/>
      <c r="F6383" s="5"/>
      <c r="G6383" s="5"/>
      <c r="H6383" s="5"/>
    </row>
    <row r="6384" spans="1:8" x14ac:dyDescent="0.25">
      <c r="A6384" s="4"/>
      <c r="B6384" s="5"/>
      <c r="C6384" s="5"/>
      <c r="D6384" s="5"/>
      <c r="E6384" s="5"/>
      <c r="F6384" s="5"/>
      <c r="G6384" s="5"/>
      <c r="H6384" s="5"/>
    </row>
    <row r="6385" spans="1:8" x14ac:dyDescent="0.25">
      <c r="A6385" s="4"/>
      <c r="B6385" s="5"/>
      <c r="C6385" s="5"/>
      <c r="D6385" s="5"/>
      <c r="E6385" s="5"/>
      <c r="F6385" s="5"/>
      <c r="G6385" s="5"/>
      <c r="H6385" s="5"/>
    </row>
    <row r="6386" spans="1:8" x14ac:dyDescent="0.25">
      <c r="A6386" s="4"/>
      <c r="B6386" s="5"/>
      <c r="C6386" s="5"/>
      <c r="D6386" s="5"/>
      <c r="E6386" s="5"/>
      <c r="F6386" s="5"/>
      <c r="G6386" s="5"/>
      <c r="H6386" s="5"/>
    </row>
    <row r="6387" spans="1:8" x14ac:dyDescent="0.25">
      <c r="A6387" s="4"/>
      <c r="B6387" s="5"/>
      <c r="C6387" s="5"/>
      <c r="D6387" s="5"/>
      <c r="E6387" s="5"/>
      <c r="F6387" s="5"/>
      <c r="G6387" s="5"/>
      <c r="H6387" s="5"/>
    </row>
    <row r="6388" spans="1:8" x14ac:dyDescent="0.25">
      <c r="A6388" s="4"/>
      <c r="B6388" s="5"/>
      <c r="C6388" s="5"/>
      <c r="D6388" s="5"/>
      <c r="E6388" s="5"/>
      <c r="F6388" s="5"/>
      <c r="G6388" s="5"/>
      <c r="H6388" s="5"/>
    </row>
    <row r="6389" spans="1:8" x14ac:dyDescent="0.25">
      <c r="A6389" s="4"/>
      <c r="B6389" s="5"/>
      <c r="C6389" s="5"/>
      <c r="D6389" s="5"/>
      <c r="E6389" s="5"/>
      <c r="F6389" s="5"/>
      <c r="G6389" s="5"/>
      <c r="H6389" s="5"/>
    </row>
    <row r="6390" spans="1:8" x14ac:dyDescent="0.25">
      <c r="A6390" s="4"/>
      <c r="B6390" s="5"/>
      <c r="C6390" s="5"/>
      <c r="D6390" s="5"/>
      <c r="E6390" s="5"/>
      <c r="F6390" s="5"/>
      <c r="G6390" s="5"/>
      <c r="H6390" s="5"/>
    </row>
    <row r="6391" spans="1:8" x14ac:dyDescent="0.25">
      <c r="A6391" s="4"/>
      <c r="B6391" s="5"/>
      <c r="C6391" s="5"/>
      <c r="D6391" s="5"/>
      <c r="E6391" s="5"/>
      <c r="F6391" s="5"/>
      <c r="G6391" s="5"/>
      <c r="H6391" s="5"/>
    </row>
    <row r="6392" spans="1:8" x14ac:dyDescent="0.25">
      <c r="A6392" s="4"/>
      <c r="B6392" s="5"/>
      <c r="C6392" s="5"/>
      <c r="D6392" s="5"/>
      <c r="E6392" s="5"/>
      <c r="F6392" s="5"/>
      <c r="G6392" s="5"/>
      <c r="H6392" s="5"/>
    </row>
    <row r="6393" spans="1:8" x14ac:dyDescent="0.25">
      <c r="A6393" s="4"/>
      <c r="B6393" s="5"/>
      <c r="C6393" s="5"/>
      <c r="D6393" s="5"/>
      <c r="E6393" s="5"/>
      <c r="F6393" s="5"/>
      <c r="G6393" s="5"/>
      <c r="H6393" s="5"/>
    </row>
    <row r="6394" spans="1:8" x14ac:dyDescent="0.25">
      <c r="A6394" s="4"/>
      <c r="B6394" s="5"/>
      <c r="C6394" s="5"/>
      <c r="D6394" s="5"/>
      <c r="E6394" s="5"/>
      <c r="F6394" s="5"/>
      <c r="G6394" s="5"/>
      <c r="H6394" s="5"/>
    </row>
    <row r="6395" spans="1:8" x14ac:dyDescent="0.25">
      <c r="A6395" s="4"/>
      <c r="B6395" s="5"/>
      <c r="C6395" s="5"/>
      <c r="D6395" s="5"/>
      <c r="E6395" s="5"/>
      <c r="F6395" s="5"/>
      <c r="G6395" s="5"/>
      <c r="H6395" s="5"/>
    </row>
    <row r="6396" spans="1:8" x14ac:dyDescent="0.25">
      <c r="A6396" s="4"/>
      <c r="B6396" s="5"/>
      <c r="C6396" s="5"/>
      <c r="D6396" s="5"/>
      <c r="E6396" s="5"/>
      <c r="F6396" s="5"/>
      <c r="G6396" s="5"/>
      <c r="H6396" s="5"/>
    </row>
    <row r="6397" spans="1:8" x14ac:dyDescent="0.25">
      <c r="A6397" s="4"/>
      <c r="B6397" s="5"/>
      <c r="C6397" s="5"/>
      <c r="D6397" s="5"/>
      <c r="E6397" s="5"/>
      <c r="F6397" s="5"/>
      <c r="G6397" s="5"/>
      <c r="H6397" s="5"/>
    </row>
    <row r="6398" spans="1:8" x14ac:dyDescent="0.25">
      <c r="A6398" s="4"/>
      <c r="B6398" s="5"/>
      <c r="C6398" s="5"/>
      <c r="D6398" s="5"/>
      <c r="E6398" s="5"/>
      <c r="F6398" s="5"/>
      <c r="G6398" s="5"/>
      <c r="H6398" s="5"/>
    </row>
    <row r="6399" spans="1:8" x14ac:dyDescent="0.25">
      <c r="A6399" s="4"/>
      <c r="B6399" s="5"/>
      <c r="C6399" s="5"/>
      <c r="D6399" s="5"/>
      <c r="E6399" s="5"/>
      <c r="F6399" s="5"/>
      <c r="G6399" s="5"/>
      <c r="H6399" s="5"/>
    </row>
    <row r="6400" spans="1:8" x14ac:dyDescent="0.25">
      <c r="A6400" s="4"/>
      <c r="B6400" s="5"/>
      <c r="C6400" s="5"/>
      <c r="D6400" s="5"/>
      <c r="E6400" s="5"/>
      <c r="F6400" s="5"/>
      <c r="G6400" s="5"/>
      <c r="H6400" s="5"/>
    </row>
    <row r="6401" spans="1:8" x14ac:dyDescent="0.25">
      <c r="A6401" s="4"/>
      <c r="B6401" s="5"/>
      <c r="C6401" s="5"/>
      <c r="D6401" s="5"/>
      <c r="E6401" s="5"/>
      <c r="F6401" s="5"/>
      <c r="G6401" s="5"/>
      <c r="H6401" s="5"/>
    </row>
    <row r="6402" spans="1:8" x14ac:dyDescent="0.25">
      <c r="A6402" s="4"/>
      <c r="B6402" s="5"/>
      <c r="C6402" s="5"/>
      <c r="D6402" s="5"/>
      <c r="E6402" s="5"/>
      <c r="F6402" s="5"/>
      <c r="G6402" s="5"/>
      <c r="H6402" s="5"/>
    </row>
    <row r="6403" spans="1:8" x14ac:dyDescent="0.25">
      <c r="A6403" s="4"/>
      <c r="B6403" s="5"/>
      <c r="C6403" s="5"/>
      <c r="D6403" s="5"/>
      <c r="E6403" s="5"/>
      <c r="F6403" s="5"/>
      <c r="G6403" s="5"/>
      <c r="H6403" s="5"/>
    </row>
    <row r="6404" spans="1:8" x14ac:dyDescent="0.25">
      <c r="A6404" s="4"/>
      <c r="B6404" s="5"/>
      <c r="C6404" s="5"/>
      <c r="D6404" s="5"/>
      <c r="E6404" s="5"/>
      <c r="F6404" s="5"/>
      <c r="G6404" s="5"/>
      <c r="H6404" s="5"/>
    </row>
    <row r="6405" spans="1:8" x14ac:dyDescent="0.25">
      <c r="A6405" s="4"/>
      <c r="B6405" s="5"/>
      <c r="C6405" s="5"/>
      <c r="D6405" s="5"/>
      <c r="E6405" s="5"/>
      <c r="F6405" s="5"/>
      <c r="G6405" s="5"/>
      <c r="H6405" s="5"/>
    </row>
    <row r="6406" spans="1:8" x14ac:dyDescent="0.25">
      <c r="A6406" s="4"/>
      <c r="B6406" s="5"/>
      <c r="C6406" s="5"/>
      <c r="D6406" s="5"/>
      <c r="E6406" s="5"/>
      <c r="F6406" s="5"/>
      <c r="G6406" s="5"/>
      <c r="H6406" s="5"/>
    </row>
    <row r="6407" spans="1:8" x14ac:dyDescent="0.25">
      <c r="A6407" s="4"/>
      <c r="B6407" s="5"/>
      <c r="C6407" s="5"/>
      <c r="D6407" s="5"/>
      <c r="E6407" s="5"/>
      <c r="F6407" s="5"/>
      <c r="G6407" s="5"/>
      <c r="H6407" s="5"/>
    </row>
    <row r="6408" spans="1:8" x14ac:dyDescent="0.25">
      <c r="A6408" s="4"/>
      <c r="B6408" s="5"/>
      <c r="C6408" s="5"/>
      <c r="D6408" s="5"/>
      <c r="E6408" s="5"/>
      <c r="F6408" s="5"/>
      <c r="G6408" s="5"/>
      <c r="H6408" s="5"/>
    </row>
    <row r="6409" spans="1:8" x14ac:dyDescent="0.25">
      <c r="A6409" s="4"/>
      <c r="B6409" s="5"/>
      <c r="C6409" s="5"/>
      <c r="D6409" s="5"/>
      <c r="E6409" s="5"/>
      <c r="F6409" s="5"/>
      <c r="G6409" s="5"/>
      <c r="H6409" s="5"/>
    </row>
    <row r="6410" spans="1:8" x14ac:dyDescent="0.25">
      <c r="A6410" s="4"/>
      <c r="B6410" s="5"/>
      <c r="C6410" s="5"/>
      <c r="D6410" s="5"/>
      <c r="E6410" s="5"/>
      <c r="F6410" s="5"/>
      <c r="G6410" s="5"/>
      <c r="H6410" s="5"/>
    </row>
    <row r="6411" spans="1:8" x14ac:dyDescent="0.25">
      <c r="A6411" s="4"/>
      <c r="B6411" s="5"/>
      <c r="C6411" s="5"/>
      <c r="D6411" s="5"/>
      <c r="E6411" s="5"/>
      <c r="F6411" s="5"/>
      <c r="G6411" s="5"/>
      <c r="H6411" s="5"/>
    </row>
    <row r="6412" spans="1:8" x14ac:dyDescent="0.25">
      <c r="A6412" s="4"/>
      <c r="B6412" s="5"/>
      <c r="C6412" s="5"/>
      <c r="D6412" s="5"/>
      <c r="E6412" s="5"/>
      <c r="F6412" s="5"/>
      <c r="G6412" s="5"/>
      <c r="H6412" s="5"/>
    </row>
    <row r="6413" spans="1:8" x14ac:dyDescent="0.25">
      <c r="A6413" s="4"/>
      <c r="B6413" s="5"/>
      <c r="C6413" s="5"/>
      <c r="D6413" s="5"/>
      <c r="E6413" s="5"/>
      <c r="F6413" s="5"/>
      <c r="G6413" s="5"/>
      <c r="H6413" s="5"/>
    </row>
    <row r="6414" spans="1:8" x14ac:dyDescent="0.25">
      <c r="A6414" s="4"/>
      <c r="B6414" s="5"/>
      <c r="C6414" s="5"/>
      <c r="D6414" s="5"/>
      <c r="E6414" s="5"/>
      <c r="F6414" s="5"/>
      <c r="G6414" s="5"/>
      <c r="H6414" s="5"/>
    </row>
    <row r="6415" spans="1:8" x14ac:dyDescent="0.25">
      <c r="A6415" s="4"/>
      <c r="B6415" s="5"/>
      <c r="C6415" s="5"/>
      <c r="D6415" s="5"/>
      <c r="E6415" s="5"/>
      <c r="F6415" s="5"/>
      <c r="G6415" s="5"/>
      <c r="H6415" s="5"/>
    </row>
    <row r="6416" spans="1:8" x14ac:dyDescent="0.25">
      <c r="A6416" s="4"/>
      <c r="B6416" s="5"/>
      <c r="C6416" s="5"/>
      <c r="D6416" s="5"/>
      <c r="E6416" s="5"/>
      <c r="F6416" s="5"/>
      <c r="G6416" s="5"/>
      <c r="H6416" s="5"/>
    </row>
    <row r="6417" spans="1:8" x14ac:dyDescent="0.25">
      <c r="A6417" s="4"/>
      <c r="B6417" s="5"/>
      <c r="C6417" s="5"/>
      <c r="D6417" s="5"/>
      <c r="E6417" s="5"/>
      <c r="F6417" s="5"/>
      <c r="G6417" s="5"/>
      <c r="H6417" s="5"/>
    </row>
    <row r="6418" spans="1:8" x14ac:dyDescent="0.25">
      <c r="A6418" s="4"/>
      <c r="B6418" s="5"/>
      <c r="C6418" s="5"/>
      <c r="D6418" s="5"/>
      <c r="E6418" s="5"/>
      <c r="F6418" s="5"/>
      <c r="G6418" s="5"/>
      <c r="H6418" s="5"/>
    </row>
    <row r="6419" spans="1:8" x14ac:dyDescent="0.25">
      <c r="A6419" s="4"/>
      <c r="B6419" s="5"/>
      <c r="C6419" s="5"/>
      <c r="D6419" s="5"/>
      <c r="E6419" s="5"/>
      <c r="F6419" s="5"/>
      <c r="G6419" s="5"/>
      <c r="H6419" s="5"/>
    </row>
    <row r="6420" spans="1:8" x14ac:dyDescent="0.25">
      <c r="A6420" s="4"/>
      <c r="B6420" s="5"/>
      <c r="C6420" s="5"/>
      <c r="D6420" s="5"/>
      <c r="E6420" s="5"/>
      <c r="F6420" s="5"/>
      <c r="G6420" s="5"/>
      <c r="H6420" s="5"/>
    </row>
    <row r="6421" spans="1:8" x14ac:dyDescent="0.25">
      <c r="A6421" s="4"/>
      <c r="B6421" s="5"/>
      <c r="C6421" s="5"/>
      <c r="D6421" s="5"/>
      <c r="E6421" s="5"/>
      <c r="F6421" s="5"/>
      <c r="G6421" s="5"/>
      <c r="H6421" s="5"/>
    </row>
    <row r="6422" spans="1:8" x14ac:dyDescent="0.25">
      <c r="A6422" s="4"/>
      <c r="B6422" s="5"/>
      <c r="C6422" s="5"/>
      <c r="D6422" s="5"/>
      <c r="E6422" s="5"/>
      <c r="F6422" s="5"/>
      <c r="G6422" s="5"/>
      <c r="H6422" s="5"/>
    </row>
    <row r="6423" spans="1:8" x14ac:dyDescent="0.25">
      <c r="A6423" s="4"/>
      <c r="B6423" s="5"/>
      <c r="C6423" s="5"/>
      <c r="D6423" s="5"/>
      <c r="E6423" s="5"/>
      <c r="F6423" s="5"/>
      <c r="G6423" s="5"/>
      <c r="H6423" s="5"/>
    </row>
    <row r="6424" spans="1:8" x14ac:dyDescent="0.25">
      <c r="A6424" s="4"/>
      <c r="B6424" s="5"/>
      <c r="C6424" s="5"/>
      <c r="D6424" s="5"/>
      <c r="E6424" s="5"/>
      <c r="F6424" s="5"/>
      <c r="G6424" s="5"/>
      <c r="H6424" s="5"/>
    </row>
    <row r="6425" spans="1:8" x14ac:dyDescent="0.25">
      <c r="A6425" s="4"/>
      <c r="B6425" s="5"/>
      <c r="C6425" s="5"/>
      <c r="D6425" s="5"/>
      <c r="E6425" s="5"/>
      <c r="F6425" s="5"/>
      <c r="G6425" s="5"/>
      <c r="H6425" s="5"/>
    </row>
    <row r="6426" spans="1:8" x14ac:dyDescent="0.25">
      <c r="A6426" s="4"/>
      <c r="B6426" s="5"/>
      <c r="C6426" s="5"/>
      <c r="D6426" s="5"/>
      <c r="E6426" s="5"/>
      <c r="F6426" s="5"/>
      <c r="G6426" s="5"/>
      <c r="H6426" s="5"/>
    </row>
    <row r="6427" spans="1:8" x14ac:dyDescent="0.25">
      <c r="A6427" s="4"/>
      <c r="B6427" s="5"/>
      <c r="C6427" s="5"/>
      <c r="D6427" s="5"/>
      <c r="E6427" s="5"/>
      <c r="F6427" s="5"/>
      <c r="G6427" s="5"/>
      <c r="H6427" s="5"/>
    </row>
    <row r="6428" spans="1:8" x14ac:dyDescent="0.25">
      <c r="A6428" s="4"/>
      <c r="B6428" s="5"/>
      <c r="C6428" s="5"/>
      <c r="D6428" s="5"/>
      <c r="E6428" s="5"/>
      <c r="F6428" s="5"/>
      <c r="G6428" s="5"/>
      <c r="H6428" s="5"/>
    </row>
    <row r="6429" spans="1:8" x14ac:dyDescent="0.25">
      <c r="A6429" s="4"/>
      <c r="B6429" s="5"/>
      <c r="C6429" s="5"/>
      <c r="D6429" s="5"/>
      <c r="E6429" s="5"/>
      <c r="F6429" s="5"/>
      <c r="G6429" s="5"/>
      <c r="H6429" s="5"/>
    </row>
    <row r="6430" spans="1:8" x14ac:dyDescent="0.25">
      <c r="A6430" s="4"/>
      <c r="B6430" s="5"/>
      <c r="C6430" s="5"/>
      <c r="D6430" s="5"/>
      <c r="E6430" s="5"/>
      <c r="F6430" s="5"/>
      <c r="G6430" s="5"/>
      <c r="H6430" s="5"/>
    </row>
    <row r="6431" spans="1:8" x14ac:dyDescent="0.25">
      <c r="A6431" s="4"/>
      <c r="B6431" s="5"/>
      <c r="C6431" s="5"/>
      <c r="D6431" s="5"/>
      <c r="E6431" s="5"/>
      <c r="F6431" s="5"/>
      <c r="G6431" s="5"/>
      <c r="H6431" s="5"/>
    </row>
    <row r="6432" spans="1:8" x14ac:dyDescent="0.25">
      <c r="A6432" s="4"/>
      <c r="B6432" s="5"/>
      <c r="C6432" s="5"/>
      <c r="D6432" s="5"/>
      <c r="E6432" s="5"/>
      <c r="F6432" s="5"/>
      <c r="G6432" s="5"/>
      <c r="H6432" s="5"/>
    </row>
    <row r="6433" spans="1:8" x14ac:dyDescent="0.25">
      <c r="A6433" s="4"/>
      <c r="B6433" s="5"/>
      <c r="C6433" s="5"/>
      <c r="D6433" s="5"/>
      <c r="E6433" s="5"/>
      <c r="F6433" s="5"/>
      <c r="G6433" s="5"/>
      <c r="H6433" s="5"/>
    </row>
    <row r="6434" spans="1:8" x14ac:dyDescent="0.25">
      <c r="A6434" s="4"/>
      <c r="B6434" s="5"/>
      <c r="C6434" s="5"/>
      <c r="D6434" s="5"/>
      <c r="E6434" s="5"/>
      <c r="F6434" s="5"/>
      <c r="G6434" s="5"/>
      <c r="H6434" s="5"/>
    </row>
    <row r="6435" spans="1:8" x14ac:dyDescent="0.25">
      <c r="A6435" s="4"/>
      <c r="B6435" s="5"/>
      <c r="C6435" s="5"/>
      <c r="D6435" s="5"/>
      <c r="E6435" s="5"/>
      <c r="F6435" s="5"/>
      <c r="G6435" s="5"/>
      <c r="H6435" s="5"/>
    </row>
    <row r="6436" spans="1:8" x14ac:dyDescent="0.25">
      <c r="A6436" s="4"/>
      <c r="B6436" s="5"/>
      <c r="C6436" s="5"/>
      <c r="D6436" s="5"/>
      <c r="E6436" s="5"/>
      <c r="F6436" s="5"/>
      <c r="G6436" s="5"/>
      <c r="H6436" s="5"/>
    </row>
    <row r="6437" spans="1:8" x14ac:dyDescent="0.25">
      <c r="A6437" s="4"/>
      <c r="B6437" s="5"/>
      <c r="C6437" s="5"/>
      <c r="D6437" s="5"/>
      <c r="E6437" s="5"/>
      <c r="F6437" s="5"/>
      <c r="G6437" s="5"/>
      <c r="H6437" s="5"/>
    </row>
    <row r="6438" spans="1:8" x14ac:dyDescent="0.25">
      <c r="A6438" s="4"/>
      <c r="B6438" s="5"/>
      <c r="C6438" s="5"/>
      <c r="D6438" s="5"/>
      <c r="E6438" s="5"/>
      <c r="F6438" s="5"/>
      <c r="G6438" s="5"/>
      <c r="H6438" s="5"/>
    </row>
    <row r="6439" spans="1:8" x14ac:dyDescent="0.25">
      <c r="A6439" s="4"/>
      <c r="B6439" s="5"/>
      <c r="C6439" s="5"/>
      <c r="D6439" s="5"/>
      <c r="E6439" s="5"/>
      <c r="F6439" s="5"/>
      <c r="G6439" s="5"/>
      <c r="H6439" s="5"/>
    </row>
    <row r="6440" spans="1:8" x14ac:dyDescent="0.25">
      <c r="A6440" s="4"/>
      <c r="B6440" s="5"/>
      <c r="C6440" s="5"/>
      <c r="D6440" s="5"/>
      <c r="E6440" s="5"/>
      <c r="F6440" s="5"/>
      <c r="G6440" s="5"/>
      <c r="H6440" s="5"/>
    </row>
    <row r="6441" spans="1:8" x14ac:dyDescent="0.25">
      <c r="A6441" s="4"/>
      <c r="B6441" s="5"/>
      <c r="C6441" s="5"/>
      <c r="D6441" s="5"/>
      <c r="E6441" s="5"/>
      <c r="F6441" s="5"/>
      <c r="G6441" s="5"/>
      <c r="H6441" s="5"/>
    </row>
    <row r="6442" spans="1:8" x14ac:dyDescent="0.25">
      <c r="A6442" s="4"/>
      <c r="B6442" s="5"/>
      <c r="C6442" s="5"/>
      <c r="D6442" s="5"/>
      <c r="E6442" s="5"/>
      <c r="F6442" s="5"/>
      <c r="G6442" s="5"/>
      <c r="H6442" s="5"/>
    </row>
    <row r="6443" spans="1:8" x14ac:dyDescent="0.25">
      <c r="A6443" s="4"/>
      <c r="B6443" s="5"/>
      <c r="C6443" s="5"/>
      <c r="D6443" s="5"/>
      <c r="E6443" s="5"/>
      <c r="F6443" s="5"/>
      <c r="G6443" s="5"/>
      <c r="H6443" s="5"/>
    </row>
    <row r="6444" spans="1:8" x14ac:dyDescent="0.25">
      <c r="A6444" s="4"/>
      <c r="B6444" s="5"/>
      <c r="C6444" s="5"/>
      <c r="D6444" s="5"/>
      <c r="E6444" s="5"/>
      <c r="F6444" s="5"/>
      <c r="G6444" s="5"/>
      <c r="H6444" s="5"/>
    </row>
    <row r="6445" spans="1:8" x14ac:dyDescent="0.25">
      <c r="A6445" s="4"/>
      <c r="B6445" s="5"/>
      <c r="C6445" s="5"/>
      <c r="D6445" s="5"/>
      <c r="E6445" s="5"/>
      <c r="F6445" s="5"/>
      <c r="G6445" s="5"/>
      <c r="H6445" s="5"/>
    </row>
    <row r="6446" spans="1:8" x14ac:dyDescent="0.25">
      <c r="A6446" s="4"/>
      <c r="B6446" s="5"/>
      <c r="C6446" s="5"/>
      <c r="D6446" s="5"/>
      <c r="E6446" s="5"/>
      <c r="F6446" s="5"/>
      <c r="G6446" s="5"/>
      <c r="H6446" s="5"/>
    </row>
    <row r="6447" spans="1:8" x14ac:dyDescent="0.25">
      <c r="A6447" s="4"/>
      <c r="B6447" s="5"/>
      <c r="C6447" s="5"/>
      <c r="D6447" s="5"/>
      <c r="E6447" s="5"/>
      <c r="F6447" s="5"/>
      <c r="G6447" s="5"/>
      <c r="H6447" s="5"/>
    </row>
    <row r="6448" spans="1:8" x14ac:dyDescent="0.25">
      <c r="A6448" s="4"/>
      <c r="B6448" s="5"/>
      <c r="C6448" s="5"/>
      <c r="D6448" s="5"/>
      <c r="E6448" s="5"/>
      <c r="F6448" s="5"/>
      <c r="G6448" s="5"/>
      <c r="H6448" s="5"/>
    </row>
    <row r="6449" spans="1:8" x14ac:dyDescent="0.25">
      <c r="A6449" s="4"/>
      <c r="B6449" s="5"/>
      <c r="C6449" s="5"/>
      <c r="D6449" s="5"/>
      <c r="E6449" s="5"/>
      <c r="F6449" s="5"/>
      <c r="G6449" s="5"/>
      <c r="H6449" s="5"/>
    </row>
    <row r="6450" spans="1:8" x14ac:dyDescent="0.25">
      <c r="A6450" s="4"/>
      <c r="B6450" s="5"/>
      <c r="C6450" s="5"/>
      <c r="D6450" s="5"/>
      <c r="E6450" s="5"/>
      <c r="F6450" s="5"/>
      <c r="G6450" s="5"/>
      <c r="H6450" s="5"/>
    </row>
    <row r="6451" spans="1:8" x14ac:dyDescent="0.25">
      <c r="A6451" s="4"/>
      <c r="B6451" s="5"/>
      <c r="C6451" s="5"/>
      <c r="D6451" s="5"/>
      <c r="E6451" s="5"/>
      <c r="F6451" s="5"/>
      <c r="G6451" s="5"/>
      <c r="H6451" s="5"/>
    </row>
    <row r="6452" spans="1:8" x14ac:dyDescent="0.25">
      <c r="A6452" s="4"/>
      <c r="B6452" s="5"/>
      <c r="C6452" s="5"/>
      <c r="D6452" s="5"/>
      <c r="E6452" s="5"/>
      <c r="F6452" s="5"/>
      <c r="G6452" s="5"/>
      <c r="H6452" s="5"/>
    </row>
    <row r="6453" spans="1:8" x14ac:dyDescent="0.25">
      <c r="A6453" s="4"/>
      <c r="B6453" s="5"/>
      <c r="C6453" s="5"/>
      <c r="D6453" s="5"/>
      <c r="E6453" s="5"/>
      <c r="F6453" s="5"/>
      <c r="G6453" s="5"/>
      <c r="H6453" s="5"/>
    </row>
    <row r="6454" spans="1:8" x14ac:dyDescent="0.25">
      <c r="A6454" s="4"/>
      <c r="B6454" s="5"/>
      <c r="C6454" s="5"/>
      <c r="D6454" s="5"/>
      <c r="E6454" s="5"/>
      <c r="F6454" s="5"/>
      <c r="G6454" s="5"/>
      <c r="H6454" s="5"/>
    </row>
    <row r="6455" spans="1:8" x14ac:dyDescent="0.25">
      <c r="A6455" s="4"/>
      <c r="B6455" s="5"/>
      <c r="C6455" s="5"/>
      <c r="D6455" s="5"/>
      <c r="E6455" s="5"/>
      <c r="F6455" s="5"/>
      <c r="G6455" s="5"/>
      <c r="H6455" s="5"/>
    </row>
    <row r="6456" spans="1:8" x14ac:dyDescent="0.25">
      <c r="A6456" s="4"/>
      <c r="B6456" s="5"/>
      <c r="C6456" s="5"/>
      <c r="D6456" s="5"/>
      <c r="E6456" s="5"/>
      <c r="F6456" s="5"/>
      <c r="G6456" s="5"/>
      <c r="H6456" s="5"/>
    </row>
    <row r="6457" spans="1:8" x14ac:dyDescent="0.25">
      <c r="A6457" s="4"/>
      <c r="B6457" s="5"/>
      <c r="C6457" s="5"/>
      <c r="D6457" s="5"/>
      <c r="E6457" s="5"/>
      <c r="F6457" s="5"/>
      <c r="G6457" s="5"/>
      <c r="H6457" s="5"/>
    </row>
    <row r="6458" spans="1:8" x14ac:dyDescent="0.25">
      <c r="A6458" s="4"/>
      <c r="B6458" s="5"/>
      <c r="C6458" s="5"/>
      <c r="D6458" s="5"/>
      <c r="E6458" s="5"/>
      <c r="F6458" s="5"/>
      <c r="G6458" s="5"/>
      <c r="H6458" s="5"/>
    </row>
    <row r="6459" spans="1:8" x14ac:dyDescent="0.25">
      <c r="A6459" s="4"/>
      <c r="B6459" s="5"/>
      <c r="C6459" s="5"/>
      <c r="D6459" s="5"/>
      <c r="E6459" s="5"/>
      <c r="F6459" s="5"/>
      <c r="G6459" s="5"/>
      <c r="H6459" s="5"/>
    </row>
    <row r="6460" spans="1:8" x14ac:dyDescent="0.25">
      <c r="A6460" s="4"/>
      <c r="B6460" s="5"/>
      <c r="C6460" s="5"/>
      <c r="D6460" s="5"/>
      <c r="E6460" s="5"/>
      <c r="F6460" s="5"/>
      <c r="G6460" s="5"/>
      <c r="H6460" s="5"/>
    </row>
    <row r="6461" spans="1:8" x14ac:dyDescent="0.25">
      <c r="A6461" s="4"/>
      <c r="B6461" s="5"/>
      <c r="C6461" s="5"/>
      <c r="D6461" s="5"/>
      <c r="E6461" s="5"/>
      <c r="F6461" s="5"/>
      <c r="G6461" s="5"/>
      <c r="H6461" s="5"/>
    </row>
    <row r="6462" spans="1:8" x14ac:dyDescent="0.25">
      <c r="A6462" s="4"/>
      <c r="B6462" s="5"/>
      <c r="C6462" s="5"/>
      <c r="D6462" s="5"/>
      <c r="E6462" s="5"/>
      <c r="F6462" s="5"/>
      <c r="G6462" s="5"/>
      <c r="H6462" s="5"/>
    </row>
    <row r="6463" spans="1:8" x14ac:dyDescent="0.25">
      <c r="A6463" s="4"/>
      <c r="B6463" s="5"/>
      <c r="C6463" s="5"/>
      <c r="D6463" s="5"/>
      <c r="E6463" s="5"/>
      <c r="F6463" s="5"/>
      <c r="G6463" s="5"/>
      <c r="H6463" s="5"/>
    </row>
    <row r="6464" spans="1:8" x14ac:dyDescent="0.25">
      <c r="A6464" s="4"/>
      <c r="B6464" s="5"/>
      <c r="C6464" s="5"/>
      <c r="D6464" s="5"/>
      <c r="E6464" s="5"/>
      <c r="F6464" s="5"/>
      <c r="G6464" s="5"/>
      <c r="H6464" s="5"/>
    </row>
    <row r="6465" spans="1:8" x14ac:dyDescent="0.25">
      <c r="A6465" s="4"/>
      <c r="B6465" s="5"/>
      <c r="C6465" s="5"/>
      <c r="D6465" s="5"/>
      <c r="E6465" s="5"/>
      <c r="F6465" s="5"/>
      <c r="G6465" s="5"/>
      <c r="H6465" s="5"/>
    </row>
    <row r="6466" spans="1:8" x14ac:dyDescent="0.25">
      <c r="A6466" s="4"/>
      <c r="B6466" s="5"/>
      <c r="C6466" s="5"/>
      <c r="D6466" s="5"/>
      <c r="E6466" s="5"/>
      <c r="F6466" s="5"/>
      <c r="G6466" s="5"/>
      <c r="H6466" s="5"/>
    </row>
    <row r="6467" spans="1:8" x14ac:dyDescent="0.25">
      <c r="A6467" s="4"/>
      <c r="B6467" s="5"/>
      <c r="C6467" s="5"/>
      <c r="D6467" s="5"/>
      <c r="E6467" s="5"/>
      <c r="F6467" s="5"/>
      <c r="G6467" s="5"/>
      <c r="H6467" s="5"/>
    </row>
    <row r="6468" spans="1:8" x14ac:dyDescent="0.25">
      <c r="A6468" s="4"/>
      <c r="B6468" s="5"/>
      <c r="C6468" s="5"/>
      <c r="D6468" s="5"/>
      <c r="E6468" s="5"/>
      <c r="F6468" s="5"/>
      <c r="G6468" s="5"/>
      <c r="H6468" s="5"/>
    </row>
    <row r="6469" spans="1:8" x14ac:dyDescent="0.25">
      <c r="A6469" s="4"/>
      <c r="B6469" s="5"/>
      <c r="C6469" s="5"/>
      <c r="D6469" s="5"/>
      <c r="E6469" s="5"/>
      <c r="F6469" s="5"/>
      <c r="G6469" s="5"/>
      <c r="H6469" s="5"/>
    </row>
    <row r="6470" spans="1:8" x14ac:dyDescent="0.25">
      <c r="A6470" s="4"/>
      <c r="B6470" s="5"/>
      <c r="C6470" s="5"/>
      <c r="D6470" s="5"/>
      <c r="E6470" s="5"/>
      <c r="F6470" s="5"/>
      <c r="G6470" s="5"/>
      <c r="H6470" s="5"/>
    </row>
    <row r="6471" spans="1:8" x14ac:dyDescent="0.25">
      <c r="A6471" s="4"/>
      <c r="B6471" s="5"/>
      <c r="C6471" s="5"/>
      <c r="D6471" s="5"/>
      <c r="E6471" s="5"/>
      <c r="F6471" s="5"/>
      <c r="G6471" s="5"/>
      <c r="H6471" s="5"/>
    </row>
    <row r="6472" spans="1:8" x14ac:dyDescent="0.25">
      <c r="A6472" s="4"/>
      <c r="B6472" s="5"/>
      <c r="C6472" s="5"/>
      <c r="D6472" s="5"/>
      <c r="E6472" s="5"/>
      <c r="F6472" s="5"/>
      <c r="G6472" s="5"/>
      <c r="H6472" s="5"/>
    </row>
    <row r="6473" spans="1:8" x14ac:dyDescent="0.25">
      <c r="A6473" s="4"/>
      <c r="B6473" s="5"/>
      <c r="C6473" s="5"/>
      <c r="D6473" s="5"/>
      <c r="E6473" s="5"/>
      <c r="F6473" s="5"/>
      <c r="G6473" s="5"/>
      <c r="H6473" s="5"/>
    </row>
    <row r="6474" spans="1:8" x14ac:dyDescent="0.25">
      <c r="A6474" s="4"/>
      <c r="B6474" s="5"/>
      <c r="C6474" s="5"/>
      <c r="D6474" s="5"/>
      <c r="E6474" s="5"/>
      <c r="F6474" s="5"/>
      <c r="G6474" s="5"/>
      <c r="H6474" s="5"/>
    </row>
    <row r="6475" spans="1:8" x14ac:dyDescent="0.25">
      <c r="A6475" s="4"/>
      <c r="B6475" s="5"/>
      <c r="C6475" s="5"/>
      <c r="D6475" s="5"/>
      <c r="E6475" s="5"/>
      <c r="F6475" s="5"/>
      <c r="G6475" s="5"/>
      <c r="H6475" s="5"/>
    </row>
    <row r="6476" spans="1:8" x14ac:dyDescent="0.25">
      <c r="A6476" s="4"/>
      <c r="B6476" s="5"/>
      <c r="C6476" s="5"/>
      <c r="D6476" s="5"/>
      <c r="E6476" s="5"/>
      <c r="F6476" s="5"/>
      <c r="G6476" s="5"/>
      <c r="H6476" s="5"/>
    </row>
    <row r="6477" spans="1:8" x14ac:dyDescent="0.25">
      <c r="A6477" s="4"/>
      <c r="B6477" s="5"/>
      <c r="C6477" s="5"/>
      <c r="D6477" s="5"/>
      <c r="E6477" s="5"/>
      <c r="F6477" s="5"/>
      <c r="G6477" s="5"/>
      <c r="H6477" s="5"/>
    </row>
    <row r="6478" spans="1:8" x14ac:dyDescent="0.25">
      <c r="A6478" s="4"/>
      <c r="B6478" s="5"/>
      <c r="C6478" s="5"/>
      <c r="D6478" s="5"/>
      <c r="E6478" s="5"/>
      <c r="F6478" s="5"/>
      <c r="G6478" s="5"/>
      <c r="H6478" s="5"/>
    </row>
    <row r="6479" spans="1:8" x14ac:dyDescent="0.25">
      <c r="A6479" s="4"/>
      <c r="B6479" s="5"/>
      <c r="C6479" s="5"/>
      <c r="D6479" s="5"/>
      <c r="E6479" s="5"/>
      <c r="F6479" s="5"/>
      <c r="G6479" s="5"/>
      <c r="H6479" s="5"/>
    </row>
    <row r="6480" spans="1:8" x14ac:dyDescent="0.25">
      <c r="A6480" s="4"/>
      <c r="B6480" s="5"/>
      <c r="C6480" s="5"/>
      <c r="D6480" s="5"/>
      <c r="E6480" s="5"/>
      <c r="F6480" s="5"/>
      <c r="G6480" s="5"/>
      <c r="H6480" s="5"/>
    </row>
    <row r="6481" spans="1:8" x14ac:dyDescent="0.25">
      <c r="A6481" s="4"/>
      <c r="B6481" s="5"/>
      <c r="C6481" s="5"/>
      <c r="D6481" s="5"/>
      <c r="E6481" s="5"/>
      <c r="F6481" s="5"/>
      <c r="G6481" s="5"/>
      <c r="H6481" s="5"/>
    </row>
    <row r="6482" spans="1:8" x14ac:dyDescent="0.25">
      <c r="A6482" s="4"/>
      <c r="B6482" s="5"/>
      <c r="C6482" s="5"/>
      <c r="D6482" s="5"/>
      <c r="E6482" s="5"/>
      <c r="F6482" s="5"/>
      <c r="G6482" s="5"/>
      <c r="H6482" s="5"/>
    </row>
    <row r="6483" spans="1:8" x14ac:dyDescent="0.25">
      <c r="A6483" s="4"/>
      <c r="B6483" s="5"/>
      <c r="C6483" s="5"/>
      <c r="D6483" s="5"/>
      <c r="E6483" s="5"/>
      <c r="F6483" s="5"/>
      <c r="G6483" s="5"/>
      <c r="H6483" s="5"/>
    </row>
    <row r="6484" spans="1:8" x14ac:dyDescent="0.25">
      <c r="A6484" s="4"/>
      <c r="B6484" s="5"/>
      <c r="C6484" s="5"/>
      <c r="D6484" s="5"/>
      <c r="E6484" s="5"/>
      <c r="F6484" s="5"/>
      <c r="G6484" s="5"/>
      <c r="H6484" s="5"/>
    </row>
    <row r="6485" spans="1:8" x14ac:dyDescent="0.25">
      <c r="A6485" s="4"/>
      <c r="B6485" s="5"/>
      <c r="C6485" s="5"/>
      <c r="D6485" s="5"/>
      <c r="E6485" s="5"/>
      <c r="F6485" s="5"/>
      <c r="G6485" s="5"/>
      <c r="H6485" s="5"/>
    </row>
    <row r="6486" spans="1:8" x14ac:dyDescent="0.25">
      <c r="A6486" s="4"/>
      <c r="B6486" s="5"/>
      <c r="C6486" s="5"/>
      <c r="D6486" s="5"/>
      <c r="E6486" s="5"/>
      <c r="F6486" s="5"/>
      <c r="G6486" s="5"/>
      <c r="H6486" s="5"/>
    </row>
    <row r="6487" spans="1:8" x14ac:dyDescent="0.25">
      <c r="A6487" s="4"/>
      <c r="B6487" s="5"/>
      <c r="C6487" s="5"/>
      <c r="D6487" s="5"/>
      <c r="E6487" s="5"/>
      <c r="F6487" s="5"/>
      <c r="G6487" s="5"/>
      <c r="H6487" s="5"/>
    </row>
    <row r="6488" spans="1:8" x14ac:dyDescent="0.25">
      <c r="A6488" s="4"/>
      <c r="B6488" s="5"/>
      <c r="C6488" s="5"/>
      <c r="D6488" s="5"/>
      <c r="E6488" s="5"/>
      <c r="F6488" s="5"/>
      <c r="G6488" s="5"/>
      <c r="H6488" s="5"/>
    </row>
    <row r="6489" spans="1:8" x14ac:dyDescent="0.25">
      <c r="A6489" s="4"/>
      <c r="B6489" s="5"/>
      <c r="C6489" s="5"/>
      <c r="D6489" s="5"/>
      <c r="E6489" s="5"/>
      <c r="F6489" s="5"/>
      <c r="G6489" s="5"/>
      <c r="H6489" s="5"/>
    </row>
    <row r="6490" spans="1:8" x14ac:dyDescent="0.25">
      <c r="A6490" s="4"/>
      <c r="B6490" s="5"/>
      <c r="C6490" s="5"/>
      <c r="D6490" s="5"/>
      <c r="E6490" s="5"/>
      <c r="F6490" s="5"/>
      <c r="G6490" s="5"/>
      <c r="H6490" s="5"/>
    </row>
    <row r="6491" spans="1:8" x14ac:dyDescent="0.25">
      <c r="A6491" s="4"/>
      <c r="B6491" s="5"/>
      <c r="C6491" s="5"/>
      <c r="D6491" s="5"/>
      <c r="E6491" s="5"/>
      <c r="F6491" s="5"/>
      <c r="G6491" s="5"/>
      <c r="H6491" s="5"/>
    </row>
    <row r="6492" spans="1:8" x14ac:dyDescent="0.25">
      <c r="A6492" s="4"/>
      <c r="B6492" s="5"/>
      <c r="C6492" s="5"/>
      <c r="D6492" s="5"/>
      <c r="E6492" s="5"/>
      <c r="F6492" s="5"/>
      <c r="G6492" s="5"/>
      <c r="H6492" s="5"/>
    </row>
    <row r="6493" spans="1:8" x14ac:dyDescent="0.25">
      <c r="A6493" s="4"/>
      <c r="B6493" s="5"/>
      <c r="C6493" s="5"/>
      <c r="D6493" s="5"/>
      <c r="E6493" s="5"/>
      <c r="F6493" s="5"/>
      <c r="G6493" s="5"/>
      <c r="H6493" s="5"/>
    </row>
    <row r="6494" spans="1:8" x14ac:dyDescent="0.25">
      <c r="A6494" s="4"/>
      <c r="B6494" s="5"/>
      <c r="C6494" s="5"/>
      <c r="D6494" s="5"/>
      <c r="E6494" s="5"/>
      <c r="F6494" s="5"/>
      <c r="G6494" s="5"/>
      <c r="H6494" s="5"/>
    </row>
    <row r="6495" spans="1:8" x14ac:dyDescent="0.25">
      <c r="A6495" s="4"/>
      <c r="B6495" s="5"/>
      <c r="C6495" s="5"/>
      <c r="D6495" s="5"/>
      <c r="E6495" s="5"/>
      <c r="F6495" s="5"/>
      <c r="G6495" s="5"/>
      <c r="H6495" s="5"/>
    </row>
    <row r="6496" spans="1:8" x14ac:dyDescent="0.25">
      <c r="A6496" s="4"/>
      <c r="B6496" s="5"/>
      <c r="C6496" s="5"/>
      <c r="D6496" s="5"/>
      <c r="E6496" s="5"/>
      <c r="F6496" s="5"/>
      <c r="G6496" s="5"/>
      <c r="H6496" s="5"/>
    </row>
    <row r="6497" spans="1:8" x14ac:dyDescent="0.25">
      <c r="A6497" s="4"/>
      <c r="B6497" s="5"/>
      <c r="C6497" s="5"/>
      <c r="D6497" s="5"/>
      <c r="E6497" s="5"/>
      <c r="F6497" s="5"/>
      <c r="G6497" s="5"/>
      <c r="H6497" s="5"/>
    </row>
    <row r="6498" spans="1:8" x14ac:dyDescent="0.25">
      <c r="A6498" s="4"/>
      <c r="B6498" s="5"/>
      <c r="C6498" s="5"/>
      <c r="D6498" s="5"/>
      <c r="E6498" s="5"/>
      <c r="F6498" s="5"/>
      <c r="G6498" s="5"/>
      <c r="H6498" s="5"/>
    </row>
    <row r="6499" spans="1:8" x14ac:dyDescent="0.25">
      <c r="A6499" s="4"/>
      <c r="B6499" s="5"/>
      <c r="C6499" s="5"/>
      <c r="D6499" s="5"/>
      <c r="E6499" s="5"/>
      <c r="F6499" s="5"/>
      <c r="G6499" s="5"/>
      <c r="H6499" s="5"/>
    </row>
    <row r="6500" spans="1:8" x14ac:dyDescent="0.25">
      <c r="A6500" s="4"/>
      <c r="B6500" s="5"/>
      <c r="C6500" s="5"/>
      <c r="D6500" s="5"/>
      <c r="E6500" s="5"/>
      <c r="F6500" s="5"/>
      <c r="G6500" s="5"/>
      <c r="H6500" s="5"/>
    </row>
    <row r="6501" spans="1:8" x14ac:dyDescent="0.25">
      <c r="A6501" s="4"/>
      <c r="B6501" s="5"/>
      <c r="C6501" s="5"/>
      <c r="D6501" s="5"/>
      <c r="E6501" s="5"/>
      <c r="F6501" s="5"/>
      <c r="G6501" s="5"/>
      <c r="H6501" s="5"/>
    </row>
    <row r="6502" spans="1:8" x14ac:dyDescent="0.25">
      <c r="A6502" s="4"/>
      <c r="B6502" s="5"/>
      <c r="C6502" s="5"/>
      <c r="D6502" s="5"/>
      <c r="E6502" s="5"/>
      <c r="F6502" s="5"/>
      <c r="G6502" s="5"/>
      <c r="H6502" s="5"/>
    </row>
    <row r="6503" spans="1:8" x14ac:dyDescent="0.25">
      <c r="A6503" s="4"/>
      <c r="B6503" s="5"/>
      <c r="C6503" s="5"/>
      <c r="D6503" s="5"/>
      <c r="E6503" s="5"/>
      <c r="F6503" s="5"/>
      <c r="G6503" s="5"/>
      <c r="H6503" s="5"/>
    </row>
    <row r="6504" spans="1:8" x14ac:dyDescent="0.25">
      <c r="A6504" s="4"/>
      <c r="B6504" s="5"/>
      <c r="C6504" s="5"/>
      <c r="D6504" s="5"/>
      <c r="E6504" s="5"/>
      <c r="F6504" s="5"/>
      <c r="G6504" s="5"/>
      <c r="H6504" s="5"/>
    </row>
    <row r="6505" spans="1:8" x14ac:dyDescent="0.25">
      <c r="A6505" s="4"/>
      <c r="B6505" s="5"/>
      <c r="C6505" s="5"/>
      <c r="D6505" s="5"/>
      <c r="E6505" s="5"/>
      <c r="F6505" s="5"/>
      <c r="G6505" s="5"/>
      <c r="H6505" s="5"/>
    </row>
    <row r="6506" spans="1:8" x14ac:dyDescent="0.25">
      <c r="A6506" s="4"/>
      <c r="B6506" s="5"/>
      <c r="C6506" s="5"/>
      <c r="D6506" s="5"/>
      <c r="E6506" s="5"/>
      <c r="F6506" s="5"/>
      <c r="G6506" s="5"/>
      <c r="H6506" s="5"/>
    </row>
    <row r="6507" spans="1:8" x14ac:dyDescent="0.25">
      <c r="A6507" s="4"/>
      <c r="B6507" s="5"/>
      <c r="C6507" s="5"/>
      <c r="D6507" s="5"/>
      <c r="E6507" s="5"/>
      <c r="F6507" s="5"/>
      <c r="G6507" s="5"/>
      <c r="H6507" s="5"/>
    </row>
    <row r="6508" spans="1:8" x14ac:dyDescent="0.25">
      <c r="A6508" s="4"/>
      <c r="B6508" s="5"/>
      <c r="C6508" s="5"/>
      <c r="D6508" s="5"/>
      <c r="E6508" s="5"/>
      <c r="F6508" s="5"/>
      <c r="G6508" s="5"/>
      <c r="H6508" s="5"/>
    </row>
    <row r="6509" spans="1:8" x14ac:dyDescent="0.25">
      <c r="A6509" s="4"/>
      <c r="B6509" s="5"/>
      <c r="C6509" s="5"/>
      <c r="D6509" s="5"/>
      <c r="E6509" s="5"/>
      <c r="F6509" s="5"/>
      <c r="G6509" s="5"/>
      <c r="H6509" s="5"/>
    </row>
    <row r="6510" spans="1:8" x14ac:dyDescent="0.25">
      <c r="A6510" s="4"/>
      <c r="B6510" s="5"/>
      <c r="C6510" s="5"/>
      <c r="D6510" s="5"/>
      <c r="E6510" s="5"/>
      <c r="F6510" s="5"/>
      <c r="G6510" s="5"/>
      <c r="H6510" s="5"/>
    </row>
    <row r="6511" spans="1:8" x14ac:dyDescent="0.25">
      <c r="A6511" s="4"/>
      <c r="B6511" s="5"/>
      <c r="C6511" s="5"/>
      <c r="D6511" s="5"/>
      <c r="E6511" s="5"/>
      <c r="F6511" s="5"/>
      <c r="G6511" s="5"/>
      <c r="H6511" s="5"/>
    </row>
    <row r="6512" spans="1:8" x14ac:dyDescent="0.25">
      <c r="A6512" s="4"/>
      <c r="B6512" s="5"/>
      <c r="C6512" s="5"/>
      <c r="D6512" s="5"/>
      <c r="E6512" s="5"/>
      <c r="F6512" s="5"/>
      <c r="G6512" s="5"/>
      <c r="H6512" s="5"/>
    </row>
    <row r="6513" spans="1:8" x14ac:dyDescent="0.25">
      <c r="A6513" s="4"/>
      <c r="B6513" s="5"/>
      <c r="C6513" s="5"/>
      <c r="D6513" s="5"/>
      <c r="E6513" s="5"/>
      <c r="F6513" s="5"/>
      <c r="G6513" s="5"/>
      <c r="H6513" s="5"/>
    </row>
    <row r="6514" spans="1:8" x14ac:dyDescent="0.25">
      <c r="A6514" s="4"/>
      <c r="B6514" s="5"/>
      <c r="C6514" s="5"/>
      <c r="D6514" s="5"/>
      <c r="E6514" s="5"/>
      <c r="F6514" s="5"/>
      <c r="G6514" s="5"/>
      <c r="H6514" s="5"/>
    </row>
    <row r="6515" spans="1:8" x14ac:dyDescent="0.25">
      <c r="A6515" s="4"/>
      <c r="B6515" s="5"/>
      <c r="C6515" s="5"/>
      <c r="D6515" s="5"/>
      <c r="E6515" s="5"/>
      <c r="F6515" s="5"/>
      <c r="G6515" s="5"/>
      <c r="H6515" s="5"/>
    </row>
    <row r="6516" spans="1:8" x14ac:dyDescent="0.25">
      <c r="A6516" s="4"/>
      <c r="B6516" s="5"/>
      <c r="C6516" s="5"/>
      <c r="D6516" s="5"/>
      <c r="E6516" s="5"/>
      <c r="F6516" s="5"/>
      <c r="G6516" s="5"/>
      <c r="H6516" s="5"/>
    </row>
    <row r="6517" spans="1:8" x14ac:dyDescent="0.25">
      <c r="A6517" s="4"/>
      <c r="B6517" s="5"/>
      <c r="C6517" s="5"/>
      <c r="D6517" s="5"/>
      <c r="E6517" s="5"/>
      <c r="F6517" s="5"/>
      <c r="G6517" s="5"/>
      <c r="H6517" s="5"/>
    </row>
    <row r="6518" spans="1:8" x14ac:dyDescent="0.25">
      <c r="A6518" s="4"/>
      <c r="B6518" s="5"/>
      <c r="C6518" s="5"/>
      <c r="D6518" s="5"/>
      <c r="E6518" s="5"/>
      <c r="F6518" s="5"/>
      <c r="G6518" s="5"/>
      <c r="H6518" s="5"/>
    </row>
    <row r="6519" spans="1:8" x14ac:dyDescent="0.25">
      <c r="A6519" s="4"/>
      <c r="B6519" s="5"/>
      <c r="C6519" s="5"/>
      <c r="D6519" s="5"/>
      <c r="E6519" s="5"/>
      <c r="F6519" s="5"/>
      <c r="G6519" s="5"/>
      <c r="H6519" s="5"/>
    </row>
    <row r="6520" spans="1:8" x14ac:dyDescent="0.25">
      <c r="A6520" s="4"/>
      <c r="B6520" s="5"/>
      <c r="C6520" s="5"/>
      <c r="D6520" s="5"/>
      <c r="E6520" s="5"/>
      <c r="F6520" s="5"/>
      <c r="G6520" s="5"/>
      <c r="H6520" s="5"/>
    </row>
    <row r="6521" spans="1:8" x14ac:dyDescent="0.25">
      <c r="A6521" s="4"/>
      <c r="B6521" s="5"/>
      <c r="C6521" s="5"/>
      <c r="D6521" s="5"/>
      <c r="E6521" s="5"/>
      <c r="F6521" s="5"/>
      <c r="G6521" s="5"/>
      <c r="H6521" s="5"/>
    </row>
    <row r="6522" spans="1:8" x14ac:dyDescent="0.25">
      <c r="A6522" s="4"/>
      <c r="B6522" s="5"/>
      <c r="C6522" s="5"/>
      <c r="D6522" s="5"/>
      <c r="E6522" s="5"/>
      <c r="F6522" s="5"/>
      <c r="G6522" s="5"/>
      <c r="H6522" s="5"/>
    </row>
    <row r="6523" spans="1:8" x14ac:dyDescent="0.25">
      <c r="A6523" s="4"/>
      <c r="B6523" s="5"/>
      <c r="C6523" s="5"/>
      <c r="D6523" s="5"/>
      <c r="E6523" s="5"/>
      <c r="F6523" s="5"/>
      <c r="G6523" s="5"/>
      <c r="H6523" s="5"/>
    </row>
    <row r="6524" spans="1:8" x14ac:dyDescent="0.25">
      <c r="A6524" s="4"/>
      <c r="B6524" s="5"/>
      <c r="C6524" s="5"/>
      <c r="D6524" s="5"/>
      <c r="E6524" s="5"/>
      <c r="F6524" s="5"/>
      <c r="G6524" s="5"/>
      <c r="H6524" s="5"/>
    </row>
    <row r="6525" spans="1:8" x14ac:dyDescent="0.25">
      <c r="A6525" s="4"/>
      <c r="B6525" s="5"/>
      <c r="C6525" s="5"/>
      <c r="D6525" s="5"/>
      <c r="E6525" s="5"/>
      <c r="F6525" s="5"/>
      <c r="G6525" s="5"/>
      <c r="H6525" s="5"/>
    </row>
    <row r="6526" spans="1:8" x14ac:dyDescent="0.25">
      <c r="A6526" s="4"/>
      <c r="B6526" s="5"/>
      <c r="C6526" s="5"/>
      <c r="D6526" s="5"/>
      <c r="E6526" s="5"/>
      <c r="F6526" s="5"/>
      <c r="G6526" s="5"/>
      <c r="H6526" s="5"/>
    </row>
    <row r="6527" spans="1:8" x14ac:dyDescent="0.25">
      <c r="A6527" s="4"/>
      <c r="B6527" s="5"/>
      <c r="C6527" s="5"/>
      <c r="D6527" s="5"/>
      <c r="E6527" s="5"/>
      <c r="F6527" s="5"/>
      <c r="G6527" s="5"/>
      <c r="H6527" s="5"/>
    </row>
    <row r="6528" spans="1:8" x14ac:dyDescent="0.25">
      <c r="A6528" s="4"/>
      <c r="B6528" s="5"/>
      <c r="C6528" s="5"/>
      <c r="D6528" s="5"/>
      <c r="E6528" s="5"/>
      <c r="F6528" s="5"/>
      <c r="G6528" s="5"/>
      <c r="H6528" s="5"/>
    </row>
    <row r="6529" spans="1:8" x14ac:dyDescent="0.25">
      <c r="A6529" s="4"/>
      <c r="B6529" s="5"/>
      <c r="C6529" s="5"/>
      <c r="D6529" s="5"/>
      <c r="E6529" s="5"/>
      <c r="F6529" s="5"/>
      <c r="G6529" s="5"/>
      <c r="H6529" s="5"/>
    </row>
    <row r="6530" spans="1:8" x14ac:dyDescent="0.25">
      <c r="A6530" s="4"/>
      <c r="B6530" s="5"/>
      <c r="C6530" s="5"/>
      <c r="D6530" s="5"/>
      <c r="E6530" s="5"/>
      <c r="F6530" s="5"/>
      <c r="G6530" s="5"/>
      <c r="H6530" s="5"/>
    </row>
    <row r="6531" spans="1:8" x14ac:dyDescent="0.25">
      <c r="A6531" s="4"/>
      <c r="B6531" s="5"/>
      <c r="C6531" s="5"/>
      <c r="D6531" s="5"/>
      <c r="E6531" s="5"/>
      <c r="F6531" s="5"/>
      <c r="G6531" s="5"/>
      <c r="H6531" s="5"/>
    </row>
    <row r="6532" spans="1:8" x14ac:dyDescent="0.25">
      <c r="A6532" s="4"/>
      <c r="B6532" s="5"/>
      <c r="C6532" s="5"/>
      <c r="D6532" s="5"/>
      <c r="E6532" s="5"/>
      <c r="F6532" s="5"/>
      <c r="G6532" s="5"/>
      <c r="H6532" s="5"/>
    </row>
    <row r="6533" spans="1:8" x14ac:dyDescent="0.25">
      <c r="A6533" s="4"/>
      <c r="B6533" s="5"/>
      <c r="C6533" s="5"/>
      <c r="D6533" s="5"/>
      <c r="E6533" s="5"/>
      <c r="F6533" s="5"/>
      <c r="G6533" s="5"/>
      <c r="H6533" s="5"/>
    </row>
    <row r="6534" spans="1:8" x14ac:dyDescent="0.25">
      <c r="A6534" s="4"/>
      <c r="B6534" s="5"/>
      <c r="C6534" s="5"/>
      <c r="D6534" s="5"/>
      <c r="E6534" s="5"/>
      <c r="F6534" s="5"/>
      <c r="G6534" s="5"/>
      <c r="H6534" s="5"/>
    </row>
    <row r="6535" spans="1:8" x14ac:dyDescent="0.25">
      <c r="A6535" s="4"/>
      <c r="B6535" s="5"/>
      <c r="C6535" s="5"/>
      <c r="D6535" s="5"/>
      <c r="E6535" s="5"/>
      <c r="F6535" s="5"/>
      <c r="G6535" s="5"/>
      <c r="H6535" s="5"/>
    </row>
    <row r="6536" spans="1:8" x14ac:dyDescent="0.25">
      <c r="A6536" s="4"/>
      <c r="B6536" s="5"/>
      <c r="C6536" s="5"/>
      <c r="D6536" s="5"/>
      <c r="E6536" s="5"/>
      <c r="F6536" s="5"/>
      <c r="G6536" s="5"/>
      <c r="H6536" s="5"/>
    </row>
    <row r="6537" spans="1:8" x14ac:dyDescent="0.25">
      <c r="A6537" s="4"/>
      <c r="B6537" s="5"/>
      <c r="C6537" s="5"/>
      <c r="D6537" s="5"/>
      <c r="E6537" s="5"/>
      <c r="F6537" s="5"/>
      <c r="G6537" s="5"/>
      <c r="H6537" s="5"/>
    </row>
    <row r="6538" spans="1:8" x14ac:dyDescent="0.25">
      <c r="A6538" s="4"/>
      <c r="B6538" s="5"/>
      <c r="C6538" s="5"/>
      <c r="D6538" s="5"/>
      <c r="E6538" s="5"/>
      <c r="F6538" s="5"/>
      <c r="G6538" s="5"/>
      <c r="H6538" s="5"/>
    </row>
    <row r="6539" spans="1:8" x14ac:dyDescent="0.25">
      <c r="A6539" s="4"/>
      <c r="B6539" s="5"/>
      <c r="C6539" s="5"/>
      <c r="D6539" s="5"/>
      <c r="E6539" s="5"/>
      <c r="F6539" s="5"/>
      <c r="G6539" s="5"/>
      <c r="H6539" s="5"/>
    </row>
    <row r="6540" spans="1:8" x14ac:dyDescent="0.25">
      <c r="A6540" s="4"/>
      <c r="B6540" s="5"/>
      <c r="C6540" s="5"/>
      <c r="D6540" s="5"/>
      <c r="E6540" s="5"/>
      <c r="F6540" s="5"/>
      <c r="G6540" s="5"/>
      <c r="H6540" s="5"/>
    </row>
    <row r="6541" spans="1:8" x14ac:dyDescent="0.25">
      <c r="A6541" s="4"/>
      <c r="B6541" s="5"/>
      <c r="C6541" s="5"/>
      <c r="D6541" s="5"/>
      <c r="E6541" s="5"/>
      <c r="F6541" s="5"/>
      <c r="G6541" s="5"/>
      <c r="H6541" s="5"/>
    </row>
    <row r="6542" spans="1:8" x14ac:dyDescent="0.25">
      <c r="A6542" s="4"/>
      <c r="B6542" s="5"/>
      <c r="C6542" s="5"/>
      <c r="D6542" s="5"/>
      <c r="E6542" s="5"/>
      <c r="F6542" s="5"/>
      <c r="G6542" s="5"/>
      <c r="H6542" s="5"/>
    </row>
    <row r="6543" spans="1:8" x14ac:dyDescent="0.25">
      <c r="A6543" s="4"/>
      <c r="B6543" s="5"/>
      <c r="C6543" s="5"/>
      <c r="D6543" s="5"/>
      <c r="E6543" s="5"/>
      <c r="F6543" s="5"/>
      <c r="G6543" s="5"/>
      <c r="H6543" s="5"/>
    </row>
    <row r="6544" spans="1:8" x14ac:dyDescent="0.25">
      <c r="A6544" s="4"/>
      <c r="B6544" s="5"/>
      <c r="C6544" s="5"/>
      <c r="D6544" s="5"/>
      <c r="E6544" s="5"/>
      <c r="F6544" s="5"/>
      <c r="G6544" s="5"/>
      <c r="H6544" s="5"/>
    </row>
    <row r="6545" spans="1:8" x14ac:dyDescent="0.25">
      <c r="A6545" s="4"/>
      <c r="B6545" s="5"/>
      <c r="C6545" s="5"/>
      <c r="D6545" s="5"/>
      <c r="E6545" s="5"/>
      <c r="F6545" s="5"/>
      <c r="G6545" s="5"/>
      <c r="H6545" s="5"/>
    </row>
    <row r="6546" spans="1:8" x14ac:dyDescent="0.25">
      <c r="A6546" s="4"/>
      <c r="B6546" s="5"/>
      <c r="C6546" s="5"/>
      <c r="D6546" s="5"/>
      <c r="E6546" s="5"/>
      <c r="F6546" s="5"/>
      <c r="G6546" s="5"/>
      <c r="H6546" s="5"/>
    </row>
    <row r="6547" spans="1:8" x14ac:dyDescent="0.25">
      <c r="A6547" s="4"/>
      <c r="B6547" s="5"/>
      <c r="C6547" s="5"/>
      <c r="D6547" s="5"/>
      <c r="E6547" s="5"/>
      <c r="F6547" s="5"/>
      <c r="G6547" s="5"/>
      <c r="H6547" s="5"/>
    </row>
    <row r="6548" spans="1:8" x14ac:dyDescent="0.25">
      <c r="A6548" s="4"/>
      <c r="B6548" s="5"/>
      <c r="C6548" s="5"/>
      <c r="D6548" s="5"/>
      <c r="E6548" s="5"/>
      <c r="F6548" s="5"/>
      <c r="G6548" s="5"/>
      <c r="H6548" s="5"/>
    </row>
    <row r="6549" spans="1:8" x14ac:dyDescent="0.25">
      <c r="A6549" s="4"/>
      <c r="B6549" s="5"/>
      <c r="C6549" s="5"/>
      <c r="D6549" s="5"/>
      <c r="E6549" s="5"/>
      <c r="F6549" s="5"/>
      <c r="G6549" s="5"/>
      <c r="H6549" s="5"/>
    </row>
    <row r="6550" spans="1:8" x14ac:dyDescent="0.25">
      <c r="A6550" s="4"/>
      <c r="B6550" s="5"/>
      <c r="C6550" s="5"/>
      <c r="D6550" s="5"/>
      <c r="E6550" s="5"/>
      <c r="F6550" s="5"/>
      <c r="G6550" s="5"/>
      <c r="H6550" s="5"/>
    </row>
    <row r="6551" spans="1:8" x14ac:dyDescent="0.25">
      <c r="A6551" s="4"/>
      <c r="B6551" s="5"/>
      <c r="C6551" s="5"/>
      <c r="D6551" s="5"/>
      <c r="E6551" s="5"/>
      <c r="F6551" s="5"/>
      <c r="G6551" s="5"/>
      <c r="H6551" s="5"/>
    </row>
    <row r="6552" spans="1:8" x14ac:dyDescent="0.25">
      <c r="A6552" s="4"/>
      <c r="B6552" s="5"/>
      <c r="C6552" s="5"/>
      <c r="D6552" s="5"/>
      <c r="E6552" s="5"/>
      <c r="F6552" s="5"/>
      <c r="G6552" s="5"/>
      <c r="H6552" s="5"/>
    </row>
    <row r="6553" spans="1:8" x14ac:dyDescent="0.25">
      <c r="A6553" s="4"/>
      <c r="B6553" s="5"/>
      <c r="C6553" s="5"/>
      <c r="D6553" s="5"/>
      <c r="E6553" s="5"/>
      <c r="F6553" s="5"/>
      <c r="G6553" s="5"/>
      <c r="H6553" s="5"/>
    </row>
    <row r="6554" spans="1:8" x14ac:dyDescent="0.25">
      <c r="A6554" s="4"/>
      <c r="B6554" s="5"/>
      <c r="C6554" s="5"/>
      <c r="D6554" s="5"/>
      <c r="E6554" s="5"/>
      <c r="F6554" s="5"/>
      <c r="G6554" s="5"/>
      <c r="H6554" s="5"/>
    </row>
    <row r="6555" spans="1:8" x14ac:dyDescent="0.25">
      <c r="A6555" s="4"/>
      <c r="B6555" s="5"/>
      <c r="C6555" s="5"/>
      <c r="D6555" s="5"/>
      <c r="E6555" s="5"/>
      <c r="F6555" s="5"/>
      <c r="G6555" s="5"/>
      <c r="H6555" s="5"/>
    </row>
    <row r="6556" spans="1:8" x14ac:dyDescent="0.25">
      <c r="A6556" s="4"/>
      <c r="B6556" s="5"/>
      <c r="C6556" s="5"/>
      <c r="D6556" s="5"/>
      <c r="E6556" s="5"/>
      <c r="F6556" s="5"/>
      <c r="G6556" s="5"/>
      <c r="H6556" s="5"/>
    </row>
    <row r="6557" spans="1:8" x14ac:dyDescent="0.25">
      <c r="A6557" s="4"/>
      <c r="B6557" s="5"/>
      <c r="C6557" s="5"/>
      <c r="D6557" s="5"/>
      <c r="E6557" s="5"/>
      <c r="F6557" s="5"/>
      <c r="G6557" s="5"/>
      <c r="H6557" s="5"/>
    </row>
    <row r="6558" spans="1:8" x14ac:dyDescent="0.25">
      <c r="A6558" s="4"/>
      <c r="B6558" s="5"/>
      <c r="C6558" s="5"/>
      <c r="D6558" s="5"/>
      <c r="E6558" s="5"/>
      <c r="F6558" s="5"/>
      <c r="G6558" s="5"/>
      <c r="H6558" s="5"/>
    </row>
    <row r="6559" spans="1:8" x14ac:dyDescent="0.25">
      <c r="A6559" s="4"/>
      <c r="B6559" s="5"/>
      <c r="C6559" s="5"/>
      <c r="D6559" s="5"/>
      <c r="E6559" s="5"/>
      <c r="F6559" s="5"/>
      <c r="G6559" s="5"/>
      <c r="H6559" s="5"/>
    </row>
    <row r="6560" spans="1:8" x14ac:dyDescent="0.25">
      <c r="A6560" s="4"/>
      <c r="B6560" s="5"/>
      <c r="C6560" s="5"/>
      <c r="D6560" s="5"/>
      <c r="E6560" s="5"/>
      <c r="F6560" s="5"/>
      <c r="G6560" s="5"/>
      <c r="H6560" s="5"/>
    </row>
    <row r="6561" spans="1:8" x14ac:dyDescent="0.25">
      <c r="A6561" s="4"/>
      <c r="B6561" s="5"/>
      <c r="C6561" s="5"/>
      <c r="D6561" s="5"/>
      <c r="E6561" s="5"/>
      <c r="F6561" s="5"/>
      <c r="G6561" s="5"/>
      <c r="H6561" s="5"/>
    </row>
    <row r="6562" spans="1:8" x14ac:dyDescent="0.25">
      <c r="A6562" s="4"/>
      <c r="B6562" s="5"/>
      <c r="C6562" s="5"/>
      <c r="D6562" s="5"/>
      <c r="E6562" s="5"/>
      <c r="F6562" s="5"/>
      <c r="G6562" s="5"/>
      <c r="H6562" s="5"/>
    </row>
    <row r="6563" spans="1:8" x14ac:dyDescent="0.25">
      <c r="A6563" s="4"/>
      <c r="B6563" s="5"/>
      <c r="C6563" s="5"/>
      <c r="D6563" s="5"/>
      <c r="E6563" s="5"/>
      <c r="F6563" s="5"/>
      <c r="G6563" s="5"/>
      <c r="H6563" s="5"/>
    </row>
    <row r="6564" spans="1:8" x14ac:dyDescent="0.25">
      <c r="A6564" s="4"/>
      <c r="B6564" s="5"/>
      <c r="C6564" s="5"/>
      <c r="D6564" s="5"/>
      <c r="E6564" s="5"/>
      <c r="F6564" s="5"/>
      <c r="G6564" s="5"/>
      <c r="H6564" s="5"/>
    </row>
    <row r="6565" spans="1:8" x14ac:dyDescent="0.25">
      <c r="A6565" s="4"/>
      <c r="B6565" s="5"/>
      <c r="C6565" s="5"/>
      <c r="D6565" s="5"/>
      <c r="E6565" s="5"/>
      <c r="F6565" s="5"/>
      <c r="G6565" s="5"/>
      <c r="H6565" s="5"/>
    </row>
    <row r="6566" spans="1:8" x14ac:dyDescent="0.25">
      <c r="A6566" s="4"/>
      <c r="B6566" s="5"/>
      <c r="C6566" s="5"/>
      <c r="D6566" s="5"/>
      <c r="E6566" s="5"/>
      <c r="F6566" s="5"/>
      <c r="G6566" s="5"/>
      <c r="H6566" s="5"/>
    </row>
    <row r="6567" spans="1:8" x14ac:dyDescent="0.25">
      <c r="A6567" s="4"/>
      <c r="B6567" s="5"/>
      <c r="C6567" s="5"/>
      <c r="D6567" s="5"/>
      <c r="E6567" s="5"/>
      <c r="F6567" s="5"/>
      <c r="G6567" s="5"/>
      <c r="H6567" s="5"/>
    </row>
    <row r="6568" spans="1:8" x14ac:dyDescent="0.25">
      <c r="A6568" s="4"/>
      <c r="B6568" s="5"/>
      <c r="C6568" s="5"/>
      <c r="D6568" s="5"/>
      <c r="E6568" s="5"/>
      <c r="F6568" s="5"/>
      <c r="G6568" s="5"/>
      <c r="H6568" s="5"/>
    </row>
    <row r="6569" spans="1:8" x14ac:dyDescent="0.25">
      <c r="A6569" s="4"/>
      <c r="B6569" s="5"/>
      <c r="C6569" s="5"/>
      <c r="D6569" s="5"/>
      <c r="E6569" s="5"/>
      <c r="F6569" s="5"/>
      <c r="G6569" s="5"/>
      <c r="H6569" s="5"/>
    </row>
    <row r="6570" spans="1:8" x14ac:dyDescent="0.25">
      <c r="A6570" s="4"/>
      <c r="B6570" s="5"/>
      <c r="C6570" s="5"/>
      <c r="D6570" s="5"/>
      <c r="E6570" s="5"/>
      <c r="F6570" s="5"/>
      <c r="G6570" s="5"/>
      <c r="H6570" s="5"/>
    </row>
    <row r="6571" spans="1:8" x14ac:dyDescent="0.25">
      <c r="A6571" s="4"/>
      <c r="B6571" s="5"/>
      <c r="C6571" s="5"/>
      <c r="D6571" s="5"/>
      <c r="E6571" s="5"/>
      <c r="F6571" s="5"/>
      <c r="G6571" s="5"/>
      <c r="H6571" s="5"/>
    </row>
    <row r="6572" spans="1:8" x14ac:dyDescent="0.25">
      <c r="A6572" s="4"/>
      <c r="B6572" s="5"/>
      <c r="C6572" s="5"/>
      <c r="D6572" s="5"/>
      <c r="E6572" s="5"/>
      <c r="F6572" s="5"/>
      <c r="G6572" s="5"/>
      <c r="H6572" s="5"/>
    </row>
    <row r="6573" spans="1:8" x14ac:dyDescent="0.25">
      <c r="A6573" s="4"/>
      <c r="B6573" s="5"/>
      <c r="C6573" s="5"/>
      <c r="D6573" s="5"/>
      <c r="E6573" s="5"/>
      <c r="F6573" s="5"/>
      <c r="G6573" s="5"/>
      <c r="H6573" s="5"/>
    </row>
    <row r="6574" spans="1:8" x14ac:dyDescent="0.25">
      <c r="A6574" s="4"/>
      <c r="B6574" s="5"/>
      <c r="C6574" s="5"/>
      <c r="D6574" s="5"/>
      <c r="E6574" s="5"/>
      <c r="F6574" s="5"/>
      <c r="G6574" s="5"/>
      <c r="H6574" s="5"/>
    </row>
    <row r="6575" spans="1:8" x14ac:dyDescent="0.25">
      <c r="A6575" s="4"/>
      <c r="B6575" s="5"/>
      <c r="C6575" s="5"/>
      <c r="D6575" s="5"/>
      <c r="E6575" s="5"/>
      <c r="F6575" s="5"/>
      <c r="G6575" s="5"/>
      <c r="H6575" s="5"/>
    </row>
    <row r="6576" spans="1:8" x14ac:dyDescent="0.25">
      <c r="A6576" s="4"/>
      <c r="B6576" s="5"/>
      <c r="C6576" s="5"/>
      <c r="D6576" s="5"/>
      <c r="E6576" s="5"/>
      <c r="F6576" s="5"/>
      <c r="G6576" s="5"/>
      <c r="H6576" s="5"/>
    </row>
    <row r="6577" spans="1:8" x14ac:dyDescent="0.25">
      <c r="A6577" s="4"/>
      <c r="B6577" s="5"/>
      <c r="C6577" s="5"/>
      <c r="D6577" s="5"/>
      <c r="E6577" s="5"/>
      <c r="F6577" s="5"/>
      <c r="G6577" s="5"/>
      <c r="H6577" s="5"/>
    </row>
    <row r="6578" spans="1:8" x14ac:dyDescent="0.25">
      <c r="A6578" s="4"/>
      <c r="B6578" s="5"/>
      <c r="C6578" s="5"/>
      <c r="D6578" s="5"/>
      <c r="E6578" s="5"/>
      <c r="F6578" s="5"/>
      <c r="G6578" s="5"/>
      <c r="H6578" s="5"/>
    </row>
    <row r="6579" spans="1:8" x14ac:dyDescent="0.25">
      <c r="A6579" s="4"/>
      <c r="B6579" s="5"/>
      <c r="C6579" s="5"/>
      <c r="D6579" s="5"/>
      <c r="E6579" s="5"/>
      <c r="F6579" s="5"/>
      <c r="G6579" s="5"/>
      <c r="H6579" s="5"/>
    </row>
    <row r="6580" spans="1:8" x14ac:dyDescent="0.25">
      <c r="A6580" s="4"/>
      <c r="B6580" s="5"/>
      <c r="C6580" s="5"/>
      <c r="D6580" s="5"/>
      <c r="E6580" s="5"/>
      <c r="F6580" s="5"/>
      <c r="G6580" s="5"/>
      <c r="H6580" s="5"/>
    </row>
    <row r="6581" spans="1:8" x14ac:dyDescent="0.25">
      <c r="A6581" s="4"/>
      <c r="B6581" s="5"/>
      <c r="C6581" s="5"/>
      <c r="D6581" s="5"/>
      <c r="E6581" s="5"/>
      <c r="F6581" s="5"/>
      <c r="G6581" s="5"/>
      <c r="H6581" s="5"/>
    </row>
    <row r="6582" spans="1:8" x14ac:dyDescent="0.25">
      <c r="A6582" s="4"/>
      <c r="B6582" s="5"/>
      <c r="C6582" s="5"/>
      <c r="D6582" s="5"/>
      <c r="E6582" s="5"/>
      <c r="F6582" s="5"/>
      <c r="G6582" s="5"/>
      <c r="H6582" s="5"/>
    </row>
    <row r="6583" spans="1:8" x14ac:dyDescent="0.25">
      <c r="A6583" s="4"/>
      <c r="B6583" s="5"/>
      <c r="C6583" s="5"/>
      <c r="D6583" s="5"/>
      <c r="E6583" s="5"/>
      <c r="F6583" s="5"/>
      <c r="G6583" s="5"/>
      <c r="H6583" s="5"/>
    </row>
    <row r="6584" spans="1:8" x14ac:dyDescent="0.25">
      <c r="A6584" s="4"/>
      <c r="B6584" s="5"/>
      <c r="C6584" s="5"/>
      <c r="D6584" s="5"/>
      <c r="E6584" s="5"/>
      <c r="F6584" s="5"/>
      <c r="G6584" s="5"/>
      <c r="H6584" s="5"/>
    </row>
    <row r="6585" spans="1:8" x14ac:dyDescent="0.25">
      <c r="A6585" s="4"/>
      <c r="B6585" s="5"/>
      <c r="C6585" s="5"/>
      <c r="D6585" s="5"/>
      <c r="E6585" s="5"/>
      <c r="F6585" s="5"/>
      <c r="G6585" s="5"/>
      <c r="H6585" s="5"/>
    </row>
    <row r="6586" spans="1:8" x14ac:dyDescent="0.25">
      <c r="A6586" s="4"/>
      <c r="B6586" s="5"/>
      <c r="C6586" s="5"/>
      <c r="D6586" s="5"/>
      <c r="E6586" s="5"/>
      <c r="F6586" s="5"/>
      <c r="G6586" s="5"/>
      <c r="H6586" s="5"/>
    </row>
    <row r="6587" spans="1:8" x14ac:dyDescent="0.25">
      <c r="A6587" s="4"/>
      <c r="B6587" s="5"/>
      <c r="C6587" s="5"/>
      <c r="D6587" s="5"/>
      <c r="E6587" s="5"/>
      <c r="F6587" s="5"/>
      <c r="G6587" s="5"/>
      <c r="H6587" s="5"/>
    </row>
    <row r="6588" spans="1:8" x14ac:dyDescent="0.25">
      <c r="A6588" s="4"/>
      <c r="B6588" s="5"/>
      <c r="C6588" s="5"/>
      <c r="D6588" s="5"/>
      <c r="E6588" s="5"/>
      <c r="F6588" s="5"/>
      <c r="G6588" s="5"/>
      <c r="H6588" s="5"/>
    </row>
    <row r="6589" spans="1:8" x14ac:dyDescent="0.25">
      <c r="A6589" s="4"/>
      <c r="B6589" s="5"/>
      <c r="C6589" s="5"/>
      <c r="D6589" s="5"/>
      <c r="E6589" s="5"/>
      <c r="F6589" s="5"/>
      <c r="G6589" s="5"/>
      <c r="H6589" s="5"/>
    </row>
    <row r="6590" spans="1:8" x14ac:dyDescent="0.25">
      <c r="A6590" s="4"/>
      <c r="B6590" s="5"/>
      <c r="C6590" s="5"/>
      <c r="D6590" s="5"/>
      <c r="E6590" s="5"/>
      <c r="F6590" s="5"/>
      <c r="G6590" s="5"/>
      <c r="H6590" s="5"/>
    </row>
    <row r="6591" spans="1:8" x14ac:dyDescent="0.25">
      <c r="A6591" s="4"/>
      <c r="B6591" s="5"/>
      <c r="C6591" s="5"/>
      <c r="D6591" s="5"/>
      <c r="E6591" s="5"/>
      <c r="F6591" s="5"/>
      <c r="G6591" s="5"/>
      <c r="H6591" s="5"/>
    </row>
    <row r="6592" spans="1:8" x14ac:dyDescent="0.25">
      <c r="A6592" s="4"/>
      <c r="B6592" s="5"/>
      <c r="C6592" s="5"/>
      <c r="D6592" s="5"/>
      <c r="E6592" s="5"/>
      <c r="F6592" s="5"/>
      <c r="G6592" s="5"/>
      <c r="H6592" s="5"/>
    </row>
    <row r="6593" spans="1:8" x14ac:dyDescent="0.25">
      <c r="A6593" s="4"/>
      <c r="B6593" s="5"/>
      <c r="C6593" s="5"/>
      <c r="D6593" s="5"/>
      <c r="E6593" s="5"/>
      <c r="F6593" s="5"/>
      <c r="G6593" s="5"/>
      <c r="H6593" s="5"/>
    </row>
    <row r="6594" spans="1:8" x14ac:dyDescent="0.25">
      <c r="A6594" s="4"/>
      <c r="B6594" s="5"/>
      <c r="C6594" s="5"/>
      <c r="D6594" s="5"/>
      <c r="E6594" s="5"/>
      <c r="F6594" s="5"/>
      <c r="G6594" s="5"/>
      <c r="H6594" s="5"/>
    </row>
    <row r="6595" spans="1:8" x14ac:dyDescent="0.25">
      <c r="A6595" s="4"/>
      <c r="B6595" s="5"/>
      <c r="C6595" s="5"/>
      <c r="D6595" s="5"/>
      <c r="E6595" s="5"/>
      <c r="F6595" s="5"/>
      <c r="G6595" s="5"/>
      <c r="H6595" s="5"/>
    </row>
    <row r="6596" spans="1:8" x14ac:dyDescent="0.25">
      <c r="A6596" s="4"/>
      <c r="B6596" s="5"/>
      <c r="C6596" s="5"/>
      <c r="D6596" s="5"/>
      <c r="E6596" s="5"/>
      <c r="F6596" s="5"/>
      <c r="G6596" s="5"/>
      <c r="H6596" s="5"/>
    </row>
    <row r="6597" spans="1:8" x14ac:dyDescent="0.25">
      <c r="A6597" s="4"/>
      <c r="B6597" s="5"/>
      <c r="C6597" s="5"/>
      <c r="D6597" s="5"/>
      <c r="E6597" s="5"/>
      <c r="F6597" s="5"/>
      <c r="G6597" s="5"/>
      <c r="H6597" s="5"/>
    </row>
    <row r="6598" spans="1:8" x14ac:dyDescent="0.25">
      <c r="A6598" s="4"/>
      <c r="B6598" s="5"/>
      <c r="C6598" s="5"/>
      <c r="D6598" s="5"/>
      <c r="E6598" s="5"/>
      <c r="F6598" s="5"/>
      <c r="G6598" s="5"/>
      <c r="H6598" s="5"/>
    </row>
    <row r="6599" spans="1:8" x14ac:dyDescent="0.25">
      <c r="A6599" s="4"/>
      <c r="B6599" s="5"/>
      <c r="C6599" s="5"/>
      <c r="D6599" s="5"/>
      <c r="E6599" s="5"/>
      <c r="F6599" s="5"/>
      <c r="G6599" s="5"/>
      <c r="H6599" s="5"/>
    </row>
    <row r="6600" spans="1:8" x14ac:dyDescent="0.25">
      <c r="A6600" s="4"/>
      <c r="B6600" s="5"/>
      <c r="C6600" s="5"/>
      <c r="D6600" s="5"/>
      <c r="E6600" s="5"/>
      <c r="F6600" s="5"/>
      <c r="G6600" s="5"/>
      <c r="H6600" s="5"/>
    </row>
    <row r="6601" spans="1:8" x14ac:dyDescent="0.25">
      <c r="A6601" s="4"/>
      <c r="B6601" s="5"/>
      <c r="C6601" s="5"/>
      <c r="D6601" s="5"/>
      <c r="E6601" s="5"/>
      <c r="F6601" s="5"/>
      <c r="G6601" s="5"/>
      <c r="H6601" s="5"/>
    </row>
    <row r="6602" spans="1:8" x14ac:dyDescent="0.25">
      <c r="A6602" s="4"/>
      <c r="B6602" s="5"/>
      <c r="C6602" s="5"/>
      <c r="D6602" s="5"/>
      <c r="E6602" s="5"/>
      <c r="F6602" s="5"/>
      <c r="G6602" s="5"/>
      <c r="H6602" s="5"/>
    </row>
    <row r="6603" spans="1:8" x14ac:dyDescent="0.25">
      <c r="A6603" s="4"/>
      <c r="B6603" s="5"/>
      <c r="C6603" s="5"/>
      <c r="D6603" s="5"/>
      <c r="E6603" s="5"/>
      <c r="F6603" s="5"/>
      <c r="G6603" s="5"/>
      <c r="H6603" s="5"/>
    </row>
    <row r="6604" spans="1:8" x14ac:dyDescent="0.25">
      <c r="A6604" s="4"/>
      <c r="B6604" s="5"/>
      <c r="C6604" s="5"/>
      <c r="D6604" s="5"/>
      <c r="E6604" s="5"/>
      <c r="F6604" s="5"/>
      <c r="G6604" s="5"/>
      <c r="H6604" s="5"/>
    </row>
    <row r="6605" spans="1:8" x14ac:dyDescent="0.25">
      <c r="A6605" s="4"/>
      <c r="B6605" s="5"/>
      <c r="C6605" s="5"/>
      <c r="D6605" s="5"/>
      <c r="E6605" s="5"/>
      <c r="F6605" s="5"/>
      <c r="G6605" s="5"/>
      <c r="H6605" s="5"/>
    </row>
    <row r="6606" spans="1:8" x14ac:dyDescent="0.25">
      <c r="A6606" s="4"/>
      <c r="B6606" s="5"/>
      <c r="C6606" s="5"/>
      <c r="D6606" s="5"/>
      <c r="E6606" s="5"/>
      <c r="F6606" s="5"/>
      <c r="G6606" s="5"/>
      <c r="H6606" s="5"/>
    </row>
    <row r="6607" spans="1:8" x14ac:dyDescent="0.25">
      <c r="A6607" s="4"/>
      <c r="B6607" s="5"/>
      <c r="C6607" s="5"/>
      <c r="D6607" s="5"/>
      <c r="E6607" s="5"/>
      <c r="F6607" s="5"/>
      <c r="G6607" s="5"/>
      <c r="H6607" s="5"/>
    </row>
    <row r="6608" spans="1:8" x14ac:dyDescent="0.25">
      <c r="A6608" s="4"/>
      <c r="B6608" s="5"/>
      <c r="C6608" s="5"/>
      <c r="D6608" s="5"/>
      <c r="E6608" s="5"/>
      <c r="F6608" s="5"/>
      <c r="G6608" s="5"/>
      <c r="H6608" s="5"/>
    </row>
    <row r="6609" spans="1:8" x14ac:dyDescent="0.25">
      <c r="A6609" s="4"/>
      <c r="B6609" s="5"/>
      <c r="C6609" s="5"/>
      <c r="D6609" s="5"/>
      <c r="E6609" s="5"/>
      <c r="F6609" s="5"/>
      <c r="G6609" s="5"/>
      <c r="H6609" s="5"/>
    </row>
    <row r="6610" spans="1:8" x14ac:dyDescent="0.25">
      <c r="A6610" s="4"/>
      <c r="B6610" s="5"/>
      <c r="C6610" s="5"/>
      <c r="D6610" s="5"/>
      <c r="E6610" s="5"/>
      <c r="F6610" s="5"/>
      <c r="G6610" s="5"/>
      <c r="H6610" s="5"/>
    </row>
    <row r="6611" spans="1:8" x14ac:dyDescent="0.25">
      <c r="A6611" s="4"/>
      <c r="B6611" s="5"/>
      <c r="C6611" s="5"/>
      <c r="D6611" s="5"/>
      <c r="E6611" s="5"/>
      <c r="F6611" s="5"/>
      <c r="G6611" s="5"/>
      <c r="H6611" s="5"/>
    </row>
    <row r="6612" spans="1:8" x14ac:dyDescent="0.25">
      <c r="A6612" s="4"/>
      <c r="B6612" s="5"/>
      <c r="C6612" s="5"/>
      <c r="D6612" s="5"/>
      <c r="E6612" s="5"/>
      <c r="F6612" s="5"/>
      <c r="G6612" s="5"/>
      <c r="H6612" s="5"/>
    </row>
    <row r="6613" spans="1:8" x14ac:dyDescent="0.25">
      <c r="A6613" s="4"/>
      <c r="B6613" s="5"/>
      <c r="C6613" s="5"/>
      <c r="D6613" s="5"/>
      <c r="E6613" s="5"/>
      <c r="F6613" s="5"/>
      <c r="G6613" s="5"/>
      <c r="H6613" s="5"/>
    </row>
    <row r="6614" spans="1:8" x14ac:dyDescent="0.25">
      <c r="A6614" s="4"/>
      <c r="B6614" s="5"/>
      <c r="C6614" s="5"/>
      <c r="D6614" s="5"/>
      <c r="E6614" s="5"/>
      <c r="F6614" s="5"/>
      <c r="G6614" s="5"/>
      <c r="H6614" s="5"/>
    </row>
    <row r="6615" spans="1:8" x14ac:dyDescent="0.25">
      <c r="A6615" s="4"/>
      <c r="B6615" s="5"/>
      <c r="C6615" s="5"/>
      <c r="D6615" s="5"/>
      <c r="E6615" s="5"/>
      <c r="F6615" s="5"/>
      <c r="G6615" s="5"/>
      <c r="H6615" s="5"/>
    </row>
    <row r="6616" spans="1:8" x14ac:dyDescent="0.25">
      <c r="A6616" s="4"/>
      <c r="B6616" s="5"/>
      <c r="C6616" s="5"/>
      <c r="D6616" s="5"/>
      <c r="E6616" s="5"/>
      <c r="F6616" s="5"/>
      <c r="G6616" s="5"/>
      <c r="H6616" s="5"/>
    </row>
    <row r="6617" spans="1:8" x14ac:dyDescent="0.25">
      <c r="A6617" s="4"/>
      <c r="B6617" s="5"/>
      <c r="C6617" s="5"/>
      <c r="D6617" s="5"/>
      <c r="E6617" s="5"/>
      <c r="F6617" s="5"/>
      <c r="G6617" s="5"/>
      <c r="H6617" s="5"/>
    </row>
    <row r="6618" spans="1:8" x14ac:dyDescent="0.25">
      <c r="A6618" s="4"/>
      <c r="B6618" s="5"/>
      <c r="C6618" s="5"/>
      <c r="D6618" s="5"/>
      <c r="E6618" s="5"/>
      <c r="F6618" s="5"/>
      <c r="G6618" s="5"/>
      <c r="H6618" s="5"/>
    </row>
    <row r="6619" spans="1:8" x14ac:dyDescent="0.25">
      <c r="A6619" s="4"/>
      <c r="B6619" s="5"/>
      <c r="C6619" s="5"/>
      <c r="D6619" s="5"/>
      <c r="E6619" s="5"/>
      <c r="F6619" s="5"/>
      <c r="G6619" s="5"/>
      <c r="H6619" s="5"/>
    </row>
    <row r="6620" spans="1:8" x14ac:dyDescent="0.25">
      <c r="A6620" s="4"/>
      <c r="B6620" s="5"/>
      <c r="C6620" s="5"/>
      <c r="D6620" s="5"/>
      <c r="E6620" s="5"/>
      <c r="F6620" s="5"/>
      <c r="G6620" s="5"/>
      <c r="H6620" s="5"/>
    </row>
    <row r="6621" spans="1:8" x14ac:dyDescent="0.25">
      <c r="A6621" s="4"/>
      <c r="B6621" s="5"/>
      <c r="C6621" s="5"/>
      <c r="D6621" s="5"/>
      <c r="E6621" s="5"/>
      <c r="F6621" s="5"/>
      <c r="G6621" s="5"/>
      <c r="H6621" s="5"/>
    </row>
    <row r="6622" spans="1:8" x14ac:dyDescent="0.25">
      <c r="A6622" s="4"/>
      <c r="B6622" s="5"/>
      <c r="C6622" s="5"/>
      <c r="D6622" s="5"/>
      <c r="E6622" s="5"/>
      <c r="F6622" s="5"/>
      <c r="G6622" s="5"/>
      <c r="H6622" s="5"/>
    </row>
    <row r="6623" spans="1:8" x14ac:dyDescent="0.25">
      <c r="A6623" s="4"/>
      <c r="B6623" s="5"/>
      <c r="C6623" s="5"/>
      <c r="D6623" s="5"/>
      <c r="E6623" s="5"/>
      <c r="F6623" s="5"/>
      <c r="G6623" s="5"/>
      <c r="H6623" s="5"/>
    </row>
    <row r="6624" spans="1:8" x14ac:dyDescent="0.25">
      <c r="A6624" s="4"/>
      <c r="B6624" s="5"/>
      <c r="C6624" s="5"/>
      <c r="D6624" s="5"/>
      <c r="E6624" s="5"/>
      <c r="F6624" s="5"/>
      <c r="G6624" s="5"/>
      <c r="H6624" s="5"/>
    </row>
    <row r="6625" spans="1:8" x14ac:dyDescent="0.25">
      <c r="A6625" s="4"/>
      <c r="B6625" s="5"/>
      <c r="C6625" s="5"/>
      <c r="D6625" s="5"/>
      <c r="E6625" s="5"/>
      <c r="F6625" s="5"/>
      <c r="G6625" s="5"/>
      <c r="H6625" s="5"/>
    </row>
    <row r="6626" spans="1:8" x14ac:dyDescent="0.25">
      <c r="A6626" s="4"/>
      <c r="B6626" s="5"/>
      <c r="C6626" s="5"/>
      <c r="D6626" s="5"/>
      <c r="E6626" s="5"/>
      <c r="F6626" s="5"/>
      <c r="G6626" s="5"/>
      <c r="H6626" s="5"/>
    </row>
    <row r="6627" spans="1:8" x14ac:dyDescent="0.25">
      <c r="A6627" s="4"/>
      <c r="B6627" s="5"/>
      <c r="C6627" s="5"/>
      <c r="D6627" s="5"/>
      <c r="E6627" s="5"/>
      <c r="F6627" s="5"/>
      <c r="G6627" s="5"/>
      <c r="H6627" s="5"/>
    </row>
    <row r="6628" spans="1:8" x14ac:dyDescent="0.25">
      <c r="A6628" s="4"/>
      <c r="B6628" s="5"/>
      <c r="C6628" s="5"/>
      <c r="D6628" s="5"/>
      <c r="E6628" s="5"/>
      <c r="F6628" s="5"/>
      <c r="G6628" s="5"/>
      <c r="H6628" s="5"/>
    </row>
    <row r="6629" spans="1:8" x14ac:dyDescent="0.25">
      <c r="A6629" s="4"/>
      <c r="B6629" s="5"/>
      <c r="C6629" s="5"/>
      <c r="D6629" s="5"/>
      <c r="E6629" s="5"/>
      <c r="F6629" s="5"/>
      <c r="G6629" s="5"/>
      <c r="H6629" s="5"/>
    </row>
    <row r="6630" spans="1:8" x14ac:dyDescent="0.25">
      <c r="A6630" s="4"/>
      <c r="B6630" s="5"/>
      <c r="C6630" s="5"/>
      <c r="D6630" s="5"/>
      <c r="E6630" s="5"/>
      <c r="F6630" s="5"/>
      <c r="G6630" s="5"/>
      <c r="H6630" s="5"/>
    </row>
    <row r="6631" spans="1:8" x14ac:dyDescent="0.25">
      <c r="A6631" s="4"/>
      <c r="B6631" s="5"/>
      <c r="C6631" s="5"/>
      <c r="D6631" s="5"/>
      <c r="E6631" s="5"/>
      <c r="F6631" s="5"/>
      <c r="G6631" s="5"/>
      <c r="H6631" s="5"/>
    </row>
    <row r="6632" spans="1:8" x14ac:dyDescent="0.25">
      <c r="A6632" s="4"/>
      <c r="B6632" s="5"/>
      <c r="C6632" s="5"/>
      <c r="D6632" s="5"/>
      <c r="E6632" s="5"/>
      <c r="F6632" s="5"/>
      <c r="G6632" s="5"/>
      <c r="H6632" s="5"/>
    </row>
    <row r="6633" spans="1:8" x14ac:dyDescent="0.25">
      <c r="A6633" s="4"/>
      <c r="B6633" s="5"/>
      <c r="C6633" s="5"/>
      <c r="D6633" s="5"/>
      <c r="E6633" s="5"/>
      <c r="F6633" s="5"/>
      <c r="G6633" s="5"/>
      <c r="H6633" s="5"/>
    </row>
    <row r="6634" spans="1:8" x14ac:dyDescent="0.25">
      <c r="A6634" s="4"/>
      <c r="B6634" s="5"/>
      <c r="C6634" s="5"/>
      <c r="D6634" s="5"/>
      <c r="E6634" s="5"/>
      <c r="F6634" s="5"/>
      <c r="G6634" s="5"/>
      <c r="H6634" s="5"/>
    </row>
    <row r="6635" spans="1:8" x14ac:dyDescent="0.25">
      <c r="A6635" s="4"/>
      <c r="B6635" s="5"/>
      <c r="C6635" s="5"/>
      <c r="D6635" s="5"/>
      <c r="E6635" s="5"/>
      <c r="F6635" s="5"/>
      <c r="G6635" s="5"/>
      <c r="H6635" s="5"/>
    </row>
    <row r="6636" spans="1:8" x14ac:dyDescent="0.25">
      <c r="A6636" s="4"/>
      <c r="B6636" s="5"/>
      <c r="C6636" s="5"/>
      <c r="D6636" s="5"/>
      <c r="E6636" s="5"/>
      <c r="F6636" s="5"/>
      <c r="G6636" s="5"/>
      <c r="H6636" s="5"/>
    </row>
    <row r="6637" spans="1:8" x14ac:dyDescent="0.25">
      <c r="A6637" s="4"/>
      <c r="B6637" s="5"/>
      <c r="C6637" s="5"/>
      <c r="D6637" s="5"/>
      <c r="E6637" s="5"/>
      <c r="F6637" s="5"/>
      <c r="G6637" s="5"/>
      <c r="H6637" s="5"/>
    </row>
    <row r="6638" spans="1:8" x14ac:dyDescent="0.25">
      <c r="A6638" s="4"/>
      <c r="B6638" s="5"/>
      <c r="C6638" s="5"/>
      <c r="D6638" s="5"/>
      <c r="E6638" s="5"/>
      <c r="F6638" s="5"/>
      <c r="G6638" s="5"/>
      <c r="H6638" s="5"/>
    </row>
    <row r="6639" spans="1:8" x14ac:dyDescent="0.25">
      <c r="A6639" s="4"/>
      <c r="B6639" s="5"/>
      <c r="C6639" s="5"/>
      <c r="D6639" s="5"/>
      <c r="E6639" s="5"/>
      <c r="F6639" s="5"/>
      <c r="G6639" s="5"/>
      <c r="H6639" s="5"/>
    </row>
    <row r="6640" spans="1:8" x14ac:dyDescent="0.25">
      <c r="A6640" s="4"/>
      <c r="B6640" s="5"/>
      <c r="C6640" s="5"/>
      <c r="D6640" s="5"/>
      <c r="E6640" s="5"/>
      <c r="F6640" s="5"/>
      <c r="G6640" s="5"/>
      <c r="H6640" s="5"/>
    </row>
    <row r="6641" spans="1:8" x14ac:dyDescent="0.25">
      <c r="A6641" s="4"/>
      <c r="B6641" s="5"/>
      <c r="C6641" s="5"/>
      <c r="D6641" s="5"/>
      <c r="E6641" s="5"/>
      <c r="F6641" s="5"/>
      <c r="G6641" s="5"/>
      <c r="H6641" s="5"/>
    </row>
    <row r="6642" spans="1:8" x14ac:dyDescent="0.25">
      <c r="A6642" s="4"/>
      <c r="B6642" s="5"/>
      <c r="C6642" s="5"/>
      <c r="D6642" s="5"/>
      <c r="E6642" s="5"/>
      <c r="F6642" s="5"/>
      <c r="G6642" s="5"/>
      <c r="H6642" s="5"/>
    </row>
    <row r="6643" spans="1:8" x14ac:dyDescent="0.25">
      <c r="A6643" s="4"/>
      <c r="B6643" s="5"/>
      <c r="C6643" s="5"/>
      <c r="D6643" s="5"/>
      <c r="E6643" s="5"/>
      <c r="F6643" s="5"/>
      <c r="G6643" s="5"/>
      <c r="H6643" s="5"/>
    </row>
    <row r="6644" spans="1:8" x14ac:dyDescent="0.25">
      <c r="A6644" s="4"/>
      <c r="B6644" s="5"/>
      <c r="C6644" s="5"/>
      <c r="D6644" s="5"/>
      <c r="E6644" s="5"/>
      <c r="F6644" s="5"/>
      <c r="G6644" s="5"/>
      <c r="H6644" s="5"/>
    </row>
    <row r="6645" spans="1:8" x14ac:dyDescent="0.25">
      <c r="A6645" s="4"/>
      <c r="B6645" s="5"/>
      <c r="C6645" s="5"/>
      <c r="D6645" s="5"/>
      <c r="E6645" s="5"/>
      <c r="F6645" s="5"/>
      <c r="G6645" s="5"/>
      <c r="H6645" s="5"/>
    </row>
    <row r="6646" spans="1:8" x14ac:dyDescent="0.25">
      <c r="A6646" s="4"/>
      <c r="B6646" s="5"/>
      <c r="C6646" s="5"/>
      <c r="D6646" s="5"/>
      <c r="E6646" s="5"/>
      <c r="F6646" s="5"/>
      <c r="G6646" s="5"/>
      <c r="H6646" s="5"/>
    </row>
    <row r="6647" spans="1:8" x14ac:dyDescent="0.25">
      <c r="A6647" s="4"/>
      <c r="B6647" s="5"/>
      <c r="C6647" s="5"/>
      <c r="D6647" s="5"/>
      <c r="E6647" s="5"/>
      <c r="F6647" s="5"/>
      <c r="G6647" s="5"/>
      <c r="H6647" s="5"/>
    </row>
    <row r="6648" spans="1:8" x14ac:dyDescent="0.25">
      <c r="A6648" s="4"/>
      <c r="B6648" s="5"/>
      <c r="C6648" s="5"/>
      <c r="D6648" s="5"/>
      <c r="E6648" s="5"/>
      <c r="F6648" s="5"/>
      <c r="G6648" s="5"/>
      <c r="H6648" s="5"/>
    </row>
    <row r="6649" spans="1:8" x14ac:dyDescent="0.25">
      <c r="A6649" s="4"/>
      <c r="B6649" s="5"/>
      <c r="C6649" s="5"/>
      <c r="D6649" s="5"/>
      <c r="E6649" s="5"/>
      <c r="F6649" s="5"/>
      <c r="G6649" s="5"/>
      <c r="H6649" s="5"/>
    </row>
    <row r="6650" spans="1:8" x14ac:dyDescent="0.25">
      <c r="A6650" s="4"/>
      <c r="B6650" s="5"/>
      <c r="C6650" s="5"/>
      <c r="D6650" s="5"/>
      <c r="E6650" s="5"/>
      <c r="F6650" s="5"/>
      <c r="G6650" s="5"/>
      <c r="H6650" s="5"/>
    </row>
    <row r="6651" spans="1:8" x14ac:dyDescent="0.25">
      <c r="A6651" s="4"/>
      <c r="B6651" s="5"/>
      <c r="C6651" s="5"/>
      <c r="D6651" s="5"/>
      <c r="E6651" s="5"/>
      <c r="F6651" s="5"/>
      <c r="G6651" s="5"/>
      <c r="H6651" s="5"/>
    </row>
    <row r="6652" spans="1:8" x14ac:dyDescent="0.25">
      <c r="A6652" s="4"/>
      <c r="B6652" s="5"/>
      <c r="C6652" s="5"/>
      <c r="D6652" s="5"/>
      <c r="E6652" s="5"/>
      <c r="F6652" s="5"/>
      <c r="G6652" s="5"/>
      <c r="H6652" s="5"/>
    </row>
    <row r="6653" spans="1:8" x14ac:dyDescent="0.25">
      <c r="A6653" s="4"/>
      <c r="B6653" s="5"/>
      <c r="C6653" s="5"/>
      <c r="D6653" s="5"/>
      <c r="E6653" s="5"/>
      <c r="F6653" s="5"/>
      <c r="G6653" s="5"/>
      <c r="H6653" s="5"/>
    </row>
    <row r="6654" spans="1:8" x14ac:dyDescent="0.25">
      <c r="A6654" s="4"/>
      <c r="B6654" s="5"/>
      <c r="C6654" s="5"/>
      <c r="D6654" s="5"/>
      <c r="E6654" s="5"/>
      <c r="F6654" s="5"/>
      <c r="G6654" s="5"/>
      <c r="H6654" s="5"/>
    </row>
    <row r="6655" spans="1:8" x14ac:dyDescent="0.25">
      <c r="A6655" s="4"/>
      <c r="B6655" s="5"/>
      <c r="C6655" s="5"/>
      <c r="D6655" s="5"/>
      <c r="E6655" s="5"/>
      <c r="F6655" s="5"/>
      <c r="G6655" s="5"/>
      <c r="H6655" s="5"/>
    </row>
    <row r="6656" spans="1:8" x14ac:dyDescent="0.25">
      <c r="A6656" s="4"/>
      <c r="B6656" s="5"/>
      <c r="C6656" s="5"/>
      <c r="D6656" s="5"/>
      <c r="E6656" s="5"/>
      <c r="F6656" s="5"/>
      <c r="G6656" s="5"/>
      <c r="H6656" s="5"/>
    </row>
    <row r="6657" spans="1:8" x14ac:dyDescent="0.25">
      <c r="A6657" s="4"/>
      <c r="B6657" s="5"/>
      <c r="C6657" s="5"/>
      <c r="D6657" s="5"/>
      <c r="E6657" s="5"/>
      <c r="F6657" s="5"/>
      <c r="G6657" s="5"/>
      <c r="H6657" s="5"/>
    </row>
    <row r="6658" spans="1:8" x14ac:dyDescent="0.25">
      <c r="A6658" s="4"/>
      <c r="B6658" s="5"/>
      <c r="C6658" s="5"/>
      <c r="D6658" s="5"/>
      <c r="E6658" s="5"/>
      <c r="F6658" s="5"/>
      <c r="G6658" s="5"/>
      <c r="H6658" s="5"/>
    </row>
    <row r="6659" spans="1:8" x14ac:dyDescent="0.25">
      <c r="A6659" s="4"/>
      <c r="B6659" s="5"/>
      <c r="C6659" s="5"/>
      <c r="D6659" s="5"/>
      <c r="E6659" s="5"/>
      <c r="F6659" s="5"/>
      <c r="G6659" s="5"/>
      <c r="H6659" s="5"/>
    </row>
    <row r="6660" spans="1:8" x14ac:dyDescent="0.25">
      <c r="A6660" s="4"/>
      <c r="B6660" s="5"/>
      <c r="C6660" s="5"/>
      <c r="D6660" s="5"/>
      <c r="E6660" s="5"/>
      <c r="F6660" s="5"/>
      <c r="G6660" s="5"/>
      <c r="H6660" s="5"/>
    </row>
    <row r="6661" spans="1:8" x14ac:dyDescent="0.25">
      <c r="A6661" s="4"/>
      <c r="B6661" s="5"/>
      <c r="C6661" s="5"/>
      <c r="D6661" s="5"/>
      <c r="E6661" s="5"/>
      <c r="F6661" s="5"/>
      <c r="G6661" s="5"/>
      <c r="H6661" s="5"/>
    </row>
    <row r="6662" spans="1:8" x14ac:dyDescent="0.25">
      <c r="A6662" s="4"/>
      <c r="B6662" s="5"/>
      <c r="C6662" s="5"/>
      <c r="D6662" s="5"/>
      <c r="E6662" s="5"/>
      <c r="F6662" s="5"/>
      <c r="G6662" s="5"/>
      <c r="H6662" s="5"/>
    </row>
    <row r="6663" spans="1:8" x14ac:dyDescent="0.25">
      <c r="A6663" s="4"/>
      <c r="B6663" s="5"/>
      <c r="C6663" s="5"/>
      <c r="D6663" s="5"/>
      <c r="E6663" s="5"/>
      <c r="F6663" s="5"/>
      <c r="G6663" s="5"/>
      <c r="H6663" s="5"/>
    </row>
    <row r="6664" spans="1:8" x14ac:dyDescent="0.25">
      <c r="A6664" s="4"/>
      <c r="B6664" s="5"/>
      <c r="C6664" s="5"/>
      <c r="D6664" s="5"/>
      <c r="E6664" s="5"/>
      <c r="F6664" s="5"/>
      <c r="G6664" s="5"/>
      <c r="H6664" s="5"/>
    </row>
    <row r="6665" spans="1:8" x14ac:dyDescent="0.25">
      <c r="A6665" s="4"/>
      <c r="B6665" s="5"/>
      <c r="C6665" s="5"/>
      <c r="D6665" s="5"/>
      <c r="E6665" s="5"/>
      <c r="F6665" s="5"/>
      <c r="G6665" s="5"/>
      <c r="H6665" s="5"/>
    </row>
    <row r="6666" spans="1:8" x14ac:dyDescent="0.25">
      <c r="A6666" s="4"/>
      <c r="B6666" s="5"/>
      <c r="C6666" s="5"/>
      <c r="D6666" s="5"/>
      <c r="E6666" s="5"/>
      <c r="F6666" s="5"/>
      <c r="G6666" s="5"/>
      <c r="H6666" s="5"/>
    </row>
    <row r="6667" spans="1:8" x14ac:dyDescent="0.25">
      <c r="A6667" s="4"/>
      <c r="B6667" s="5"/>
      <c r="C6667" s="5"/>
      <c r="D6667" s="5"/>
      <c r="E6667" s="5"/>
      <c r="F6667" s="5"/>
      <c r="G6667" s="5"/>
      <c r="H6667" s="5"/>
    </row>
    <row r="6668" spans="1:8" x14ac:dyDescent="0.25">
      <c r="A6668" s="4"/>
      <c r="B6668" s="5"/>
      <c r="C6668" s="5"/>
      <c r="D6668" s="5"/>
      <c r="E6668" s="5"/>
      <c r="F6668" s="5"/>
      <c r="G6668" s="5"/>
      <c r="H6668" s="5"/>
    </row>
    <row r="6669" spans="1:8" x14ac:dyDescent="0.25">
      <c r="A6669" s="4"/>
      <c r="B6669" s="5"/>
      <c r="C6669" s="5"/>
      <c r="D6669" s="5"/>
      <c r="E6669" s="5"/>
      <c r="F6669" s="5"/>
      <c r="G6669" s="5"/>
      <c r="H6669" s="5"/>
    </row>
    <row r="6670" spans="1:8" x14ac:dyDescent="0.25">
      <c r="A6670" s="4"/>
      <c r="B6670" s="5"/>
      <c r="C6670" s="5"/>
      <c r="D6670" s="5"/>
      <c r="E6670" s="5"/>
      <c r="F6670" s="5"/>
      <c r="G6670" s="5"/>
      <c r="H6670" s="5"/>
    </row>
    <row r="6671" spans="1:8" x14ac:dyDescent="0.25">
      <c r="A6671" s="4"/>
      <c r="B6671" s="5"/>
      <c r="C6671" s="5"/>
      <c r="D6671" s="5"/>
      <c r="E6671" s="5"/>
      <c r="F6671" s="5"/>
      <c r="G6671" s="5"/>
      <c r="H6671" s="5"/>
    </row>
    <row r="6672" spans="1:8" x14ac:dyDescent="0.25">
      <c r="A6672" s="4"/>
      <c r="B6672" s="5"/>
      <c r="C6672" s="5"/>
      <c r="D6672" s="5"/>
      <c r="E6672" s="5"/>
      <c r="F6672" s="5"/>
      <c r="G6672" s="5"/>
      <c r="H6672" s="5"/>
    </row>
    <row r="6673" spans="1:8" x14ac:dyDescent="0.25">
      <c r="A6673" s="4"/>
      <c r="B6673" s="5"/>
      <c r="C6673" s="5"/>
      <c r="D6673" s="5"/>
      <c r="E6673" s="5"/>
      <c r="F6673" s="5"/>
      <c r="G6673" s="5"/>
      <c r="H6673" s="5"/>
    </row>
    <row r="6674" spans="1:8" x14ac:dyDescent="0.25">
      <c r="A6674" s="4"/>
      <c r="B6674" s="5"/>
      <c r="C6674" s="5"/>
      <c r="D6674" s="5"/>
      <c r="E6674" s="5"/>
      <c r="F6674" s="5"/>
      <c r="G6674" s="5"/>
      <c r="H6674" s="5"/>
    </row>
    <row r="6675" spans="1:8" x14ac:dyDescent="0.25">
      <c r="A6675" s="4"/>
      <c r="B6675" s="5"/>
      <c r="C6675" s="5"/>
      <c r="D6675" s="5"/>
      <c r="E6675" s="5"/>
      <c r="F6675" s="5"/>
      <c r="G6675" s="5"/>
      <c r="H6675" s="5"/>
    </row>
    <row r="6676" spans="1:8" x14ac:dyDescent="0.25">
      <c r="A6676" s="4"/>
      <c r="B6676" s="5"/>
      <c r="C6676" s="5"/>
      <c r="D6676" s="5"/>
      <c r="E6676" s="5"/>
      <c r="F6676" s="5"/>
      <c r="G6676" s="5"/>
      <c r="H6676" s="5"/>
    </row>
    <row r="6677" spans="1:8" x14ac:dyDescent="0.25">
      <c r="A6677" s="4"/>
      <c r="B6677" s="5"/>
      <c r="C6677" s="5"/>
      <c r="D6677" s="5"/>
      <c r="E6677" s="5"/>
      <c r="F6677" s="5"/>
      <c r="G6677" s="5"/>
      <c r="H6677" s="5"/>
    </row>
    <row r="6678" spans="1:8" x14ac:dyDescent="0.25">
      <c r="A6678" s="4"/>
      <c r="B6678" s="5"/>
      <c r="C6678" s="5"/>
      <c r="D6678" s="5"/>
      <c r="E6678" s="5"/>
      <c r="F6678" s="5"/>
      <c r="G6678" s="5"/>
      <c r="H6678" s="5"/>
    </row>
    <row r="6679" spans="1:8" x14ac:dyDescent="0.25">
      <c r="A6679" s="4"/>
      <c r="B6679" s="5"/>
      <c r="C6679" s="5"/>
      <c r="D6679" s="5"/>
      <c r="E6679" s="5"/>
      <c r="F6679" s="5"/>
      <c r="G6679" s="5"/>
      <c r="H6679" s="5"/>
    </row>
    <row r="6680" spans="1:8" x14ac:dyDescent="0.25">
      <c r="A6680" s="4"/>
      <c r="B6680" s="5"/>
      <c r="C6680" s="5"/>
      <c r="D6680" s="5"/>
      <c r="E6680" s="5"/>
      <c r="F6680" s="5"/>
      <c r="G6680" s="5"/>
      <c r="H6680" s="5"/>
    </row>
    <row r="6681" spans="1:8" x14ac:dyDescent="0.25">
      <c r="A6681" s="4"/>
      <c r="B6681" s="5"/>
      <c r="C6681" s="5"/>
      <c r="D6681" s="5"/>
      <c r="E6681" s="5"/>
      <c r="F6681" s="5"/>
      <c r="G6681" s="5"/>
      <c r="H6681" s="5"/>
    </row>
    <row r="6682" spans="1:8" x14ac:dyDescent="0.25">
      <c r="A6682" s="4"/>
      <c r="B6682" s="5"/>
      <c r="C6682" s="5"/>
      <c r="D6682" s="5"/>
      <c r="E6682" s="5"/>
      <c r="F6682" s="5"/>
      <c r="G6682" s="5"/>
      <c r="H6682" s="5"/>
    </row>
    <row r="6683" spans="1:8" x14ac:dyDescent="0.25">
      <c r="A6683" s="4"/>
      <c r="B6683" s="5"/>
      <c r="C6683" s="5"/>
      <c r="D6683" s="5"/>
      <c r="E6683" s="5"/>
      <c r="F6683" s="5"/>
      <c r="G6683" s="5"/>
      <c r="H6683" s="5"/>
    </row>
    <row r="6684" spans="1:8" x14ac:dyDescent="0.25">
      <c r="A6684" s="4"/>
      <c r="B6684" s="5"/>
      <c r="C6684" s="5"/>
      <c r="D6684" s="5"/>
      <c r="E6684" s="5"/>
      <c r="F6684" s="5"/>
      <c r="G6684" s="5"/>
      <c r="H6684" s="5"/>
    </row>
    <row r="6685" spans="1:8" x14ac:dyDescent="0.25">
      <c r="A6685" s="4"/>
      <c r="B6685" s="5"/>
      <c r="C6685" s="5"/>
      <c r="D6685" s="5"/>
      <c r="E6685" s="5"/>
      <c r="F6685" s="5"/>
      <c r="G6685" s="5"/>
      <c r="H6685" s="5"/>
    </row>
    <row r="6686" spans="1:8" x14ac:dyDescent="0.25">
      <c r="A6686" s="4"/>
      <c r="B6686" s="5"/>
      <c r="C6686" s="5"/>
      <c r="D6686" s="5"/>
      <c r="E6686" s="5"/>
      <c r="F6686" s="5"/>
      <c r="G6686" s="5"/>
      <c r="H6686" s="5"/>
    </row>
    <row r="6687" spans="1:8" x14ac:dyDescent="0.25">
      <c r="A6687" s="4"/>
      <c r="B6687" s="5"/>
      <c r="C6687" s="5"/>
      <c r="D6687" s="5"/>
      <c r="E6687" s="5"/>
      <c r="F6687" s="5"/>
      <c r="G6687" s="5"/>
      <c r="H6687" s="5"/>
    </row>
    <row r="6688" spans="1:8" x14ac:dyDescent="0.25">
      <c r="A6688" s="4"/>
      <c r="B6688" s="5"/>
      <c r="C6688" s="5"/>
      <c r="D6688" s="5"/>
      <c r="E6688" s="5"/>
      <c r="F6688" s="5"/>
      <c r="G6688" s="5"/>
      <c r="H6688" s="5"/>
    </row>
    <row r="6689" spans="1:8" x14ac:dyDescent="0.25">
      <c r="A6689" s="4"/>
      <c r="B6689" s="5"/>
      <c r="C6689" s="5"/>
      <c r="D6689" s="5"/>
      <c r="E6689" s="5"/>
      <c r="F6689" s="5"/>
      <c r="G6689" s="5"/>
      <c r="H6689" s="5"/>
    </row>
    <row r="6690" spans="1:8" x14ac:dyDescent="0.25">
      <c r="A6690" s="4"/>
      <c r="B6690" s="5"/>
      <c r="C6690" s="5"/>
      <c r="D6690" s="5"/>
      <c r="E6690" s="5"/>
      <c r="F6690" s="5"/>
      <c r="G6690" s="5"/>
      <c r="H6690" s="5"/>
    </row>
    <row r="6691" spans="1:8" x14ac:dyDescent="0.25">
      <c r="A6691" s="4"/>
      <c r="B6691" s="5"/>
      <c r="C6691" s="5"/>
      <c r="D6691" s="5"/>
      <c r="E6691" s="5"/>
      <c r="F6691" s="5"/>
      <c r="G6691" s="5"/>
      <c r="H6691" s="5"/>
    </row>
    <row r="6692" spans="1:8" x14ac:dyDescent="0.25">
      <c r="A6692" s="4"/>
      <c r="B6692" s="5"/>
      <c r="C6692" s="5"/>
      <c r="D6692" s="5"/>
      <c r="E6692" s="5"/>
      <c r="F6692" s="5"/>
      <c r="G6692" s="5"/>
      <c r="H6692" s="5"/>
    </row>
    <row r="6693" spans="1:8" x14ac:dyDescent="0.25">
      <c r="A6693" s="4"/>
      <c r="B6693" s="5"/>
      <c r="C6693" s="5"/>
      <c r="D6693" s="5"/>
      <c r="E6693" s="5"/>
      <c r="F6693" s="5"/>
      <c r="G6693" s="5"/>
      <c r="H6693" s="5"/>
    </row>
    <row r="6694" spans="1:8" x14ac:dyDescent="0.25">
      <c r="A6694" s="4"/>
      <c r="B6694" s="5"/>
      <c r="C6694" s="5"/>
      <c r="D6694" s="5"/>
      <c r="E6694" s="5"/>
      <c r="F6694" s="5"/>
      <c r="G6694" s="5"/>
      <c r="H6694" s="5"/>
    </row>
    <row r="6695" spans="1:8" x14ac:dyDescent="0.25">
      <c r="A6695" s="4"/>
      <c r="B6695" s="5"/>
      <c r="C6695" s="5"/>
      <c r="D6695" s="5"/>
      <c r="E6695" s="5"/>
      <c r="F6695" s="5"/>
      <c r="G6695" s="5"/>
      <c r="H6695" s="5"/>
    </row>
    <row r="6696" spans="1:8" x14ac:dyDescent="0.25">
      <c r="A6696" s="4"/>
      <c r="B6696" s="5"/>
      <c r="C6696" s="5"/>
      <c r="D6696" s="5"/>
      <c r="E6696" s="5"/>
      <c r="F6696" s="5"/>
      <c r="G6696" s="5"/>
      <c r="H6696" s="5"/>
    </row>
    <row r="6697" spans="1:8" x14ac:dyDescent="0.25">
      <c r="A6697" s="4"/>
      <c r="B6697" s="5"/>
      <c r="C6697" s="5"/>
      <c r="D6697" s="5"/>
      <c r="E6697" s="5"/>
      <c r="F6697" s="5"/>
      <c r="G6697" s="5"/>
      <c r="H6697" s="5"/>
    </row>
    <row r="6698" spans="1:8" x14ac:dyDescent="0.25">
      <c r="A6698" s="4"/>
      <c r="B6698" s="5"/>
      <c r="C6698" s="5"/>
      <c r="D6698" s="5"/>
      <c r="E6698" s="5"/>
      <c r="F6698" s="5"/>
      <c r="G6698" s="5"/>
      <c r="H6698" s="5"/>
    </row>
    <row r="6699" spans="1:8" x14ac:dyDescent="0.25">
      <c r="A6699" s="4"/>
      <c r="B6699" s="5"/>
      <c r="C6699" s="5"/>
      <c r="D6699" s="5"/>
      <c r="E6699" s="5"/>
      <c r="F6699" s="5"/>
      <c r="G6699" s="5"/>
      <c r="H6699" s="5"/>
    </row>
    <row r="6700" spans="1:8" x14ac:dyDescent="0.25">
      <c r="A6700" s="4"/>
      <c r="B6700" s="5"/>
      <c r="C6700" s="5"/>
      <c r="D6700" s="5"/>
      <c r="E6700" s="5"/>
      <c r="F6700" s="5"/>
      <c r="G6700" s="5"/>
      <c r="H6700" s="5"/>
    </row>
    <row r="6701" spans="1:8" x14ac:dyDescent="0.25">
      <c r="A6701" s="4"/>
      <c r="B6701" s="5"/>
      <c r="C6701" s="5"/>
      <c r="D6701" s="5"/>
      <c r="E6701" s="5"/>
      <c r="F6701" s="5"/>
      <c r="G6701" s="5"/>
      <c r="H6701" s="5"/>
    </row>
    <row r="6702" spans="1:8" x14ac:dyDescent="0.25">
      <c r="A6702" s="4"/>
      <c r="B6702" s="5"/>
      <c r="C6702" s="5"/>
      <c r="D6702" s="5"/>
      <c r="E6702" s="5"/>
      <c r="F6702" s="5"/>
      <c r="G6702" s="5"/>
      <c r="H6702" s="5"/>
    </row>
    <row r="6703" spans="1:8" x14ac:dyDescent="0.25">
      <c r="A6703" s="4"/>
      <c r="B6703" s="5"/>
      <c r="C6703" s="5"/>
      <c r="D6703" s="5"/>
      <c r="E6703" s="5"/>
      <c r="F6703" s="5"/>
      <c r="G6703" s="5"/>
      <c r="H6703" s="5"/>
    </row>
    <row r="6704" spans="1:8" x14ac:dyDescent="0.25">
      <c r="A6704" s="4"/>
      <c r="B6704" s="5"/>
      <c r="C6704" s="5"/>
      <c r="D6704" s="5"/>
      <c r="E6704" s="5"/>
      <c r="F6704" s="5"/>
      <c r="G6704" s="5"/>
      <c r="H6704" s="5"/>
    </row>
    <row r="6705" spans="1:8" x14ac:dyDescent="0.25">
      <c r="A6705" s="4"/>
      <c r="B6705" s="5"/>
      <c r="C6705" s="5"/>
      <c r="D6705" s="5"/>
      <c r="E6705" s="5"/>
      <c r="F6705" s="5"/>
      <c r="G6705" s="5"/>
      <c r="H6705" s="5"/>
    </row>
    <row r="6706" spans="1:8" x14ac:dyDescent="0.25">
      <c r="A6706" s="4"/>
      <c r="B6706" s="5"/>
      <c r="C6706" s="5"/>
      <c r="D6706" s="5"/>
      <c r="E6706" s="5"/>
      <c r="F6706" s="5"/>
      <c r="G6706" s="5"/>
      <c r="H6706" s="5"/>
    </row>
    <row r="6707" spans="1:8" x14ac:dyDescent="0.25">
      <c r="A6707" s="4"/>
      <c r="B6707" s="5"/>
      <c r="C6707" s="5"/>
      <c r="D6707" s="5"/>
      <c r="E6707" s="5"/>
      <c r="F6707" s="5"/>
      <c r="G6707" s="5"/>
      <c r="H6707" s="5"/>
    </row>
    <row r="6708" spans="1:8" x14ac:dyDescent="0.25">
      <c r="A6708" s="4"/>
      <c r="B6708" s="5"/>
      <c r="C6708" s="5"/>
      <c r="D6708" s="5"/>
      <c r="E6708" s="5"/>
      <c r="F6708" s="5"/>
      <c r="G6708" s="5"/>
      <c r="H6708" s="5"/>
    </row>
    <row r="6709" spans="1:8" x14ac:dyDescent="0.25">
      <c r="A6709" s="4"/>
      <c r="B6709" s="5"/>
      <c r="C6709" s="5"/>
      <c r="D6709" s="5"/>
      <c r="E6709" s="5"/>
      <c r="F6709" s="5"/>
      <c r="G6709" s="5"/>
      <c r="H6709" s="5"/>
    </row>
    <row r="6710" spans="1:8" x14ac:dyDescent="0.25">
      <c r="A6710" s="4"/>
      <c r="B6710" s="5"/>
      <c r="C6710" s="5"/>
      <c r="D6710" s="5"/>
      <c r="E6710" s="5"/>
      <c r="F6710" s="5"/>
      <c r="G6710" s="5"/>
      <c r="H6710" s="5"/>
    </row>
    <row r="6711" spans="1:8" x14ac:dyDescent="0.25">
      <c r="A6711" s="4"/>
      <c r="B6711" s="5"/>
      <c r="C6711" s="5"/>
      <c r="D6711" s="5"/>
      <c r="E6711" s="5"/>
      <c r="F6711" s="5"/>
      <c r="G6711" s="5"/>
      <c r="H6711" s="5"/>
    </row>
    <row r="6712" spans="1:8" x14ac:dyDescent="0.25">
      <c r="A6712" s="4"/>
      <c r="B6712" s="5"/>
      <c r="C6712" s="5"/>
      <c r="D6712" s="5"/>
      <c r="E6712" s="5"/>
      <c r="F6712" s="5"/>
      <c r="G6712" s="5"/>
      <c r="H6712" s="5"/>
    </row>
    <row r="6713" spans="1:8" x14ac:dyDescent="0.25">
      <c r="A6713" s="4"/>
      <c r="B6713" s="5"/>
      <c r="C6713" s="5"/>
      <c r="D6713" s="5"/>
      <c r="E6713" s="5"/>
      <c r="F6713" s="5"/>
      <c r="G6713" s="5"/>
      <c r="H6713" s="5"/>
    </row>
    <row r="6714" spans="1:8" x14ac:dyDescent="0.25">
      <c r="A6714" s="4"/>
      <c r="B6714" s="5"/>
      <c r="C6714" s="5"/>
      <c r="D6714" s="5"/>
      <c r="E6714" s="5"/>
      <c r="F6714" s="5"/>
      <c r="G6714" s="5"/>
      <c r="H6714" s="5"/>
    </row>
    <row r="6715" spans="1:8" x14ac:dyDescent="0.25">
      <c r="A6715" s="4"/>
      <c r="B6715" s="5"/>
      <c r="C6715" s="5"/>
      <c r="D6715" s="5"/>
      <c r="E6715" s="5"/>
      <c r="F6715" s="5"/>
      <c r="G6715" s="5"/>
      <c r="H6715" s="5"/>
    </row>
    <row r="6716" spans="1:8" x14ac:dyDescent="0.25">
      <c r="A6716" s="4"/>
      <c r="B6716" s="5"/>
      <c r="C6716" s="5"/>
      <c r="D6716" s="5"/>
      <c r="E6716" s="5"/>
      <c r="F6716" s="5"/>
      <c r="G6716" s="5"/>
      <c r="H6716" s="5"/>
    </row>
    <row r="6717" spans="1:8" x14ac:dyDescent="0.25">
      <c r="A6717" s="4"/>
      <c r="B6717" s="5"/>
      <c r="C6717" s="5"/>
      <c r="D6717" s="5"/>
      <c r="E6717" s="5"/>
      <c r="F6717" s="5"/>
      <c r="G6717" s="5"/>
      <c r="H6717" s="5"/>
    </row>
    <row r="6718" spans="1:8" x14ac:dyDescent="0.25">
      <c r="A6718" s="4"/>
      <c r="B6718" s="5"/>
      <c r="C6718" s="5"/>
      <c r="D6718" s="5"/>
      <c r="E6718" s="5"/>
      <c r="F6718" s="5"/>
      <c r="G6718" s="5"/>
      <c r="H6718" s="5"/>
    </row>
    <row r="6719" spans="1:8" x14ac:dyDescent="0.25">
      <c r="A6719" s="4"/>
      <c r="B6719" s="5"/>
      <c r="C6719" s="5"/>
      <c r="D6719" s="5"/>
      <c r="E6719" s="5"/>
      <c r="F6719" s="5"/>
      <c r="G6719" s="5"/>
      <c r="H6719" s="5"/>
    </row>
    <row r="6720" spans="1:8" x14ac:dyDescent="0.25">
      <c r="A6720" s="4"/>
      <c r="B6720" s="5"/>
      <c r="C6720" s="5"/>
      <c r="D6720" s="5"/>
      <c r="E6720" s="5"/>
      <c r="F6720" s="5"/>
      <c r="G6720" s="5"/>
      <c r="H6720" s="5"/>
    </row>
    <row r="6721" spans="1:8" x14ac:dyDescent="0.25">
      <c r="A6721" s="4"/>
      <c r="B6721" s="5"/>
      <c r="C6721" s="5"/>
      <c r="D6721" s="5"/>
      <c r="E6721" s="5"/>
      <c r="F6721" s="5"/>
      <c r="G6721" s="5"/>
      <c r="H6721" s="5"/>
    </row>
    <row r="6722" spans="1:8" x14ac:dyDescent="0.25">
      <c r="A6722" s="4"/>
      <c r="B6722" s="5"/>
      <c r="C6722" s="5"/>
      <c r="D6722" s="5"/>
      <c r="E6722" s="5"/>
      <c r="F6722" s="5"/>
      <c r="G6722" s="5"/>
      <c r="H6722" s="5"/>
    </row>
    <row r="6723" spans="1:8" x14ac:dyDescent="0.25">
      <c r="A6723" s="4"/>
      <c r="B6723" s="5"/>
      <c r="C6723" s="5"/>
      <c r="D6723" s="5"/>
      <c r="E6723" s="5"/>
      <c r="F6723" s="5"/>
      <c r="G6723" s="5"/>
      <c r="H6723" s="5"/>
    </row>
    <row r="6724" spans="1:8" x14ac:dyDescent="0.25">
      <c r="A6724" s="4"/>
      <c r="B6724" s="5"/>
      <c r="C6724" s="5"/>
      <c r="D6724" s="5"/>
      <c r="E6724" s="5"/>
      <c r="F6724" s="5"/>
      <c r="G6724" s="5"/>
      <c r="H6724" s="5"/>
    </row>
    <row r="6725" spans="1:8" x14ac:dyDescent="0.25">
      <c r="A6725" s="4"/>
      <c r="B6725" s="5"/>
      <c r="C6725" s="5"/>
      <c r="D6725" s="5"/>
      <c r="E6725" s="5"/>
      <c r="F6725" s="5"/>
      <c r="G6725" s="5"/>
      <c r="H6725" s="5"/>
    </row>
    <row r="6726" spans="1:8" x14ac:dyDescent="0.25">
      <c r="A6726" s="4"/>
      <c r="B6726" s="5"/>
      <c r="C6726" s="5"/>
      <c r="D6726" s="5"/>
      <c r="E6726" s="5"/>
      <c r="F6726" s="5"/>
      <c r="G6726" s="5"/>
      <c r="H6726" s="5"/>
    </row>
    <row r="6727" spans="1:8" x14ac:dyDescent="0.25">
      <c r="A6727" s="4"/>
      <c r="B6727" s="5"/>
      <c r="C6727" s="5"/>
      <c r="D6727" s="5"/>
      <c r="E6727" s="5"/>
      <c r="F6727" s="5"/>
      <c r="G6727" s="5"/>
      <c r="H6727" s="5"/>
    </row>
    <row r="6728" spans="1:8" x14ac:dyDescent="0.25">
      <c r="A6728" s="4"/>
      <c r="B6728" s="5"/>
      <c r="C6728" s="5"/>
      <c r="D6728" s="5"/>
      <c r="E6728" s="5"/>
      <c r="F6728" s="5"/>
      <c r="G6728" s="5"/>
      <c r="H6728" s="5"/>
    </row>
    <row r="6729" spans="1:8" x14ac:dyDescent="0.25">
      <c r="A6729" s="4"/>
      <c r="B6729" s="5"/>
      <c r="C6729" s="5"/>
      <c r="D6729" s="5"/>
      <c r="E6729" s="5"/>
      <c r="F6729" s="5"/>
      <c r="G6729" s="5"/>
      <c r="H6729" s="5"/>
    </row>
    <row r="6730" spans="1:8" x14ac:dyDescent="0.25">
      <c r="A6730" s="4"/>
      <c r="B6730" s="5"/>
      <c r="C6730" s="5"/>
      <c r="D6730" s="5"/>
      <c r="E6730" s="5"/>
      <c r="F6730" s="5"/>
      <c r="G6730" s="5"/>
      <c r="H6730" s="5"/>
    </row>
    <row r="6731" spans="1:8" x14ac:dyDescent="0.25">
      <c r="A6731" s="4"/>
      <c r="B6731" s="5"/>
      <c r="C6731" s="5"/>
      <c r="D6731" s="5"/>
      <c r="E6731" s="5"/>
      <c r="F6731" s="5"/>
      <c r="G6731" s="5"/>
      <c r="H6731" s="5"/>
    </row>
    <row r="6732" spans="1:8" x14ac:dyDescent="0.25">
      <c r="A6732" s="4"/>
      <c r="B6732" s="5"/>
      <c r="C6732" s="5"/>
      <c r="D6732" s="5"/>
      <c r="E6732" s="5"/>
      <c r="F6732" s="5"/>
      <c r="G6732" s="5"/>
      <c r="H6732" s="5"/>
    </row>
    <row r="6733" spans="1:8" x14ac:dyDescent="0.25">
      <c r="A6733" s="4"/>
      <c r="B6733" s="5"/>
      <c r="C6733" s="5"/>
      <c r="D6733" s="5"/>
      <c r="E6733" s="5"/>
      <c r="F6733" s="5"/>
      <c r="G6733" s="5"/>
      <c r="H6733" s="5"/>
    </row>
    <row r="6734" spans="1:8" x14ac:dyDescent="0.25">
      <c r="A6734" s="4"/>
      <c r="B6734" s="5"/>
      <c r="C6734" s="5"/>
      <c r="D6734" s="5"/>
      <c r="E6734" s="5"/>
      <c r="F6734" s="5"/>
      <c r="G6734" s="5"/>
      <c r="H6734" s="5"/>
    </row>
    <row r="6735" spans="1:8" x14ac:dyDescent="0.25">
      <c r="A6735" s="4"/>
      <c r="B6735" s="5"/>
      <c r="C6735" s="5"/>
      <c r="D6735" s="5"/>
      <c r="E6735" s="5"/>
      <c r="F6735" s="5"/>
      <c r="G6735" s="5"/>
      <c r="H6735" s="5"/>
    </row>
    <row r="6736" spans="1:8" x14ac:dyDescent="0.25">
      <c r="A6736" s="4"/>
      <c r="B6736" s="5"/>
      <c r="C6736" s="5"/>
      <c r="D6736" s="5"/>
      <c r="E6736" s="5"/>
      <c r="F6736" s="5"/>
      <c r="G6736" s="5"/>
      <c r="H6736" s="5"/>
    </row>
    <row r="6737" spans="1:8" x14ac:dyDescent="0.25">
      <c r="A6737" s="4"/>
      <c r="B6737" s="5"/>
      <c r="C6737" s="5"/>
      <c r="D6737" s="5"/>
      <c r="E6737" s="5"/>
      <c r="F6737" s="5"/>
      <c r="G6737" s="5"/>
      <c r="H6737" s="5"/>
    </row>
    <row r="6738" spans="1:8" x14ac:dyDescent="0.25">
      <c r="A6738" s="4"/>
      <c r="B6738" s="5"/>
      <c r="C6738" s="5"/>
      <c r="D6738" s="5"/>
      <c r="E6738" s="5"/>
      <c r="F6738" s="5"/>
      <c r="G6738" s="5"/>
      <c r="H6738" s="5"/>
    </row>
    <row r="6739" spans="1:8" x14ac:dyDescent="0.25">
      <c r="A6739" s="4"/>
      <c r="B6739" s="5"/>
      <c r="C6739" s="5"/>
      <c r="D6739" s="5"/>
      <c r="E6739" s="5"/>
      <c r="F6739" s="5"/>
      <c r="G6739" s="5"/>
      <c r="H6739" s="5"/>
    </row>
    <row r="6740" spans="1:8" x14ac:dyDescent="0.25">
      <c r="A6740" s="4"/>
      <c r="B6740" s="5"/>
      <c r="C6740" s="5"/>
      <c r="D6740" s="5"/>
      <c r="E6740" s="5"/>
      <c r="F6740" s="5"/>
      <c r="G6740" s="5"/>
      <c r="H6740" s="5"/>
    </row>
    <row r="6741" spans="1:8" x14ac:dyDescent="0.25">
      <c r="A6741" s="4"/>
      <c r="B6741" s="5"/>
      <c r="C6741" s="5"/>
      <c r="D6741" s="5"/>
      <c r="E6741" s="5"/>
      <c r="F6741" s="5"/>
      <c r="G6741" s="5"/>
      <c r="H6741" s="5"/>
    </row>
    <row r="6742" spans="1:8" x14ac:dyDescent="0.25">
      <c r="A6742" s="4"/>
      <c r="B6742" s="5"/>
      <c r="C6742" s="5"/>
      <c r="D6742" s="5"/>
      <c r="E6742" s="5"/>
      <c r="F6742" s="5"/>
      <c r="G6742" s="5"/>
      <c r="H6742" s="5"/>
    </row>
    <row r="6743" spans="1:8" x14ac:dyDescent="0.25">
      <c r="A6743" s="4"/>
      <c r="B6743" s="5"/>
      <c r="C6743" s="5"/>
      <c r="D6743" s="5"/>
      <c r="E6743" s="5"/>
      <c r="F6743" s="5"/>
      <c r="G6743" s="5"/>
      <c r="H6743" s="5"/>
    </row>
    <row r="6744" spans="1:8" x14ac:dyDescent="0.25">
      <c r="A6744" s="4"/>
      <c r="B6744" s="5"/>
      <c r="C6744" s="5"/>
      <c r="D6744" s="5"/>
      <c r="E6744" s="5"/>
      <c r="F6744" s="5"/>
      <c r="G6744" s="5"/>
      <c r="H6744" s="5"/>
    </row>
    <row r="6745" spans="1:8" x14ac:dyDescent="0.25">
      <c r="A6745" s="4"/>
      <c r="B6745" s="5"/>
      <c r="C6745" s="5"/>
      <c r="D6745" s="5"/>
      <c r="E6745" s="5"/>
      <c r="F6745" s="5"/>
      <c r="G6745" s="5"/>
      <c r="H6745" s="5"/>
    </row>
    <row r="6746" spans="1:8" x14ac:dyDescent="0.25">
      <c r="A6746" s="4"/>
      <c r="B6746" s="5"/>
      <c r="C6746" s="5"/>
      <c r="D6746" s="5"/>
      <c r="E6746" s="5"/>
      <c r="F6746" s="5"/>
      <c r="G6746" s="5"/>
      <c r="H6746" s="5"/>
    </row>
    <row r="6747" spans="1:8" x14ac:dyDescent="0.25">
      <c r="A6747" s="4"/>
      <c r="B6747" s="5"/>
      <c r="C6747" s="5"/>
      <c r="D6747" s="5"/>
      <c r="E6747" s="5"/>
      <c r="F6747" s="5"/>
      <c r="G6747" s="5"/>
      <c r="H6747" s="5"/>
    </row>
    <row r="6748" spans="1:8" x14ac:dyDescent="0.25">
      <c r="A6748" s="4"/>
      <c r="B6748" s="5"/>
      <c r="C6748" s="5"/>
      <c r="D6748" s="5"/>
      <c r="E6748" s="5"/>
      <c r="F6748" s="5"/>
      <c r="G6748" s="5"/>
      <c r="H6748" s="5"/>
    </row>
    <row r="6749" spans="1:8" x14ac:dyDescent="0.25">
      <c r="A6749" s="4"/>
      <c r="B6749" s="5"/>
      <c r="C6749" s="5"/>
      <c r="D6749" s="5"/>
      <c r="E6749" s="5"/>
      <c r="F6749" s="5"/>
      <c r="G6749" s="5"/>
      <c r="H6749" s="5"/>
    </row>
    <row r="6750" spans="1:8" x14ac:dyDescent="0.25">
      <c r="A6750" s="4"/>
      <c r="B6750" s="5"/>
      <c r="C6750" s="5"/>
      <c r="D6750" s="5"/>
      <c r="E6750" s="5"/>
      <c r="F6750" s="5"/>
      <c r="G6750" s="5"/>
      <c r="H6750" s="5"/>
    </row>
    <row r="6751" spans="1:8" x14ac:dyDescent="0.25">
      <c r="A6751" s="4"/>
      <c r="B6751" s="5"/>
      <c r="C6751" s="5"/>
      <c r="D6751" s="5"/>
      <c r="E6751" s="5"/>
      <c r="F6751" s="5"/>
      <c r="G6751" s="5"/>
      <c r="H6751" s="5"/>
    </row>
    <row r="6752" spans="1:8" x14ac:dyDescent="0.25">
      <c r="A6752" s="4"/>
      <c r="B6752" s="5"/>
      <c r="C6752" s="5"/>
      <c r="D6752" s="5"/>
      <c r="E6752" s="5"/>
      <c r="F6752" s="5"/>
      <c r="G6752" s="5"/>
      <c r="H6752" s="5"/>
    </row>
    <row r="6753" spans="1:8" x14ac:dyDescent="0.25">
      <c r="A6753" s="4"/>
      <c r="B6753" s="5"/>
      <c r="C6753" s="5"/>
      <c r="D6753" s="5"/>
      <c r="E6753" s="5"/>
      <c r="F6753" s="5"/>
      <c r="G6753" s="5"/>
      <c r="H6753" s="5"/>
    </row>
    <row r="6754" spans="1:8" x14ac:dyDescent="0.25">
      <c r="A6754" s="4"/>
      <c r="B6754" s="5"/>
      <c r="C6754" s="5"/>
      <c r="D6754" s="5"/>
      <c r="E6754" s="5"/>
      <c r="F6754" s="5"/>
      <c r="G6754" s="5"/>
      <c r="H6754" s="5"/>
    </row>
    <row r="6755" spans="1:8" x14ac:dyDescent="0.25">
      <c r="A6755" s="4"/>
      <c r="B6755" s="5"/>
      <c r="C6755" s="5"/>
      <c r="D6755" s="5"/>
      <c r="E6755" s="5"/>
      <c r="F6755" s="5"/>
      <c r="G6755" s="5"/>
      <c r="H6755" s="5"/>
    </row>
    <row r="6756" spans="1:8" x14ac:dyDescent="0.25">
      <c r="A6756" s="4"/>
      <c r="B6756" s="5"/>
      <c r="C6756" s="5"/>
      <c r="D6756" s="5"/>
      <c r="E6756" s="5"/>
      <c r="F6756" s="5"/>
      <c r="G6756" s="5"/>
      <c r="H6756" s="5"/>
    </row>
    <row r="6757" spans="1:8" x14ac:dyDescent="0.25">
      <c r="A6757" s="4"/>
      <c r="B6757" s="5"/>
      <c r="C6757" s="5"/>
      <c r="D6757" s="5"/>
      <c r="E6757" s="5"/>
      <c r="F6757" s="5"/>
      <c r="G6757" s="5"/>
      <c r="H6757" s="5"/>
    </row>
    <row r="6758" spans="1:8" x14ac:dyDescent="0.25">
      <c r="A6758" s="4"/>
      <c r="B6758" s="5"/>
      <c r="C6758" s="5"/>
      <c r="D6758" s="5"/>
      <c r="E6758" s="5"/>
      <c r="F6758" s="5"/>
      <c r="G6758" s="5"/>
      <c r="H6758" s="5"/>
    </row>
    <row r="6759" spans="1:8" x14ac:dyDescent="0.25">
      <c r="A6759" s="4"/>
      <c r="B6759" s="5"/>
      <c r="C6759" s="5"/>
      <c r="D6759" s="5"/>
      <c r="E6759" s="5"/>
      <c r="F6759" s="5"/>
      <c r="G6759" s="5"/>
      <c r="H6759" s="5"/>
    </row>
    <row r="6760" spans="1:8" x14ac:dyDescent="0.25">
      <c r="A6760" s="4"/>
      <c r="B6760" s="5"/>
      <c r="C6760" s="5"/>
      <c r="D6760" s="5"/>
      <c r="E6760" s="5"/>
      <c r="F6760" s="5"/>
      <c r="G6760" s="5"/>
      <c r="H6760" s="5"/>
    </row>
    <row r="6761" spans="1:8" x14ac:dyDescent="0.25">
      <c r="A6761" s="4"/>
      <c r="B6761" s="5"/>
      <c r="C6761" s="5"/>
      <c r="D6761" s="5"/>
      <c r="E6761" s="5"/>
      <c r="F6761" s="5"/>
      <c r="G6761" s="5"/>
      <c r="H6761" s="5"/>
    </row>
    <row r="6762" spans="1:8" x14ac:dyDescent="0.25">
      <c r="A6762" s="4"/>
      <c r="B6762" s="5"/>
      <c r="C6762" s="5"/>
      <c r="D6762" s="5"/>
      <c r="E6762" s="5"/>
      <c r="F6762" s="5"/>
      <c r="G6762" s="5"/>
      <c r="H6762" s="5"/>
    </row>
    <row r="6763" spans="1:8" x14ac:dyDescent="0.25">
      <c r="A6763" s="4"/>
      <c r="B6763" s="5"/>
      <c r="C6763" s="5"/>
      <c r="D6763" s="5"/>
      <c r="E6763" s="5"/>
      <c r="F6763" s="5"/>
      <c r="G6763" s="5"/>
      <c r="H6763" s="5"/>
    </row>
    <row r="6764" spans="1:8" x14ac:dyDescent="0.25">
      <c r="A6764" s="4"/>
      <c r="B6764" s="5"/>
      <c r="C6764" s="5"/>
      <c r="D6764" s="5"/>
      <c r="E6764" s="5"/>
      <c r="F6764" s="5"/>
      <c r="G6764" s="5"/>
      <c r="H6764" s="5"/>
    </row>
    <row r="6765" spans="1:8" x14ac:dyDescent="0.25">
      <c r="A6765" s="4"/>
      <c r="B6765" s="5"/>
      <c r="C6765" s="5"/>
      <c r="D6765" s="5"/>
      <c r="E6765" s="5"/>
      <c r="F6765" s="5"/>
      <c r="G6765" s="5"/>
      <c r="H6765" s="5"/>
    </row>
    <row r="6766" spans="1:8" x14ac:dyDescent="0.25">
      <c r="A6766" s="4"/>
      <c r="B6766" s="5"/>
      <c r="C6766" s="5"/>
      <c r="D6766" s="5"/>
      <c r="E6766" s="5"/>
      <c r="F6766" s="5"/>
      <c r="G6766" s="5"/>
      <c r="H6766" s="5"/>
    </row>
    <row r="6767" spans="1:8" x14ac:dyDescent="0.25">
      <c r="A6767" s="4"/>
      <c r="B6767" s="5"/>
      <c r="C6767" s="5"/>
      <c r="D6767" s="5"/>
      <c r="E6767" s="5"/>
      <c r="F6767" s="5"/>
      <c r="G6767" s="5"/>
      <c r="H6767" s="5"/>
    </row>
    <row r="6768" spans="1:8" x14ac:dyDescent="0.25">
      <c r="A6768" s="4"/>
      <c r="B6768" s="5"/>
      <c r="C6768" s="5"/>
      <c r="D6768" s="5"/>
      <c r="E6768" s="5"/>
      <c r="F6768" s="5"/>
      <c r="G6768" s="5"/>
      <c r="H6768" s="5"/>
    </row>
    <row r="6769" spans="1:8" x14ac:dyDescent="0.25">
      <c r="A6769" s="4"/>
      <c r="B6769" s="5"/>
      <c r="C6769" s="5"/>
      <c r="D6769" s="5"/>
      <c r="E6769" s="5"/>
      <c r="F6769" s="5"/>
      <c r="G6769" s="5"/>
      <c r="H6769" s="5"/>
    </row>
    <row r="6770" spans="1:8" x14ac:dyDescent="0.25">
      <c r="A6770" s="4"/>
      <c r="B6770" s="5"/>
      <c r="C6770" s="5"/>
      <c r="D6770" s="5"/>
      <c r="E6770" s="5"/>
      <c r="F6770" s="5"/>
      <c r="G6770" s="5"/>
      <c r="H6770" s="5"/>
    </row>
    <row r="6771" spans="1:8" x14ac:dyDescent="0.25">
      <c r="A6771" s="4"/>
      <c r="B6771" s="5"/>
      <c r="C6771" s="5"/>
      <c r="D6771" s="5"/>
      <c r="E6771" s="5"/>
      <c r="F6771" s="5"/>
      <c r="G6771" s="5"/>
      <c r="H6771" s="5"/>
    </row>
    <row r="6772" spans="1:8" x14ac:dyDescent="0.25">
      <c r="A6772" s="4"/>
      <c r="B6772" s="5"/>
      <c r="C6772" s="5"/>
      <c r="D6772" s="5"/>
      <c r="E6772" s="5"/>
      <c r="F6772" s="5"/>
      <c r="G6772" s="5"/>
      <c r="H6772" s="5"/>
    </row>
    <row r="6773" spans="1:8" x14ac:dyDescent="0.25">
      <c r="A6773" s="4"/>
      <c r="B6773" s="5"/>
      <c r="C6773" s="5"/>
      <c r="D6773" s="5"/>
      <c r="E6773" s="5"/>
      <c r="F6773" s="5"/>
      <c r="G6773" s="5"/>
      <c r="H6773" s="5"/>
    </row>
    <row r="6774" spans="1:8" x14ac:dyDescent="0.25">
      <c r="A6774" s="4"/>
      <c r="B6774" s="5"/>
      <c r="C6774" s="5"/>
      <c r="D6774" s="5"/>
      <c r="E6774" s="5"/>
      <c r="F6774" s="5"/>
      <c r="G6774" s="5"/>
      <c r="H6774" s="5"/>
    </row>
    <row r="6775" spans="1:8" x14ac:dyDescent="0.25">
      <c r="A6775" s="4"/>
      <c r="B6775" s="5"/>
      <c r="C6775" s="5"/>
      <c r="D6775" s="5"/>
      <c r="E6775" s="5"/>
      <c r="F6775" s="5"/>
      <c r="G6775" s="5"/>
      <c r="H6775" s="5"/>
    </row>
    <row r="6776" spans="1:8" x14ac:dyDescent="0.25">
      <c r="A6776" s="4"/>
      <c r="B6776" s="5"/>
      <c r="C6776" s="5"/>
      <c r="D6776" s="5"/>
      <c r="E6776" s="5"/>
      <c r="F6776" s="5"/>
      <c r="G6776" s="5"/>
      <c r="H6776" s="5"/>
    </row>
    <row r="6777" spans="1:8" x14ac:dyDescent="0.25">
      <c r="A6777" s="4"/>
      <c r="B6777" s="5"/>
      <c r="C6777" s="5"/>
      <c r="D6777" s="5"/>
      <c r="E6777" s="5"/>
      <c r="F6777" s="5"/>
      <c r="G6777" s="5"/>
      <c r="H6777" s="5"/>
    </row>
    <row r="6778" spans="1:8" x14ac:dyDescent="0.25">
      <c r="A6778" s="4"/>
      <c r="B6778" s="5"/>
      <c r="C6778" s="5"/>
      <c r="D6778" s="5"/>
      <c r="E6778" s="5"/>
      <c r="F6778" s="5"/>
      <c r="G6778" s="5"/>
      <c r="H6778" s="5"/>
    </row>
    <row r="6779" spans="1:8" x14ac:dyDescent="0.25">
      <c r="A6779" s="4"/>
      <c r="B6779" s="5"/>
      <c r="C6779" s="5"/>
      <c r="D6779" s="5"/>
      <c r="E6779" s="5"/>
      <c r="F6779" s="5"/>
      <c r="G6779" s="5"/>
      <c r="H6779" s="5"/>
    </row>
    <row r="6780" spans="1:8" x14ac:dyDescent="0.25">
      <c r="A6780" s="4"/>
      <c r="B6780" s="5"/>
      <c r="C6780" s="5"/>
      <c r="D6780" s="5"/>
      <c r="E6780" s="5"/>
      <c r="F6780" s="5"/>
      <c r="G6780" s="5"/>
      <c r="H6780" s="5"/>
    </row>
    <row r="6781" spans="1:8" x14ac:dyDescent="0.25">
      <c r="A6781" s="4"/>
      <c r="B6781" s="5"/>
      <c r="C6781" s="5"/>
      <c r="D6781" s="5"/>
      <c r="E6781" s="5"/>
      <c r="F6781" s="5"/>
      <c r="G6781" s="5"/>
      <c r="H6781" s="5"/>
    </row>
    <row r="6782" spans="1:8" x14ac:dyDescent="0.25">
      <c r="A6782" s="4"/>
      <c r="B6782" s="5"/>
      <c r="C6782" s="5"/>
      <c r="D6782" s="5"/>
      <c r="E6782" s="5"/>
      <c r="F6782" s="5"/>
      <c r="G6782" s="5"/>
      <c r="H6782" s="5"/>
    </row>
    <row r="6783" spans="1:8" x14ac:dyDescent="0.25">
      <c r="A6783" s="4"/>
      <c r="B6783" s="5"/>
      <c r="C6783" s="5"/>
      <c r="D6783" s="5"/>
      <c r="E6783" s="5"/>
      <c r="F6783" s="5"/>
      <c r="G6783" s="5"/>
      <c r="H6783" s="5"/>
    </row>
    <row r="6784" spans="1:8" x14ac:dyDescent="0.25">
      <c r="A6784" s="4"/>
      <c r="B6784" s="5"/>
      <c r="C6784" s="5"/>
      <c r="D6784" s="5"/>
      <c r="E6784" s="5"/>
      <c r="F6784" s="5"/>
      <c r="G6784" s="5"/>
      <c r="H6784" s="5"/>
    </row>
    <row r="6785" spans="1:8" x14ac:dyDescent="0.25">
      <c r="A6785" s="4"/>
      <c r="B6785" s="5"/>
      <c r="C6785" s="5"/>
      <c r="D6785" s="5"/>
      <c r="E6785" s="5"/>
      <c r="F6785" s="5"/>
      <c r="G6785" s="5"/>
      <c r="H6785" s="5"/>
    </row>
    <row r="6786" spans="1:8" x14ac:dyDescent="0.25">
      <c r="A6786" s="4"/>
      <c r="B6786" s="5"/>
      <c r="C6786" s="5"/>
      <c r="D6786" s="5"/>
      <c r="E6786" s="5"/>
      <c r="F6786" s="5"/>
      <c r="G6786" s="5"/>
      <c r="H6786" s="5"/>
    </row>
    <row r="6787" spans="1:8" x14ac:dyDescent="0.25">
      <c r="A6787" s="4"/>
      <c r="B6787" s="5"/>
      <c r="C6787" s="5"/>
      <c r="D6787" s="5"/>
      <c r="E6787" s="5"/>
      <c r="F6787" s="5"/>
      <c r="G6787" s="5"/>
      <c r="H6787" s="5"/>
    </row>
    <row r="6788" spans="1:8" x14ac:dyDescent="0.25">
      <c r="A6788" s="4"/>
      <c r="B6788" s="5"/>
      <c r="C6788" s="5"/>
      <c r="D6788" s="5"/>
      <c r="E6788" s="5"/>
      <c r="F6788" s="5"/>
      <c r="G6788" s="5"/>
      <c r="H6788" s="5"/>
    </row>
    <row r="6789" spans="1:8" x14ac:dyDescent="0.25">
      <c r="A6789" s="4"/>
      <c r="B6789" s="5"/>
      <c r="C6789" s="5"/>
      <c r="D6789" s="5"/>
      <c r="E6789" s="5"/>
      <c r="F6789" s="5"/>
      <c r="G6789" s="5"/>
      <c r="H6789" s="5"/>
    </row>
    <row r="6790" spans="1:8" x14ac:dyDescent="0.25">
      <c r="A6790" s="4"/>
      <c r="B6790" s="5"/>
      <c r="C6790" s="5"/>
      <c r="D6790" s="5"/>
      <c r="E6790" s="5"/>
      <c r="F6790" s="5"/>
      <c r="G6790" s="5"/>
      <c r="H6790" s="5"/>
    </row>
    <row r="6791" spans="1:8" x14ac:dyDescent="0.25">
      <c r="A6791" s="4"/>
      <c r="B6791" s="5"/>
      <c r="C6791" s="5"/>
      <c r="D6791" s="5"/>
      <c r="E6791" s="5"/>
      <c r="F6791" s="5"/>
      <c r="G6791" s="5"/>
      <c r="H6791" s="5"/>
    </row>
    <row r="6792" spans="1:8" x14ac:dyDescent="0.25">
      <c r="A6792" s="4"/>
      <c r="B6792" s="5"/>
      <c r="C6792" s="5"/>
      <c r="D6792" s="5"/>
      <c r="E6792" s="5"/>
      <c r="F6792" s="5"/>
      <c r="G6792" s="5"/>
      <c r="H6792" s="5"/>
    </row>
    <row r="6793" spans="1:8" x14ac:dyDescent="0.25">
      <c r="A6793" s="4"/>
      <c r="B6793" s="5"/>
      <c r="C6793" s="5"/>
      <c r="D6793" s="5"/>
      <c r="E6793" s="5"/>
      <c r="F6793" s="5"/>
      <c r="G6793" s="5"/>
      <c r="H6793" s="5"/>
    </row>
    <row r="6794" spans="1:8" x14ac:dyDescent="0.25">
      <c r="A6794" s="4"/>
      <c r="B6794" s="5"/>
      <c r="C6794" s="5"/>
      <c r="D6794" s="5"/>
      <c r="E6794" s="5"/>
      <c r="F6794" s="5"/>
      <c r="G6794" s="5"/>
      <c r="H6794" s="5"/>
    </row>
    <row r="6795" spans="1:8" x14ac:dyDescent="0.25">
      <c r="A6795" s="4"/>
      <c r="B6795" s="5"/>
      <c r="C6795" s="5"/>
      <c r="D6795" s="5"/>
      <c r="E6795" s="5"/>
      <c r="F6795" s="5"/>
      <c r="G6795" s="5"/>
      <c r="H6795" s="5"/>
    </row>
    <row r="6796" spans="1:8" x14ac:dyDescent="0.25">
      <c r="A6796" s="4"/>
      <c r="B6796" s="5"/>
      <c r="C6796" s="5"/>
      <c r="D6796" s="5"/>
      <c r="E6796" s="5"/>
      <c r="F6796" s="5"/>
      <c r="G6796" s="5"/>
      <c r="H6796" s="5"/>
    </row>
    <row r="6797" spans="1:8" x14ac:dyDescent="0.25">
      <c r="A6797" s="4"/>
      <c r="B6797" s="5"/>
      <c r="C6797" s="5"/>
      <c r="D6797" s="5"/>
      <c r="E6797" s="5"/>
      <c r="F6797" s="5"/>
      <c r="G6797" s="5"/>
      <c r="H6797" s="5"/>
    </row>
    <row r="6798" spans="1:8" x14ac:dyDescent="0.25">
      <c r="A6798" s="4"/>
      <c r="B6798" s="5"/>
      <c r="C6798" s="5"/>
      <c r="D6798" s="5"/>
      <c r="E6798" s="5"/>
      <c r="F6798" s="5"/>
      <c r="G6798" s="5"/>
      <c r="H6798" s="5"/>
    </row>
    <row r="6799" spans="1:8" x14ac:dyDescent="0.25">
      <c r="A6799" s="4"/>
      <c r="B6799" s="5"/>
      <c r="C6799" s="5"/>
      <c r="D6799" s="5"/>
      <c r="E6799" s="5"/>
      <c r="F6799" s="5"/>
      <c r="G6799" s="5"/>
      <c r="H6799" s="5"/>
    </row>
    <row r="6800" spans="1:8" x14ac:dyDescent="0.25">
      <c r="A6800" s="4"/>
      <c r="B6800" s="5"/>
      <c r="C6800" s="5"/>
      <c r="D6800" s="5"/>
      <c r="E6800" s="5"/>
      <c r="F6800" s="5"/>
      <c r="G6800" s="5"/>
      <c r="H6800" s="5"/>
    </row>
    <row r="6801" spans="1:8" x14ac:dyDescent="0.25">
      <c r="A6801" s="4"/>
      <c r="B6801" s="5"/>
      <c r="C6801" s="5"/>
      <c r="D6801" s="5"/>
      <c r="E6801" s="5"/>
      <c r="F6801" s="5"/>
      <c r="G6801" s="5"/>
      <c r="H6801" s="5"/>
    </row>
    <row r="6802" spans="1:8" x14ac:dyDescent="0.25">
      <c r="A6802" s="4"/>
      <c r="B6802" s="5"/>
      <c r="C6802" s="5"/>
      <c r="D6802" s="5"/>
      <c r="E6802" s="5"/>
      <c r="F6802" s="5"/>
      <c r="G6802" s="5"/>
      <c r="H6802" s="5"/>
    </row>
    <row r="6803" spans="1:8" x14ac:dyDescent="0.25">
      <c r="A6803" s="4"/>
      <c r="B6803" s="5"/>
      <c r="C6803" s="5"/>
      <c r="D6803" s="5"/>
      <c r="E6803" s="5"/>
      <c r="F6803" s="5"/>
      <c r="G6803" s="5"/>
      <c r="H6803" s="5"/>
    </row>
    <row r="6804" spans="1:8" x14ac:dyDescent="0.25">
      <c r="A6804" s="4"/>
      <c r="B6804" s="5"/>
      <c r="C6804" s="5"/>
      <c r="D6804" s="5"/>
      <c r="E6804" s="5"/>
      <c r="F6804" s="5"/>
      <c r="G6804" s="5"/>
      <c r="H6804" s="5"/>
    </row>
    <row r="6805" spans="1:8" x14ac:dyDescent="0.25">
      <c r="A6805" s="4"/>
      <c r="B6805" s="5"/>
      <c r="C6805" s="5"/>
      <c r="D6805" s="5"/>
      <c r="E6805" s="5"/>
      <c r="F6805" s="5"/>
      <c r="G6805" s="5"/>
      <c r="H6805" s="5"/>
    </row>
    <row r="6806" spans="1:8" x14ac:dyDescent="0.25">
      <c r="A6806" s="4"/>
      <c r="B6806" s="5"/>
      <c r="C6806" s="5"/>
      <c r="D6806" s="5"/>
      <c r="E6806" s="5"/>
      <c r="F6806" s="5"/>
      <c r="G6806" s="5"/>
      <c r="H6806" s="5"/>
    </row>
    <row r="6807" spans="1:8" x14ac:dyDescent="0.25">
      <c r="A6807" s="4"/>
      <c r="B6807" s="5"/>
      <c r="C6807" s="5"/>
      <c r="D6807" s="5"/>
      <c r="E6807" s="5"/>
      <c r="F6807" s="5"/>
      <c r="G6807" s="5"/>
      <c r="H6807" s="5"/>
    </row>
    <row r="6808" spans="1:8" x14ac:dyDescent="0.25">
      <c r="A6808" s="4"/>
      <c r="B6808" s="5"/>
      <c r="C6808" s="5"/>
      <c r="D6808" s="5"/>
      <c r="E6808" s="5"/>
      <c r="F6808" s="5"/>
      <c r="G6808" s="5"/>
      <c r="H6808" s="5"/>
    </row>
    <row r="6809" spans="1:8" x14ac:dyDescent="0.25">
      <c r="A6809" s="4"/>
      <c r="B6809" s="5"/>
      <c r="C6809" s="5"/>
      <c r="D6809" s="5"/>
      <c r="E6809" s="5"/>
      <c r="F6809" s="5"/>
      <c r="G6809" s="5"/>
      <c r="H6809" s="5"/>
    </row>
    <row r="6810" spans="1:8" x14ac:dyDescent="0.25">
      <c r="A6810" s="4"/>
      <c r="B6810" s="5"/>
      <c r="C6810" s="5"/>
      <c r="D6810" s="5"/>
      <c r="E6810" s="5"/>
      <c r="F6810" s="5"/>
      <c r="G6810" s="5"/>
      <c r="H6810" s="5"/>
    </row>
    <row r="6811" spans="1:8" x14ac:dyDescent="0.25">
      <c r="A6811" s="4"/>
      <c r="B6811" s="5"/>
      <c r="C6811" s="5"/>
      <c r="D6811" s="5"/>
      <c r="E6811" s="5"/>
      <c r="F6811" s="5"/>
      <c r="G6811" s="5"/>
      <c r="H6811" s="5"/>
    </row>
    <row r="6812" spans="1:8" x14ac:dyDescent="0.25">
      <c r="A6812" s="4"/>
      <c r="B6812" s="5"/>
      <c r="C6812" s="5"/>
      <c r="D6812" s="5"/>
      <c r="E6812" s="5"/>
      <c r="F6812" s="5"/>
      <c r="G6812" s="5"/>
      <c r="H6812" s="5"/>
    </row>
    <row r="6813" spans="1:8" x14ac:dyDescent="0.25">
      <c r="A6813" s="4"/>
      <c r="B6813" s="5"/>
      <c r="C6813" s="5"/>
      <c r="D6813" s="5"/>
      <c r="E6813" s="5"/>
      <c r="F6813" s="5"/>
      <c r="G6813" s="5"/>
      <c r="H6813" s="5"/>
    </row>
    <row r="6814" spans="1:8" x14ac:dyDescent="0.25">
      <c r="A6814" s="4"/>
      <c r="B6814" s="5"/>
      <c r="C6814" s="5"/>
      <c r="D6814" s="5"/>
      <c r="E6814" s="5"/>
      <c r="F6814" s="5"/>
      <c r="G6814" s="5"/>
      <c r="H6814" s="5"/>
    </row>
    <row r="6815" spans="1:8" x14ac:dyDescent="0.25">
      <c r="A6815" s="4"/>
      <c r="B6815" s="5"/>
      <c r="C6815" s="5"/>
      <c r="D6815" s="5"/>
      <c r="E6815" s="5"/>
      <c r="F6815" s="5"/>
      <c r="G6815" s="5"/>
      <c r="H6815" s="5"/>
    </row>
    <row r="6816" spans="1:8" x14ac:dyDescent="0.25">
      <c r="A6816" s="4"/>
      <c r="B6816" s="5"/>
      <c r="C6816" s="5"/>
      <c r="D6816" s="5"/>
      <c r="E6816" s="5"/>
      <c r="F6816" s="5"/>
      <c r="G6816" s="5"/>
      <c r="H6816" s="5"/>
    </row>
    <row r="6817" spans="1:8" x14ac:dyDescent="0.25">
      <c r="A6817" s="4"/>
      <c r="B6817" s="5"/>
      <c r="C6817" s="5"/>
      <c r="D6817" s="5"/>
      <c r="E6817" s="5"/>
      <c r="F6817" s="5"/>
      <c r="G6817" s="5"/>
      <c r="H6817" s="5"/>
    </row>
    <row r="6818" spans="1:8" x14ac:dyDescent="0.25">
      <c r="A6818" s="4"/>
      <c r="B6818" s="5"/>
      <c r="C6818" s="5"/>
      <c r="D6818" s="5"/>
      <c r="E6818" s="5"/>
      <c r="F6818" s="5"/>
      <c r="G6818" s="5"/>
      <c r="H6818" s="5"/>
    </row>
    <row r="6819" spans="1:8" x14ac:dyDescent="0.25">
      <c r="A6819" s="4"/>
      <c r="B6819" s="5"/>
      <c r="C6819" s="5"/>
      <c r="D6819" s="5"/>
      <c r="E6819" s="5"/>
      <c r="F6819" s="5"/>
      <c r="G6819" s="5"/>
      <c r="H6819" s="5"/>
    </row>
    <row r="6820" spans="1:8" x14ac:dyDescent="0.25">
      <c r="A6820" s="4"/>
      <c r="B6820" s="5"/>
      <c r="C6820" s="5"/>
      <c r="D6820" s="5"/>
      <c r="E6820" s="5"/>
      <c r="F6820" s="5"/>
      <c r="G6820" s="5"/>
      <c r="H6820" s="5"/>
    </row>
    <row r="6821" spans="1:8" x14ac:dyDescent="0.25">
      <c r="A6821" s="4"/>
      <c r="B6821" s="5"/>
      <c r="C6821" s="5"/>
      <c r="D6821" s="5"/>
      <c r="E6821" s="5"/>
      <c r="F6821" s="5"/>
      <c r="G6821" s="5"/>
      <c r="H6821" s="5"/>
    </row>
    <row r="6822" spans="1:8" x14ac:dyDescent="0.25">
      <c r="A6822" s="4"/>
      <c r="B6822" s="5"/>
      <c r="C6822" s="5"/>
      <c r="D6822" s="5"/>
      <c r="E6822" s="5"/>
      <c r="F6822" s="5"/>
      <c r="G6822" s="5"/>
      <c r="H6822" s="5"/>
    </row>
    <row r="6823" spans="1:8" x14ac:dyDescent="0.25">
      <c r="A6823" s="4"/>
      <c r="B6823" s="5"/>
      <c r="C6823" s="5"/>
      <c r="D6823" s="5"/>
      <c r="E6823" s="5"/>
      <c r="F6823" s="5"/>
      <c r="G6823" s="5"/>
      <c r="H6823" s="5"/>
    </row>
    <row r="6824" spans="1:8" x14ac:dyDescent="0.25">
      <c r="A6824" s="4"/>
      <c r="B6824" s="5"/>
      <c r="C6824" s="5"/>
      <c r="D6824" s="5"/>
      <c r="E6824" s="5"/>
      <c r="F6824" s="5"/>
      <c r="G6824" s="5"/>
      <c r="H6824" s="5"/>
    </row>
    <row r="6825" spans="1:8" x14ac:dyDescent="0.25">
      <c r="A6825" s="4"/>
      <c r="B6825" s="5"/>
      <c r="C6825" s="5"/>
      <c r="D6825" s="5"/>
      <c r="E6825" s="5"/>
      <c r="F6825" s="5"/>
      <c r="G6825" s="5"/>
      <c r="H6825" s="5"/>
    </row>
    <row r="6826" spans="1:8" x14ac:dyDescent="0.25">
      <c r="A6826" s="4"/>
      <c r="B6826" s="5"/>
      <c r="C6826" s="5"/>
      <c r="D6826" s="5"/>
      <c r="E6826" s="5"/>
      <c r="F6826" s="5"/>
      <c r="G6826" s="5"/>
      <c r="H6826" s="5"/>
    </row>
    <row r="6827" spans="1:8" x14ac:dyDescent="0.25">
      <c r="A6827" s="4"/>
      <c r="B6827" s="5"/>
      <c r="C6827" s="5"/>
      <c r="D6827" s="5"/>
      <c r="E6827" s="5"/>
      <c r="F6827" s="5"/>
      <c r="G6827" s="5"/>
      <c r="H6827" s="5"/>
    </row>
    <row r="6828" spans="1:8" x14ac:dyDescent="0.25">
      <c r="A6828" s="4"/>
      <c r="B6828" s="5"/>
      <c r="C6828" s="5"/>
      <c r="D6828" s="5"/>
      <c r="E6828" s="5"/>
      <c r="F6828" s="5"/>
      <c r="G6828" s="5"/>
      <c r="H6828" s="5"/>
    </row>
    <row r="6829" spans="1:8" x14ac:dyDescent="0.25">
      <c r="A6829" s="4"/>
      <c r="B6829" s="5"/>
      <c r="C6829" s="5"/>
      <c r="D6829" s="5"/>
      <c r="E6829" s="5"/>
      <c r="F6829" s="5"/>
      <c r="G6829" s="5"/>
      <c r="H6829" s="5"/>
    </row>
    <row r="6830" spans="1:8" x14ac:dyDescent="0.25">
      <c r="A6830" s="4"/>
      <c r="B6830" s="5"/>
      <c r="C6830" s="5"/>
      <c r="D6830" s="5"/>
      <c r="E6830" s="5"/>
      <c r="F6830" s="5"/>
      <c r="G6830" s="5"/>
      <c r="H6830" s="5"/>
    </row>
    <row r="6831" spans="1:8" x14ac:dyDescent="0.25">
      <c r="A6831" s="4"/>
      <c r="B6831" s="5"/>
      <c r="C6831" s="5"/>
      <c r="D6831" s="5"/>
      <c r="E6831" s="5"/>
      <c r="F6831" s="5"/>
      <c r="G6831" s="5"/>
      <c r="H6831" s="5"/>
    </row>
    <row r="6832" spans="1:8" x14ac:dyDescent="0.25">
      <c r="A6832" s="4"/>
      <c r="B6832" s="5"/>
      <c r="C6832" s="5"/>
      <c r="D6832" s="5"/>
      <c r="E6832" s="5"/>
      <c r="F6832" s="5"/>
      <c r="G6832" s="5"/>
      <c r="H6832" s="5"/>
    </row>
    <row r="6833" spans="1:8" x14ac:dyDescent="0.25">
      <c r="A6833" s="4"/>
      <c r="B6833" s="5"/>
      <c r="C6833" s="5"/>
      <c r="D6833" s="5"/>
      <c r="E6833" s="5"/>
      <c r="F6833" s="5"/>
      <c r="G6833" s="5"/>
      <c r="H6833" s="5"/>
    </row>
    <row r="6834" spans="1:8" x14ac:dyDescent="0.25">
      <c r="A6834" s="4"/>
      <c r="B6834" s="5"/>
      <c r="C6834" s="5"/>
      <c r="D6834" s="5"/>
      <c r="E6834" s="5"/>
      <c r="F6834" s="5"/>
      <c r="G6834" s="5"/>
      <c r="H6834" s="5"/>
    </row>
    <row r="6835" spans="1:8" x14ac:dyDescent="0.25">
      <c r="A6835" s="4"/>
      <c r="B6835" s="5"/>
      <c r="C6835" s="5"/>
      <c r="D6835" s="5"/>
      <c r="E6835" s="5"/>
      <c r="F6835" s="5"/>
      <c r="G6835" s="5"/>
      <c r="H6835" s="5"/>
    </row>
    <row r="6836" spans="1:8" x14ac:dyDescent="0.25">
      <c r="A6836" s="4"/>
      <c r="B6836" s="5"/>
      <c r="C6836" s="5"/>
      <c r="D6836" s="5"/>
      <c r="E6836" s="5"/>
      <c r="F6836" s="5"/>
      <c r="G6836" s="5"/>
      <c r="H6836" s="5"/>
    </row>
    <row r="6837" spans="1:8" x14ac:dyDescent="0.25">
      <c r="A6837" s="4"/>
      <c r="B6837" s="5"/>
      <c r="C6837" s="5"/>
      <c r="D6837" s="5"/>
      <c r="E6837" s="5"/>
      <c r="F6837" s="5"/>
      <c r="G6837" s="5"/>
      <c r="H6837" s="5"/>
    </row>
    <row r="6838" spans="1:8" x14ac:dyDescent="0.25">
      <c r="A6838" s="4"/>
      <c r="B6838" s="5"/>
      <c r="C6838" s="5"/>
      <c r="D6838" s="5"/>
      <c r="E6838" s="5"/>
      <c r="F6838" s="5"/>
      <c r="G6838" s="5"/>
      <c r="H6838" s="5"/>
    </row>
    <row r="6839" spans="1:8" x14ac:dyDescent="0.25">
      <c r="A6839" s="4"/>
      <c r="B6839" s="5"/>
      <c r="C6839" s="5"/>
      <c r="D6839" s="5"/>
      <c r="E6839" s="5"/>
      <c r="F6839" s="5"/>
      <c r="G6839" s="5"/>
      <c r="H6839" s="5"/>
    </row>
    <row r="6840" spans="1:8" x14ac:dyDescent="0.25">
      <c r="A6840" s="4"/>
      <c r="B6840" s="5"/>
      <c r="C6840" s="5"/>
      <c r="D6840" s="5"/>
      <c r="E6840" s="5"/>
      <c r="F6840" s="5"/>
      <c r="G6840" s="5"/>
      <c r="H6840" s="5"/>
    </row>
    <row r="6841" spans="1:8" x14ac:dyDescent="0.25">
      <c r="A6841" s="4"/>
      <c r="B6841" s="5"/>
      <c r="C6841" s="5"/>
      <c r="D6841" s="5"/>
      <c r="E6841" s="5"/>
      <c r="F6841" s="5"/>
      <c r="G6841" s="5"/>
      <c r="H6841" s="5"/>
    </row>
    <row r="6842" spans="1:8" x14ac:dyDescent="0.25">
      <c r="A6842" s="4"/>
      <c r="B6842" s="5"/>
      <c r="C6842" s="5"/>
      <c r="D6842" s="5"/>
      <c r="E6842" s="5"/>
      <c r="F6842" s="5"/>
      <c r="G6842" s="5"/>
      <c r="H6842" s="5"/>
    </row>
    <row r="6843" spans="1:8" x14ac:dyDescent="0.25">
      <c r="A6843" s="4"/>
      <c r="B6843" s="5"/>
      <c r="C6843" s="5"/>
      <c r="D6843" s="5"/>
      <c r="E6843" s="5"/>
      <c r="F6843" s="5"/>
      <c r="G6843" s="5"/>
      <c r="H6843" s="5"/>
    </row>
    <row r="6844" spans="1:8" x14ac:dyDescent="0.25">
      <c r="A6844" s="4"/>
      <c r="B6844" s="5"/>
      <c r="C6844" s="5"/>
      <c r="D6844" s="5"/>
      <c r="E6844" s="5"/>
      <c r="F6844" s="5"/>
      <c r="G6844" s="5"/>
      <c r="H6844" s="5"/>
    </row>
    <row r="6845" spans="1:8" x14ac:dyDescent="0.25">
      <c r="A6845" s="4"/>
      <c r="B6845" s="5"/>
      <c r="C6845" s="5"/>
      <c r="D6845" s="5"/>
      <c r="E6845" s="5"/>
      <c r="F6845" s="5"/>
      <c r="G6845" s="5"/>
      <c r="H6845" s="5"/>
    </row>
    <row r="6846" spans="1:8" x14ac:dyDescent="0.25">
      <c r="A6846" s="4"/>
      <c r="B6846" s="5"/>
      <c r="C6846" s="5"/>
      <c r="D6846" s="5"/>
      <c r="E6846" s="5"/>
      <c r="F6846" s="5"/>
      <c r="G6846" s="5"/>
      <c r="H6846" s="5"/>
    </row>
    <row r="6847" spans="1:8" x14ac:dyDescent="0.25">
      <c r="A6847" s="4"/>
      <c r="B6847" s="5"/>
      <c r="C6847" s="5"/>
      <c r="D6847" s="5"/>
      <c r="E6847" s="5"/>
      <c r="F6847" s="5"/>
      <c r="G6847" s="5"/>
      <c r="H6847" s="5"/>
    </row>
    <row r="6848" spans="1:8" x14ac:dyDescent="0.25">
      <c r="A6848" s="4"/>
      <c r="B6848" s="5"/>
      <c r="C6848" s="5"/>
      <c r="D6848" s="5"/>
      <c r="E6848" s="5"/>
      <c r="F6848" s="5"/>
      <c r="G6848" s="5"/>
      <c r="H6848" s="5"/>
    </row>
    <row r="6849" spans="1:8" x14ac:dyDescent="0.25">
      <c r="A6849" s="4"/>
      <c r="B6849" s="5"/>
      <c r="C6849" s="5"/>
      <c r="D6849" s="5"/>
      <c r="E6849" s="5"/>
      <c r="F6849" s="5"/>
      <c r="G6849" s="5"/>
      <c r="H6849" s="5"/>
    </row>
    <row r="6850" spans="1:8" x14ac:dyDescent="0.25">
      <c r="A6850" s="4"/>
      <c r="B6850" s="5"/>
      <c r="C6850" s="5"/>
      <c r="D6850" s="5"/>
      <c r="E6850" s="5"/>
      <c r="F6850" s="5"/>
      <c r="G6850" s="5"/>
      <c r="H6850" s="5"/>
    </row>
    <row r="6851" spans="1:8" x14ac:dyDescent="0.25">
      <c r="A6851" s="4"/>
      <c r="B6851" s="5"/>
      <c r="C6851" s="5"/>
      <c r="D6851" s="5"/>
      <c r="E6851" s="5"/>
      <c r="F6851" s="5"/>
      <c r="G6851" s="5"/>
      <c r="H6851" s="5"/>
    </row>
    <row r="6852" spans="1:8" x14ac:dyDescent="0.25">
      <c r="A6852" s="4"/>
      <c r="B6852" s="5"/>
      <c r="C6852" s="5"/>
      <c r="D6852" s="5"/>
      <c r="E6852" s="5"/>
      <c r="F6852" s="5"/>
      <c r="G6852" s="5"/>
      <c r="H6852" s="5"/>
    </row>
    <row r="6853" spans="1:8" x14ac:dyDescent="0.25">
      <c r="A6853" s="4"/>
      <c r="B6853" s="5"/>
      <c r="C6853" s="5"/>
      <c r="D6853" s="5"/>
      <c r="E6853" s="5"/>
      <c r="F6853" s="5"/>
      <c r="G6853" s="5"/>
      <c r="H6853" s="5"/>
    </row>
    <row r="6854" spans="1:8" x14ac:dyDescent="0.25">
      <c r="A6854" s="4"/>
      <c r="B6854" s="5"/>
      <c r="C6854" s="5"/>
      <c r="D6854" s="5"/>
      <c r="E6854" s="5"/>
      <c r="F6854" s="5"/>
      <c r="G6854" s="5"/>
      <c r="H6854" s="5"/>
    </row>
    <row r="6855" spans="1:8" x14ac:dyDescent="0.25">
      <c r="A6855" s="4"/>
      <c r="B6855" s="5"/>
      <c r="C6855" s="5"/>
      <c r="D6855" s="5"/>
      <c r="E6855" s="5"/>
      <c r="F6855" s="5"/>
      <c r="G6855" s="5"/>
      <c r="H6855" s="5"/>
    </row>
    <row r="6856" spans="1:8" x14ac:dyDescent="0.25">
      <c r="A6856" s="4"/>
      <c r="B6856" s="5"/>
      <c r="C6856" s="5"/>
      <c r="D6856" s="5"/>
      <c r="E6856" s="5"/>
      <c r="F6856" s="5"/>
      <c r="G6856" s="5"/>
      <c r="H6856" s="5"/>
    </row>
    <row r="6857" spans="1:8" x14ac:dyDescent="0.25">
      <c r="A6857" s="4"/>
      <c r="B6857" s="5"/>
      <c r="C6857" s="5"/>
      <c r="D6857" s="5"/>
      <c r="E6857" s="5"/>
      <c r="F6857" s="5"/>
      <c r="G6857" s="5"/>
      <c r="H6857" s="5"/>
    </row>
    <row r="6858" spans="1:8" x14ac:dyDescent="0.25">
      <c r="A6858" s="4"/>
      <c r="B6858" s="5"/>
      <c r="C6858" s="5"/>
      <c r="D6858" s="5"/>
      <c r="E6858" s="5"/>
      <c r="F6858" s="5"/>
      <c r="G6858" s="5"/>
      <c r="H6858" s="5"/>
    </row>
    <row r="6859" spans="1:8" x14ac:dyDescent="0.25">
      <c r="A6859" s="4"/>
      <c r="B6859" s="5"/>
      <c r="C6859" s="5"/>
      <c r="D6859" s="5"/>
      <c r="E6859" s="5"/>
      <c r="F6859" s="5"/>
      <c r="G6859" s="5"/>
      <c r="H6859" s="5"/>
    </row>
    <row r="6860" spans="1:8" x14ac:dyDescent="0.25">
      <c r="A6860" s="4"/>
      <c r="B6860" s="5"/>
      <c r="C6860" s="5"/>
      <c r="D6860" s="5"/>
      <c r="E6860" s="5"/>
      <c r="F6860" s="5"/>
      <c r="G6860" s="5"/>
      <c r="H6860" s="5"/>
    </row>
    <row r="6861" spans="1:8" x14ac:dyDescent="0.25">
      <c r="A6861" s="4"/>
      <c r="B6861" s="5"/>
      <c r="C6861" s="5"/>
      <c r="D6861" s="5"/>
      <c r="E6861" s="5"/>
      <c r="F6861" s="5"/>
      <c r="G6861" s="5"/>
      <c r="H6861" s="5"/>
    </row>
    <row r="6862" spans="1:8" x14ac:dyDescent="0.25">
      <c r="A6862" s="4"/>
      <c r="B6862" s="5"/>
      <c r="C6862" s="5"/>
      <c r="D6862" s="5"/>
      <c r="E6862" s="5"/>
      <c r="F6862" s="5"/>
      <c r="G6862" s="5"/>
      <c r="H6862" s="5"/>
    </row>
    <row r="6863" spans="1:8" x14ac:dyDescent="0.25">
      <c r="A6863" s="4"/>
      <c r="B6863" s="5"/>
      <c r="C6863" s="5"/>
      <c r="D6863" s="5"/>
      <c r="E6863" s="5"/>
      <c r="F6863" s="5"/>
      <c r="G6863" s="5"/>
      <c r="H6863" s="5"/>
    </row>
    <row r="6864" spans="1:8" x14ac:dyDescent="0.25">
      <c r="A6864" s="4"/>
      <c r="B6864" s="5"/>
      <c r="C6864" s="5"/>
      <c r="D6864" s="5"/>
      <c r="E6864" s="5"/>
      <c r="F6864" s="5"/>
      <c r="G6864" s="5"/>
      <c r="H6864" s="5"/>
    </row>
    <row r="6865" spans="1:8" x14ac:dyDescent="0.25">
      <c r="A6865" s="4"/>
      <c r="B6865" s="5"/>
      <c r="C6865" s="5"/>
      <c r="D6865" s="5"/>
      <c r="E6865" s="5"/>
      <c r="F6865" s="5"/>
      <c r="G6865" s="5"/>
      <c r="H6865" s="5"/>
    </row>
    <row r="6866" spans="1:8" x14ac:dyDescent="0.25">
      <c r="A6866" s="4"/>
      <c r="B6866" s="5"/>
      <c r="C6866" s="5"/>
      <c r="D6866" s="5"/>
      <c r="E6866" s="5"/>
      <c r="F6866" s="5"/>
      <c r="G6866" s="5"/>
      <c r="H6866" s="5"/>
    </row>
    <row r="6867" spans="1:8" x14ac:dyDescent="0.25">
      <c r="A6867" s="4"/>
      <c r="B6867" s="5"/>
      <c r="C6867" s="5"/>
      <c r="D6867" s="5"/>
      <c r="E6867" s="5"/>
      <c r="F6867" s="5"/>
      <c r="G6867" s="5"/>
      <c r="H6867" s="5"/>
    </row>
    <row r="6868" spans="1:8" x14ac:dyDescent="0.25">
      <c r="A6868" s="4"/>
      <c r="B6868" s="5"/>
      <c r="C6868" s="5"/>
      <c r="D6868" s="5"/>
      <c r="E6868" s="5"/>
      <c r="F6868" s="5"/>
      <c r="G6868" s="5"/>
      <c r="H6868" s="5"/>
    </row>
    <row r="6869" spans="1:8" x14ac:dyDescent="0.25">
      <c r="A6869" s="4"/>
      <c r="B6869" s="5"/>
      <c r="C6869" s="5"/>
      <c r="D6869" s="5"/>
      <c r="E6869" s="5"/>
      <c r="F6869" s="5"/>
      <c r="G6869" s="5"/>
      <c r="H6869" s="5"/>
    </row>
    <row r="6870" spans="1:8" x14ac:dyDescent="0.25">
      <c r="A6870" s="4"/>
      <c r="B6870" s="5"/>
      <c r="C6870" s="5"/>
      <c r="D6870" s="5"/>
      <c r="E6870" s="5"/>
      <c r="F6870" s="5"/>
      <c r="G6870" s="5"/>
      <c r="H6870" s="5"/>
    </row>
    <row r="6871" spans="1:8" x14ac:dyDescent="0.25">
      <c r="A6871" s="4"/>
      <c r="B6871" s="5"/>
      <c r="C6871" s="5"/>
      <c r="D6871" s="5"/>
      <c r="E6871" s="5"/>
      <c r="F6871" s="5"/>
      <c r="G6871" s="5"/>
      <c r="H6871" s="5"/>
    </row>
    <row r="6872" spans="1:8" x14ac:dyDescent="0.25">
      <c r="A6872" s="4"/>
      <c r="B6872" s="5"/>
      <c r="C6872" s="5"/>
      <c r="D6872" s="5"/>
      <c r="E6872" s="5"/>
      <c r="F6872" s="5"/>
      <c r="G6872" s="5"/>
      <c r="H6872" s="5"/>
    </row>
    <row r="6873" spans="1:8" x14ac:dyDescent="0.25">
      <c r="A6873" s="4"/>
      <c r="B6873" s="5"/>
      <c r="C6873" s="5"/>
      <c r="D6873" s="5"/>
      <c r="E6873" s="5"/>
      <c r="F6873" s="5"/>
      <c r="G6873" s="5"/>
      <c r="H6873" s="5"/>
    </row>
    <row r="6874" spans="1:8" x14ac:dyDescent="0.25">
      <c r="A6874" s="4"/>
      <c r="B6874" s="5"/>
      <c r="C6874" s="5"/>
      <c r="D6874" s="5"/>
      <c r="E6874" s="5"/>
      <c r="F6874" s="5"/>
      <c r="G6874" s="5"/>
      <c r="H6874" s="5"/>
    </row>
    <row r="6875" spans="1:8" x14ac:dyDescent="0.25">
      <c r="A6875" s="4"/>
      <c r="B6875" s="5"/>
      <c r="C6875" s="5"/>
      <c r="D6875" s="5"/>
      <c r="E6875" s="5"/>
      <c r="F6875" s="5"/>
      <c r="G6875" s="5"/>
      <c r="H6875" s="5"/>
    </row>
    <row r="6876" spans="1:8" x14ac:dyDescent="0.25">
      <c r="A6876" s="4"/>
      <c r="B6876" s="5"/>
      <c r="C6876" s="5"/>
      <c r="D6876" s="5"/>
      <c r="E6876" s="5"/>
      <c r="F6876" s="5"/>
      <c r="G6876" s="5"/>
      <c r="H6876" s="5"/>
    </row>
    <row r="6877" spans="1:8" x14ac:dyDescent="0.25">
      <c r="A6877" s="4"/>
      <c r="B6877" s="5"/>
      <c r="C6877" s="5"/>
      <c r="D6877" s="5"/>
      <c r="E6877" s="5"/>
      <c r="F6877" s="5"/>
      <c r="G6877" s="5"/>
      <c r="H6877" s="5"/>
    </row>
    <row r="6878" spans="1:8" x14ac:dyDescent="0.25">
      <c r="A6878" s="4"/>
      <c r="B6878" s="5"/>
      <c r="C6878" s="5"/>
      <c r="D6878" s="5"/>
      <c r="E6878" s="5"/>
      <c r="F6878" s="5"/>
      <c r="G6878" s="5"/>
      <c r="H6878" s="5"/>
    </row>
    <row r="6879" spans="1:8" x14ac:dyDescent="0.25">
      <c r="A6879" s="4"/>
      <c r="B6879" s="5"/>
      <c r="C6879" s="5"/>
      <c r="D6879" s="5"/>
      <c r="E6879" s="5"/>
      <c r="F6879" s="5"/>
      <c r="G6879" s="5"/>
      <c r="H6879" s="5"/>
    </row>
    <row r="6880" spans="1:8" x14ac:dyDescent="0.25">
      <c r="A6880" s="4"/>
      <c r="B6880" s="5"/>
      <c r="C6880" s="5"/>
      <c r="D6880" s="5"/>
      <c r="E6880" s="5"/>
      <c r="F6880" s="5"/>
      <c r="G6880" s="5"/>
      <c r="H6880" s="5"/>
    </row>
    <row r="6881" spans="1:8" x14ac:dyDescent="0.25">
      <c r="A6881" s="4"/>
      <c r="B6881" s="5"/>
      <c r="C6881" s="5"/>
      <c r="D6881" s="5"/>
      <c r="E6881" s="5"/>
      <c r="F6881" s="5"/>
      <c r="G6881" s="5"/>
      <c r="H6881" s="5"/>
    </row>
    <row r="6882" spans="1:8" x14ac:dyDescent="0.25">
      <c r="A6882" s="4"/>
      <c r="B6882" s="5"/>
      <c r="C6882" s="5"/>
      <c r="D6882" s="5"/>
      <c r="E6882" s="5"/>
      <c r="F6882" s="5"/>
      <c r="G6882" s="5"/>
      <c r="H6882" s="5"/>
    </row>
    <row r="6883" spans="1:8" x14ac:dyDescent="0.25">
      <c r="A6883" s="4"/>
      <c r="B6883" s="5"/>
      <c r="C6883" s="5"/>
      <c r="D6883" s="5"/>
      <c r="E6883" s="5"/>
      <c r="F6883" s="5"/>
      <c r="G6883" s="5"/>
      <c r="H6883" s="5"/>
    </row>
    <row r="6884" spans="1:8" x14ac:dyDescent="0.25">
      <c r="A6884" s="4"/>
      <c r="B6884" s="5"/>
      <c r="C6884" s="5"/>
      <c r="D6884" s="5"/>
      <c r="E6884" s="5"/>
      <c r="F6884" s="5"/>
      <c r="G6884" s="5"/>
      <c r="H6884" s="5"/>
    </row>
    <row r="6885" spans="1:8" x14ac:dyDescent="0.25">
      <c r="A6885" s="4"/>
      <c r="B6885" s="5"/>
      <c r="C6885" s="5"/>
      <c r="D6885" s="5"/>
      <c r="E6885" s="5"/>
      <c r="F6885" s="5"/>
      <c r="G6885" s="5"/>
      <c r="H6885" s="5"/>
    </row>
    <row r="6886" spans="1:8" x14ac:dyDescent="0.25">
      <c r="A6886" s="4"/>
      <c r="B6886" s="5"/>
      <c r="C6886" s="5"/>
      <c r="D6886" s="5"/>
      <c r="E6886" s="5"/>
      <c r="F6886" s="5"/>
      <c r="G6886" s="5"/>
      <c r="H6886" s="5"/>
    </row>
    <row r="6887" spans="1:8" x14ac:dyDescent="0.25">
      <c r="A6887" s="4"/>
      <c r="B6887" s="5"/>
      <c r="C6887" s="5"/>
      <c r="D6887" s="5"/>
      <c r="E6887" s="5"/>
      <c r="F6887" s="5"/>
      <c r="G6887" s="5"/>
      <c r="H6887" s="5"/>
    </row>
    <row r="6888" spans="1:8" x14ac:dyDescent="0.25">
      <c r="A6888" s="4"/>
      <c r="B6888" s="5"/>
      <c r="C6888" s="5"/>
      <c r="D6888" s="5"/>
      <c r="E6888" s="5"/>
      <c r="F6888" s="5"/>
      <c r="G6888" s="5"/>
      <c r="H6888" s="5"/>
    </row>
    <row r="6889" spans="1:8" x14ac:dyDescent="0.25">
      <c r="A6889" s="4"/>
      <c r="B6889" s="5"/>
      <c r="C6889" s="5"/>
      <c r="D6889" s="5"/>
      <c r="E6889" s="5"/>
      <c r="F6889" s="5"/>
      <c r="G6889" s="5"/>
      <c r="H6889" s="5"/>
    </row>
    <row r="6890" spans="1:8" x14ac:dyDescent="0.25">
      <c r="A6890" s="4"/>
      <c r="B6890" s="5"/>
      <c r="C6890" s="5"/>
      <c r="D6890" s="5"/>
      <c r="E6890" s="5"/>
      <c r="F6890" s="5"/>
      <c r="G6890" s="5"/>
      <c r="H6890" s="5"/>
    </row>
    <row r="6891" spans="1:8" x14ac:dyDescent="0.25">
      <c r="A6891" s="4"/>
      <c r="B6891" s="5"/>
      <c r="C6891" s="5"/>
      <c r="D6891" s="5"/>
      <c r="E6891" s="5"/>
      <c r="F6891" s="5"/>
      <c r="G6891" s="5"/>
      <c r="H6891" s="5"/>
    </row>
    <row r="6892" spans="1:8" x14ac:dyDescent="0.25">
      <c r="A6892" s="4"/>
      <c r="B6892" s="5"/>
      <c r="C6892" s="5"/>
      <c r="D6892" s="5"/>
      <c r="E6892" s="5"/>
      <c r="F6892" s="5"/>
      <c r="G6892" s="5"/>
      <c r="H6892" s="5"/>
    </row>
    <row r="6893" spans="1:8" x14ac:dyDescent="0.25">
      <c r="A6893" s="4"/>
      <c r="B6893" s="5"/>
      <c r="C6893" s="5"/>
      <c r="D6893" s="5"/>
      <c r="E6893" s="5"/>
      <c r="F6893" s="5"/>
      <c r="G6893" s="5"/>
      <c r="H6893" s="5"/>
    </row>
    <row r="6894" spans="1:8" x14ac:dyDescent="0.25">
      <c r="A6894" s="4"/>
      <c r="B6894" s="5"/>
      <c r="C6894" s="5"/>
      <c r="D6894" s="5"/>
      <c r="E6894" s="5"/>
      <c r="F6894" s="5"/>
      <c r="G6894" s="5"/>
      <c r="H6894" s="5"/>
    </row>
    <row r="6895" spans="1:8" x14ac:dyDescent="0.25">
      <c r="A6895" s="4"/>
      <c r="B6895" s="5"/>
      <c r="C6895" s="5"/>
      <c r="D6895" s="5"/>
      <c r="E6895" s="5"/>
      <c r="F6895" s="5"/>
      <c r="G6895" s="5"/>
      <c r="H6895" s="5"/>
    </row>
    <row r="6896" spans="1:8" x14ac:dyDescent="0.25">
      <c r="A6896" s="4"/>
      <c r="B6896" s="5"/>
      <c r="C6896" s="5"/>
      <c r="D6896" s="5"/>
      <c r="E6896" s="5"/>
      <c r="F6896" s="5"/>
      <c r="G6896" s="5"/>
      <c r="H6896" s="5"/>
    </row>
    <row r="6897" spans="1:8" x14ac:dyDescent="0.25">
      <c r="A6897" s="4"/>
      <c r="B6897" s="5"/>
      <c r="C6897" s="5"/>
      <c r="D6897" s="5"/>
      <c r="E6897" s="5"/>
      <c r="F6897" s="5"/>
      <c r="G6897" s="5"/>
      <c r="H6897" s="5"/>
    </row>
    <row r="6898" spans="1:8" x14ac:dyDescent="0.25">
      <c r="A6898" s="4"/>
      <c r="B6898" s="5"/>
      <c r="C6898" s="5"/>
      <c r="D6898" s="5"/>
      <c r="E6898" s="5"/>
      <c r="F6898" s="5"/>
      <c r="G6898" s="5"/>
      <c r="H6898" s="5"/>
    </row>
    <row r="6899" spans="1:8" x14ac:dyDescent="0.25">
      <c r="A6899" s="4"/>
      <c r="B6899" s="5"/>
      <c r="C6899" s="5"/>
      <c r="D6899" s="5"/>
      <c r="E6899" s="5"/>
      <c r="F6899" s="5"/>
      <c r="G6899" s="5"/>
      <c r="H6899" s="5"/>
    </row>
    <row r="6900" spans="1:8" x14ac:dyDescent="0.25">
      <c r="A6900" s="4"/>
      <c r="B6900" s="5"/>
      <c r="C6900" s="5"/>
      <c r="D6900" s="5"/>
      <c r="E6900" s="5"/>
      <c r="F6900" s="5"/>
      <c r="G6900" s="5"/>
      <c r="H6900" s="5"/>
    </row>
    <row r="6901" spans="1:8" x14ac:dyDescent="0.25">
      <c r="A6901" s="4"/>
      <c r="B6901" s="5"/>
      <c r="C6901" s="5"/>
      <c r="D6901" s="5"/>
      <c r="E6901" s="5"/>
      <c r="F6901" s="5"/>
      <c r="G6901" s="5"/>
      <c r="H6901" s="5"/>
    </row>
    <row r="6902" spans="1:8" x14ac:dyDescent="0.25">
      <c r="A6902" s="4"/>
      <c r="B6902" s="5"/>
      <c r="C6902" s="5"/>
      <c r="D6902" s="5"/>
      <c r="E6902" s="5"/>
      <c r="F6902" s="5"/>
      <c r="G6902" s="5"/>
      <c r="H6902" s="5"/>
    </row>
    <row r="6903" spans="1:8" x14ac:dyDescent="0.25">
      <c r="A6903" s="4"/>
      <c r="B6903" s="5"/>
      <c r="C6903" s="5"/>
      <c r="D6903" s="5"/>
      <c r="E6903" s="5"/>
      <c r="F6903" s="5"/>
      <c r="G6903" s="5"/>
      <c r="H6903" s="5"/>
    </row>
    <row r="6904" spans="1:8" x14ac:dyDescent="0.25">
      <c r="A6904" s="4"/>
      <c r="B6904" s="5"/>
      <c r="C6904" s="5"/>
      <c r="D6904" s="5"/>
      <c r="E6904" s="5"/>
      <c r="F6904" s="5"/>
      <c r="G6904" s="5"/>
      <c r="H6904" s="5"/>
    </row>
    <row r="6905" spans="1:8" x14ac:dyDescent="0.25">
      <c r="A6905" s="4"/>
      <c r="B6905" s="5"/>
      <c r="C6905" s="5"/>
      <c r="D6905" s="5"/>
      <c r="E6905" s="5"/>
      <c r="F6905" s="5"/>
      <c r="G6905" s="5"/>
      <c r="H6905" s="5"/>
    </row>
    <row r="6906" spans="1:8" x14ac:dyDescent="0.25">
      <c r="A6906" s="4"/>
      <c r="B6906" s="5"/>
      <c r="C6906" s="5"/>
      <c r="D6906" s="5"/>
      <c r="E6906" s="5"/>
      <c r="F6906" s="5"/>
      <c r="G6906" s="5"/>
      <c r="H6906" s="5"/>
    </row>
    <row r="6907" spans="1:8" x14ac:dyDescent="0.25">
      <c r="A6907" s="4"/>
      <c r="B6907" s="5"/>
      <c r="C6907" s="5"/>
      <c r="D6907" s="5"/>
      <c r="E6907" s="5"/>
      <c r="F6907" s="5"/>
      <c r="G6907" s="5"/>
      <c r="H6907" s="5"/>
    </row>
    <row r="6908" spans="1:8" x14ac:dyDescent="0.25">
      <c r="A6908" s="4"/>
      <c r="B6908" s="5"/>
      <c r="C6908" s="5"/>
      <c r="D6908" s="5"/>
      <c r="E6908" s="5"/>
      <c r="F6908" s="5"/>
      <c r="G6908" s="5"/>
      <c r="H6908" s="5"/>
    </row>
    <row r="6909" spans="1:8" x14ac:dyDescent="0.25">
      <c r="A6909" s="4"/>
      <c r="B6909" s="5"/>
      <c r="C6909" s="5"/>
      <c r="D6909" s="5"/>
      <c r="E6909" s="5"/>
      <c r="F6909" s="5"/>
      <c r="G6909" s="5"/>
      <c r="H6909" s="5"/>
    </row>
    <row r="6910" spans="1:8" x14ac:dyDescent="0.25">
      <c r="A6910" s="4"/>
      <c r="B6910" s="5"/>
      <c r="C6910" s="5"/>
      <c r="D6910" s="5"/>
      <c r="E6910" s="5"/>
      <c r="F6910" s="5"/>
      <c r="G6910" s="5"/>
      <c r="H6910" s="5"/>
    </row>
    <row r="6911" spans="1:8" x14ac:dyDescent="0.25">
      <c r="A6911" s="4"/>
      <c r="B6911" s="5"/>
      <c r="C6911" s="5"/>
      <c r="D6911" s="5"/>
      <c r="E6911" s="5"/>
      <c r="F6911" s="5"/>
      <c r="G6911" s="5"/>
      <c r="H6911" s="5"/>
    </row>
    <row r="6912" spans="1:8" x14ac:dyDescent="0.25">
      <c r="A6912" s="4"/>
      <c r="B6912" s="5"/>
      <c r="C6912" s="5"/>
      <c r="D6912" s="5"/>
      <c r="E6912" s="5"/>
      <c r="F6912" s="5"/>
      <c r="G6912" s="5"/>
      <c r="H6912" s="5"/>
    </row>
    <row r="6913" spans="1:8" x14ac:dyDescent="0.25">
      <c r="A6913" s="4"/>
      <c r="B6913" s="5"/>
      <c r="C6913" s="5"/>
      <c r="D6913" s="5"/>
      <c r="E6913" s="5"/>
      <c r="F6913" s="5"/>
      <c r="G6913" s="5"/>
      <c r="H6913" s="5"/>
    </row>
    <row r="6914" spans="1:8" x14ac:dyDescent="0.25">
      <c r="A6914" s="4"/>
      <c r="B6914" s="5"/>
      <c r="C6914" s="5"/>
      <c r="D6914" s="5"/>
      <c r="E6914" s="5"/>
      <c r="F6914" s="5"/>
      <c r="G6914" s="5"/>
      <c r="H6914" s="5"/>
    </row>
    <row r="6915" spans="1:8" x14ac:dyDescent="0.25">
      <c r="A6915" s="4"/>
      <c r="B6915" s="5"/>
      <c r="C6915" s="5"/>
      <c r="D6915" s="5"/>
      <c r="E6915" s="5"/>
      <c r="F6915" s="5"/>
      <c r="G6915" s="5"/>
      <c r="H6915" s="5"/>
    </row>
    <row r="6916" spans="1:8" x14ac:dyDescent="0.25">
      <c r="A6916" s="4"/>
      <c r="B6916" s="5"/>
      <c r="C6916" s="5"/>
      <c r="D6916" s="5"/>
      <c r="E6916" s="5"/>
      <c r="F6916" s="5"/>
      <c r="G6916" s="5"/>
      <c r="H6916" s="5"/>
    </row>
    <row r="6917" spans="1:8" x14ac:dyDescent="0.25">
      <c r="A6917" s="4"/>
      <c r="B6917" s="5"/>
      <c r="C6917" s="5"/>
      <c r="D6917" s="5"/>
      <c r="E6917" s="5"/>
      <c r="F6917" s="5"/>
      <c r="G6917" s="5"/>
      <c r="H6917" s="5"/>
    </row>
    <row r="6918" spans="1:8" x14ac:dyDescent="0.25">
      <c r="A6918" s="4"/>
      <c r="B6918" s="5"/>
      <c r="C6918" s="5"/>
      <c r="D6918" s="5"/>
      <c r="E6918" s="5"/>
      <c r="F6918" s="5"/>
      <c r="G6918" s="5"/>
      <c r="H6918" s="5"/>
    </row>
    <row r="6919" spans="1:8" x14ac:dyDescent="0.25">
      <c r="A6919" s="4"/>
      <c r="B6919" s="5"/>
      <c r="C6919" s="5"/>
      <c r="D6919" s="5"/>
      <c r="E6919" s="5"/>
      <c r="F6919" s="5"/>
      <c r="G6919" s="5"/>
      <c r="H6919" s="5"/>
    </row>
    <row r="6920" spans="1:8" x14ac:dyDescent="0.25">
      <c r="A6920" s="4"/>
      <c r="B6920" s="5"/>
      <c r="C6920" s="5"/>
      <c r="D6920" s="5"/>
      <c r="E6920" s="5"/>
      <c r="F6920" s="5"/>
      <c r="G6920" s="5"/>
      <c r="H6920" s="5"/>
    </row>
    <row r="6921" spans="1:8" x14ac:dyDescent="0.25">
      <c r="A6921" s="4"/>
      <c r="B6921" s="5"/>
      <c r="C6921" s="5"/>
      <c r="D6921" s="5"/>
      <c r="E6921" s="5"/>
      <c r="F6921" s="5"/>
      <c r="G6921" s="5"/>
      <c r="H6921" s="5"/>
    </row>
    <row r="6922" spans="1:8" x14ac:dyDescent="0.25">
      <c r="A6922" s="4"/>
      <c r="B6922" s="5"/>
      <c r="C6922" s="5"/>
      <c r="D6922" s="5"/>
      <c r="E6922" s="5"/>
      <c r="F6922" s="5"/>
      <c r="G6922" s="5"/>
      <c r="H6922" s="5"/>
    </row>
    <row r="6923" spans="1:8" x14ac:dyDescent="0.25">
      <c r="A6923" s="4"/>
      <c r="B6923" s="5"/>
      <c r="C6923" s="5"/>
      <c r="D6923" s="5"/>
      <c r="E6923" s="5"/>
      <c r="F6923" s="5"/>
      <c r="G6923" s="5"/>
      <c r="H6923" s="5"/>
    </row>
    <row r="6924" spans="1:8" x14ac:dyDescent="0.25">
      <c r="A6924" s="4"/>
      <c r="B6924" s="5"/>
      <c r="C6924" s="5"/>
      <c r="D6924" s="5"/>
      <c r="E6924" s="5"/>
      <c r="F6924" s="5"/>
      <c r="G6924" s="5"/>
      <c r="H6924" s="5"/>
    </row>
    <row r="6925" spans="1:8" x14ac:dyDescent="0.25">
      <c r="A6925" s="4"/>
      <c r="B6925" s="5"/>
      <c r="C6925" s="5"/>
      <c r="D6925" s="5"/>
      <c r="E6925" s="5"/>
      <c r="F6925" s="5"/>
      <c r="G6925" s="5"/>
      <c r="H6925" s="5"/>
    </row>
    <row r="6926" spans="1:8" x14ac:dyDescent="0.25">
      <c r="A6926" s="4"/>
      <c r="B6926" s="5"/>
      <c r="C6926" s="5"/>
      <c r="D6926" s="5"/>
      <c r="E6926" s="5"/>
      <c r="F6926" s="5"/>
      <c r="G6926" s="5"/>
      <c r="H6926" s="5"/>
    </row>
    <row r="6927" spans="1:8" x14ac:dyDescent="0.25">
      <c r="A6927" s="4"/>
      <c r="B6927" s="5"/>
      <c r="C6927" s="5"/>
      <c r="D6927" s="5"/>
      <c r="E6927" s="5"/>
      <c r="F6927" s="5"/>
      <c r="G6927" s="5"/>
      <c r="H6927" s="5"/>
    </row>
    <row r="6928" spans="1:8" x14ac:dyDescent="0.25">
      <c r="A6928" s="4"/>
      <c r="B6928" s="5"/>
      <c r="C6928" s="5"/>
      <c r="D6928" s="5"/>
      <c r="E6928" s="5"/>
      <c r="F6928" s="5"/>
      <c r="G6928" s="5"/>
      <c r="H6928" s="5"/>
    </row>
    <row r="6929" spans="1:8" x14ac:dyDescent="0.25">
      <c r="A6929" s="4"/>
      <c r="B6929" s="5"/>
      <c r="C6929" s="5"/>
      <c r="D6929" s="5"/>
      <c r="E6929" s="5"/>
      <c r="F6929" s="5"/>
      <c r="G6929" s="5"/>
      <c r="H6929" s="5"/>
    </row>
    <row r="6930" spans="1:8" x14ac:dyDescent="0.25">
      <c r="A6930" s="4"/>
      <c r="B6930" s="5"/>
      <c r="C6930" s="5"/>
      <c r="D6930" s="5"/>
      <c r="E6930" s="5"/>
      <c r="F6930" s="5"/>
      <c r="G6930" s="5"/>
      <c r="H6930" s="5"/>
    </row>
    <row r="6931" spans="1:8" x14ac:dyDescent="0.25">
      <c r="A6931" s="4"/>
      <c r="B6931" s="5"/>
      <c r="C6931" s="5"/>
      <c r="D6931" s="5"/>
      <c r="E6931" s="5"/>
      <c r="F6931" s="5"/>
      <c r="G6931" s="5"/>
      <c r="H6931" s="5"/>
    </row>
    <row r="6932" spans="1:8" x14ac:dyDescent="0.25">
      <c r="A6932" s="4"/>
      <c r="B6932" s="5"/>
      <c r="C6932" s="5"/>
      <c r="D6932" s="5"/>
      <c r="E6932" s="5"/>
      <c r="F6932" s="5"/>
      <c r="G6932" s="5"/>
      <c r="H6932" s="5"/>
    </row>
    <row r="6933" spans="1:8" x14ac:dyDescent="0.25">
      <c r="A6933" s="4"/>
      <c r="B6933" s="5"/>
      <c r="C6933" s="5"/>
      <c r="D6933" s="5"/>
      <c r="E6933" s="5"/>
      <c r="F6933" s="5"/>
      <c r="G6933" s="5"/>
      <c r="H6933" s="5"/>
    </row>
    <row r="6934" spans="1:8" x14ac:dyDescent="0.25">
      <c r="A6934" s="4"/>
      <c r="B6934" s="5"/>
      <c r="C6934" s="5"/>
      <c r="D6934" s="5"/>
      <c r="E6934" s="5"/>
      <c r="F6934" s="5"/>
      <c r="G6934" s="5"/>
      <c r="H6934" s="5"/>
    </row>
    <row r="6935" spans="1:8" x14ac:dyDescent="0.25">
      <c r="A6935" s="4"/>
      <c r="B6935" s="5"/>
      <c r="C6935" s="5"/>
      <c r="D6935" s="5"/>
      <c r="E6935" s="5"/>
      <c r="F6935" s="5"/>
      <c r="G6935" s="5"/>
      <c r="H6935" s="5"/>
    </row>
    <row r="6936" spans="1:8" x14ac:dyDescent="0.25">
      <c r="A6936" s="4"/>
      <c r="B6936" s="5"/>
      <c r="C6936" s="5"/>
      <c r="D6936" s="5"/>
      <c r="E6936" s="5"/>
      <c r="F6936" s="5"/>
      <c r="G6936" s="5"/>
      <c r="H6936" s="5"/>
    </row>
    <row r="6937" spans="1:8" x14ac:dyDescent="0.25">
      <c r="A6937" s="4"/>
      <c r="B6937" s="5"/>
      <c r="C6937" s="5"/>
      <c r="D6937" s="5"/>
      <c r="E6937" s="5"/>
      <c r="F6937" s="5"/>
      <c r="G6937" s="5"/>
      <c r="H6937" s="5"/>
    </row>
    <row r="6938" spans="1:8" x14ac:dyDescent="0.25">
      <c r="A6938" s="4"/>
      <c r="B6938" s="5"/>
      <c r="C6938" s="5"/>
      <c r="D6938" s="5"/>
      <c r="E6938" s="5"/>
      <c r="F6938" s="5"/>
      <c r="G6938" s="5"/>
      <c r="H6938" s="5"/>
    </row>
    <row r="6939" spans="1:8" x14ac:dyDescent="0.25">
      <c r="A6939" s="4"/>
      <c r="B6939" s="5"/>
      <c r="C6939" s="5"/>
      <c r="D6939" s="5"/>
      <c r="E6939" s="5"/>
      <c r="F6939" s="5"/>
      <c r="G6939" s="5"/>
      <c r="H6939" s="5"/>
    </row>
    <row r="6940" spans="1:8" x14ac:dyDescent="0.25">
      <c r="A6940" s="4"/>
      <c r="B6940" s="5"/>
      <c r="C6940" s="5"/>
      <c r="D6940" s="5"/>
      <c r="E6940" s="5"/>
      <c r="F6940" s="5"/>
      <c r="G6940" s="5"/>
      <c r="H6940" s="5"/>
    </row>
    <row r="6941" spans="1:8" x14ac:dyDescent="0.25">
      <c r="A6941" s="4"/>
      <c r="B6941" s="5"/>
      <c r="C6941" s="5"/>
      <c r="D6941" s="5"/>
      <c r="E6941" s="5"/>
      <c r="F6941" s="5"/>
      <c r="G6941" s="5"/>
      <c r="H6941" s="5"/>
    </row>
    <row r="6942" spans="1:8" x14ac:dyDescent="0.25">
      <c r="A6942" s="4"/>
      <c r="B6942" s="5"/>
      <c r="C6942" s="5"/>
      <c r="D6942" s="5"/>
      <c r="E6942" s="5"/>
      <c r="F6942" s="5"/>
      <c r="G6942" s="5"/>
      <c r="H6942" s="5"/>
    </row>
    <row r="6943" spans="1:8" x14ac:dyDescent="0.25">
      <c r="A6943" s="4"/>
      <c r="B6943" s="5"/>
      <c r="C6943" s="5"/>
      <c r="D6943" s="5"/>
      <c r="E6943" s="5"/>
      <c r="F6943" s="5"/>
      <c r="G6943" s="5"/>
      <c r="H6943" s="5"/>
    </row>
    <row r="6944" spans="1:8" x14ac:dyDescent="0.25">
      <c r="A6944" s="4"/>
      <c r="B6944" s="5"/>
      <c r="C6944" s="5"/>
      <c r="D6944" s="5"/>
      <c r="E6944" s="5"/>
      <c r="F6944" s="5"/>
      <c r="G6944" s="5"/>
      <c r="H6944" s="5"/>
    </row>
    <row r="6945" spans="1:8" x14ac:dyDescent="0.25">
      <c r="A6945" s="4"/>
      <c r="B6945" s="5"/>
      <c r="C6945" s="5"/>
      <c r="D6945" s="5"/>
      <c r="E6945" s="5"/>
      <c r="F6945" s="5"/>
      <c r="G6945" s="5"/>
      <c r="H6945" s="5"/>
    </row>
    <row r="6946" spans="1:8" x14ac:dyDescent="0.25">
      <c r="A6946" s="4"/>
      <c r="B6946" s="5"/>
      <c r="C6946" s="5"/>
      <c r="D6946" s="5"/>
      <c r="E6946" s="5"/>
      <c r="F6946" s="5"/>
      <c r="G6946" s="5"/>
      <c r="H6946" s="5"/>
    </row>
    <row r="6947" spans="1:8" x14ac:dyDescent="0.25">
      <c r="A6947" s="4"/>
      <c r="B6947" s="5"/>
      <c r="C6947" s="5"/>
      <c r="D6947" s="5"/>
      <c r="E6947" s="5"/>
      <c r="F6947" s="5"/>
      <c r="G6947" s="5"/>
      <c r="H6947" s="5"/>
    </row>
    <row r="6948" spans="1:8" x14ac:dyDescent="0.25">
      <c r="A6948" s="4"/>
      <c r="B6948" s="5"/>
      <c r="C6948" s="5"/>
      <c r="D6948" s="5"/>
      <c r="E6948" s="5"/>
      <c r="F6948" s="5"/>
      <c r="G6948" s="5"/>
      <c r="H6948" s="5"/>
    </row>
    <row r="6949" spans="1:8" x14ac:dyDescent="0.25">
      <c r="A6949" s="4"/>
      <c r="B6949" s="5"/>
      <c r="C6949" s="5"/>
      <c r="D6949" s="5"/>
      <c r="E6949" s="5"/>
      <c r="F6949" s="5"/>
      <c r="G6949" s="5"/>
      <c r="H6949" s="5"/>
    </row>
    <row r="6950" spans="1:8" x14ac:dyDescent="0.25">
      <c r="A6950" s="4"/>
      <c r="B6950" s="5"/>
      <c r="C6950" s="5"/>
      <c r="D6950" s="5"/>
      <c r="E6950" s="5"/>
      <c r="F6950" s="5"/>
      <c r="G6950" s="5"/>
      <c r="H6950" s="5"/>
    </row>
    <row r="6951" spans="1:8" x14ac:dyDescent="0.25">
      <c r="A6951" s="4"/>
      <c r="B6951" s="5"/>
      <c r="C6951" s="5"/>
      <c r="D6951" s="5"/>
      <c r="E6951" s="5"/>
      <c r="F6951" s="5"/>
      <c r="G6951" s="5"/>
      <c r="H6951" s="5"/>
    </row>
    <row r="6952" spans="1:8" x14ac:dyDescent="0.25">
      <c r="A6952" s="4"/>
      <c r="B6952" s="5"/>
      <c r="C6952" s="5"/>
      <c r="D6952" s="5"/>
      <c r="E6952" s="5"/>
      <c r="F6952" s="5"/>
      <c r="G6952" s="5"/>
      <c r="H6952" s="5"/>
    </row>
    <row r="6953" spans="1:8" x14ac:dyDescent="0.25">
      <c r="A6953" s="4"/>
      <c r="B6953" s="5"/>
      <c r="C6953" s="5"/>
      <c r="D6953" s="5"/>
      <c r="E6953" s="5"/>
      <c r="F6953" s="5"/>
      <c r="G6953" s="5"/>
      <c r="H6953" s="5"/>
    </row>
    <row r="6954" spans="1:8" x14ac:dyDescent="0.25">
      <c r="A6954" s="4"/>
      <c r="B6954" s="5"/>
      <c r="C6954" s="5"/>
      <c r="D6954" s="5"/>
      <c r="E6954" s="5"/>
      <c r="F6954" s="5"/>
      <c r="G6954" s="5"/>
      <c r="H6954" s="5"/>
    </row>
    <row r="6955" spans="1:8" x14ac:dyDescent="0.25">
      <c r="A6955" s="4"/>
      <c r="B6955" s="5"/>
      <c r="C6955" s="5"/>
      <c r="D6955" s="5"/>
      <c r="E6955" s="5"/>
      <c r="F6955" s="5"/>
      <c r="G6955" s="5"/>
      <c r="H6955" s="5"/>
    </row>
    <row r="6956" spans="1:8" x14ac:dyDescent="0.25">
      <c r="A6956" s="4"/>
      <c r="B6956" s="5"/>
      <c r="C6956" s="5"/>
      <c r="D6956" s="5"/>
      <c r="E6956" s="5"/>
      <c r="F6956" s="5"/>
      <c r="G6956" s="5"/>
      <c r="H6956" s="5"/>
    </row>
    <row r="6957" spans="1:8" x14ac:dyDescent="0.25">
      <c r="A6957" s="4"/>
      <c r="B6957" s="5"/>
      <c r="C6957" s="5"/>
      <c r="D6957" s="5"/>
      <c r="E6957" s="5"/>
      <c r="F6957" s="5"/>
      <c r="G6957" s="5"/>
      <c r="H6957" s="5"/>
    </row>
    <row r="6958" spans="1:8" x14ac:dyDescent="0.25">
      <c r="A6958" s="4"/>
      <c r="B6958" s="5"/>
      <c r="C6958" s="5"/>
      <c r="D6958" s="5"/>
      <c r="E6958" s="5"/>
      <c r="F6958" s="5"/>
      <c r="G6958" s="5"/>
      <c r="H6958" s="5"/>
    </row>
    <row r="6959" spans="1:8" x14ac:dyDescent="0.25">
      <c r="A6959" s="4"/>
      <c r="B6959" s="5"/>
      <c r="C6959" s="5"/>
      <c r="D6959" s="5"/>
      <c r="E6959" s="5"/>
      <c r="F6959" s="5"/>
      <c r="G6959" s="5"/>
      <c r="H6959" s="5"/>
    </row>
    <row r="6960" spans="1:8" x14ac:dyDescent="0.25">
      <c r="A6960" s="4"/>
      <c r="B6960" s="5"/>
      <c r="C6960" s="5"/>
      <c r="D6960" s="5"/>
      <c r="E6960" s="5"/>
      <c r="F6960" s="5"/>
      <c r="G6960" s="5"/>
      <c r="H6960" s="5"/>
    </row>
    <row r="6961" spans="1:8" x14ac:dyDescent="0.25">
      <c r="A6961" s="4"/>
      <c r="B6961" s="5"/>
      <c r="C6961" s="5"/>
      <c r="D6961" s="5"/>
      <c r="E6961" s="5"/>
      <c r="F6961" s="5"/>
      <c r="G6961" s="5"/>
      <c r="H6961" s="5"/>
    </row>
    <row r="6962" spans="1:8" x14ac:dyDescent="0.25">
      <c r="A6962" s="4"/>
      <c r="B6962" s="5"/>
      <c r="C6962" s="5"/>
      <c r="D6962" s="5"/>
      <c r="E6962" s="5"/>
      <c r="F6962" s="5"/>
      <c r="G6962" s="5"/>
      <c r="H6962" s="5"/>
    </row>
    <row r="6963" spans="1:8" x14ac:dyDescent="0.25">
      <c r="A6963" s="4"/>
      <c r="B6963" s="5"/>
      <c r="C6963" s="5"/>
      <c r="D6963" s="5"/>
      <c r="E6963" s="5"/>
      <c r="F6963" s="5"/>
      <c r="G6963" s="5"/>
      <c r="H6963" s="5"/>
    </row>
    <row r="6964" spans="1:8" x14ac:dyDescent="0.25">
      <c r="A6964" s="4"/>
      <c r="B6964" s="5"/>
      <c r="C6964" s="5"/>
      <c r="D6964" s="5"/>
      <c r="E6964" s="5"/>
      <c r="F6964" s="5"/>
      <c r="G6964" s="5"/>
      <c r="H6964" s="5"/>
    </row>
    <row r="6965" spans="1:8" x14ac:dyDescent="0.25">
      <c r="A6965" s="4"/>
      <c r="B6965" s="5"/>
      <c r="C6965" s="5"/>
      <c r="D6965" s="5"/>
      <c r="E6965" s="5"/>
      <c r="F6965" s="5"/>
      <c r="G6965" s="5"/>
      <c r="H6965" s="5"/>
    </row>
    <row r="6966" spans="1:8" x14ac:dyDescent="0.25">
      <c r="A6966" s="4"/>
      <c r="B6966" s="5"/>
      <c r="C6966" s="5"/>
      <c r="D6966" s="5"/>
      <c r="E6966" s="5"/>
      <c r="F6966" s="5"/>
      <c r="G6966" s="5"/>
      <c r="H6966" s="5"/>
    </row>
    <row r="6967" spans="1:8" x14ac:dyDescent="0.25">
      <c r="A6967" s="4"/>
      <c r="B6967" s="5"/>
      <c r="C6967" s="5"/>
      <c r="D6967" s="5"/>
      <c r="E6967" s="5"/>
      <c r="F6967" s="5"/>
      <c r="G6967" s="5"/>
      <c r="H6967" s="5"/>
    </row>
    <row r="6968" spans="1:8" x14ac:dyDescent="0.25">
      <c r="A6968" s="4"/>
      <c r="B6968" s="5"/>
      <c r="C6968" s="5"/>
      <c r="D6968" s="5"/>
      <c r="E6968" s="5"/>
      <c r="F6968" s="5"/>
      <c r="G6968" s="5"/>
      <c r="H6968" s="5"/>
    </row>
    <row r="6969" spans="1:8" x14ac:dyDescent="0.25">
      <c r="A6969" s="4"/>
      <c r="B6969" s="5"/>
      <c r="C6969" s="5"/>
      <c r="D6969" s="5"/>
      <c r="E6969" s="5"/>
      <c r="F6969" s="5"/>
      <c r="G6969" s="5"/>
      <c r="H6969" s="5"/>
    </row>
    <row r="6970" spans="1:8" x14ac:dyDescent="0.25">
      <c r="A6970" s="4"/>
      <c r="B6970" s="5"/>
      <c r="C6970" s="5"/>
      <c r="D6970" s="5"/>
      <c r="E6970" s="5"/>
      <c r="F6970" s="5"/>
      <c r="G6970" s="5"/>
      <c r="H6970" s="5"/>
    </row>
    <row r="6971" spans="1:8" x14ac:dyDescent="0.25">
      <c r="A6971" s="4"/>
      <c r="B6971" s="5"/>
      <c r="C6971" s="5"/>
      <c r="D6971" s="5"/>
      <c r="E6971" s="5"/>
      <c r="F6971" s="5"/>
      <c r="G6971" s="5"/>
      <c r="H6971" s="5"/>
    </row>
    <row r="6972" spans="1:8" x14ac:dyDescent="0.25">
      <c r="A6972" s="4"/>
      <c r="B6972" s="5"/>
      <c r="C6972" s="5"/>
      <c r="D6972" s="5"/>
      <c r="E6972" s="5"/>
      <c r="F6972" s="5"/>
      <c r="G6972" s="5"/>
      <c r="H6972" s="5"/>
    </row>
    <row r="6973" spans="1:8" x14ac:dyDescent="0.25">
      <c r="A6973" s="4"/>
      <c r="B6973" s="5"/>
      <c r="C6973" s="5"/>
      <c r="D6973" s="5"/>
      <c r="E6973" s="5"/>
      <c r="F6973" s="5"/>
      <c r="G6973" s="5"/>
      <c r="H6973" s="5"/>
    </row>
    <row r="6974" spans="1:8" x14ac:dyDescent="0.25">
      <c r="A6974" s="4"/>
      <c r="B6974" s="5"/>
      <c r="C6974" s="5"/>
      <c r="D6974" s="5"/>
      <c r="E6974" s="5"/>
      <c r="F6974" s="5"/>
      <c r="G6974" s="5"/>
      <c r="H6974" s="5"/>
    </row>
    <row r="6975" spans="1:8" x14ac:dyDescent="0.25">
      <c r="A6975" s="4"/>
      <c r="B6975" s="5"/>
      <c r="C6975" s="5"/>
      <c r="D6975" s="5"/>
      <c r="E6975" s="5"/>
      <c r="F6975" s="5"/>
      <c r="G6975" s="5"/>
      <c r="H6975" s="5"/>
    </row>
    <row r="6976" spans="1:8" x14ac:dyDescent="0.25">
      <c r="A6976" s="4"/>
      <c r="B6976" s="5"/>
      <c r="C6976" s="5"/>
      <c r="D6976" s="5"/>
      <c r="E6976" s="5"/>
      <c r="F6976" s="5"/>
      <c r="G6976" s="5"/>
      <c r="H6976" s="5"/>
    </row>
    <row r="6977" spans="1:8" x14ac:dyDescent="0.25">
      <c r="A6977" s="4"/>
      <c r="B6977" s="5"/>
      <c r="C6977" s="5"/>
      <c r="D6977" s="5"/>
      <c r="E6977" s="5"/>
      <c r="F6977" s="5"/>
      <c r="G6977" s="5"/>
      <c r="H6977" s="5"/>
    </row>
    <row r="6978" spans="1:8" x14ac:dyDescent="0.25">
      <c r="A6978" s="4"/>
      <c r="B6978" s="5"/>
      <c r="C6978" s="5"/>
      <c r="D6978" s="5"/>
      <c r="E6978" s="5"/>
      <c r="F6978" s="5"/>
      <c r="G6978" s="5"/>
      <c r="H6978" s="5"/>
    </row>
    <row r="6979" spans="1:8" x14ac:dyDescent="0.25">
      <c r="A6979" s="4"/>
      <c r="B6979" s="5"/>
      <c r="C6979" s="5"/>
      <c r="D6979" s="5"/>
      <c r="E6979" s="5"/>
      <c r="F6979" s="5"/>
      <c r="G6979" s="5"/>
      <c r="H6979" s="5"/>
    </row>
    <row r="6980" spans="1:8" x14ac:dyDescent="0.25">
      <c r="A6980" s="4"/>
      <c r="B6980" s="5"/>
      <c r="C6980" s="5"/>
      <c r="D6980" s="5"/>
      <c r="E6980" s="5"/>
      <c r="F6980" s="5"/>
      <c r="G6980" s="5"/>
      <c r="H6980" s="5"/>
    </row>
    <row r="6981" spans="1:8" x14ac:dyDescent="0.25">
      <c r="A6981" s="4"/>
      <c r="B6981" s="5"/>
      <c r="C6981" s="5"/>
      <c r="D6981" s="5"/>
      <c r="E6981" s="5"/>
      <c r="F6981" s="5"/>
      <c r="G6981" s="5"/>
      <c r="H6981" s="5"/>
    </row>
    <row r="6982" spans="1:8" x14ac:dyDescent="0.25">
      <c r="A6982" s="4"/>
      <c r="B6982" s="5"/>
      <c r="C6982" s="5"/>
      <c r="D6982" s="5"/>
      <c r="E6982" s="5"/>
      <c r="F6982" s="5"/>
      <c r="G6982" s="5"/>
      <c r="H6982" s="5"/>
    </row>
    <row r="6983" spans="1:8" x14ac:dyDescent="0.25">
      <c r="A6983" s="4"/>
      <c r="B6983" s="5"/>
      <c r="C6983" s="5"/>
      <c r="D6983" s="5"/>
      <c r="E6983" s="5"/>
      <c r="F6983" s="5"/>
      <c r="G6983" s="5"/>
      <c r="H6983" s="5"/>
    </row>
    <row r="6984" spans="1:8" x14ac:dyDescent="0.25">
      <c r="A6984" s="4"/>
      <c r="B6984" s="5"/>
      <c r="C6984" s="5"/>
      <c r="D6984" s="5"/>
      <c r="E6984" s="5"/>
      <c r="F6984" s="5"/>
      <c r="G6984" s="5"/>
      <c r="H6984" s="5"/>
    </row>
    <row r="6985" spans="1:8" x14ac:dyDescent="0.25">
      <c r="A6985" s="4"/>
      <c r="B6985" s="5"/>
      <c r="C6985" s="5"/>
      <c r="D6985" s="5"/>
      <c r="E6985" s="5"/>
      <c r="F6985" s="5"/>
      <c r="G6985" s="5"/>
      <c r="H6985" s="5"/>
    </row>
    <row r="6986" spans="1:8" x14ac:dyDescent="0.25">
      <c r="A6986" s="4"/>
      <c r="B6986" s="5"/>
      <c r="C6986" s="5"/>
      <c r="D6986" s="5"/>
      <c r="E6986" s="5"/>
      <c r="F6986" s="5"/>
      <c r="G6986" s="5"/>
      <c r="H6986" s="5"/>
    </row>
    <row r="6987" spans="1:8" x14ac:dyDescent="0.25">
      <c r="A6987" s="4"/>
      <c r="B6987" s="5"/>
      <c r="C6987" s="5"/>
      <c r="D6987" s="5"/>
      <c r="E6987" s="5"/>
      <c r="F6987" s="5"/>
      <c r="G6987" s="5"/>
      <c r="H6987" s="5"/>
    </row>
    <row r="6988" spans="1:8" x14ac:dyDescent="0.25">
      <c r="A6988" s="4"/>
      <c r="B6988" s="5"/>
      <c r="C6988" s="5"/>
      <c r="D6988" s="5"/>
      <c r="E6988" s="5"/>
      <c r="F6988" s="5"/>
      <c r="G6988" s="5"/>
      <c r="H6988" s="5"/>
    </row>
    <row r="6989" spans="1:8" x14ac:dyDescent="0.25">
      <c r="A6989" s="4"/>
      <c r="B6989" s="5"/>
      <c r="C6989" s="5"/>
      <c r="D6989" s="5"/>
      <c r="E6989" s="5"/>
      <c r="F6989" s="5"/>
      <c r="G6989" s="5"/>
      <c r="H6989" s="5"/>
    </row>
    <row r="6990" spans="1:8" x14ac:dyDescent="0.25">
      <c r="A6990" s="4"/>
      <c r="B6990" s="5"/>
      <c r="C6990" s="5"/>
      <c r="D6990" s="5"/>
      <c r="E6990" s="5"/>
      <c r="F6990" s="5"/>
      <c r="G6990" s="5"/>
      <c r="H6990" s="5"/>
    </row>
    <row r="6991" spans="1:8" x14ac:dyDescent="0.25">
      <c r="A6991" s="4"/>
      <c r="B6991" s="5"/>
      <c r="C6991" s="5"/>
      <c r="D6991" s="5"/>
      <c r="E6991" s="5"/>
      <c r="F6991" s="5"/>
      <c r="G6991" s="5"/>
      <c r="H6991" s="5"/>
    </row>
    <row r="6992" spans="1:8" x14ac:dyDescent="0.25">
      <c r="A6992" s="4"/>
      <c r="B6992" s="5"/>
      <c r="C6992" s="5"/>
      <c r="D6992" s="5"/>
      <c r="E6992" s="5"/>
      <c r="F6992" s="5"/>
      <c r="G6992" s="5"/>
      <c r="H6992" s="5"/>
    </row>
    <row r="6993" spans="1:8" x14ac:dyDescent="0.25">
      <c r="A6993" s="4"/>
      <c r="B6993" s="5"/>
      <c r="C6993" s="5"/>
      <c r="D6993" s="5"/>
      <c r="E6993" s="5"/>
      <c r="F6993" s="5"/>
      <c r="G6993" s="5"/>
      <c r="H6993" s="5"/>
    </row>
    <row r="6994" spans="1:8" x14ac:dyDescent="0.25">
      <c r="A6994" s="4"/>
      <c r="B6994" s="5"/>
      <c r="C6994" s="5"/>
      <c r="D6994" s="5"/>
      <c r="E6994" s="5"/>
      <c r="F6994" s="5"/>
      <c r="G6994" s="5"/>
      <c r="H6994" s="5"/>
    </row>
    <row r="6995" spans="1:8" x14ac:dyDescent="0.25">
      <c r="A6995" s="4"/>
      <c r="B6995" s="5"/>
      <c r="C6995" s="5"/>
      <c r="D6995" s="5"/>
      <c r="E6995" s="5"/>
      <c r="F6995" s="5"/>
      <c r="G6995" s="5"/>
      <c r="H6995" s="5"/>
    </row>
    <row r="6996" spans="1:8" x14ac:dyDescent="0.25">
      <c r="A6996" s="4"/>
      <c r="B6996" s="5"/>
      <c r="C6996" s="5"/>
      <c r="D6996" s="5"/>
      <c r="E6996" s="5"/>
      <c r="F6996" s="5"/>
      <c r="G6996" s="5"/>
      <c r="H6996" s="5"/>
    </row>
    <row r="6997" spans="1:8" x14ac:dyDescent="0.25">
      <c r="A6997" s="4"/>
      <c r="B6997" s="5"/>
      <c r="C6997" s="5"/>
      <c r="D6997" s="5"/>
      <c r="E6997" s="5"/>
      <c r="F6997" s="5"/>
      <c r="G6997" s="5"/>
      <c r="H6997" s="5"/>
    </row>
    <row r="6998" spans="1:8" x14ac:dyDescent="0.25">
      <c r="A6998" s="4"/>
      <c r="B6998" s="5"/>
      <c r="C6998" s="5"/>
      <c r="D6998" s="5"/>
      <c r="E6998" s="5"/>
      <c r="F6998" s="5"/>
      <c r="G6998" s="5"/>
      <c r="H6998" s="5"/>
    </row>
    <row r="6999" spans="1:8" x14ac:dyDescent="0.25">
      <c r="A6999" s="4"/>
      <c r="B6999" s="5"/>
      <c r="C6999" s="5"/>
      <c r="D6999" s="5"/>
      <c r="E6999" s="5"/>
      <c r="F6999" s="5"/>
      <c r="G6999" s="5"/>
      <c r="H6999" s="5"/>
    </row>
    <row r="7000" spans="1:8" x14ac:dyDescent="0.25">
      <c r="A7000" s="4"/>
      <c r="B7000" s="5"/>
      <c r="C7000" s="5"/>
      <c r="D7000" s="5"/>
      <c r="E7000" s="5"/>
      <c r="F7000" s="5"/>
      <c r="G7000" s="5"/>
      <c r="H7000" s="5"/>
    </row>
    <row r="7001" spans="1:8" x14ac:dyDescent="0.25">
      <c r="A7001" s="4"/>
      <c r="B7001" s="5"/>
      <c r="C7001" s="5"/>
      <c r="D7001" s="5"/>
      <c r="E7001" s="5"/>
      <c r="F7001" s="5"/>
      <c r="G7001" s="5"/>
      <c r="H7001" s="5"/>
    </row>
    <row r="7002" spans="1:8" x14ac:dyDescent="0.25">
      <c r="A7002" s="4"/>
      <c r="B7002" s="5"/>
      <c r="C7002" s="5"/>
      <c r="D7002" s="5"/>
      <c r="E7002" s="5"/>
      <c r="F7002" s="5"/>
      <c r="G7002" s="5"/>
      <c r="H7002" s="5"/>
    </row>
    <row r="7003" spans="1:8" x14ac:dyDescent="0.25">
      <c r="A7003" s="4"/>
      <c r="B7003" s="5"/>
      <c r="C7003" s="5"/>
      <c r="D7003" s="5"/>
      <c r="E7003" s="5"/>
      <c r="F7003" s="5"/>
      <c r="G7003" s="5"/>
      <c r="H7003" s="5"/>
    </row>
    <row r="7004" spans="1:8" x14ac:dyDescent="0.25">
      <c r="A7004" s="4"/>
      <c r="B7004" s="5"/>
      <c r="C7004" s="5"/>
      <c r="D7004" s="5"/>
      <c r="E7004" s="5"/>
      <c r="F7004" s="5"/>
      <c r="G7004" s="5"/>
      <c r="H7004" s="5"/>
    </row>
    <row r="7005" spans="1:8" x14ac:dyDescent="0.25">
      <c r="A7005" s="4"/>
      <c r="B7005" s="5"/>
      <c r="C7005" s="5"/>
      <c r="D7005" s="5"/>
      <c r="E7005" s="5"/>
      <c r="F7005" s="5"/>
      <c r="G7005" s="5"/>
      <c r="H7005" s="5"/>
    </row>
    <row r="7006" spans="1:8" x14ac:dyDescent="0.25">
      <c r="A7006" s="4"/>
      <c r="B7006" s="5"/>
      <c r="C7006" s="5"/>
      <c r="D7006" s="5"/>
      <c r="E7006" s="5"/>
      <c r="F7006" s="5"/>
      <c r="G7006" s="5"/>
      <c r="H7006" s="5"/>
    </row>
    <row r="7007" spans="1:8" x14ac:dyDescent="0.25">
      <c r="A7007" s="4"/>
      <c r="B7007" s="5"/>
      <c r="C7007" s="5"/>
      <c r="D7007" s="5"/>
      <c r="E7007" s="5"/>
      <c r="F7007" s="5"/>
      <c r="G7007" s="5"/>
      <c r="H7007" s="5"/>
    </row>
    <row r="7008" spans="1:8" x14ac:dyDescent="0.25">
      <c r="A7008" s="4"/>
      <c r="B7008" s="5"/>
      <c r="C7008" s="5"/>
      <c r="D7008" s="5"/>
      <c r="E7008" s="5"/>
      <c r="F7008" s="5"/>
      <c r="G7008" s="5"/>
      <c r="H7008" s="5"/>
    </row>
    <row r="7009" spans="1:8" x14ac:dyDescent="0.25">
      <c r="A7009" s="4"/>
      <c r="B7009" s="5"/>
      <c r="C7009" s="5"/>
      <c r="D7009" s="5"/>
      <c r="E7009" s="5"/>
      <c r="F7009" s="5"/>
      <c r="G7009" s="5"/>
      <c r="H7009" s="5"/>
    </row>
    <row r="7010" spans="1:8" x14ac:dyDescent="0.25">
      <c r="A7010" s="4"/>
      <c r="B7010" s="5"/>
      <c r="C7010" s="5"/>
      <c r="D7010" s="5"/>
      <c r="E7010" s="5"/>
      <c r="F7010" s="5"/>
      <c r="G7010" s="5"/>
      <c r="H7010" s="5"/>
    </row>
    <row r="7011" spans="1:8" x14ac:dyDescent="0.25">
      <c r="A7011" s="4"/>
      <c r="B7011" s="5"/>
      <c r="C7011" s="5"/>
      <c r="D7011" s="5"/>
      <c r="E7011" s="5"/>
      <c r="F7011" s="5"/>
      <c r="G7011" s="5"/>
      <c r="H7011" s="5"/>
    </row>
    <row r="7012" spans="1:8" x14ac:dyDescent="0.25">
      <c r="A7012" s="4"/>
      <c r="B7012" s="5"/>
      <c r="C7012" s="5"/>
      <c r="D7012" s="5"/>
      <c r="E7012" s="5"/>
      <c r="F7012" s="5"/>
      <c r="G7012" s="5"/>
      <c r="H7012" s="5"/>
    </row>
    <row r="7013" spans="1:8" x14ac:dyDescent="0.25">
      <c r="A7013" s="4"/>
      <c r="B7013" s="5"/>
      <c r="C7013" s="5"/>
      <c r="D7013" s="5"/>
      <c r="E7013" s="5"/>
      <c r="F7013" s="5"/>
      <c r="G7013" s="5"/>
      <c r="H7013" s="5"/>
    </row>
    <row r="7014" spans="1:8" x14ac:dyDescent="0.25">
      <c r="A7014" s="4"/>
      <c r="B7014" s="5"/>
      <c r="C7014" s="5"/>
      <c r="D7014" s="5"/>
      <c r="E7014" s="5"/>
      <c r="F7014" s="5"/>
      <c r="G7014" s="5"/>
      <c r="H7014" s="5"/>
    </row>
    <row r="7015" spans="1:8" x14ac:dyDescent="0.25">
      <c r="A7015" s="4"/>
      <c r="B7015" s="5"/>
      <c r="C7015" s="5"/>
      <c r="D7015" s="5"/>
      <c r="E7015" s="5"/>
      <c r="F7015" s="5"/>
      <c r="G7015" s="5"/>
      <c r="H7015" s="5"/>
    </row>
    <row r="7016" spans="1:8" x14ac:dyDescent="0.25">
      <c r="A7016" s="4"/>
      <c r="B7016" s="5"/>
      <c r="C7016" s="5"/>
      <c r="D7016" s="5"/>
      <c r="E7016" s="5"/>
      <c r="F7016" s="5"/>
      <c r="G7016" s="5"/>
      <c r="H7016" s="5"/>
    </row>
    <row r="7017" spans="1:8" x14ac:dyDescent="0.25">
      <c r="A7017" s="4"/>
      <c r="B7017" s="5"/>
      <c r="C7017" s="5"/>
      <c r="D7017" s="5"/>
      <c r="E7017" s="5"/>
      <c r="F7017" s="5"/>
      <c r="G7017" s="5"/>
      <c r="H7017" s="5"/>
    </row>
    <row r="7018" spans="1:8" x14ac:dyDescent="0.25">
      <c r="A7018" s="4"/>
      <c r="B7018" s="5"/>
      <c r="C7018" s="5"/>
      <c r="D7018" s="5"/>
      <c r="E7018" s="5"/>
      <c r="F7018" s="5"/>
      <c r="G7018" s="5"/>
      <c r="H7018" s="5"/>
    </row>
    <row r="7019" spans="1:8" x14ac:dyDescent="0.25">
      <c r="A7019" s="4"/>
      <c r="B7019" s="5"/>
      <c r="C7019" s="5"/>
      <c r="D7019" s="5"/>
      <c r="E7019" s="5"/>
      <c r="F7019" s="5"/>
      <c r="G7019" s="5"/>
      <c r="H7019" s="5"/>
    </row>
    <row r="7020" spans="1:8" x14ac:dyDescent="0.25">
      <c r="A7020" s="4"/>
      <c r="B7020" s="5"/>
      <c r="C7020" s="5"/>
      <c r="D7020" s="5"/>
      <c r="E7020" s="5"/>
      <c r="F7020" s="5"/>
      <c r="G7020" s="5"/>
      <c r="H7020" s="5"/>
    </row>
    <row r="7021" spans="1:8" x14ac:dyDescent="0.25">
      <c r="A7021" s="4"/>
      <c r="B7021" s="5"/>
      <c r="C7021" s="5"/>
      <c r="D7021" s="5"/>
      <c r="E7021" s="5"/>
      <c r="F7021" s="5"/>
      <c r="G7021" s="5"/>
      <c r="H7021" s="5"/>
    </row>
    <row r="7022" spans="1:8" x14ac:dyDescent="0.25">
      <c r="A7022" s="4"/>
      <c r="B7022" s="5"/>
      <c r="C7022" s="5"/>
      <c r="D7022" s="5"/>
      <c r="E7022" s="5"/>
      <c r="F7022" s="5"/>
      <c r="G7022" s="5"/>
      <c r="H7022" s="5"/>
    </row>
    <row r="7023" spans="1:8" x14ac:dyDescent="0.25">
      <c r="A7023" s="4"/>
      <c r="B7023" s="5"/>
      <c r="C7023" s="5"/>
      <c r="D7023" s="5"/>
      <c r="E7023" s="5"/>
      <c r="F7023" s="5"/>
      <c r="G7023" s="5"/>
      <c r="H7023" s="5"/>
    </row>
    <row r="7024" spans="1:8" x14ac:dyDescent="0.25">
      <c r="A7024" s="4"/>
      <c r="B7024" s="5"/>
      <c r="C7024" s="5"/>
      <c r="D7024" s="5"/>
      <c r="E7024" s="5"/>
      <c r="F7024" s="5"/>
      <c r="G7024" s="5"/>
      <c r="H7024" s="5"/>
    </row>
    <row r="7025" spans="1:8" x14ac:dyDescent="0.25">
      <c r="A7025" s="4"/>
      <c r="B7025" s="5"/>
      <c r="C7025" s="5"/>
      <c r="D7025" s="5"/>
      <c r="E7025" s="5"/>
      <c r="F7025" s="5"/>
      <c r="G7025" s="5"/>
      <c r="H7025" s="5"/>
    </row>
    <row r="7026" spans="1:8" x14ac:dyDescent="0.25">
      <c r="A7026" s="4"/>
      <c r="B7026" s="5"/>
      <c r="C7026" s="5"/>
      <c r="D7026" s="5"/>
      <c r="E7026" s="5"/>
      <c r="F7026" s="5"/>
      <c r="G7026" s="5"/>
      <c r="H7026" s="5"/>
    </row>
    <row r="7027" spans="1:8" x14ac:dyDescent="0.25">
      <c r="A7027" s="4"/>
      <c r="B7027" s="5"/>
      <c r="C7027" s="5"/>
      <c r="D7027" s="5"/>
      <c r="E7027" s="5"/>
      <c r="F7027" s="5"/>
      <c r="G7027" s="5"/>
      <c r="H7027" s="5"/>
    </row>
    <row r="7028" spans="1:8" x14ac:dyDescent="0.25">
      <c r="A7028" s="4"/>
      <c r="B7028" s="5"/>
      <c r="C7028" s="5"/>
      <c r="D7028" s="5"/>
      <c r="E7028" s="5"/>
      <c r="F7028" s="5"/>
      <c r="G7028" s="5"/>
      <c r="H7028" s="5"/>
    </row>
    <row r="7029" spans="1:8" x14ac:dyDescent="0.25">
      <c r="A7029" s="4"/>
      <c r="B7029" s="5"/>
      <c r="C7029" s="5"/>
      <c r="D7029" s="5"/>
      <c r="E7029" s="5"/>
      <c r="F7029" s="5"/>
      <c r="G7029" s="5"/>
      <c r="H7029" s="5"/>
    </row>
    <row r="7030" spans="1:8" x14ac:dyDescent="0.25">
      <c r="A7030" s="4"/>
      <c r="B7030" s="5"/>
      <c r="C7030" s="5"/>
      <c r="D7030" s="5"/>
      <c r="E7030" s="5"/>
      <c r="F7030" s="5"/>
      <c r="G7030" s="5"/>
      <c r="H7030" s="5"/>
    </row>
    <row r="7031" spans="1:8" x14ac:dyDescent="0.25">
      <c r="A7031" s="4"/>
      <c r="B7031" s="5"/>
      <c r="C7031" s="5"/>
      <c r="D7031" s="5"/>
      <c r="E7031" s="5"/>
      <c r="F7031" s="5"/>
      <c r="G7031" s="5"/>
      <c r="H7031" s="5"/>
    </row>
    <row r="7032" spans="1:8" x14ac:dyDescent="0.25">
      <c r="A7032" s="4"/>
      <c r="B7032" s="5"/>
      <c r="C7032" s="5"/>
      <c r="D7032" s="5"/>
      <c r="E7032" s="5"/>
      <c r="F7032" s="5"/>
      <c r="G7032" s="5"/>
      <c r="H7032" s="5"/>
    </row>
    <row r="7033" spans="1:8" x14ac:dyDescent="0.25">
      <c r="A7033" s="4"/>
      <c r="B7033" s="5"/>
      <c r="C7033" s="5"/>
      <c r="D7033" s="5"/>
      <c r="E7033" s="5"/>
      <c r="F7033" s="5"/>
      <c r="G7033" s="5"/>
      <c r="H7033" s="5"/>
    </row>
    <row r="7034" spans="1:8" x14ac:dyDescent="0.25">
      <c r="A7034" s="4"/>
      <c r="B7034" s="5"/>
      <c r="C7034" s="5"/>
      <c r="D7034" s="5"/>
      <c r="E7034" s="5"/>
      <c r="F7034" s="5"/>
      <c r="G7034" s="5"/>
      <c r="H7034" s="5"/>
    </row>
    <row r="7035" spans="1:8" x14ac:dyDescent="0.25">
      <c r="A7035" s="4"/>
      <c r="B7035" s="5"/>
      <c r="C7035" s="5"/>
      <c r="D7035" s="5"/>
      <c r="E7035" s="5"/>
      <c r="F7035" s="5"/>
      <c r="G7035" s="5"/>
      <c r="H7035" s="5"/>
    </row>
    <row r="7036" spans="1:8" x14ac:dyDescent="0.25">
      <c r="A7036" s="4"/>
      <c r="B7036" s="5"/>
      <c r="C7036" s="5"/>
      <c r="D7036" s="5"/>
      <c r="E7036" s="5"/>
      <c r="F7036" s="5"/>
      <c r="G7036" s="5"/>
      <c r="H7036" s="5"/>
    </row>
    <row r="7037" spans="1:8" x14ac:dyDescent="0.25">
      <c r="A7037" s="4"/>
      <c r="B7037" s="5"/>
      <c r="C7037" s="5"/>
      <c r="D7037" s="5"/>
      <c r="E7037" s="5"/>
      <c r="F7037" s="5"/>
      <c r="G7037" s="5"/>
      <c r="H7037" s="5"/>
    </row>
    <row r="7038" spans="1:8" x14ac:dyDescent="0.25">
      <c r="A7038" s="4"/>
      <c r="B7038" s="5"/>
      <c r="C7038" s="5"/>
      <c r="D7038" s="5"/>
      <c r="E7038" s="5"/>
      <c r="F7038" s="5"/>
      <c r="G7038" s="5"/>
      <c r="H7038" s="5"/>
    </row>
    <row r="7039" spans="1:8" x14ac:dyDescent="0.25">
      <c r="A7039" s="4"/>
      <c r="B7039" s="5"/>
      <c r="C7039" s="5"/>
      <c r="D7039" s="5"/>
      <c r="E7039" s="5"/>
      <c r="F7039" s="5"/>
      <c r="G7039" s="5"/>
      <c r="H7039" s="5"/>
    </row>
    <row r="7040" spans="1:8" x14ac:dyDescent="0.25">
      <c r="A7040" s="4"/>
      <c r="B7040" s="5"/>
      <c r="C7040" s="5"/>
      <c r="D7040" s="5"/>
      <c r="E7040" s="5"/>
      <c r="F7040" s="5"/>
      <c r="G7040" s="5"/>
      <c r="H7040" s="5"/>
    </row>
    <row r="7041" spans="1:8" x14ac:dyDescent="0.25">
      <c r="A7041" s="4"/>
      <c r="B7041" s="5"/>
      <c r="C7041" s="5"/>
      <c r="D7041" s="5"/>
      <c r="E7041" s="5"/>
      <c r="F7041" s="5"/>
      <c r="G7041" s="5"/>
      <c r="H7041" s="5"/>
    </row>
    <row r="7042" spans="1:8" x14ac:dyDescent="0.25">
      <c r="A7042" s="4"/>
      <c r="B7042" s="5"/>
      <c r="C7042" s="5"/>
      <c r="D7042" s="5"/>
      <c r="E7042" s="5"/>
      <c r="F7042" s="5"/>
      <c r="G7042" s="5"/>
      <c r="H7042" s="5"/>
    </row>
    <row r="7043" spans="1:8" x14ac:dyDescent="0.25">
      <c r="A7043" s="4"/>
      <c r="B7043" s="5"/>
      <c r="C7043" s="5"/>
      <c r="D7043" s="5"/>
      <c r="E7043" s="5"/>
      <c r="F7043" s="5"/>
      <c r="G7043" s="5"/>
      <c r="H7043" s="5"/>
    </row>
    <row r="7044" spans="1:8" x14ac:dyDescent="0.25">
      <c r="A7044" s="4"/>
      <c r="B7044" s="5"/>
      <c r="C7044" s="5"/>
      <c r="D7044" s="5"/>
      <c r="E7044" s="5"/>
      <c r="F7044" s="5"/>
      <c r="G7044" s="5"/>
      <c r="H7044" s="5"/>
    </row>
    <row r="7045" spans="1:8" x14ac:dyDescent="0.25">
      <c r="A7045" s="4"/>
      <c r="B7045" s="5"/>
      <c r="C7045" s="5"/>
      <c r="D7045" s="5"/>
      <c r="E7045" s="5"/>
      <c r="F7045" s="5"/>
      <c r="G7045" s="5"/>
      <c r="H7045" s="5"/>
    </row>
    <row r="7046" spans="1:8" x14ac:dyDescent="0.25">
      <c r="A7046" s="4"/>
      <c r="B7046" s="5"/>
      <c r="C7046" s="5"/>
      <c r="D7046" s="5"/>
      <c r="E7046" s="5"/>
      <c r="F7046" s="5"/>
      <c r="G7046" s="5"/>
      <c r="H7046" s="5"/>
    </row>
    <row r="7047" spans="1:8" x14ac:dyDescent="0.25">
      <c r="A7047" s="4"/>
      <c r="B7047" s="5"/>
      <c r="C7047" s="5"/>
      <c r="D7047" s="5"/>
      <c r="E7047" s="5"/>
      <c r="F7047" s="5"/>
      <c r="G7047" s="5"/>
      <c r="H7047" s="5"/>
    </row>
    <row r="7048" spans="1:8" x14ac:dyDescent="0.25">
      <c r="A7048" s="4"/>
      <c r="B7048" s="5"/>
      <c r="C7048" s="5"/>
      <c r="D7048" s="5"/>
      <c r="E7048" s="5"/>
      <c r="F7048" s="5"/>
      <c r="G7048" s="5"/>
      <c r="H7048" s="5"/>
    </row>
    <row r="7049" spans="1:8" x14ac:dyDescent="0.25">
      <c r="A7049" s="4"/>
      <c r="B7049" s="5"/>
      <c r="C7049" s="5"/>
      <c r="D7049" s="5"/>
      <c r="E7049" s="5"/>
      <c r="F7049" s="5"/>
      <c r="G7049" s="5"/>
      <c r="H7049" s="5"/>
    </row>
    <row r="7050" spans="1:8" x14ac:dyDescent="0.25">
      <c r="A7050" s="4"/>
      <c r="B7050" s="5"/>
      <c r="C7050" s="5"/>
      <c r="D7050" s="5"/>
      <c r="E7050" s="5"/>
      <c r="F7050" s="5"/>
      <c r="G7050" s="5"/>
      <c r="H7050" s="5"/>
    </row>
    <row r="7051" spans="1:8" x14ac:dyDescent="0.25">
      <c r="A7051" s="4"/>
      <c r="B7051" s="5"/>
      <c r="C7051" s="5"/>
      <c r="D7051" s="5"/>
      <c r="E7051" s="5"/>
      <c r="F7051" s="5"/>
      <c r="G7051" s="5"/>
      <c r="H7051" s="5"/>
    </row>
    <row r="7052" spans="1:8" x14ac:dyDescent="0.25">
      <c r="A7052" s="4"/>
      <c r="B7052" s="5"/>
      <c r="C7052" s="5"/>
      <c r="D7052" s="5"/>
      <c r="E7052" s="5"/>
      <c r="F7052" s="5"/>
      <c r="G7052" s="5"/>
      <c r="H7052" s="5"/>
    </row>
    <row r="7053" spans="1:8" x14ac:dyDescent="0.25">
      <c r="A7053" s="4"/>
      <c r="B7053" s="5"/>
      <c r="C7053" s="5"/>
      <c r="D7053" s="5"/>
      <c r="E7053" s="5"/>
      <c r="F7053" s="5"/>
      <c r="G7053" s="5"/>
      <c r="H7053" s="5"/>
    </row>
    <row r="7054" spans="1:8" x14ac:dyDescent="0.25">
      <c r="A7054" s="4"/>
      <c r="B7054" s="5"/>
      <c r="C7054" s="5"/>
      <c r="D7054" s="5"/>
      <c r="E7054" s="5"/>
      <c r="F7054" s="5"/>
      <c r="G7054" s="5"/>
      <c r="H7054" s="5"/>
    </row>
    <row r="7055" spans="1:8" x14ac:dyDescent="0.25">
      <c r="A7055" s="4"/>
      <c r="B7055" s="5"/>
      <c r="C7055" s="5"/>
      <c r="D7055" s="5"/>
      <c r="E7055" s="5"/>
      <c r="F7055" s="5"/>
      <c r="G7055" s="5"/>
      <c r="H7055" s="5"/>
    </row>
    <row r="7056" spans="1:8" x14ac:dyDescent="0.25">
      <c r="A7056" s="4"/>
      <c r="B7056" s="5"/>
      <c r="C7056" s="5"/>
      <c r="D7056" s="5"/>
      <c r="E7056" s="5"/>
      <c r="F7056" s="5"/>
      <c r="G7056" s="5"/>
      <c r="H7056" s="5"/>
    </row>
    <row r="7057" spans="1:8" x14ac:dyDescent="0.25">
      <c r="A7057" s="4"/>
      <c r="B7057" s="5"/>
      <c r="C7057" s="5"/>
      <c r="D7057" s="5"/>
      <c r="E7057" s="5"/>
      <c r="F7057" s="5"/>
      <c r="G7057" s="5"/>
      <c r="H7057" s="5"/>
    </row>
    <row r="7058" spans="1:8" x14ac:dyDescent="0.25">
      <c r="A7058" s="4"/>
      <c r="B7058" s="5"/>
      <c r="C7058" s="5"/>
      <c r="D7058" s="5"/>
      <c r="E7058" s="5"/>
      <c r="F7058" s="5"/>
      <c r="G7058" s="5"/>
      <c r="H7058" s="5"/>
    </row>
    <row r="7059" spans="1:8" x14ac:dyDescent="0.25">
      <c r="A7059" s="4"/>
      <c r="B7059" s="5"/>
      <c r="C7059" s="5"/>
      <c r="D7059" s="5"/>
      <c r="E7059" s="5"/>
      <c r="F7059" s="5"/>
      <c r="G7059" s="5"/>
      <c r="H7059" s="5"/>
    </row>
    <row r="7060" spans="1:8" x14ac:dyDescent="0.25">
      <c r="A7060" s="4"/>
      <c r="B7060" s="5"/>
      <c r="C7060" s="5"/>
      <c r="D7060" s="5"/>
      <c r="E7060" s="5"/>
      <c r="F7060" s="5"/>
      <c r="G7060" s="5"/>
      <c r="H7060" s="5"/>
    </row>
    <row r="7061" spans="1:8" x14ac:dyDescent="0.25">
      <c r="A7061" s="4"/>
      <c r="B7061" s="5"/>
      <c r="C7061" s="5"/>
      <c r="D7061" s="5"/>
      <c r="E7061" s="5"/>
      <c r="F7061" s="5"/>
      <c r="G7061" s="5"/>
      <c r="H7061" s="5"/>
    </row>
    <row r="7062" spans="1:8" x14ac:dyDescent="0.25">
      <c r="A7062" s="4"/>
      <c r="B7062" s="5"/>
      <c r="C7062" s="5"/>
      <c r="D7062" s="5"/>
      <c r="E7062" s="5"/>
      <c r="F7062" s="5"/>
      <c r="G7062" s="5"/>
      <c r="H7062" s="5"/>
    </row>
    <row r="7063" spans="1:8" x14ac:dyDescent="0.25">
      <c r="A7063" s="4"/>
      <c r="B7063" s="5"/>
      <c r="C7063" s="5"/>
      <c r="D7063" s="5"/>
      <c r="E7063" s="5"/>
      <c r="F7063" s="5"/>
      <c r="G7063" s="5"/>
      <c r="H7063" s="5"/>
    </row>
    <row r="7064" spans="1:8" x14ac:dyDescent="0.25">
      <c r="A7064" s="4"/>
      <c r="B7064" s="5"/>
      <c r="C7064" s="5"/>
      <c r="D7064" s="5"/>
      <c r="E7064" s="5"/>
      <c r="F7064" s="5"/>
      <c r="G7064" s="5"/>
      <c r="H7064" s="5"/>
    </row>
    <row r="7065" spans="1:8" x14ac:dyDescent="0.25">
      <c r="A7065" s="4"/>
      <c r="B7065" s="5"/>
      <c r="C7065" s="5"/>
      <c r="D7065" s="5"/>
      <c r="E7065" s="5"/>
      <c r="F7065" s="5"/>
      <c r="G7065" s="5"/>
      <c r="H7065" s="5"/>
    </row>
    <row r="7066" spans="1:8" x14ac:dyDescent="0.25">
      <c r="A7066" s="4"/>
      <c r="B7066" s="5"/>
      <c r="C7066" s="5"/>
      <c r="D7066" s="5"/>
      <c r="E7066" s="5"/>
      <c r="F7066" s="5"/>
      <c r="G7066" s="5"/>
      <c r="H7066" s="5"/>
    </row>
    <row r="7067" spans="1:8" x14ac:dyDescent="0.25">
      <c r="A7067" s="4"/>
      <c r="B7067" s="5"/>
      <c r="C7067" s="5"/>
      <c r="D7067" s="5"/>
      <c r="E7067" s="5"/>
      <c r="F7067" s="5"/>
      <c r="G7067" s="5"/>
      <c r="H7067" s="5"/>
    </row>
    <row r="7068" spans="1:8" x14ac:dyDescent="0.25">
      <c r="A7068" s="4"/>
      <c r="B7068" s="5"/>
      <c r="C7068" s="5"/>
      <c r="D7068" s="5"/>
      <c r="E7068" s="5"/>
      <c r="F7068" s="5"/>
      <c r="G7068" s="5"/>
      <c r="H7068" s="5"/>
    </row>
    <row r="7069" spans="1:8" x14ac:dyDescent="0.25">
      <c r="A7069" s="4"/>
      <c r="B7069" s="5"/>
      <c r="C7069" s="5"/>
      <c r="D7069" s="5"/>
      <c r="E7069" s="5"/>
      <c r="F7069" s="5"/>
      <c r="G7069" s="5"/>
      <c r="H7069" s="5"/>
    </row>
    <row r="7070" spans="1:8" x14ac:dyDescent="0.25">
      <c r="A7070" s="4"/>
      <c r="B7070" s="5"/>
      <c r="C7070" s="5"/>
      <c r="D7070" s="5"/>
      <c r="E7070" s="5"/>
      <c r="F7070" s="5"/>
      <c r="G7070" s="5"/>
      <c r="H7070" s="5"/>
    </row>
    <row r="7071" spans="1:8" x14ac:dyDescent="0.25">
      <c r="A7071" s="4"/>
      <c r="B7071" s="5"/>
      <c r="C7071" s="5"/>
      <c r="D7071" s="5"/>
      <c r="E7071" s="5"/>
      <c r="F7071" s="5"/>
      <c r="G7071" s="5"/>
      <c r="H7071" s="5"/>
    </row>
    <row r="7072" spans="1:8" x14ac:dyDescent="0.25">
      <c r="A7072" s="4"/>
      <c r="B7072" s="5"/>
      <c r="C7072" s="5"/>
      <c r="D7072" s="5"/>
      <c r="E7072" s="5"/>
      <c r="F7072" s="5"/>
      <c r="G7072" s="5"/>
      <c r="H7072" s="5"/>
    </row>
    <row r="7073" spans="1:8" x14ac:dyDescent="0.25">
      <c r="A7073" s="4"/>
      <c r="B7073" s="5"/>
      <c r="C7073" s="5"/>
      <c r="D7073" s="5"/>
      <c r="E7073" s="5"/>
      <c r="F7073" s="5"/>
      <c r="G7073" s="5"/>
      <c r="H7073" s="5"/>
    </row>
    <row r="7074" spans="1:8" x14ac:dyDescent="0.25">
      <c r="A7074" s="4"/>
      <c r="B7074" s="5"/>
      <c r="C7074" s="5"/>
      <c r="D7074" s="5"/>
      <c r="E7074" s="5"/>
      <c r="F7074" s="5"/>
      <c r="G7074" s="5"/>
      <c r="H7074" s="5"/>
    </row>
    <row r="7075" spans="1:8" x14ac:dyDescent="0.25">
      <c r="A7075" s="4"/>
      <c r="B7075" s="5"/>
      <c r="C7075" s="5"/>
      <c r="D7075" s="5"/>
      <c r="E7075" s="5"/>
      <c r="F7075" s="5"/>
      <c r="G7075" s="5"/>
      <c r="H7075" s="5"/>
    </row>
    <row r="7076" spans="1:8" x14ac:dyDescent="0.25">
      <c r="A7076" s="4"/>
      <c r="B7076" s="5"/>
      <c r="C7076" s="5"/>
      <c r="D7076" s="5"/>
      <c r="E7076" s="5"/>
      <c r="F7076" s="5"/>
      <c r="G7076" s="5"/>
      <c r="H7076" s="5"/>
    </row>
    <row r="7077" spans="1:8" x14ac:dyDescent="0.25">
      <c r="A7077" s="4"/>
      <c r="B7077" s="5"/>
      <c r="C7077" s="5"/>
      <c r="D7077" s="5"/>
      <c r="E7077" s="5"/>
      <c r="F7077" s="5"/>
      <c r="G7077" s="5"/>
      <c r="H7077" s="5"/>
    </row>
    <row r="7078" spans="1:8" x14ac:dyDescent="0.25">
      <c r="A7078" s="4"/>
      <c r="B7078" s="5"/>
      <c r="C7078" s="5"/>
      <c r="D7078" s="5"/>
      <c r="E7078" s="5"/>
      <c r="F7078" s="5"/>
      <c r="G7078" s="5"/>
      <c r="H7078" s="5"/>
    </row>
    <row r="7079" spans="1:8" x14ac:dyDescent="0.25">
      <c r="A7079" s="4"/>
      <c r="B7079" s="5"/>
      <c r="C7079" s="5"/>
      <c r="D7079" s="5"/>
      <c r="E7079" s="5"/>
      <c r="F7079" s="5"/>
      <c r="G7079" s="5"/>
      <c r="H7079" s="5"/>
    </row>
    <row r="7080" spans="1:8" x14ac:dyDescent="0.25">
      <c r="A7080" s="4"/>
      <c r="B7080" s="5"/>
      <c r="C7080" s="5"/>
      <c r="D7080" s="5"/>
      <c r="E7080" s="5"/>
      <c r="F7080" s="5"/>
      <c r="G7080" s="5"/>
      <c r="H7080" s="5"/>
    </row>
    <row r="7081" spans="1:8" x14ac:dyDescent="0.25">
      <c r="A7081" s="4"/>
      <c r="B7081" s="5"/>
      <c r="C7081" s="5"/>
      <c r="D7081" s="5"/>
      <c r="E7081" s="5"/>
      <c r="F7081" s="5"/>
      <c r="G7081" s="5"/>
      <c r="H7081" s="5"/>
    </row>
    <row r="7082" spans="1:8" x14ac:dyDescent="0.25">
      <c r="A7082" s="4"/>
      <c r="B7082" s="5"/>
      <c r="C7082" s="5"/>
      <c r="D7082" s="5"/>
      <c r="E7082" s="5"/>
      <c r="F7082" s="5"/>
      <c r="G7082" s="5"/>
      <c r="H7082" s="5"/>
    </row>
    <row r="7083" spans="1:8" x14ac:dyDescent="0.25">
      <c r="A7083" s="4"/>
      <c r="B7083" s="5"/>
      <c r="C7083" s="5"/>
      <c r="D7083" s="5"/>
      <c r="E7083" s="5"/>
      <c r="F7083" s="5"/>
      <c r="G7083" s="5"/>
      <c r="H7083" s="5"/>
    </row>
    <row r="7084" spans="1:8" x14ac:dyDescent="0.25">
      <c r="A7084" s="4"/>
      <c r="B7084" s="5"/>
      <c r="C7084" s="5"/>
      <c r="D7084" s="5"/>
      <c r="E7084" s="5"/>
      <c r="F7084" s="5"/>
      <c r="G7084" s="5"/>
      <c r="H7084" s="5"/>
    </row>
    <row r="7085" spans="1:8" x14ac:dyDescent="0.25">
      <c r="A7085" s="4"/>
      <c r="B7085" s="5"/>
      <c r="C7085" s="5"/>
      <c r="D7085" s="5"/>
      <c r="E7085" s="5"/>
      <c r="F7085" s="5"/>
      <c r="G7085" s="5"/>
      <c r="H7085" s="5"/>
    </row>
    <row r="7086" spans="1:8" x14ac:dyDescent="0.25">
      <c r="A7086" s="4"/>
      <c r="B7086" s="5"/>
      <c r="C7086" s="5"/>
      <c r="D7086" s="5"/>
      <c r="E7086" s="5"/>
      <c r="F7086" s="5"/>
      <c r="G7086" s="5"/>
      <c r="H7086" s="5"/>
    </row>
    <row r="7087" spans="1:8" x14ac:dyDescent="0.25">
      <c r="A7087" s="4"/>
      <c r="B7087" s="5"/>
      <c r="C7087" s="5"/>
      <c r="D7087" s="5"/>
      <c r="E7087" s="5"/>
      <c r="F7087" s="5"/>
      <c r="G7087" s="5"/>
      <c r="H7087" s="5"/>
    </row>
    <row r="7088" spans="1:8" x14ac:dyDescent="0.25">
      <c r="A7088" s="4"/>
      <c r="B7088" s="5"/>
      <c r="C7088" s="5"/>
      <c r="D7088" s="5"/>
      <c r="E7088" s="5"/>
      <c r="F7088" s="5"/>
      <c r="G7088" s="5"/>
      <c r="H7088" s="5"/>
    </row>
    <row r="7089" spans="1:8" x14ac:dyDescent="0.25">
      <c r="A7089" s="4"/>
      <c r="B7089" s="5"/>
      <c r="C7089" s="5"/>
      <c r="D7089" s="5"/>
      <c r="E7089" s="5"/>
      <c r="F7089" s="5"/>
      <c r="G7089" s="5"/>
      <c r="H7089" s="5"/>
    </row>
    <row r="7090" spans="1:8" x14ac:dyDescent="0.25">
      <c r="A7090" s="4"/>
      <c r="B7090" s="5"/>
      <c r="C7090" s="5"/>
      <c r="D7090" s="5"/>
      <c r="E7090" s="5"/>
      <c r="F7090" s="5"/>
      <c r="G7090" s="5"/>
      <c r="H7090" s="5"/>
    </row>
    <row r="7091" spans="1:8" x14ac:dyDescent="0.25">
      <c r="A7091" s="4"/>
      <c r="B7091" s="5"/>
      <c r="C7091" s="5"/>
      <c r="D7091" s="5"/>
      <c r="E7091" s="5"/>
      <c r="F7091" s="5"/>
      <c r="G7091" s="5"/>
      <c r="H7091" s="5"/>
    </row>
    <row r="7092" spans="1:8" x14ac:dyDescent="0.25">
      <c r="A7092" s="4"/>
      <c r="B7092" s="5"/>
      <c r="C7092" s="5"/>
      <c r="D7092" s="5"/>
      <c r="E7092" s="5"/>
      <c r="F7092" s="5"/>
      <c r="G7092" s="5"/>
      <c r="H7092" s="5"/>
    </row>
    <row r="7093" spans="1:8" x14ac:dyDescent="0.25">
      <c r="A7093" s="4"/>
      <c r="B7093" s="5"/>
      <c r="C7093" s="5"/>
      <c r="D7093" s="5"/>
      <c r="E7093" s="5"/>
      <c r="F7093" s="5"/>
      <c r="G7093" s="5"/>
      <c r="H7093" s="5"/>
    </row>
    <row r="7094" spans="1:8" x14ac:dyDescent="0.25">
      <c r="A7094" s="4"/>
      <c r="B7094" s="5"/>
      <c r="C7094" s="5"/>
      <c r="D7094" s="5"/>
      <c r="E7094" s="5"/>
      <c r="F7094" s="5"/>
      <c r="G7094" s="5"/>
      <c r="H7094" s="5"/>
    </row>
    <row r="7095" spans="1:8" x14ac:dyDescent="0.25">
      <c r="A7095" s="4"/>
      <c r="B7095" s="5"/>
      <c r="C7095" s="5"/>
      <c r="D7095" s="5"/>
      <c r="E7095" s="5"/>
      <c r="F7095" s="5"/>
      <c r="G7095" s="5"/>
      <c r="H7095" s="5"/>
    </row>
    <row r="7096" spans="1:8" x14ac:dyDescent="0.25">
      <c r="A7096" s="4"/>
      <c r="B7096" s="5"/>
      <c r="C7096" s="5"/>
      <c r="D7096" s="5"/>
      <c r="E7096" s="5"/>
      <c r="F7096" s="5"/>
      <c r="G7096" s="5"/>
      <c r="H7096" s="5"/>
    </row>
    <row r="7097" spans="1:8" x14ac:dyDescent="0.25">
      <c r="A7097" s="4"/>
      <c r="B7097" s="5"/>
      <c r="C7097" s="5"/>
      <c r="D7097" s="5"/>
      <c r="E7097" s="5"/>
      <c r="F7097" s="5"/>
      <c r="G7097" s="5"/>
      <c r="H7097" s="5"/>
    </row>
    <row r="7098" spans="1:8" x14ac:dyDescent="0.25">
      <c r="A7098" s="4"/>
      <c r="B7098" s="5"/>
      <c r="C7098" s="5"/>
      <c r="D7098" s="5"/>
      <c r="E7098" s="5"/>
      <c r="F7098" s="5"/>
      <c r="G7098" s="5"/>
      <c r="H7098" s="5"/>
    </row>
    <row r="7099" spans="1:8" x14ac:dyDescent="0.25">
      <c r="A7099" s="4"/>
      <c r="B7099" s="5"/>
      <c r="C7099" s="5"/>
      <c r="D7099" s="5"/>
      <c r="E7099" s="5"/>
      <c r="F7099" s="5"/>
      <c r="G7099" s="5"/>
      <c r="H7099" s="5"/>
    </row>
    <row r="7100" spans="1:8" x14ac:dyDescent="0.25">
      <c r="A7100" s="4"/>
      <c r="B7100" s="5"/>
      <c r="C7100" s="5"/>
      <c r="D7100" s="5"/>
      <c r="E7100" s="5"/>
      <c r="F7100" s="5"/>
      <c r="G7100" s="5"/>
      <c r="H7100" s="5"/>
    </row>
    <row r="7101" spans="1:8" x14ac:dyDescent="0.25">
      <c r="A7101" s="4"/>
      <c r="B7101" s="5"/>
      <c r="C7101" s="5"/>
      <c r="D7101" s="5"/>
      <c r="E7101" s="5"/>
      <c r="F7101" s="5"/>
      <c r="G7101" s="5"/>
      <c r="H7101" s="5"/>
    </row>
    <row r="7102" spans="1:8" x14ac:dyDescent="0.25">
      <c r="A7102" s="4"/>
      <c r="B7102" s="5"/>
      <c r="C7102" s="5"/>
      <c r="D7102" s="5"/>
      <c r="E7102" s="5"/>
      <c r="F7102" s="5"/>
      <c r="G7102" s="5"/>
      <c r="H7102" s="5"/>
    </row>
    <row r="7103" spans="1:8" x14ac:dyDescent="0.25">
      <c r="A7103" s="4"/>
      <c r="B7103" s="5"/>
      <c r="C7103" s="5"/>
      <c r="D7103" s="5"/>
      <c r="E7103" s="5"/>
      <c r="F7103" s="5"/>
      <c r="G7103" s="5"/>
      <c r="H7103" s="5"/>
    </row>
    <row r="7104" spans="1:8" x14ac:dyDescent="0.25">
      <c r="A7104" s="4"/>
      <c r="B7104" s="5"/>
      <c r="C7104" s="5"/>
      <c r="D7104" s="5"/>
      <c r="E7104" s="5"/>
      <c r="F7104" s="5"/>
      <c r="G7104" s="5"/>
      <c r="H7104" s="5"/>
    </row>
    <row r="7105" spans="1:8" x14ac:dyDescent="0.25">
      <c r="A7105" s="4"/>
      <c r="B7105" s="5"/>
      <c r="C7105" s="5"/>
      <c r="D7105" s="5"/>
      <c r="E7105" s="5"/>
      <c r="F7105" s="5"/>
      <c r="G7105" s="5"/>
      <c r="H7105" s="5"/>
    </row>
    <row r="7106" spans="1:8" x14ac:dyDescent="0.25">
      <c r="A7106" s="4"/>
      <c r="B7106" s="5"/>
      <c r="C7106" s="5"/>
      <c r="D7106" s="5"/>
      <c r="E7106" s="5"/>
      <c r="F7106" s="5"/>
      <c r="G7106" s="5"/>
      <c r="H7106" s="5"/>
    </row>
    <row r="7107" spans="1:8" x14ac:dyDescent="0.25">
      <c r="A7107" s="4"/>
      <c r="B7107" s="5"/>
      <c r="C7107" s="5"/>
      <c r="D7107" s="5"/>
      <c r="E7107" s="5"/>
      <c r="F7107" s="5"/>
      <c r="G7107" s="5"/>
      <c r="H7107" s="5"/>
    </row>
    <row r="7108" spans="1:8" x14ac:dyDescent="0.25">
      <c r="A7108" s="4"/>
      <c r="B7108" s="5"/>
      <c r="C7108" s="5"/>
      <c r="D7108" s="5"/>
      <c r="E7108" s="5"/>
      <c r="F7108" s="5"/>
      <c r="G7108" s="5"/>
      <c r="H7108" s="5"/>
    </row>
    <row r="7109" spans="1:8" x14ac:dyDescent="0.25">
      <c r="A7109" s="4"/>
      <c r="B7109" s="5"/>
      <c r="C7109" s="5"/>
      <c r="D7109" s="5"/>
      <c r="E7109" s="5"/>
      <c r="F7109" s="5"/>
      <c r="G7109" s="5"/>
      <c r="H7109" s="5"/>
    </row>
    <row r="7110" spans="1:8" x14ac:dyDescent="0.25">
      <c r="A7110" s="4"/>
      <c r="B7110" s="5"/>
      <c r="C7110" s="5"/>
      <c r="D7110" s="5"/>
      <c r="E7110" s="5"/>
      <c r="F7110" s="5"/>
      <c r="G7110" s="5"/>
      <c r="H7110" s="5"/>
    </row>
    <row r="7111" spans="1:8" x14ac:dyDescent="0.25">
      <c r="A7111" s="4"/>
      <c r="B7111" s="5"/>
      <c r="C7111" s="5"/>
      <c r="D7111" s="5"/>
      <c r="E7111" s="5"/>
      <c r="F7111" s="5"/>
      <c r="G7111" s="5"/>
      <c r="H7111" s="5"/>
    </row>
    <row r="7112" spans="1:8" x14ac:dyDescent="0.25">
      <c r="A7112" s="4"/>
      <c r="B7112" s="5"/>
      <c r="C7112" s="5"/>
      <c r="D7112" s="5"/>
      <c r="E7112" s="5"/>
      <c r="F7112" s="5"/>
      <c r="G7112" s="5"/>
      <c r="H7112" s="5"/>
    </row>
    <row r="7113" spans="1:8" x14ac:dyDescent="0.25">
      <c r="A7113" s="4"/>
      <c r="B7113" s="5"/>
      <c r="C7113" s="5"/>
      <c r="D7113" s="5"/>
      <c r="E7113" s="5"/>
      <c r="F7113" s="5"/>
      <c r="G7113" s="5"/>
      <c r="H7113" s="5"/>
    </row>
    <row r="7114" spans="1:8" x14ac:dyDescent="0.25">
      <c r="A7114" s="4"/>
      <c r="B7114" s="5"/>
      <c r="C7114" s="5"/>
      <c r="D7114" s="5"/>
      <c r="E7114" s="5"/>
      <c r="F7114" s="5"/>
      <c r="G7114" s="5"/>
      <c r="H7114" s="5"/>
    </row>
    <row r="7115" spans="1:8" x14ac:dyDescent="0.25">
      <c r="A7115" s="4"/>
      <c r="B7115" s="5"/>
      <c r="C7115" s="5"/>
      <c r="D7115" s="5"/>
      <c r="E7115" s="5"/>
      <c r="F7115" s="5"/>
      <c r="G7115" s="5"/>
      <c r="H7115" s="5"/>
    </row>
    <row r="7116" spans="1:8" x14ac:dyDescent="0.25">
      <c r="A7116" s="4"/>
      <c r="B7116" s="5"/>
      <c r="C7116" s="5"/>
      <c r="D7116" s="5"/>
      <c r="E7116" s="5"/>
      <c r="F7116" s="5"/>
      <c r="G7116" s="5"/>
      <c r="H7116" s="5"/>
    </row>
    <row r="7117" spans="1:8" x14ac:dyDescent="0.25">
      <c r="A7117" s="4"/>
      <c r="B7117" s="5"/>
      <c r="C7117" s="5"/>
      <c r="D7117" s="5"/>
      <c r="E7117" s="5"/>
      <c r="F7117" s="5"/>
      <c r="G7117" s="5"/>
      <c r="H7117" s="5"/>
    </row>
    <row r="7118" spans="1:8" x14ac:dyDescent="0.25">
      <c r="A7118" s="4"/>
      <c r="B7118" s="5"/>
      <c r="C7118" s="5"/>
      <c r="D7118" s="5"/>
      <c r="E7118" s="5"/>
      <c r="F7118" s="5"/>
      <c r="G7118" s="5"/>
      <c r="H7118" s="5"/>
    </row>
    <row r="7119" spans="1:8" x14ac:dyDescent="0.25">
      <c r="A7119" s="4"/>
      <c r="B7119" s="5"/>
      <c r="C7119" s="5"/>
      <c r="D7119" s="5"/>
      <c r="E7119" s="5"/>
      <c r="F7119" s="5"/>
      <c r="G7119" s="5"/>
      <c r="H7119" s="5"/>
    </row>
    <row r="7120" spans="1:8" x14ac:dyDescent="0.25">
      <c r="A7120" s="4"/>
      <c r="B7120" s="5"/>
      <c r="C7120" s="5"/>
      <c r="D7120" s="5"/>
      <c r="E7120" s="5"/>
      <c r="F7120" s="5"/>
      <c r="G7120" s="5"/>
      <c r="H7120" s="5"/>
    </row>
    <row r="7121" spans="1:8" x14ac:dyDescent="0.25">
      <c r="A7121" s="4"/>
      <c r="B7121" s="5"/>
      <c r="C7121" s="5"/>
      <c r="D7121" s="5"/>
      <c r="E7121" s="5"/>
      <c r="F7121" s="5"/>
      <c r="G7121" s="5"/>
      <c r="H7121" s="5"/>
    </row>
    <row r="7122" spans="1:8" x14ac:dyDescent="0.25">
      <c r="A7122" s="4"/>
      <c r="B7122" s="5"/>
      <c r="C7122" s="5"/>
      <c r="D7122" s="5"/>
      <c r="E7122" s="5"/>
      <c r="F7122" s="5"/>
      <c r="G7122" s="5"/>
      <c r="H7122" s="5"/>
    </row>
    <row r="7123" spans="1:8" x14ac:dyDescent="0.25">
      <c r="A7123" s="4"/>
      <c r="B7123" s="5"/>
      <c r="C7123" s="5"/>
      <c r="D7123" s="5"/>
      <c r="E7123" s="5"/>
      <c r="F7123" s="5"/>
      <c r="G7123" s="5"/>
      <c r="H7123" s="5"/>
    </row>
    <row r="7124" spans="1:8" x14ac:dyDescent="0.25">
      <c r="A7124" s="4"/>
      <c r="B7124" s="5"/>
      <c r="C7124" s="5"/>
      <c r="D7124" s="5"/>
      <c r="E7124" s="5"/>
      <c r="F7124" s="5"/>
      <c r="G7124" s="5"/>
      <c r="H7124" s="5"/>
    </row>
    <row r="7125" spans="1:8" x14ac:dyDescent="0.25">
      <c r="A7125" s="4"/>
      <c r="B7125" s="5"/>
      <c r="C7125" s="5"/>
      <c r="D7125" s="5"/>
      <c r="E7125" s="5"/>
      <c r="F7125" s="5"/>
      <c r="G7125" s="5"/>
      <c r="H7125" s="5"/>
    </row>
    <row r="7126" spans="1:8" x14ac:dyDescent="0.25">
      <c r="A7126" s="4"/>
      <c r="B7126" s="5"/>
      <c r="C7126" s="5"/>
      <c r="D7126" s="5"/>
      <c r="E7126" s="5"/>
      <c r="F7126" s="5"/>
      <c r="G7126" s="5"/>
      <c r="H7126"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Mahmoud Mamdouh</dc:creator>
  <cp:lastModifiedBy>Mahmoud Mamdouh</cp:lastModifiedBy>
  <dcterms:created xsi:type="dcterms:W3CDTF">2015-06-05T18:17:20Z</dcterms:created>
  <dcterms:modified xsi:type="dcterms:W3CDTF">2026-05-04T07:13:07Z</dcterms:modified>
</cp:coreProperties>
</file>