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OymtQNr6MZ4nH5CrqAz+ComxkbpqoMI2WBHIcz5tE6U="/>
    </ext>
  </extLst>
</workbook>
</file>

<file path=xl/sharedStrings.xml><?xml version="1.0" encoding="utf-8"?>
<sst xmlns="http://schemas.openxmlformats.org/spreadsheetml/2006/main" count="516" uniqueCount="245">
  <si>
    <t>Company:</t>
  </si>
  <si>
    <t>Distribution Gate LLC</t>
  </si>
  <si>
    <t>Address:</t>
  </si>
  <si>
    <t>Texas , USA</t>
  </si>
  <si>
    <t>Country:</t>
  </si>
  <si>
    <t>USA</t>
  </si>
  <si>
    <t>Phone number:</t>
  </si>
  <si>
    <t>+1 (862) 329-2113</t>
  </si>
  <si>
    <t>Email:</t>
  </si>
  <si>
    <r>
      <rPr>
        <rFont val="&quot;Calibri, sans-serif&quot;"/>
        <color rgb="FF1155CC"/>
        <sz val="12.0"/>
        <u/>
      </rPr>
      <t>info@distributiongate.com</t>
    </r>
  </si>
  <si>
    <t>Conditions:</t>
  </si>
  <si>
    <t>Lead time: 6-8 weeks.Orders are placed 1/month.</t>
  </si>
  <si>
    <t>Incoterm: EXW Spain</t>
  </si>
  <si>
    <t>POSSIBLE QTY: Orders accepted only in original box qty</t>
  </si>
  <si>
    <t>Maximum Order Quantity: up to 200 pcs/SKU</t>
  </si>
  <si>
    <t>All products are EU clean and fresh.</t>
  </si>
  <si>
    <t>SKU</t>
  </si>
  <si>
    <t>Barcode</t>
  </si>
  <si>
    <t xml:space="preserve">  Item Name</t>
  </si>
  <si>
    <t>Size</t>
  </si>
  <si>
    <t>MSRP</t>
  </si>
  <si>
    <t>Salon Price</t>
  </si>
  <si>
    <t>MSRP Discount</t>
  </si>
  <si>
    <t>Wholesale Price</t>
  </si>
  <si>
    <t>Units</t>
  </si>
  <si>
    <t>Unit Quantity</t>
  </si>
  <si>
    <t>Order</t>
  </si>
  <si>
    <t>per case</t>
  </si>
  <si>
    <t>Value</t>
  </si>
  <si>
    <t>Braid Sheen</t>
  </si>
  <si>
    <t>12 oz</t>
  </si>
  <si>
    <t>Castor Oil Conditioner</t>
  </si>
  <si>
    <t>5.25 oz</t>
  </si>
  <si>
    <t>Detangling Conditioner</t>
  </si>
  <si>
    <t>Herbal Super Gro</t>
  </si>
  <si>
    <t>Leave-In Deep Conditioner</t>
  </si>
  <si>
    <t>Max Strength Super Gro</t>
  </si>
  <si>
    <t>Moisturizing Shampoo w/Conditioner</t>
  </si>
  <si>
    <t>Oil Moisturizer</t>
  </si>
  <si>
    <t>Super Gro</t>
  </si>
  <si>
    <t>Ultimate Herbal Oil</t>
  </si>
  <si>
    <t>8 oz</t>
  </si>
  <si>
    <t>No-Lye Relaxer Kit Regular</t>
  </si>
  <si>
    <t>16 oz</t>
  </si>
  <si>
    <t>No-Lye Relaxer Kit Super</t>
  </si>
  <si>
    <t>Triple Repair</t>
  </si>
  <si>
    <t>6 oz</t>
  </si>
  <si>
    <t>Carrot Tea Tree Oil</t>
  </si>
  <si>
    <t>Cholesterol Moisturizer with Tea Tree Oil</t>
  </si>
  <si>
    <t>15 oz</t>
  </si>
  <si>
    <t>Hair Mayonnaise</t>
  </si>
  <si>
    <t>Leave In Liquid Hair Mayo</t>
  </si>
  <si>
    <t>Olive &amp; Clove Oil Therapy</t>
  </si>
  <si>
    <t>Olive Oil Growth Lotion</t>
  </si>
  <si>
    <t>Olive Oil Kit Regular</t>
  </si>
  <si>
    <t>Olive Oil Kit Super</t>
  </si>
  <si>
    <t>Value Kit Regular 2 app</t>
  </si>
  <si>
    <t>Value Kit Super 2 app</t>
  </si>
  <si>
    <t>Olive Oil Deep Conditioner</t>
  </si>
  <si>
    <t>Olive Oil Leave In Conditioner</t>
  </si>
  <si>
    <t>Olive Oil Shampoo</t>
  </si>
  <si>
    <t>Olive Oil Foam Wrap Lotion</t>
  </si>
  <si>
    <t>8.5 oz</t>
  </si>
  <si>
    <t>Gro Strong</t>
  </si>
  <si>
    <t>7.5 oz</t>
  </si>
  <si>
    <t>Hair &amp; Scalp Remedy</t>
  </si>
  <si>
    <t>Hair Nutrition</t>
  </si>
  <si>
    <t>Kit Coarse</t>
  </si>
  <si>
    <t>Kit Regular</t>
  </si>
  <si>
    <t>Shea But Detangling Lotion</t>
  </si>
  <si>
    <t>Ultimate Moisturizer Shea But Shampoo</t>
  </si>
  <si>
    <t>Texturizing Soft Kit</t>
  </si>
  <si>
    <t>Olive Oil Styling Gel</t>
  </si>
  <si>
    <t>2n1 Detangler</t>
  </si>
  <si>
    <t>Protein Oil Remedy</t>
  </si>
  <si>
    <t>Body Cream</t>
  </si>
  <si>
    <t>Body Gloss</t>
  </si>
  <si>
    <t>Body Lotion</t>
  </si>
  <si>
    <t>Olive Oil Body Whip</t>
  </si>
  <si>
    <t>Olive Oil Body Lotion</t>
  </si>
  <si>
    <t>Coconut Oil</t>
  </si>
  <si>
    <t>4 oz</t>
  </si>
  <si>
    <t>Tea Tree Oil</t>
  </si>
  <si>
    <t>Olive Oil Therapy</t>
  </si>
  <si>
    <t>Argan Oil</t>
  </si>
  <si>
    <t>Jamaican Black Castor Oil</t>
  </si>
  <si>
    <t>Curl Keeper</t>
  </si>
  <si>
    <t>Women's Texturizer Kit</t>
  </si>
  <si>
    <t>Men's Texturizing Kit</t>
  </si>
  <si>
    <t>Transform Hydrating Leave-In Conditioner</t>
  </si>
  <si>
    <t>Quench Moisture Intensive Leave-In Conditioner</t>
  </si>
  <si>
    <t>Curl La La Custard</t>
  </si>
  <si>
    <t>In Control Conditioner</t>
  </si>
  <si>
    <t>Knot On My Watch Detangler</t>
  </si>
  <si>
    <t>Oh So Clean Shampoo</t>
  </si>
  <si>
    <t>Hold Tight! Braid &amp; Twist Extra Firm Gel</t>
  </si>
  <si>
    <t>Smooth &amp; Swirl Extra Hold Edge Gel</t>
  </si>
  <si>
    <t>Ready, Set, Hold Extra Hold Braid Setting Foam</t>
  </si>
  <si>
    <t>Oh So Strong Braid Refresh Spray</t>
  </si>
  <si>
    <t>Aunt Jackie's Elixir Rosemary and Mint, Biotin</t>
  </si>
  <si>
    <t>2 oz</t>
  </si>
  <si>
    <t>Aunt Jackie's Elixir Saw Palmetto</t>
  </si>
  <si>
    <t>Aunt Jackie's Elixir Collagen</t>
  </si>
  <si>
    <t>Wake Up Refreshing Spray</t>
  </si>
  <si>
    <t>Lather Up Crème</t>
  </si>
  <si>
    <t>10 oz</t>
  </si>
  <si>
    <t>Hydrate Me! Conditioning Crème</t>
  </si>
  <si>
    <t>Cool It Stimulating Moisturizing Conditioner</t>
  </si>
  <si>
    <t>Flawless Pattern Perfecting Pudding</t>
  </si>
  <si>
    <t>Curl Boss</t>
  </si>
  <si>
    <t>3 oz</t>
  </si>
  <si>
    <t>Don't Shrink Curling Gel</t>
  </si>
  <si>
    <t>Soft All Over</t>
  </si>
  <si>
    <t>Curl Mane-Tenance</t>
  </si>
  <si>
    <t>Tame My Edges</t>
  </si>
  <si>
    <t>2.5 oz</t>
  </si>
  <si>
    <t>Seal It Up</t>
  </si>
  <si>
    <t>Half n Half</t>
  </si>
  <si>
    <t>Fix My Hair</t>
  </si>
  <si>
    <t>Purify Me</t>
  </si>
  <si>
    <t>Frizz Patrol</t>
  </si>
  <si>
    <t>Ice Curls</t>
  </si>
  <si>
    <t>Power Wash Shampoo</t>
  </si>
  <si>
    <t>Shine Boss</t>
  </si>
  <si>
    <t>Slicked!</t>
  </si>
  <si>
    <t>Rescued!</t>
  </si>
  <si>
    <t>Heads Up Shampoo</t>
  </si>
  <si>
    <t>Knot Havin It</t>
  </si>
  <si>
    <t>Soft N Sassy Conditioner</t>
  </si>
  <si>
    <t>Baby Curls Curling n Twisting Custard</t>
  </si>
  <si>
    <t>E-Blast Scalp Remedy</t>
  </si>
  <si>
    <t>Growth Oil Frizz Rebel Coconut &amp; Sweet Almond</t>
  </si>
  <si>
    <t>Growth Oil Balance Grapeseed &amp; Avocado</t>
  </si>
  <si>
    <t>Growth Oil Repair My Hair Argan</t>
  </si>
  <si>
    <t>Growth Oil Nourish My Hair Flaxseed &amp; Monoi</t>
  </si>
  <si>
    <t>Butter Crème</t>
  </si>
  <si>
    <t>Coco Repair</t>
  </si>
  <si>
    <t>Coco Wash</t>
  </si>
  <si>
    <t>Tub O' Butter Cocoa Butter Cream</t>
  </si>
  <si>
    <t>Hair &amp; Scalp Treatment</t>
  </si>
  <si>
    <t>12</t>
  </si>
  <si>
    <t>6</t>
  </si>
  <si>
    <t>Kuza Indian Hemp Hair &amp; Scalp W/ Chebe</t>
  </si>
  <si>
    <t>Jumbo Hair &amp; Scalp Treatment</t>
  </si>
  <si>
    <t>18 oz</t>
  </si>
  <si>
    <t>48</t>
  </si>
  <si>
    <t>Yellow Creamy</t>
  </si>
  <si>
    <t>Yellow Solid</t>
  </si>
  <si>
    <t>Yellow Chunky</t>
  </si>
  <si>
    <t>White Creamy</t>
  </si>
  <si>
    <t>White Solid</t>
  </si>
  <si>
    <t>JBCO Coconut Skin &amp; Hair Treatment</t>
  </si>
  <si>
    <t>JBCO Original Skin &amp; Hair Treatment</t>
  </si>
  <si>
    <t>JBCO Extra Dark Skin &amp; Hair Treatment</t>
  </si>
  <si>
    <t>JBCO Indian Hemp Skin &amp; Hair Treatment</t>
  </si>
  <si>
    <t>JBCO Argan Skin &amp; Hair Treatment</t>
  </si>
  <si>
    <t>JBCO Mango Seed Skin &amp; Hair Treatment</t>
  </si>
  <si>
    <t>JBCO Shampoo</t>
  </si>
  <si>
    <t>JBCO Coconut Oil Conditioner</t>
  </si>
  <si>
    <t>JBCO Braid Spray</t>
  </si>
  <si>
    <t>JBCO Leave-In-Conditioner</t>
  </si>
  <si>
    <t>JBCO Edge Gel</t>
  </si>
  <si>
    <t>Growth Oil Inf. Blk Cumin, Rosemary, W/Rice Bran</t>
  </si>
  <si>
    <t>Hair Food Regular W/ Vit. A &amp; E</t>
  </si>
  <si>
    <t>Gro-Aid Medicated</t>
  </si>
  <si>
    <t>Hair Food Regular</t>
  </si>
  <si>
    <t>Beeswax Hair &amp; Braid Conditioner</t>
  </si>
  <si>
    <t>Coconut Oil Conditioner &amp; Hair Dressing</t>
  </si>
  <si>
    <t>Apricot Face &amp; Body Scrub</t>
  </si>
  <si>
    <t>Black Soap Fragrance-Free</t>
  </si>
  <si>
    <t>24</t>
  </si>
  <si>
    <t>Black Soap Tea Tree</t>
  </si>
  <si>
    <t>African Shea Black Soap</t>
  </si>
  <si>
    <t>Growth Plus: Strengthening/Shine Oil With Jbco 4 Oz Cs/12</t>
  </si>
  <si>
    <t>Growth Plus: Hydrating/Anti-Frizz Oil With Jojoba 4 Oz Cs/12</t>
  </si>
  <si>
    <t>Hair Retention And Growth Oil With Flaxseed And Chebe 4 Oz Cs/12</t>
  </si>
  <si>
    <t>Hair Retention And Growth Leave-In Conditioner With Vitamin E 16 Oz Cs/6</t>
  </si>
  <si>
    <t>Olive Cholesterol 20 Oz Cs/6</t>
  </si>
  <si>
    <t>20 oz</t>
  </si>
  <si>
    <t>Castor Oil Treatment 7.5 Oz Cs/6</t>
  </si>
  <si>
    <t>Olive Oil Moist 12 Oz Cs/12</t>
  </si>
  <si>
    <t>Cocoa Butter Crème</t>
  </si>
  <si>
    <t>Cocoa Butter Creme W/Aloe Vera 20 Oz Cs/6</t>
  </si>
  <si>
    <t>Cocoa Butter Creme Salon 25 Oz Cs/6</t>
  </si>
  <si>
    <t>25 oz</t>
  </si>
  <si>
    <t>Organic Jojoba Oil 1 Oz 3Pc Display Cs/36</t>
  </si>
  <si>
    <t>1 oz</t>
  </si>
  <si>
    <t>36</t>
  </si>
  <si>
    <t>Organic Tea Tree Oil 1 Oz 3Pc Display Cs/36</t>
  </si>
  <si>
    <t>Organic Coconut Oil 4 Oz Cs/6</t>
  </si>
  <si>
    <t>Argan Oil 3 Oz Cs/36</t>
  </si>
  <si>
    <t>Argan Oil 2 Oz. 6 Pc. Display Cs/72</t>
  </si>
  <si>
    <t>72</t>
  </si>
  <si>
    <t>Almond Oil 2 Oz. 6 Pc. Display Cs/72</t>
  </si>
  <si>
    <t>Hemp Seed Oil 2 Oz Cs/72</t>
  </si>
  <si>
    <t>Olive Oil 2 Oz. 12 Pc. Display Cs/72</t>
  </si>
  <si>
    <t>Olive Oil 2 Oz. 6 Pc. Display Cs/72</t>
  </si>
  <si>
    <t>Olive Oil 8 Oz Cs/12</t>
  </si>
  <si>
    <t>Carrot Oil 2 Oz 12 Pc. Display Cs/72</t>
  </si>
  <si>
    <t>Coconut Oil 2 Oz. 6 Pc. Display Cs/72</t>
  </si>
  <si>
    <t>Coconut Oil 8 Oz Cs/12</t>
  </si>
  <si>
    <t>Vitamin E Oil 8 Oz Cs/12</t>
  </si>
  <si>
    <t>Jamaican Black Castor Oil 3 Oz 6 Pc. Display Cs/36</t>
  </si>
  <si>
    <t>Jamaican Black Castor Oil 8 Oz Cs/12</t>
  </si>
  <si>
    <t>Carrot Oil 8 Oz Cs/12</t>
  </si>
  <si>
    <t>Peppermint Oil 2 Oz. 6 Pc. Display Cs/72</t>
  </si>
  <si>
    <t>Avocado Oil 2 Oz. 6 Pc. Display Cs/72</t>
  </si>
  <si>
    <t>Jojoba Oil 2 Oz. 6 Pc. Display Cs/72</t>
  </si>
  <si>
    <t>Jojoba Oil 8 Oz Cs/12</t>
  </si>
  <si>
    <t>Jbc Oil 2 Oz. 6 Pc. Display Cs/72</t>
  </si>
  <si>
    <t>Jbc Oil 8 Oz. Cs/12</t>
  </si>
  <si>
    <t>Cocoa Butter Oil 2 Oz. 6 Pc. Display Cs/72</t>
  </si>
  <si>
    <t>Cocoa Butter Oil 8 Oz Cs/12</t>
  </si>
  <si>
    <t>Tea Tree Oil 2 Oz 12 Pc. Display Cs/72</t>
  </si>
  <si>
    <t>Tea Tree Oil 2 Oz 6 Pc. Display Cs/72</t>
  </si>
  <si>
    <t>Tea Tree Oil 16 Oz Cs/6</t>
  </si>
  <si>
    <t>Tea Tree Oil 8 Oz Cs/12</t>
  </si>
  <si>
    <t>Castor Oil 2 Oz. 12 Pc. Display Cs/72</t>
  </si>
  <si>
    <t>Aloe Oil 2 Oz Cs/72</t>
  </si>
  <si>
    <t>Rosemary Oil 2 Oz Cs/72</t>
  </si>
  <si>
    <t>Rosemary Oil 8 Oz Cs/12</t>
  </si>
  <si>
    <t>HB Chebe Oil, 2oz, 12pk, 72ea</t>
  </si>
  <si>
    <t>HB Biotin Oil, 2oz, 12pk, 72ea</t>
  </si>
  <si>
    <t>Co-Wash</t>
  </si>
  <si>
    <t>Curls</t>
  </si>
  <si>
    <t>Edge Gel</t>
  </si>
  <si>
    <t>Thermal Moisturizer</t>
  </si>
  <si>
    <t>Hydrate Softening Shampoo</t>
  </si>
  <si>
    <t>Texture Control Dual Conditioner</t>
  </si>
  <si>
    <t>Easy Comb Softening Crème</t>
  </si>
  <si>
    <t>Keep It Curly Curl Pudding</t>
  </si>
  <si>
    <t>Keep It Curly Styling Foam</t>
  </si>
  <si>
    <t>Soothe Operator</t>
  </si>
  <si>
    <t>Magic Mend</t>
  </si>
  <si>
    <t>Not Your Average Curl</t>
  </si>
  <si>
    <t>Curl Spell</t>
  </si>
  <si>
    <t>Tress Boost</t>
  </si>
  <si>
    <t>Lite Indian Hemp Hair &amp; Scalp Treatment</t>
  </si>
  <si>
    <t>22 oz</t>
  </si>
  <si>
    <t>67 oz</t>
  </si>
  <si>
    <t>4</t>
  </si>
  <si>
    <t>5 oz</t>
  </si>
  <si>
    <t>White Chunky</t>
  </si>
  <si>
    <t>100% Natural Mango-Tango</t>
  </si>
  <si>
    <t>Grand 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</si>
</sst>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[$$]\ #,##0.00"/>
    <numFmt numFmtId="165" formatCode="[$$-409]#,##0.00"/>
    <numFmt numFmtId="166" formatCode="[$$] #,##0.00"/>
    <numFmt numFmtId="167" formatCode="_-[$£-809]* #,##0.00_-;-[$£-809]* #,##0.00_-;_-[$£-809]* &quot;-&quot;??_-;_-@"/>
    <numFmt numFmtId="168" formatCode="_-&quot;$&quot;* #,##0.00_-;-&quot;$&quot;* #,##0.00_-;_-&quot;$&quot;* &quot;-&quot;??_-;_-@"/>
  </numFmts>
  <fonts count="12">
    <font>
      <sz val="11.0"/>
      <color theme="1"/>
      <name val="Calibri"/>
      <scheme val="minor"/>
    </font>
    <font>
      <sz val="12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/>
    <font>
      <sz val="24.0"/>
      <color theme="1"/>
      <name val="Arial"/>
    </font>
    <font>
      <u/>
      <sz val="12.0"/>
      <color rgb="FF0563C1"/>
      <name val="Calibri"/>
    </font>
    <font>
      <b/>
      <sz val="11.0"/>
      <color rgb="FFFFFFFF"/>
      <name val="Calibri"/>
    </font>
    <font>
      <i/>
      <sz val="11.0"/>
      <color theme="1"/>
      <name val="Calibri"/>
    </font>
    <font>
      <b/>
      <sz val="12.0"/>
      <color rgb="FF000000"/>
      <name val="Calibri"/>
    </font>
    <font>
      <sz val="12.0"/>
      <color theme="1"/>
      <name val="Arial"/>
    </font>
    <font>
      <b/>
      <sz val="12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  <fill>
      <patternFill patternType="solid">
        <fgColor rgb="FF262626"/>
        <bgColor rgb="FF262626"/>
      </patternFill>
    </fill>
    <fill>
      <patternFill patternType="solid">
        <fgColor rgb="FFD0CECE"/>
        <bgColor rgb="FFD0CECE"/>
      </patternFill>
    </fill>
  </fills>
  <borders count="50">
    <border/>
    <border>
      <left/>
      <right/>
      <top/>
      <bottom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</border>
    <border>
      <left style="thin">
        <color rgb="FFFFFFFF"/>
      </left>
      <right style="medium">
        <color rgb="FF000000"/>
      </right>
      <top style="medium">
        <color rgb="FF000000"/>
      </top>
      <bottom style="thin">
        <color rgb="FFFFFFFF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</border>
    <border>
      <left style="medium">
        <color rgb="FF000000"/>
      </left>
      <right style="medium">
        <color rgb="FF000000"/>
      </right>
      <top style="thin">
        <color rgb="FFFFFFFF"/>
      </top>
      <bottom style="thin">
        <color rgb="FFFFFFFF"/>
      </bottom>
    </border>
    <border>
      <left style="medium">
        <color rgb="FF000000"/>
      </left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right style="medium">
        <color rgb="FF000000"/>
      </right>
      <top style="thin">
        <color rgb="FFFFFFFF"/>
      </top>
    </border>
    <border>
      <left style="medium">
        <color rgb="FF000000"/>
      </left>
      <right style="medium">
        <color rgb="FF000000"/>
      </right>
      <top style="thin">
        <color rgb="FFFFFFFF"/>
      </top>
    </border>
    <border>
      <left style="medium">
        <color rgb="FF000000"/>
      </left>
      <right style="thin">
        <color rgb="FFFFFFFF"/>
      </right>
      <top style="thin">
        <color rgb="FFFFFFFF"/>
      </top>
    </border>
    <border>
      <left style="thin">
        <color rgb="FFFFFFFF"/>
      </left>
      <top style="medium">
        <color rgb="FF000000"/>
      </top>
      <bottom style="thin">
        <color rgb="FFFFFFFF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medium">
        <color rgb="FF000000"/>
      </left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right style="medium">
        <color rgb="FF000000"/>
      </right>
      <bottom style="thin">
        <color rgb="FFFFFFFF"/>
      </bottom>
    </border>
    <border>
      <left style="medium">
        <color rgb="FF000000"/>
      </left>
      <bottom style="thin">
        <color rgb="FFFFFFFF"/>
      </bottom>
    </border>
    <border>
      <bottom style="thin">
        <color rgb="FFFFFFFF"/>
      </bottom>
    </border>
    <border>
      <right style="medium">
        <color rgb="FF000000"/>
      </right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medium">
        <color rgb="FF000000"/>
      </righ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</border>
    <border>
      <left style="medium">
        <color rgb="FF000000"/>
      </left>
      <top style="thin">
        <color rgb="FFFFFFFF"/>
      </top>
    </border>
    <border>
      <top style="thin">
        <color rgb="FFFFFFFF"/>
      </top>
    </border>
    <border>
      <right style="medium">
        <color rgb="FF000000"/>
      </right>
      <top style="thin">
        <color rgb="FFFFFFFF"/>
      </top>
    </border>
    <border>
      <lef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C5E0B3"/>
      </bottom>
    </border>
    <border>
      <right/>
      <top/>
      <bottom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C5E0B3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dotted">
        <color rgb="FF000000"/>
      </bottom>
    </border>
    <border>
      <left style="medium">
        <color rgb="FF000000"/>
      </left>
      <right style="medium">
        <color rgb="FF000000"/>
      </right>
      <top style="dotted">
        <color rgb="FF000000"/>
      </top>
      <bottom style="dotted">
        <color rgb="FF000000"/>
      </bottom>
    </border>
    <border>
      <left style="medium">
        <color rgb="FF000000"/>
      </left>
      <right style="medium">
        <color rgb="FF000000"/>
      </right>
      <top style="dotted">
        <color rgb="FF000000"/>
      </top>
      <bottom style="medium">
        <color rgb="FF000000"/>
      </bottom>
    </border>
    <border>
      <left/>
      <right/>
      <bottom/>
    </border>
    <border>
      <left/>
      <right/>
      <top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22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3" fontId="2" numFmtId="0" xfId="0" applyAlignment="1" applyBorder="1" applyFill="1" applyFont="1">
      <alignment vertical="bottom"/>
    </xf>
    <xf borderId="3" fillId="3" fontId="2" numFmtId="0" xfId="0" applyAlignment="1" applyBorder="1" applyFont="1">
      <alignment vertical="bottom"/>
    </xf>
    <xf borderId="4" fillId="3" fontId="2" numFmtId="164" xfId="0" applyAlignment="1" applyBorder="1" applyFont="1" applyNumberFormat="1">
      <alignment vertical="bottom"/>
    </xf>
    <xf borderId="5" fillId="3" fontId="3" numFmtId="164" xfId="0" applyAlignment="1" applyBorder="1" applyFont="1" applyNumberFormat="1">
      <alignment vertical="top"/>
    </xf>
    <xf borderId="2" fillId="3" fontId="2" numFmtId="164" xfId="0" applyAlignment="1" applyBorder="1" applyFont="1" applyNumberFormat="1">
      <alignment vertical="top"/>
    </xf>
    <xf borderId="3" fillId="3" fontId="2" numFmtId="164" xfId="0" applyAlignment="1" applyBorder="1" applyFont="1" applyNumberFormat="1">
      <alignment vertical="bottom"/>
    </xf>
    <xf borderId="1" fillId="4" fontId="1" numFmtId="0" xfId="0" applyBorder="1" applyFill="1" applyFont="1"/>
    <xf borderId="6" fillId="3" fontId="2" numFmtId="0" xfId="0" applyAlignment="1" applyBorder="1" applyFont="1">
      <alignment vertical="bottom"/>
    </xf>
    <xf borderId="7" fillId="3" fontId="2" numFmtId="0" xfId="0" applyAlignment="1" applyBorder="1" applyFont="1">
      <alignment vertical="bottom"/>
    </xf>
    <xf borderId="7" fillId="3" fontId="2" numFmtId="0" xfId="0" applyAlignment="1" applyBorder="1" applyFont="1">
      <alignment vertical="bottom"/>
    </xf>
    <xf borderId="8" fillId="3" fontId="2" numFmtId="164" xfId="0" applyAlignment="1" applyBorder="1" applyFont="1" applyNumberFormat="1">
      <alignment vertical="bottom"/>
    </xf>
    <xf borderId="9" fillId="3" fontId="3" numFmtId="164" xfId="0" applyAlignment="1" applyBorder="1" applyFont="1" applyNumberFormat="1">
      <alignment vertical="top"/>
    </xf>
    <xf borderId="10" fillId="3" fontId="2" numFmtId="164" xfId="0" applyAlignment="1" applyBorder="1" applyFont="1" applyNumberFormat="1">
      <alignment vertical="top"/>
    </xf>
    <xf borderId="11" fillId="0" fontId="4" numFmtId="0" xfId="0" applyBorder="1" applyFont="1"/>
    <xf borderId="7" fillId="3" fontId="2" numFmtId="164" xfId="0" applyAlignment="1" applyBorder="1" applyFont="1" applyNumberFormat="1">
      <alignment vertical="bottom"/>
    </xf>
    <xf borderId="1" fillId="2" fontId="5" numFmtId="0" xfId="0" applyAlignment="1" applyBorder="1" applyFont="1">
      <alignment horizontal="center"/>
    </xf>
    <xf borderId="8" fillId="3" fontId="2" numFmtId="0" xfId="0" applyAlignment="1" applyBorder="1" applyFont="1">
      <alignment vertical="bottom"/>
    </xf>
    <xf borderId="9" fillId="3" fontId="3" numFmtId="0" xfId="0" applyAlignment="1" applyBorder="1" applyFont="1">
      <alignment vertical="top"/>
    </xf>
    <xf borderId="6" fillId="3" fontId="2" numFmtId="0" xfId="0" applyAlignment="1" applyBorder="1" applyFont="1">
      <alignment vertical="top"/>
    </xf>
    <xf borderId="8" fillId="3" fontId="2" numFmtId="165" xfId="0" applyAlignment="1" applyBorder="1" applyFont="1" applyNumberFormat="1">
      <alignment vertical="bottom"/>
    </xf>
    <xf borderId="1" fillId="2" fontId="5" numFmtId="0" xfId="0" applyBorder="1" applyFont="1"/>
    <xf quotePrefix="1" borderId="10" fillId="3" fontId="2" numFmtId="165" xfId="0" applyAlignment="1" applyBorder="1" applyFont="1" applyNumberFormat="1">
      <alignment vertical="bottom"/>
    </xf>
    <xf borderId="7" fillId="3" fontId="2" numFmtId="165" xfId="0" applyAlignment="1" applyBorder="1" applyFont="1" applyNumberFormat="1">
      <alignment vertical="bottom"/>
    </xf>
    <xf borderId="6" fillId="0" fontId="6" numFmtId="165" xfId="0" applyAlignment="1" applyBorder="1" applyFont="1" applyNumberFormat="1">
      <alignment vertical="top"/>
    </xf>
    <xf borderId="12" fillId="3" fontId="2" numFmtId="0" xfId="0" applyAlignment="1" applyBorder="1" applyFont="1">
      <alignment vertical="bottom"/>
    </xf>
    <xf borderId="13" fillId="3" fontId="2" numFmtId="0" xfId="0" applyAlignment="1" applyBorder="1" applyFont="1">
      <alignment vertical="bottom"/>
    </xf>
    <xf borderId="14" fillId="3" fontId="2" numFmtId="0" xfId="0" applyAlignment="1" applyBorder="1" applyFont="1">
      <alignment vertical="bottom"/>
    </xf>
    <xf borderId="15" fillId="3" fontId="2" numFmtId="164" xfId="0" applyAlignment="1" applyBorder="1" applyFont="1" applyNumberFormat="1">
      <alignment vertical="bottom"/>
    </xf>
    <xf borderId="16" fillId="3" fontId="2" numFmtId="164" xfId="0" applyAlignment="1" applyBorder="1" applyFont="1" applyNumberFormat="1">
      <alignment vertical="top"/>
    </xf>
    <xf borderId="17" fillId="3" fontId="2" numFmtId="164" xfId="0" applyAlignment="1" applyBorder="1" applyFont="1" applyNumberFormat="1">
      <alignment vertical="top"/>
    </xf>
    <xf borderId="14" fillId="3" fontId="2" numFmtId="164" xfId="0" applyAlignment="1" applyBorder="1" applyFont="1" applyNumberFormat="1">
      <alignment vertical="bottom"/>
    </xf>
    <xf borderId="1" fillId="4" fontId="1" numFmtId="0" xfId="0" applyAlignment="1" applyBorder="1" applyFont="1">
      <alignment horizontal="center" vertical="center"/>
    </xf>
    <xf borderId="18" fillId="3" fontId="2" numFmtId="0" xfId="0" applyAlignment="1" applyBorder="1" applyFont="1">
      <alignment vertical="bottom"/>
    </xf>
    <xf borderId="19" fillId="5" fontId="2" numFmtId="3" xfId="0" applyAlignment="1" applyBorder="1" applyFill="1" applyFont="1" applyNumberFormat="1">
      <alignment vertical="bottom"/>
    </xf>
    <xf borderId="20" fillId="0" fontId="4" numFmtId="0" xfId="0" applyBorder="1" applyFont="1"/>
    <xf borderId="21" fillId="0" fontId="4" numFmtId="0" xfId="0" applyBorder="1" applyFont="1"/>
    <xf borderId="22" fillId="5" fontId="2" numFmtId="164" xfId="0" applyAlignment="1" applyBorder="1" applyFont="1" applyNumberFormat="1">
      <alignment vertical="bottom"/>
    </xf>
    <xf borderId="23" fillId="0" fontId="4" numFmtId="0" xfId="0" applyBorder="1" applyFont="1"/>
    <xf borderId="24" fillId="0" fontId="4" numFmtId="0" xfId="0" applyBorder="1" applyFont="1"/>
    <xf borderId="25" fillId="3" fontId="2" numFmtId="0" xfId="0" applyAlignment="1" applyBorder="1" applyFont="1">
      <alignment vertical="bottom"/>
    </xf>
    <xf borderId="22" fillId="6" fontId="7" numFmtId="0" xfId="0" applyAlignment="1" applyBorder="1" applyFill="1" applyFont="1">
      <alignment horizontal="center" vertical="bottom"/>
    </xf>
    <xf borderId="26" fillId="3" fontId="2" numFmtId="164" xfId="0" applyAlignment="1" applyBorder="1" applyFont="1" applyNumberFormat="1">
      <alignment vertical="bottom"/>
    </xf>
    <xf borderId="27" fillId="3" fontId="2" numFmtId="164" xfId="0" applyAlignment="1" applyBorder="1" applyFont="1" applyNumberFormat="1">
      <alignment vertical="bottom"/>
    </xf>
    <xf borderId="27" fillId="3" fontId="2" numFmtId="0" xfId="0" applyAlignment="1" applyBorder="1" applyFont="1">
      <alignment vertical="bottom"/>
    </xf>
    <xf borderId="28" fillId="3" fontId="2" numFmtId="164" xfId="0" applyAlignment="1" applyBorder="1" applyFont="1" applyNumberFormat="1">
      <alignment vertical="bottom"/>
    </xf>
    <xf borderId="29" fillId="5" fontId="3" numFmtId="0" xfId="0" applyAlignment="1" applyBorder="1" applyFont="1">
      <alignment vertical="bottom"/>
    </xf>
    <xf borderId="30" fillId="0" fontId="4" numFmtId="0" xfId="0" applyBorder="1" applyFont="1"/>
    <xf borderId="31" fillId="0" fontId="4" numFmtId="0" xfId="0" applyBorder="1" applyFont="1"/>
    <xf borderId="6" fillId="3" fontId="2" numFmtId="164" xfId="0" applyAlignment="1" applyBorder="1" applyFont="1" applyNumberFormat="1">
      <alignment vertical="bottom"/>
    </xf>
    <xf borderId="1" fillId="2" fontId="1" numFmtId="164" xfId="0" applyAlignment="1" applyBorder="1" applyFont="1" applyNumberFormat="1">
      <alignment horizontal="center" vertical="center"/>
    </xf>
    <xf borderId="10" fillId="3" fontId="3" numFmtId="3" xfId="0" applyAlignment="1" applyBorder="1" applyFont="1" applyNumberFormat="1">
      <alignment vertical="bottom"/>
    </xf>
    <xf borderId="32" fillId="0" fontId="4" numFmtId="0" xfId="0" applyBorder="1" applyFont="1"/>
    <xf borderId="33" fillId="0" fontId="4" numFmtId="0" xfId="0" applyBorder="1" applyFont="1"/>
    <xf borderId="25" fillId="3" fontId="2" numFmtId="164" xfId="0" applyAlignment="1" applyBorder="1" applyFont="1" applyNumberFormat="1">
      <alignment vertical="bottom"/>
    </xf>
    <xf borderId="10" fillId="5" fontId="3" numFmtId="164" xfId="0" applyAlignment="1" applyBorder="1" applyFont="1" applyNumberFormat="1">
      <alignment vertical="bottom"/>
    </xf>
    <xf borderId="7" fillId="3" fontId="2" numFmtId="166" xfId="0" applyAlignment="1" applyBorder="1" applyFont="1" applyNumberFormat="1">
      <alignment vertical="bottom"/>
    </xf>
    <xf borderId="8" fillId="3" fontId="2" numFmtId="166" xfId="0" applyAlignment="1" applyBorder="1" applyFont="1" applyNumberFormat="1">
      <alignment vertical="bottom"/>
    </xf>
    <xf borderId="10" fillId="3" fontId="3" numFmtId="164" xfId="0" applyAlignment="1" applyBorder="1" applyFont="1" applyNumberFormat="1">
      <alignment vertical="bottom"/>
    </xf>
    <xf borderId="7" fillId="3" fontId="2" numFmtId="167" xfId="0" applyAlignment="1" applyBorder="1" applyFont="1" applyNumberFormat="1">
      <alignment vertical="bottom"/>
    </xf>
    <xf borderId="17" fillId="3" fontId="2" numFmtId="0" xfId="0" applyAlignment="1" applyBorder="1" applyFont="1">
      <alignment vertical="bottom"/>
    </xf>
    <xf borderId="34" fillId="3" fontId="2" numFmtId="0" xfId="0" applyAlignment="1" applyBorder="1" applyFont="1">
      <alignment vertical="bottom"/>
    </xf>
    <xf borderId="35" fillId="3" fontId="8" numFmtId="0" xfId="0" applyAlignment="1" applyBorder="1" applyFont="1">
      <alignment vertical="bottom"/>
    </xf>
    <xf borderId="36" fillId="0" fontId="4" numFmtId="0" xfId="0" applyBorder="1" applyFont="1"/>
    <xf borderId="37" fillId="0" fontId="4" numFmtId="0" xfId="0" applyBorder="1" applyFont="1"/>
    <xf borderId="17" fillId="3" fontId="2" numFmtId="165" xfId="0" applyAlignment="1" applyBorder="1" applyFont="1" applyNumberFormat="1">
      <alignment vertical="bottom"/>
    </xf>
    <xf borderId="14" fillId="3" fontId="2" numFmtId="165" xfId="0" applyAlignment="1" applyBorder="1" applyFont="1" applyNumberFormat="1">
      <alignment vertical="bottom"/>
    </xf>
    <xf borderId="38" fillId="2" fontId="1" numFmtId="0" xfId="0" applyBorder="1" applyFont="1"/>
    <xf borderId="39" fillId="5" fontId="9" numFmtId="0" xfId="0" applyAlignment="1" applyBorder="1" applyFont="1">
      <alignment horizontal="center" vertical="center"/>
    </xf>
    <xf borderId="39" fillId="5" fontId="9" numFmtId="0" xfId="0" applyAlignment="1" applyBorder="1" applyFont="1">
      <alignment horizontal="left" vertical="center"/>
    </xf>
    <xf borderId="39" fillId="5" fontId="9" numFmtId="164" xfId="0" applyAlignment="1" applyBorder="1" applyFont="1" applyNumberFormat="1">
      <alignment horizontal="center" shrinkToFit="0" vertical="center" wrapText="1"/>
    </xf>
    <xf borderId="39" fillId="5" fontId="9" numFmtId="166" xfId="0" applyAlignment="1" applyBorder="1" applyFont="1" applyNumberFormat="1">
      <alignment horizontal="center" vertical="center"/>
    </xf>
    <xf borderId="40" fillId="5" fontId="9" numFmtId="0" xfId="0" applyAlignment="1" applyBorder="1" applyFont="1">
      <alignment horizontal="center" vertical="center"/>
    </xf>
    <xf borderId="39" fillId="5" fontId="9" numFmtId="0" xfId="0" applyAlignment="1" applyBorder="1" applyFont="1">
      <alignment horizontal="center" shrinkToFit="0" vertical="center" wrapText="1"/>
    </xf>
    <xf borderId="40" fillId="5" fontId="9" numFmtId="166" xfId="0" applyAlignment="1" applyBorder="1" applyFont="1" applyNumberFormat="1">
      <alignment horizontal="center" vertical="center"/>
    </xf>
    <xf borderId="41" fillId="2" fontId="1" numFmtId="164" xfId="0" applyAlignment="1" applyBorder="1" applyFont="1" applyNumberFormat="1">
      <alignment horizontal="center" vertical="center"/>
    </xf>
    <xf borderId="41" fillId="4" fontId="1" numFmtId="0" xfId="0" applyAlignment="1" applyBorder="1" applyFont="1">
      <alignment horizontal="center" vertical="center"/>
    </xf>
    <xf borderId="42" fillId="0" fontId="4" numFmtId="0" xfId="0" applyBorder="1" applyFont="1"/>
    <xf borderId="43" fillId="5" fontId="9" numFmtId="0" xfId="0" applyAlignment="1" applyBorder="1" applyFont="1">
      <alignment horizontal="center" vertical="center"/>
    </xf>
    <xf borderId="43" fillId="5" fontId="9" numFmtId="166" xfId="0" applyAlignment="1" applyBorder="1" applyFont="1" applyNumberFormat="1">
      <alignment horizontal="center" vertical="center"/>
    </xf>
    <xf borderId="38" fillId="2" fontId="1" numFmtId="0" xfId="0" applyAlignment="1" applyBorder="1" applyFont="1">
      <alignment vertical="center"/>
    </xf>
    <xf borderId="44" fillId="2" fontId="1" numFmtId="1" xfId="0" applyAlignment="1" applyBorder="1" applyFont="1" applyNumberFormat="1">
      <alignment horizontal="center" vertical="center"/>
    </xf>
    <xf borderId="44" fillId="2" fontId="1" numFmtId="0" xfId="0" applyAlignment="1" applyBorder="1" applyFont="1">
      <alignment shrinkToFit="0" vertical="center" wrapText="1"/>
    </xf>
    <xf borderId="44" fillId="2" fontId="1" numFmtId="3" xfId="0" applyAlignment="1" applyBorder="1" applyFont="1" applyNumberFormat="1">
      <alignment horizontal="center" vertical="center"/>
    </xf>
    <xf borderId="44" fillId="2" fontId="1" numFmtId="164" xfId="0" applyAlignment="1" applyBorder="1" applyFont="1" applyNumberFormat="1">
      <alignment horizontal="center" vertical="center"/>
    </xf>
    <xf borderId="44" fillId="2" fontId="2" numFmtId="9" xfId="0" applyAlignment="1" applyBorder="1" applyFont="1" applyNumberFormat="1">
      <alignment horizontal="center" vertical="center"/>
    </xf>
    <xf borderId="44" fillId="2" fontId="2" numFmtId="166" xfId="0" applyAlignment="1" applyBorder="1" applyFont="1" applyNumberFormat="1">
      <alignment horizontal="center" vertical="center"/>
    </xf>
    <xf borderId="44" fillId="7" fontId="10" numFmtId="0" xfId="0" applyAlignment="1" applyBorder="1" applyFill="1" applyFont="1">
      <alignment horizontal="center" vertical="center"/>
    </xf>
    <xf borderId="44" fillId="2" fontId="11" numFmtId="166" xfId="0" applyAlignment="1" applyBorder="1" applyFont="1" applyNumberFormat="1">
      <alignment horizontal="center" vertical="center"/>
    </xf>
    <xf borderId="45" fillId="2" fontId="1" numFmtId="1" xfId="0" applyAlignment="1" applyBorder="1" applyFont="1" applyNumberFormat="1">
      <alignment horizontal="center" vertical="center"/>
    </xf>
    <xf borderId="45" fillId="2" fontId="1" numFmtId="0" xfId="0" applyAlignment="1" applyBorder="1" applyFont="1">
      <alignment shrinkToFit="0" vertical="center" wrapText="1"/>
    </xf>
    <xf borderId="45" fillId="2" fontId="1" numFmtId="3" xfId="0" applyAlignment="1" applyBorder="1" applyFont="1" applyNumberFormat="1">
      <alignment horizontal="center" vertical="center"/>
    </xf>
    <xf borderId="45" fillId="2" fontId="1" numFmtId="164" xfId="0" applyAlignment="1" applyBorder="1" applyFont="1" applyNumberFormat="1">
      <alignment horizontal="center" vertical="center"/>
    </xf>
    <xf borderId="45" fillId="2" fontId="2" numFmtId="9" xfId="0" applyAlignment="1" applyBorder="1" applyFont="1" applyNumberFormat="1">
      <alignment horizontal="center" vertical="center"/>
    </xf>
    <xf borderId="45" fillId="2" fontId="2" numFmtId="166" xfId="0" applyAlignment="1" applyBorder="1" applyFont="1" applyNumberFormat="1">
      <alignment horizontal="center" vertical="center"/>
    </xf>
    <xf borderId="45" fillId="7" fontId="10" numFmtId="0" xfId="0" applyAlignment="1" applyBorder="1" applyFont="1">
      <alignment horizontal="center" vertical="center"/>
    </xf>
    <xf borderId="45" fillId="2" fontId="11" numFmtId="166" xfId="0" applyAlignment="1" applyBorder="1" applyFont="1" applyNumberFormat="1">
      <alignment horizontal="center" vertical="center"/>
    </xf>
    <xf borderId="46" fillId="2" fontId="1" numFmtId="1" xfId="0" applyAlignment="1" applyBorder="1" applyFont="1" applyNumberFormat="1">
      <alignment horizontal="center" vertical="center"/>
    </xf>
    <xf borderId="46" fillId="2" fontId="1" numFmtId="0" xfId="0" applyAlignment="1" applyBorder="1" applyFont="1">
      <alignment shrinkToFit="0" vertical="center" wrapText="1"/>
    </xf>
    <xf borderId="46" fillId="2" fontId="1" numFmtId="3" xfId="0" applyAlignment="1" applyBorder="1" applyFont="1" applyNumberFormat="1">
      <alignment horizontal="center" vertical="center"/>
    </xf>
    <xf borderId="46" fillId="2" fontId="1" numFmtId="164" xfId="0" applyAlignment="1" applyBorder="1" applyFont="1" applyNumberFormat="1">
      <alignment horizontal="center" vertical="center"/>
    </xf>
    <xf borderId="46" fillId="2" fontId="2" numFmtId="9" xfId="0" applyAlignment="1" applyBorder="1" applyFont="1" applyNumberFormat="1">
      <alignment horizontal="center" vertical="center"/>
    </xf>
    <xf borderId="46" fillId="2" fontId="2" numFmtId="166" xfId="0" applyAlignment="1" applyBorder="1" applyFont="1" applyNumberFormat="1">
      <alignment horizontal="center" vertical="center"/>
    </xf>
    <xf borderId="46" fillId="7" fontId="10" numFmtId="0" xfId="0" applyAlignment="1" applyBorder="1" applyFont="1">
      <alignment horizontal="center" vertical="center"/>
    </xf>
    <xf borderId="46" fillId="2" fontId="11" numFmtId="166" xfId="0" applyAlignment="1" applyBorder="1" applyFont="1" applyNumberFormat="1">
      <alignment horizontal="center" vertical="center"/>
    </xf>
    <xf borderId="1" fillId="2" fontId="1" numFmtId="0" xfId="0" applyAlignment="1" applyBorder="1" applyFont="1">
      <alignment vertical="center"/>
    </xf>
    <xf borderId="47" fillId="2" fontId="1" numFmtId="164" xfId="0" applyAlignment="1" applyBorder="1" applyFont="1" applyNumberFormat="1">
      <alignment horizontal="center" vertical="center"/>
    </xf>
    <xf borderId="47" fillId="2" fontId="1" numFmtId="1" xfId="0" applyAlignment="1" applyBorder="1" applyFont="1" applyNumberFormat="1">
      <alignment horizontal="center" vertical="center"/>
    </xf>
    <xf borderId="47" fillId="2" fontId="1" numFmtId="0" xfId="0" applyAlignment="1" applyBorder="1" applyFont="1">
      <alignment horizontal="left" vertical="center"/>
    </xf>
    <xf borderId="1" fillId="2" fontId="1" numFmtId="1" xfId="0" applyAlignment="1" applyBorder="1" applyFont="1" applyNumberFormat="1">
      <alignment horizontal="center" vertical="center"/>
    </xf>
    <xf borderId="1" fillId="2" fontId="1" numFmtId="0" xfId="0" applyAlignment="1" applyBorder="1" applyFont="1">
      <alignment horizontal="left" vertical="center"/>
    </xf>
    <xf borderId="1" fillId="2" fontId="1" numFmtId="164" xfId="0" applyAlignment="1" applyBorder="1" applyFont="1" applyNumberFormat="1">
      <alignment vertical="center"/>
    </xf>
    <xf borderId="48" fillId="2" fontId="1" numFmtId="164" xfId="0" applyAlignment="1" applyBorder="1" applyFont="1" applyNumberFormat="1">
      <alignment horizontal="center" vertical="center"/>
    </xf>
    <xf borderId="49" fillId="5" fontId="9" numFmtId="168" xfId="0" applyAlignment="1" applyBorder="1" applyFont="1" applyNumberFormat="1">
      <alignment horizontal="center" vertical="center"/>
    </xf>
    <xf borderId="49" fillId="5" fontId="9" numFmtId="3" xfId="0" applyAlignment="1" applyBorder="1" applyFont="1" applyNumberFormat="1">
      <alignment horizontal="center" vertical="center"/>
    </xf>
    <xf borderId="49" fillId="5" fontId="9" numFmtId="166" xfId="0" applyAlignment="1" applyBorder="1" applyFont="1" applyNumberFormat="1">
      <alignment horizontal="center" vertical="center"/>
    </xf>
    <xf borderId="1" fillId="2" fontId="1" numFmtId="167" xfId="0" applyAlignment="1" applyBorder="1" applyFont="1" applyNumberFormat="1">
      <alignment horizontal="center" vertical="center"/>
    </xf>
    <xf borderId="1" fillId="4" fontId="1" numFmtId="0" xfId="0" applyAlignment="1" applyBorder="1" applyFont="1">
      <alignment horizontal="center"/>
    </xf>
    <xf borderId="1" fillId="4" fontId="1" numFmtId="165" xfId="0" applyBorder="1" applyFont="1" applyNumberFormat="1"/>
    <xf borderId="0" fillId="0" fontId="2" numFmtId="164" xfId="0" applyFont="1" applyNumberFormat="1"/>
    <xf borderId="0" fillId="0" fontId="10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1352550</xdr:colOff>
      <xdr:row>7</xdr:row>
      <xdr:rowOff>85725</xdr:rowOff>
    </xdr:from>
    <xdr:ext cx="3533775" cy="1133475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1019175</xdr:colOff>
      <xdr:row>0</xdr:row>
      <xdr:rowOff>133350</xdr:rowOff>
    </xdr:from>
    <xdr:ext cx="4857750" cy="942975"/>
    <xdr:pic>
      <xdr:nvPicPr>
        <xdr:cNvPr id="0" name="image1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info@distributiongate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.71"/>
    <col customWidth="1" min="2" max="2" width="17.71"/>
    <col customWidth="1" min="3" max="3" width="13.71"/>
    <col customWidth="1" min="4" max="4" width="64.14"/>
    <col customWidth="1" min="5" max="5" width="7.71"/>
    <col customWidth="1" min="6" max="6" width="14.71"/>
    <col customWidth="1" min="7" max="7" width="25.71"/>
    <col customWidth="1" min="8" max="8" width="16.0"/>
    <col customWidth="1" min="9" max="9" width="16.71"/>
    <col customWidth="1" min="10" max="10" width="9.14"/>
    <col customWidth="1" min="11" max="11" width="14.43"/>
    <col customWidth="1" min="12" max="13" width="6.86"/>
    <col customWidth="1" min="14" max="14" width="2.29"/>
    <col customWidth="1" min="15" max="27" width="8.71"/>
  </cols>
  <sheetData>
    <row r="1" ht="15.75" customHeight="1">
      <c r="A1" s="1"/>
      <c r="B1" s="2"/>
      <c r="C1" s="3"/>
      <c r="D1" s="3"/>
      <c r="E1" s="4"/>
      <c r="F1" s="5" t="s">
        <v>0</v>
      </c>
      <c r="G1" s="6" t="s">
        <v>1</v>
      </c>
      <c r="H1" s="7"/>
      <c r="I1" s="7"/>
      <c r="J1" s="7"/>
      <c r="K1" s="7"/>
      <c r="L1" s="7"/>
      <c r="M1" s="4"/>
      <c r="N1" s="1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ht="15.75" customHeight="1">
      <c r="A2" s="1"/>
      <c r="B2" s="9"/>
      <c r="C2" s="10"/>
      <c r="D2" s="11"/>
      <c r="E2" s="12"/>
      <c r="F2" s="13" t="s">
        <v>2</v>
      </c>
      <c r="G2" s="14" t="s">
        <v>3</v>
      </c>
      <c r="H2" s="15"/>
      <c r="I2" s="16"/>
      <c r="J2" s="16"/>
      <c r="K2" s="16"/>
      <c r="L2" s="16"/>
      <c r="M2" s="12"/>
      <c r="N2" s="1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ht="15.75" customHeight="1">
      <c r="A3" s="17"/>
      <c r="B3" s="9"/>
      <c r="C3" s="10"/>
      <c r="D3" s="10"/>
      <c r="E3" s="18"/>
      <c r="F3" s="19" t="s">
        <v>4</v>
      </c>
      <c r="G3" s="20" t="s">
        <v>5</v>
      </c>
      <c r="H3" s="10"/>
      <c r="I3" s="10"/>
      <c r="J3" s="10"/>
      <c r="K3" s="10"/>
      <c r="L3" s="10"/>
      <c r="M3" s="21"/>
      <c r="N3" s="22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ht="15.75" customHeight="1">
      <c r="A4" s="1"/>
      <c r="B4" s="9"/>
      <c r="C4" s="10"/>
      <c r="D4" s="10"/>
      <c r="E4" s="18"/>
      <c r="F4" s="19" t="s">
        <v>6</v>
      </c>
      <c r="G4" s="23" t="s">
        <v>7</v>
      </c>
      <c r="H4" s="15"/>
      <c r="I4" s="24"/>
      <c r="J4" s="10"/>
      <c r="K4" s="10"/>
      <c r="L4" s="10"/>
      <c r="M4" s="21"/>
      <c r="N4" s="1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ht="15.75" customHeight="1">
      <c r="A5" s="1"/>
      <c r="B5" s="9"/>
      <c r="C5" s="10"/>
      <c r="D5" s="10"/>
      <c r="E5" s="18"/>
      <c r="F5" s="19" t="s">
        <v>8</v>
      </c>
      <c r="G5" s="25" t="s">
        <v>9</v>
      </c>
      <c r="H5" s="24"/>
      <c r="I5" s="24"/>
      <c r="J5" s="10"/>
      <c r="K5" s="10"/>
      <c r="L5" s="10"/>
      <c r="M5" s="21"/>
      <c r="N5" s="1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ht="18.0" customHeight="1">
      <c r="A6" s="1"/>
      <c r="B6" s="26"/>
      <c r="C6" s="27"/>
      <c r="D6" s="28"/>
      <c r="E6" s="29"/>
      <c r="F6" s="30"/>
      <c r="G6" s="31"/>
      <c r="H6" s="32"/>
      <c r="I6" s="32"/>
      <c r="J6" s="32"/>
      <c r="K6" s="28"/>
      <c r="L6" s="32"/>
      <c r="M6" s="29"/>
      <c r="N6" s="1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</row>
    <row r="7" ht="18.0" customHeight="1">
      <c r="A7" s="1"/>
      <c r="B7" s="2"/>
      <c r="C7" s="34"/>
      <c r="D7" s="35"/>
      <c r="E7" s="36"/>
      <c r="F7" s="37"/>
      <c r="G7" s="38"/>
      <c r="H7" s="39"/>
      <c r="I7" s="39"/>
      <c r="J7" s="39"/>
      <c r="K7" s="39"/>
      <c r="L7" s="39"/>
      <c r="M7" s="40"/>
      <c r="N7" s="1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</row>
    <row r="8" ht="18.0" customHeight="1">
      <c r="A8" s="1"/>
      <c r="B8" s="9"/>
      <c r="C8" s="41"/>
      <c r="D8" s="42" t="s">
        <v>10</v>
      </c>
      <c r="E8" s="39"/>
      <c r="F8" s="40"/>
      <c r="G8" s="43"/>
      <c r="H8" s="44"/>
      <c r="I8" s="44"/>
      <c r="J8" s="44"/>
      <c r="K8" s="45"/>
      <c r="L8" s="44"/>
      <c r="M8" s="46"/>
      <c r="N8" s="1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</row>
    <row r="9" ht="18.0" customHeight="1">
      <c r="A9" s="1"/>
      <c r="B9" s="9"/>
      <c r="C9" s="41"/>
      <c r="D9" s="47" t="s">
        <v>11</v>
      </c>
      <c r="E9" s="48"/>
      <c r="F9" s="49"/>
      <c r="G9" s="50"/>
      <c r="H9" s="16"/>
      <c r="I9" s="16"/>
      <c r="J9" s="16"/>
      <c r="K9" s="10"/>
      <c r="L9" s="16"/>
      <c r="M9" s="12"/>
      <c r="N9" s="51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</row>
    <row r="10" ht="18.0" customHeight="1">
      <c r="A10" s="1"/>
      <c r="B10" s="9"/>
      <c r="C10" s="41"/>
      <c r="D10" s="52" t="s">
        <v>12</v>
      </c>
      <c r="E10" s="53"/>
      <c r="F10" s="54"/>
      <c r="G10" s="50"/>
      <c r="H10" s="16"/>
      <c r="I10" s="16"/>
      <c r="J10" s="16"/>
      <c r="K10" s="10"/>
      <c r="L10" s="16"/>
      <c r="M10" s="12"/>
      <c r="N10" s="51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</row>
    <row r="11" ht="18.0" customHeight="1">
      <c r="A11" s="1"/>
      <c r="B11" s="50"/>
      <c r="C11" s="55"/>
      <c r="D11" s="56" t="s">
        <v>13</v>
      </c>
      <c r="E11" s="53"/>
      <c r="F11" s="54"/>
      <c r="G11" s="50"/>
      <c r="H11" s="16"/>
      <c r="I11" s="57"/>
      <c r="J11" s="16"/>
      <c r="K11" s="10"/>
      <c r="L11" s="16"/>
      <c r="M11" s="58"/>
      <c r="N11" s="51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</row>
    <row r="12" ht="18.75" customHeight="1">
      <c r="A12" s="1"/>
      <c r="B12" s="50"/>
      <c r="C12" s="55"/>
      <c r="D12" s="59" t="s">
        <v>14</v>
      </c>
      <c r="E12" s="53"/>
      <c r="F12" s="54"/>
      <c r="G12" s="50"/>
      <c r="H12" s="16"/>
      <c r="I12" s="16"/>
      <c r="J12" s="60"/>
      <c r="K12" s="16"/>
      <c r="L12" s="16"/>
      <c r="M12" s="58"/>
      <c r="N12" s="51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</row>
    <row r="13" ht="18.75" customHeight="1">
      <c r="A13" s="1"/>
      <c r="B13" s="61"/>
      <c r="C13" s="62"/>
      <c r="D13" s="63" t="s">
        <v>15</v>
      </c>
      <c r="E13" s="64"/>
      <c r="F13" s="65"/>
      <c r="G13" s="66"/>
      <c r="H13" s="67"/>
      <c r="I13" s="32"/>
      <c r="J13" s="32"/>
      <c r="K13" s="32"/>
      <c r="L13" s="32"/>
      <c r="M13" s="29"/>
      <c r="N13" s="51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</row>
    <row r="14" ht="15.75" customHeight="1">
      <c r="A14" s="68"/>
      <c r="B14" s="69" t="s">
        <v>16</v>
      </c>
      <c r="C14" s="69" t="s">
        <v>17</v>
      </c>
      <c r="D14" s="70" t="s">
        <v>18</v>
      </c>
      <c r="E14" s="69" t="s">
        <v>19</v>
      </c>
      <c r="F14" s="71" t="s">
        <v>20</v>
      </c>
      <c r="G14" s="71" t="s">
        <v>21</v>
      </c>
      <c r="H14" s="71" t="s">
        <v>22</v>
      </c>
      <c r="I14" s="72" t="s">
        <v>23</v>
      </c>
      <c r="J14" s="73" t="s">
        <v>24</v>
      </c>
      <c r="K14" s="74" t="s">
        <v>25</v>
      </c>
      <c r="L14" s="73" t="s">
        <v>26</v>
      </c>
      <c r="M14" s="75" t="s">
        <v>26</v>
      </c>
      <c r="N14" s="76"/>
      <c r="O14" s="77"/>
      <c r="P14" s="77"/>
      <c r="Q14" s="77"/>
      <c r="R14" s="77"/>
      <c r="S14" s="33"/>
      <c r="T14" s="33"/>
      <c r="U14" s="33"/>
      <c r="V14" s="33"/>
      <c r="W14" s="33"/>
      <c r="X14" s="33"/>
      <c r="Y14" s="33"/>
      <c r="Z14" s="33"/>
      <c r="AA14" s="33"/>
    </row>
    <row r="15" ht="22.5" customHeight="1">
      <c r="A15" s="68"/>
      <c r="B15" s="78"/>
      <c r="C15" s="78"/>
      <c r="D15" s="78"/>
      <c r="E15" s="78"/>
      <c r="F15" s="78"/>
      <c r="G15" s="78"/>
      <c r="H15" s="78"/>
      <c r="I15" s="78"/>
      <c r="J15" s="79" t="s">
        <v>27</v>
      </c>
      <c r="K15" s="78"/>
      <c r="L15" s="79" t="s">
        <v>24</v>
      </c>
      <c r="M15" s="80" t="s">
        <v>28</v>
      </c>
      <c r="N15" s="76"/>
      <c r="O15" s="77"/>
      <c r="P15" s="77"/>
      <c r="Q15" s="77"/>
      <c r="R15" s="77"/>
      <c r="S15" s="33"/>
      <c r="T15" s="33"/>
      <c r="U15" s="33"/>
      <c r="V15" s="33"/>
      <c r="W15" s="33"/>
      <c r="X15" s="33"/>
      <c r="Y15" s="33"/>
      <c r="Z15" s="33"/>
      <c r="AA15" s="33"/>
    </row>
    <row r="16" ht="18.0" customHeight="1">
      <c r="A16" s="81"/>
      <c r="B16" s="82" t="str">
        <f>"1-102-12-1243-01"</f>
        <v>1-102-12-1243-01</v>
      </c>
      <c r="C16" s="82" t="str">
        <f>"34285500122"</f>
        <v>34285500122</v>
      </c>
      <c r="D16" s="83" t="s">
        <v>29</v>
      </c>
      <c r="E16" s="84" t="s">
        <v>30</v>
      </c>
      <c r="F16" s="85"/>
      <c r="G16" s="85"/>
      <c r="H16" s="86"/>
      <c r="I16" s="87">
        <v>2.9707888446215134</v>
      </c>
      <c r="J16" s="84">
        <v>12.0</v>
      </c>
      <c r="K16" s="88"/>
      <c r="L16" s="84">
        <f t="shared" ref="L16:L223" si="1">J16*K16</f>
        <v>0</v>
      </c>
      <c r="M16" s="89">
        <f t="shared" ref="M16:M223" si="2">L16*I16</f>
        <v>0</v>
      </c>
      <c r="N16" s="76"/>
      <c r="O16" s="77"/>
      <c r="P16" s="77"/>
      <c r="Q16" s="77"/>
      <c r="R16" s="77"/>
      <c r="S16" s="33"/>
      <c r="T16" s="33"/>
      <c r="U16" s="33"/>
      <c r="V16" s="33"/>
      <c r="W16" s="33"/>
      <c r="X16" s="33"/>
      <c r="Y16" s="33"/>
      <c r="Z16" s="33"/>
      <c r="AA16" s="33"/>
    </row>
    <row r="17" ht="18.0" customHeight="1">
      <c r="A17" s="81"/>
      <c r="B17" s="90" t="str">
        <f>"1-103-05-1200"</f>
        <v>1-103-05-1200</v>
      </c>
      <c r="C17" s="90" t="str">
        <f>"34285523053"</f>
        <v>34285523053</v>
      </c>
      <c r="D17" s="91" t="s">
        <v>31</v>
      </c>
      <c r="E17" s="92" t="s">
        <v>32</v>
      </c>
      <c r="F17" s="93"/>
      <c r="G17" s="93"/>
      <c r="H17" s="94"/>
      <c r="I17" s="95">
        <v>2.7639055506607924</v>
      </c>
      <c r="J17" s="92">
        <v>12.0</v>
      </c>
      <c r="K17" s="96"/>
      <c r="L17" s="92">
        <f t="shared" si="1"/>
        <v>0</v>
      </c>
      <c r="M17" s="97">
        <f t="shared" si="2"/>
        <v>0</v>
      </c>
      <c r="N17" s="76"/>
      <c r="O17" s="77"/>
      <c r="P17" s="77"/>
      <c r="Q17" s="77"/>
      <c r="R17" s="77"/>
      <c r="S17" s="33"/>
      <c r="T17" s="33"/>
      <c r="U17" s="33"/>
      <c r="V17" s="33"/>
      <c r="W17" s="33"/>
      <c r="X17" s="33"/>
      <c r="Y17" s="33"/>
      <c r="Z17" s="33"/>
      <c r="AA17" s="33"/>
    </row>
    <row r="18" ht="18.0" customHeight="1">
      <c r="A18" s="81"/>
      <c r="B18" s="90" t="str">
        <f>"1-104-12-1200"</f>
        <v>1-104-12-1200</v>
      </c>
      <c r="C18" s="90" t="str">
        <f>"34285521127"</f>
        <v>34285521127</v>
      </c>
      <c r="D18" s="91" t="s">
        <v>33</v>
      </c>
      <c r="E18" s="92" t="s">
        <v>30</v>
      </c>
      <c r="F18" s="93"/>
      <c r="G18" s="93"/>
      <c r="H18" s="94"/>
      <c r="I18" s="95">
        <v>2.376812307692307</v>
      </c>
      <c r="J18" s="92">
        <v>12.0</v>
      </c>
      <c r="K18" s="96"/>
      <c r="L18" s="92">
        <f t="shared" si="1"/>
        <v>0</v>
      </c>
      <c r="M18" s="97">
        <f t="shared" si="2"/>
        <v>0</v>
      </c>
      <c r="N18" s="76"/>
      <c r="O18" s="77"/>
      <c r="P18" s="77"/>
      <c r="Q18" s="77"/>
      <c r="R18" s="77"/>
      <c r="S18" s="33"/>
      <c r="T18" s="33"/>
      <c r="U18" s="33"/>
      <c r="V18" s="33"/>
      <c r="W18" s="33"/>
      <c r="X18" s="33"/>
      <c r="Y18" s="33"/>
      <c r="Z18" s="33"/>
      <c r="AA18" s="33"/>
    </row>
    <row r="19" ht="18.0" customHeight="1">
      <c r="A19" s="81"/>
      <c r="B19" s="90" t="str">
        <f>"1-105-05-1200"</f>
        <v>1-105-05-1200</v>
      </c>
      <c r="C19" s="90" t="str">
        <f>"34285506049"</f>
        <v>34285506049</v>
      </c>
      <c r="D19" s="91" t="s">
        <v>34</v>
      </c>
      <c r="E19" s="92" t="s">
        <v>32</v>
      </c>
      <c r="F19" s="93"/>
      <c r="G19" s="93"/>
      <c r="H19" s="94"/>
      <c r="I19" s="95">
        <v>2.885954430379747</v>
      </c>
      <c r="J19" s="92">
        <v>12.0</v>
      </c>
      <c r="K19" s="96"/>
      <c r="L19" s="92">
        <f t="shared" si="1"/>
        <v>0</v>
      </c>
      <c r="M19" s="97">
        <f t="shared" si="2"/>
        <v>0</v>
      </c>
      <c r="N19" s="76"/>
      <c r="O19" s="77"/>
      <c r="P19" s="77"/>
      <c r="Q19" s="77"/>
      <c r="R19" s="77"/>
      <c r="S19" s="33"/>
      <c r="T19" s="33"/>
      <c r="U19" s="33"/>
      <c r="V19" s="33"/>
      <c r="W19" s="33"/>
      <c r="X19" s="33"/>
      <c r="Y19" s="33"/>
      <c r="Z19" s="33"/>
      <c r="AA19" s="33"/>
    </row>
    <row r="20" ht="18.0" customHeight="1">
      <c r="A20" s="81"/>
      <c r="B20" s="90" t="str">
        <f>"1-106-12-1200"</f>
        <v>1-106-12-1200</v>
      </c>
      <c r="C20" s="90" t="str">
        <f>"34285106126"</f>
        <v>34285106126</v>
      </c>
      <c r="D20" s="91" t="s">
        <v>35</v>
      </c>
      <c r="E20" s="92" t="s">
        <v>30</v>
      </c>
      <c r="F20" s="93"/>
      <c r="G20" s="93"/>
      <c r="H20" s="94"/>
      <c r="I20" s="95">
        <v>2.308903384615384</v>
      </c>
      <c r="J20" s="92">
        <v>12.0</v>
      </c>
      <c r="K20" s="96"/>
      <c r="L20" s="92">
        <f t="shared" si="1"/>
        <v>0</v>
      </c>
      <c r="M20" s="97">
        <f t="shared" si="2"/>
        <v>0</v>
      </c>
      <c r="N20" s="76"/>
      <c r="O20" s="77"/>
      <c r="P20" s="77"/>
      <c r="Q20" s="77"/>
      <c r="R20" s="77"/>
      <c r="S20" s="33"/>
      <c r="T20" s="33"/>
      <c r="U20" s="33"/>
      <c r="V20" s="33"/>
      <c r="W20" s="33"/>
      <c r="X20" s="33"/>
      <c r="Y20" s="33"/>
      <c r="Z20" s="33"/>
      <c r="AA20" s="33"/>
    </row>
    <row r="21" ht="18.0" customHeight="1">
      <c r="A21" s="81"/>
      <c r="B21" s="90" t="str">
        <f>"1-107-05-1200"</f>
        <v>1-107-05-1200</v>
      </c>
      <c r="C21" s="90" t="str">
        <f>"34285502041"</f>
        <v>34285502041</v>
      </c>
      <c r="D21" s="91" t="s">
        <v>36</v>
      </c>
      <c r="E21" s="92" t="s">
        <v>32</v>
      </c>
      <c r="F21" s="93"/>
      <c r="G21" s="93"/>
      <c r="H21" s="94"/>
      <c r="I21" s="95">
        <v>2.885954430379747</v>
      </c>
      <c r="J21" s="92">
        <v>12.0</v>
      </c>
      <c r="K21" s="96"/>
      <c r="L21" s="92">
        <f t="shared" si="1"/>
        <v>0</v>
      </c>
      <c r="M21" s="97">
        <f t="shared" si="2"/>
        <v>0</v>
      </c>
      <c r="N21" s="76"/>
      <c r="O21" s="77"/>
      <c r="P21" s="77"/>
      <c r="Q21" s="77"/>
      <c r="R21" s="77"/>
      <c r="S21" s="33"/>
      <c r="T21" s="33"/>
      <c r="U21" s="33"/>
      <c r="V21" s="33"/>
      <c r="W21" s="33"/>
      <c r="X21" s="33"/>
      <c r="Y21" s="33"/>
      <c r="Z21" s="33"/>
      <c r="AA21" s="33"/>
    </row>
    <row r="22" ht="18.0" customHeight="1">
      <c r="A22" s="81"/>
      <c r="B22" s="90" t="str">
        <f>"1-108-12-1200"</f>
        <v>1-108-12-1200</v>
      </c>
      <c r="C22" s="90" t="str">
        <f>"34285520120"</f>
        <v>34285520120</v>
      </c>
      <c r="D22" s="91" t="s">
        <v>37</v>
      </c>
      <c r="E22" s="92" t="s">
        <v>30</v>
      </c>
      <c r="F22" s="93"/>
      <c r="G22" s="93"/>
      <c r="H22" s="94"/>
      <c r="I22" s="95">
        <v>2.376812307692307</v>
      </c>
      <c r="J22" s="92">
        <v>12.0</v>
      </c>
      <c r="K22" s="96"/>
      <c r="L22" s="92">
        <f t="shared" si="1"/>
        <v>0</v>
      </c>
      <c r="M22" s="97">
        <f t="shared" si="2"/>
        <v>0</v>
      </c>
      <c r="N22" s="76"/>
      <c r="O22" s="77"/>
      <c r="P22" s="77"/>
      <c r="Q22" s="77"/>
      <c r="R22" s="77"/>
      <c r="S22" s="33"/>
      <c r="T22" s="33"/>
      <c r="U22" s="33"/>
      <c r="V22" s="33"/>
      <c r="W22" s="33"/>
      <c r="X22" s="33"/>
      <c r="Y22" s="33"/>
      <c r="Z22" s="33"/>
      <c r="AA22" s="33"/>
    </row>
    <row r="23" ht="18.0" customHeight="1">
      <c r="A23" s="81"/>
      <c r="B23" s="90" t="str">
        <f>"1-110-12-1243"</f>
        <v>1-110-12-1243</v>
      </c>
      <c r="C23" s="90" t="str">
        <f>"34285508128"</f>
        <v>34285508128</v>
      </c>
      <c r="D23" s="91" t="s">
        <v>38</v>
      </c>
      <c r="E23" s="92" t="s">
        <v>30</v>
      </c>
      <c r="F23" s="93"/>
      <c r="G23" s="93"/>
      <c r="H23" s="94"/>
      <c r="I23" s="95">
        <v>2.8749217391304343</v>
      </c>
      <c r="J23" s="92">
        <v>12.0</v>
      </c>
      <c r="K23" s="96"/>
      <c r="L23" s="92">
        <f t="shared" si="1"/>
        <v>0</v>
      </c>
      <c r="M23" s="97">
        <f t="shared" si="2"/>
        <v>0</v>
      </c>
      <c r="N23" s="76"/>
      <c r="O23" s="77"/>
      <c r="P23" s="77"/>
      <c r="Q23" s="77"/>
      <c r="R23" s="77"/>
      <c r="S23" s="33"/>
      <c r="T23" s="33"/>
      <c r="U23" s="33"/>
      <c r="V23" s="33"/>
      <c r="W23" s="33"/>
      <c r="X23" s="33"/>
      <c r="Y23" s="33"/>
      <c r="Z23" s="33"/>
      <c r="AA23" s="33"/>
    </row>
    <row r="24" ht="18.0" customHeight="1">
      <c r="A24" s="81"/>
      <c r="B24" s="90" t="str">
        <f>"1-114-05-1200"</f>
        <v>1-114-05-1200</v>
      </c>
      <c r="C24" s="90" t="str">
        <f>"34285502058"</f>
        <v>34285502058</v>
      </c>
      <c r="D24" s="91" t="s">
        <v>39</v>
      </c>
      <c r="E24" s="92" t="s">
        <v>32</v>
      </c>
      <c r="F24" s="93"/>
      <c r="G24" s="93"/>
      <c r="H24" s="94"/>
      <c r="I24" s="95">
        <v>2.885954430379747</v>
      </c>
      <c r="J24" s="92">
        <v>12.0</v>
      </c>
      <c r="K24" s="96"/>
      <c r="L24" s="92">
        <f t="shared" si="1"/>
        <v>0</v>
      </c>
      <c r="M24" s="97">
        <f t="shared" si="2"/>
        <v>0</v>
      </c>
      <c r="N24" s="76"/>
      <c r="O24" s="77"/>
      <c r="P24" s="77"/>
      <c r="Q24" s="77"/>
      <c r="R24" s="77"/>
      <c r="S24" s="33"/>
      <c r="T24" s="33"/>
      <c r="U24" s="33"/>
      <c r="V24" s="33"/>
      <c r="W24" s="33"/>
      <c r="X24" s="33"/>
      <c r="Y24" s="33"/>
      <c r="Z24" s="33"/>
      <c r="AA24" s="33"/>
    </row>
    <row r="25" ht="18.0" customHeight="1">
      <c r="A25" s="81"/>
      <c r="B25" s="90" t="str">
        <f>"1-115-08-1200"</f>
        <v>1-115-08-1200</v>
      </c>
      <c r="C25" s="90" t="str">
        <f>"34285504083"</f>
        <v>34285504083</v>
      </c>
      <c r="D25" s="91" t="s">
        <v>40</v>
      </c>
      <c r="E25" s="92" t="s">
        <v>41</v>
      </c>
      <c r="F25" s="93"/>
      <c r="G25" s="93"/>
      <c r="H25" s="94"/>
      <c r="I25" s="95">
        <v>2.7655232</v>
      </c>
      <c r="J25" s="92">
        <v>12.0</v>
      </c>
      <c r="K25" s="96"/>
      <c r="L25" s="92">
        <f t="shared" si="1"/>
        <v>0</v>
      </c>
      <c r="M25" s="97">
        <f t="shared" si="2"/>
        <v>0</v>
      </c>
      <c r="N25" s="76"/>
      <c r="O25" s="77"/>
      <c r="P25" s="77"/>
      <c r="Q25" s="77"/>
      <c r="R25" s="77"/>
      <c r="S25" s="33"/>
      <c r="T25" s="33"/>
      <c r="U25" s="33"/>
      <c r="V25" s="33"/>
      <c r="W25" s="33"/>
      <c r="X25" s="33"/>
      <c r="Y25" s="33"/>
      <c r="Z25" s="33"/>
      <c r="AA25" s="33"/>
    </row>
    <row r="26" ht="18.0" customHeight="1">
      <c r="A26" s="81"/>
      <c r="B26" s="90" t="str">
        <f>"1-117-01-1200"</f>
        <v>1-117-01-1200</v>
      </c>
      <c r="C26" s="90" t="str">
        <f>"34285530006"</f>
        <v>34285530006</v>
      </c>
      <c r="D26" s="91" t="s">
        <v>42</v>
      </c>
      <c r="E26" s="92" t="s">
        <v>43</v>
      </c>
      <c r="F26" s="93"/>
      <c r="G26" s="93"/>
      <c r="H26" s="94"/>
      <c r="I26" s="95">
        <v>4.502876076294278</v>
      </c>
      <c r="J26" s="92">
        <v>12.0</v>
      </c>
      <c r="K26" s="96"/>
      <c r="L26" s="92">
        <f t="shared" si="1"/>
        <v>0</v>
      </c>
      <c r="M26" s="97">
        <f t="shared" si="2"/>
        <v>0</v>
      </c>
      <c r="N26" s="76"/>
      <c r="O26" s="77"/>
      <c r="P26" s="77"/>
      <c r="Q26" s="77"/>
      <c r="R26" s="77"/>
      <c r="S26" s="33"/>
      <c r="T26" s="33"/>
      <c r="U26" s="33"/>
      <c r="V26" s="33"/>
      <c r="W26" s="33"/>
      <c r="X26" s="33"/>
      <c r="Y26" s="33"/>
      <c r="Z26" s="33"/>
      <c r="AA26" s="33"/>
    </row>
    <row r="27" ht="18.0" customHeight="1">
      <c r="A27" s="81"/>
      <c r="B27" s="90" t="str">
        <f>"1-118-01-1200"</f>
        <v>1-118-01-1200</v>
      </c>
      <c r="C27" s="90" t="str">
        <f>"34285531003"</f>
        <v>34285531003</v>
      </c>
      <c r="D27" s="91" t="s">
        <v>44</v>
      </c>
      <c r="E27" s="92" t="s">
        <v>43</v>
      </c>
      <c r="F27" s="93"/>
      <c r="G27" s="93"/>
      <c r="H27" s="94"/>
      <c r="I27" s="95">
        <v>4.502876076294278</v>
      </c>
      <c r="J27" s="92">
        <v>12.0</v>
      </c>
      <c r="K27" s="96"/>
      <c r="L27" s="92">
        <f t="shared" si="1"/>
        <v>0</v>
      </c>
      <c r="M27" s="97">
        <f t="shared" si="2"/>
        <v>0</v>
      </c>
      <c r="N27" s="76"/>
      <c r="O27" s="77"/>
      <c r="P27" s="77"/>
      <c r="Q27" s="77"/>
      <c r="R27" s="77"/>
      <c r="S27" s="33"/>
      <c r="T27" s="33"/>
      <c r="U27" s="33"/>
      <c r="V27" s="33"/>
      <c r="W27" s="33"/>
      <c r="X27" s="33"/>
      <c r="Y27" s="33"/>
      <c r="Z27" s="33"/>
      <c r="AA27" s="33"/>
    </row>
    <row r="28" ht="18.0" customHeight="1">
      <c r="A28" s="81"/>
      <c r="B28" s="90" t="str">
        <f>"1-120-06-1243"</f>
        <v>1-120-06-1243</v>
      </c>
      <c r="C28" s="90" t="str">
        <f>"34285120061"</f>
        <v>34285120061</v>
      </c>
      <c r="D28" s="91" t="s">
        <v>45</v>
      </c>
      <c r="E28" s="92" t="s">
        <v>46</v>
      </c>
      <c r="F28" s="93"/>
      <c r="G28" s="93"/>
      <c r="H28" s="94"/>
      <c r="I28" s="95">
        <v>2.7639055506607924</v>
      </c>
      <c r="J28" s="92">
        <v>12.0</v>
      </c>
      <c r="K28" s="96"/>
      <c r="L28" s="92">
        <f t="shared" si="1"/>
        <v>0</v>
      </c>
      <c r="M28" s="97">
        <f t="shared" si="2"/>
        <v>0</v>
      </c>
      <c r="N28" s="76"/>
      <c r="O28" s="77"/>
      <c r="P28" s="77"/>
      <c r="Q28" s="77"/>
      <c r="R28" s="77"/>
      <c r="S28" s="33"/>
      <c r="T28" s="33"/>
      <c r="U28" s="33"/>
      <c r="V28" s="33"/>
      <c r="W28" s="33"/>
      <c r="X28" s="33"/>
      <c r="Y28" s="33"/>
      <c r="Z28" s="33"/>
      <c r="AA28" s="33"/>
    </row>
    <row r="29" ht="18.0" customHeight="1">
      <c r="A29" s="81"/>
      <c r="B29" s="90" t="str">
        <f>"1-203-06-1200"</f>
        <v>1-203-06-1200</v>
      </c>
      <c r="C29" s="90" t="str">
        <f>"34285537067"</f>
        <v>34285537067</v>
      </c>
      <c r="D29" s="91" t="s">
        <v>47</v>
      </c>
      <c r="E29" s="92" t="s">
        <v>46</v>
      </c>
      <c r="F29" s="93"/>
      <c r="G29" s="93"/>
      <c r="H29" s="94"/>
      <c r="I29" s="95">
        <v>3.3061599999999998</v>
      </c>
      <c r="J29" s="92">
        <v>12.0</v>
      </c>
      <c r="K29" s="96"/>
      <c r="L29" s="92">
        <f t="shared" si="1"/>
        <v>0</v>
      </c>
      <c r="M29" s="97">
        <f t="shared" si="2"/>
        <v>0</v>
      </c>
      <c r="N29" s="76"/>
      <c r="O29" s="77"/>
      <c r="P29" s="77"/>
      <c r="Q29" s="77"/>
      <c r="R29" s="77"/>
      <c r="S29" s="33"/>
      <c r="T29" s="33"/>
      <c r="U29" s="33"/>
      <c r="V29" s="33"/>
      <c r="W29" s="33"/>
      <c r="X29" s="33"/>
      <c r="Y29" s="33"/>
      <c r="Z29" s="33"/>
      <c r="AA29" s="33"/>
    </row>
    <row r="30" ht="18.0" customHeight="1">
      <c r="A30" s="81"/>
      <c r="B30" s="90" t="str">
        <f>"1-204-15-1200"</f>
        <v>1-204-15-1200</v>
      </c>
      <c r="C30" s="90" t="str">
        <f>"34285541156"</f>
        <v>34285541156</v>
      </c>
      <c r="D30" s="91" t="s">
        <v>48</v>
      </c>
      <c r="E30" s="92" t="s">
        <v>49</v>
      </c>
      <c r="F30" s="93"/>
      <c r="G30" s="93"/>
      <c r="H30" s="94"/>
      <c r="I30" s="95">
        <v>3.8637531428571434</v>
      </c>
      <c r="J30" s="92">
        <v>12.0</v>
      </c>
      <c r="K30" s="96"/>
      <c r="L30" s="92">
        <f t="shared" si="1"/>
        <v>0</v>
      </c>
      <c r="M30" s="97">
        <f t="shared" si="2"/>
        <v>0</v>
      </c>
      <c r="N30" s="76"/>
      <c r="O30" s="77"/>
      <c r="P30" s="77"/>
      <c r="Q30" s="77"/>
      <c r="R30" s="77"/>
      <c r="S30" s="33"/>
      <c r="T30" s="33"/>
      <c r="U30" s="33"/>
      <c r="V30" s="33"/>
      <c r="W30" s="33"/>
      <c r="X30" s="33"/>
      <c r="Y30" s="33"/>
      <c r="Z30" s="33"/>
      <c r="AA30" s="33"/>
    </row>
    <row r="31" ht="18.0" customHeight="1">
      <c r="A31" s="81"/>
      <c r="B31" s="90" t="str">
        <f>"1-207-15-1200"</f>
        <v>1-207-15-1200</v>
      </c>
      <c r="C31" s="90" t="str">
        <f>"34285534165"</f>
        <v>34285534165</v>
      </c>
      <c r="D31" s="91" t="s">
        <v>50</v>
      </c>
      <c r="E31" s="92" t="s">
        <v>49</v>
      </c>
      <c r="F31" s="93"/>
      <c r="G31" s="93"/>
      <c r="H31" s="94"/>
      <c r="I31" s="95">
        <v>3.8613735849056603</v>
      </c>
      <c r="J31" s="92">
        <v>12.0</v>
      </c>
      <c r="K31" s="96"/>
      <c r="L31" s="92">
        <f t="shared" si="1"/>
        <v>0</v>
      </c>
      <c r="M31" s="97">
        <f t="shared" si="2"/>
        <v>0</v>
      </c>
      <c r="N31" s="76"/>
      <c r="O31" s="77"/>
      <c r="P31" s="77"/>
      <c r="Q31" s="77"/>
      <c r="R31" s="77"/>
      <c r="S31" s="33"/>
      <c r="T31" s="33"/>
      <c r="U31" s="33"/>
      <c r="V31" s="33"/>
      <c r="W31" s="33"/>
      <c r="X31" s="33"/>
      <c r="Y31" s="33"/>
      <c r="Z31" s="33"/>
      <c r="AA31" s="33"/>
    </row>
    <row r="32" ht="18.0" customHeight="1">
      <c r="A32" s="81"/>
      <c r="B32" s="90" t="str">
        <f>"1-210-06-1200"</f>
        <v>1-210-06-1200</v>
      </c>
      <c r="C32" s="90" t="str">
        <f>"34285545062"</f>
        <v>34285545062</v>
      </c>
      <c r="D32" s="91" t="s">
        <v>51</v>
      </c>
      <c r="E32" s="92" t="s">
        <v>46</v>
      </c>
      <c r="F32" s="93"/>
      <c r="G32" s="93"/>
      <c r="H32" s="94"/>
      <c r="I32" s="95">
        <v>3.275485714285715</v>
      </c>
      <c r="J32" s="92">
        <v>12.0</v>
      </c>
      <c r="K32" s="96"/>
      <c r="L32" s="92">
        <f t="shared" si="1"/>
        <v>0</v>
      </c>
      <c r="M32" s="97">
        <f t="shared" si="2"/>
        <v>0</v>
      </c>
      <c r="N32" s="76"/>
      <c r="O32" s="77"/>
      <c r="P32" s="77"/>
      <c r="Q32" s="77"/>
      <c r="R32" s="77"/>
      <c r="S32" s="33"/>
      <c r="T32" s="33"/>
      <c r="U32" s="33"/>
      <c r="V32" s="33"/>
      <c r="W32" s="33"/>
      <c r="X32" s="33"/>
      <c r="Y32" s="33"/>
      <c r="Z32" s="33"/>
      <c r="AA32" s="33"/>
    </row>
    <row r="33" ht="18.0" customHeight="1">
      <c r="A33" s="81"/>
      <c r="B33" s="90" t="str">
        <f>"1-212-06-1200"</f>
        <v>1-212-06-1200</v>
      </c>
      <c r="C33" s="90" t="str">
        <f>"34285543068"</f>
        <v>34285543068</v>
      </c>
      <c r="D33" s="91" t="s">
        <v>52</v>
      </c>
      <c r="E33" s="92" t="s">
        <v>46</v>
      </c>
      <c r="F33" s="93"/>
      <c r="G33" s="93"/>
      <c r="H33" s="94"/>
      <c r="I33" s="95">
        <v>3.305357933579336</v>
      </c>
      <c r="J33" s="92">
        <v>12.0</v>
      </c>
      <c r="K33" s="96"/>
      <c r="L33" s="92">
        <f t="shared" si="1"/>
        <v>0</v>
      </c>
      <c r="M33" s="97">
        <f t="shared" si="2"/>
        <v>0</v>
      </c>
      <c r="N33" s="76"/>
      <c r="O33" s="77"/>
      <c r="P33" s="77"/>
      <c r="Q33" s="77"/>
      <c r="R33" s="77"/>
      <c r="S33" s="33"/>
      <c r="T33" s="33"/>
      <c r="U33" s="33"/>
      <c r="V33" s="33"/>
      <c r="W33" s="33"/>
      <c r="X33" s="33"/>
      <c r="Y33" s="33"/>
      <c r="Z33" s="33"/>
      <c r="AA33" s="33"/>
    </row>
    <row r="34" ht="18.0" customHeight="1">
      <c r="A34" s="81"/>
      <c r="B34" s="90" t="str">
        <f>"1-228-12-1200"</f>
        <v>1-228-12-1200</v>
      </c>
      <c r="C34" s="90" t="str">
        <f>"34285228125"</f>
        <v>34285228125</v>
      </c>
      <c r="D34" s="91" t="s">
        <v>53</v>
      </c>
      <c r="E34" s="92" t="s">
        <v>30</v>
      </c>
      <c r="F34" s="93"/>
      <c r="G34" s="93"/>
      <c r="H34" s="94"/>
      <c r="I34" s="95">
        <v>3.8645564331210185</v>
      </c>
      <c r="J34" s="92">
        <v>12.0</v>
      </c>
      <c r="K34" s="96"/>
      <c r="L34" s="92">
        <f t="shared" si="1"/>
        <v>0</v>
      </c>
      <c r="M34" s="97">
        <f t="shared" si="2"/>
        <v>0</v>
      </c>
      <c r="N34" s="76"/>
      <c r="O34" s="77"/>
      <c r="P34" s="77"/>
      <c r="Q34" s="77"/>
      <c r="R34" s="77"/>
      <c r="S34" s="33"/>
      <c r="T34" s="33"/>
      <c r="U34" s="33"/>
      <c r="V34" s="33"/>
      <c r="W34" s="33"/>
      <c r="X34" s="33"/>
      <c r="Y34" s="33"/>
      <c r="Z34" s="33"/>
      <c r="AA34" s="33"/>
    </row>
    <row r="35" ht="18.0" customHeight="1">
      <c r="A35" s="81"/>
      <c r="B35" s="90" t="str">
        <f>"1-236-01-1200"</f>
        <v>1-236-01-1200</v>
      </c>
      <c r="C35" s="90" t="str">
        <f>"34285540005"</f>
        <v>34285540005</v>
      </c>
      <c r="D35" s="91" t="s">
        <v>54</v>
      </c>
      <c r="E35" s="92" t="s">
        <v>43</v>
      </c>
      <c r="F35" s="93"/>
      <c r="G35" s="93"/>
      <c r="H35" s="94"/>
      <c r="I35" s="95">
        <v>5.365533709327551</v>
      </c>
      <c r="J35" s="92">
        <v>12.0</v>
      </c>
      <c r="K35" s="96"/>
      <c r="L35" s="92">
        <f t="shared" si="1"/>
        <v>0</v>
      </c>
      <c r="M35" s="97">
        <f t="shared" si="2"/>
        <v>0</v>
      </c>
      <c r="N35" s="76"/>
      <c r="O35" s="77"/>
      <c r="P35" s="77"/>
      <c r="Q35" s="77"/>
      <c r="R35" s="77"/>
      <c r="S35" s="33"/>
      <c r="T35" s="33"/>
      <c r="U35" s="33"/>
      <c r="V35" s="33"/>
      <c r="W35" s="33"/>
      <c r="X35" s="33"/>
      <c r="Y35" s="33"/>
      <c r="Z35" s="33"/>
      <c r="AA35" s="33"/>
    </row>
    <row r="36" ht="18.0" customHeight="1">
      <c r="A36" s="81"/>
      <c r="B36" s="90" t="str">
        <f>"1-237-01-1200"</f>
        <v>1-237-01-1200</v>
      </c>
      <c r="C36" s="90" t="str">
        <f>"34285541002"</f>
        <v>34285541002</v>
      </c>
      <c r="D36" s="91" t="s">
        <v>55</v>
      </c>
      <c r="E36" s="92" t="s">
        <v>43</v>
      </c>
      <c r="F36" s="93"/>
      <c r="G36" s="93"/>
      <c r="H36" s="94"/>
      <c r="I36" s="95">
        <v>5.365533709327551</v>
      </c>
      <c r="J36" s="92">
        <v>12.0</v>
      </c>
      <c r="K36" s="96"/>
      <c r="L36" s="92">
        <f t="shared" si="1"/>
        <v>0</v>
      </c>
      <c r="M36" s="97">
        <f t="shared" si="2"/>
        <v>0</v>
      </c>
      <c r="N36" s="76"/>
      <c r="O36" s="77"/>
      <c r="P36" s="77"/>
      <c r="Q36" s="77"/>
      <c r="R36" s="77"/>
      <c r="S36" s="33"/>
      <c r="T36" s="33"/>
      <c r="U36" s="33"/>
      <c r="V36" s="33"/>
      <c r="W36" s="33"/>
      <c r="X36" s="33"/>
      <c r="Y36" s="33"/>
      <c r="Z36" s="33"/>
      <c r="AA36" s="33"/>
    </row>
    <row r="37" ht="18.0" customHeight="1">
      <c r="A37" s="81"/>
      <c r="B37" s="90" t="str">
        <f>"1-246-01-0600"</f>
        <v>1-246-01-0600</v>
      </c>
      <c r="C37" s="90" t="str">
        <f>"34285246013"</f>
        <v>34285246013</v>
      </c>
      <c r="D37" s="91" t="s">
        <v>56</v>
      </c>
      <c r="E37" s="92" t="s">
        <v>43</v>
      </c>
      <c r="F37" s="93"/>
      <c r="G37" s="93"/>
      <c r="H37" s="94"/>
      <c r="I37" s="95">
        <v>10.440460799999999</v>
      </c>
      <c r="J37" s="92">
        <v>6.0</v>
      </c>
      <c r="K37" s="96"/>
      <c r="L37" s="92">
        <f t="shared" si="1"/>
        <v>0</v>
      </c>
      <c r="M37" s="97">
        <f t="shared" si="2"/>
        <v>0</v>
      </c>
      <c r="N37" s="76"/>
      <c r="O37" s="77"/>
      <c r="P37" s="77"/>
      <c r="Q37" s="77"/>
      <c r="R37" s="77"/>
      <c r="S37" s="33"/>
      <c r="T37" s="33"/>
      <c r="U37" s="33"/>
      <c r="V37" s="33"/>
      <c r="W37" s="33"/>
      <c r="X37" s="33"/>
      <c r="Y37" s="33"/>
      <c r="Z37" s="33"/>
      <c r="AA37" s="33"/>
    </row>
    <row r="38" ht="18.0" customHeight="1">
      <c r="A38" s="81"/>
      <c r="B38" s="90" t="str">
        <f>"1-247-01-0600"</f>
        <v>1-247-01-0600</v>
      </c>
      <c r="C38" s="90" t="str">
        <f>"34285247010"</f>
        <v>34285247010</v>
      </c>
      <c r="D38" s="91" t="s">
        <v>57</v>
      </c>
      <c r="E38" s="92" t="s">
        <v>43</v>
      </c>
      <c r="F38" s="93"/>
      <c r="G38" s="93"/>
      <c r="H38" s="94"/>
      <c r="I38" s="95">
        <v>10.440460799999999</v>
      </c>
      <c r="J38" s="92">
        <v>6.0</v>
      </c>
      <c r="K38" s="96"/>
      <c r="L38" s="92">
        <f t="shared" si="1"/>
        <v>0</v>
      </c>
      <c r="M38" s="97">
        <f t="shared" si="2"/>
        <v>0</v>
      </c>
      <c r="N38" s="76"/>
      <c r="O38" s="77"/>
      <c r="P38" s="77"/>
      <c r="Q38" s="77"/>
      <c r="R38" s="77"/>
      <c r="S38" s="33"/>
      <c r="T38" s="33"/>
      <c r="U38" s="33"/>
      <c r="V38" s="33"/>
      <c r="W38" s="33"/>
      <c r="X38" s="33"/>
      <c r="Y38" s="33"/>
      <c r="Z38" s="33"/>
      <c r="AA38" s="33"/>
    </row>
    <row r="39" ht="18.0" customHeight="1">
      <c r="A39" s="81"/>
      <c r="B39" s="90" t="str">
        <f>"1-248-15-1200"</f>
        <v>1-248-15-1200</v>
      </c>
      <c r="C39" s="90" t="str">
        <f>"34285248154"</f>
        <v>34285248154</v>
      </c>
      <c r="D39" s="91" t="s">
        <v>58</v>
      </c>
      <c r="E39" s="92" t="s">
        <v>49</v>
      </c>
      <c r="F39" s="93"/>
      <c r="G39" s="93"/>
      <c r="H39" s="94"/>
      <c r="I39" s="95">
        <v>3.677889600000001</v>
      </c>
      <c r="J39" s="92">
        <v>12.0</v>
      </c>
      <c r="K39" s="96"/>
      <c r="L39" s="92">
        <f t="shared" si="1"/>
        <v>0</v>
      </c>
      <c r="M39" s="97">
        <f t="shared" si="2"/>
        <v>0</v>
      </c>
      <c r="N39" s="76"/>
      <c r="O39" s="77"/>
      <c r="P39" s="77"/>
      <c r="Q39" s="77"/>
      <c r="R39" s="77"/>
      <c r="S39" s="33"/>
      <c r="T39" s="33"/>
      <c r="U39" s="33"/>
      <c r="V39" s="33"/>
      <c r="W39" s="33"/>
      <c r="X39" s="33"/>
      <c r="Y39" s="33"/>
      <c r="Z39" s="33"/>
      <c r="AA39" s="33"/>
    </row>
    <row r="40" ht="18.0" customHeight="1">
      <c r="A40" s="81"/>
      <c r="B40" s="90" t="str">
        <f>"1-249-06-1200"</f>
        <v>1-249-06-1200</v>
      </c>
      <c r="C40" s="90" t="str">
        <f>"34285249069"</f>
        <v>34285249069</v>
      </c>
      <c r="D40" s="91" t="s">
        <v>59</v>
      </c>
      <c r="E40" s="92" t="s">
        <v>46</v>
      </c>
      <c r="F40" s="93"/>
      <c r="G40" s="93"/>
      <c r="H40" s="94"/>
      <c r="I40" s="95">
        <v>3.3868800000000006</v>
      </c>
      <c r="J40" s="92">
        <v>12.0</v>
      </c>
      <c r="K40" s="96"/>
      <c r="L40" s="92">
        <f t="shared" si="1"/>
        <v>0</v>
      </c>
      <c r="M40" s="97">
        <f t="shared" si="2"/>
        <v>0</v>
      </c>
      <c r="N40" s="76"/>
      <c r="O40" s="77"/>
      <c r="P40" s="77"/>
      <c r="Q40" s="77"/>
      <c r="R40" s="77"/>
      <c r="S40" s="33"/>
      <c r="T40" s="33"/>
      <c r="U40" s="33"/>
      <c r="V40" s="33"/>
      <c r="W40" s="33"/>
      <c r="X40" s="33"/>
      <c r="Y40" s="33"/>
      <c r="Z40" s="33"/>
      <c r="AA40" s="33"/>
    </row>
    <row r="41" ht="18.0" customHeight="1">
      <c r="A41" s="81"/>
      <c r="B41" s="90" t="str">
        <f>"1-250-12-1200"</f>
        <v>1-250-12-1200</v>
      </c>
      <c r="C41" s="90" t="str">
        <f>"34285250126"</f>
        <v>34285250126</v>
      </c>
      <c r="D41" s="91" t="s">
        <v>60</v>
      </c>
      <c r="E41" s="92" t="s">
        <v>30</v>
      </c>
      <c r="F41" s="93"/>
      <c r="G41" s="93"/>
      <c r="H41" s="94"/>
      <c r="I41" s="95">
        <v>3.4443826334519576</v>
      </c>
      <c r="J41" s="92">
        <v>12.0</v>
      </c>
      <c r="K41" s="96"/>
      <c r="L41" s="92">
        <f t="shared" si="1"/>
        <v>0</v>
      </c>
      <c r="M41" s="97">
        <f t="shared" si="2"/>
        <v>0</v>
      </c>
      <c r="N41" s="76"/>
      <c r="O41" s="77"/>
      <c r="P41" s="77"/>
      <c r="Q41" s="77"/>
      <c r="R41" s="77"/>
      <c r="S41" s="33"/>
      <c r="T41" s="33"/>
      <c r="U41" s="33"/>
      <c r="V41" s="33"/>
      <c r="W41" s="33"/>
      <c r="X41" s="33"/>
      <c r="Y41" s="33"/>
      <c r="Z41" s="33"/>
      <c r="AA41" s="33"/>
    </row>
    <row r="42" ht="18.0" customHeight="1">
      <c r="A42" s="81"/>
      <c r="B42" s="90" t="str">
        <f>"1-256-08-1200"</f>
        <v>1-256-08-1200</v>
      </c>
      <c r="C42" s="90" t="str">
        <f>"34285256081"</f>
        <v>34285256081</v>
      </c>
      <c r="D42" s="91" t="s">
        <v>61</v>
      </c>
      <c r="E42" s="92" t="s">
        <v>62</v>
      </c>
      <c r="F42" s="93"/>
      <c r="G42" s="93"/>
      <c r="H42" s="94"/>
      <c r="I42" s="95">
        <v>4.701275897435898</v>
      </c>
      <c r="J42" s="92">
        <v>12.0</v>
      </c>
      <c r="K42" s="96"/>
      <c r="L42" s="92">
        <f t="shared" si="1"/>
        <v>0</v>
      </c>
      <c r="M42" s="97">
        <f t="shared" si="2"/>
        <v>0</v>
      </c>
      <c r="N42" s="76"/>
      <c r="O42" s="77"/>
      <c r="P42" s="77"/>
      <c r="Q42" s="77"/>
      <c r="R42" s="77"/>
      <c r="S42" s="33"/>
      <c r="T42" s="33"/>
      <c r="U42" s="33"/>
      <c r="V42" s="33"/>
      <c r="W42" s="33"/>
      <c r="X42" s="33"/>
      <c r="Y42" s="33"/>
      <c r="Z42" s="33"/>
      <c r="AA42" s="33"/>
    </row>
    <row r="43" ht="18.0" customHeight="1">
      <c r="A43" s="81"/>
      <c r="B43" s="90" t="str">
        <f>"1-502-07-1200"</f>
        <v>1-502-07-1200</v>
      </c>
      <c r="C43" s="90" t="str">
        <f>"34285570088"</f>
        <v>34285570088</v>
      </c>
      <c r="D43" s="91" t="s">
        <v>63</v>
      </c>
      <c r="E43" s="92" t="s">
        <v>64</v>
      </c>
      <c r="F43" s="93"/>
      <c r="G43" s="93"/>
      <c r="H43" s="94"/>
      <c r="I43" s="95">
        <v>4.216546740331492</v>
      </c>
      <c r="J43" s="92">
        <v>12.0</v>
      </c>
      <c r="K43" s="96"/>
      <c r="L43" s="92">
        <f t="shared" si="1"/>
        <v>0</v>
      </c>
      <c r="M43" s="97">
        <f t="shared" si="2"/>
        <v>0</v>
      </c>
      <c r="N43" s="76"/>
      <c r="O43" s="77"/>
      <c r="P43" s="77"/>
      <c r="Q43" s="77"/>
      <c r="R43" s="77"/>
      <c r="S43" s="33"/>
      <c r="T43" s="33"/>
      <c r="U43" s="33"/>
      <c r="V43" s="33"/>
      <c r="W43" s="33"/>
      <c r="X43" s="33"/>
      <c r="Y43" s="33"/>
      <c r="Z43" s="33"/>
      <c r="AA43" s="33"/>
    </row>
    <row r="44" ht="18.0" customHeight="1">
      <c r="A44" s="81"/>
      <c r="B44" s="90" t="str">
        <f>"1-503-07-1200"</f>
        <v>1-503-07-1200</v>
      </c>
      <c r="C44" s="90" t="str">
        <f>"34285564070"</f>
        <v>34285564070</v>
      </c>
      <c r="D44" s="91" t="s">
        <v>65</v>
      </c>
      <c r="E44" s="92" t="s">
        <v>64</v>
      </c>
      <c r="F44" s="93"/>
      <c r="G44" s="93"/>
      <c r="H44" s="94"/>
      <c r="I44" s="95">
        <v>3.4098533333333325</v>
      </c>
      <c r="J44" s="92">
        <v>12.0</v>
      </c>
      <c r="K44" s="96"/>
      <c r="L44" s="92">
        <f t="shared" si="1"/>
        <v>0</v>
      </c>
      <c r="M44" s="97">
        <f t="shared" si="2"/>
        <v>0</v>
      </c>
      <c r="N44" s="76"/>
      <c r="O44" s="77"/>
      <c r="P44" s="77"/>
      <c r="Q44" s="77"/>
      <c r="R44" s="77"/>
      <c r="S44" s="33"/>
      <c r="T44" s="33"/>
      <c r="U44" s="33"/>
      <c r="V44" s="33"/>
      <c r="W44" s="33"/>
      <c r="X44" s="33"/>
      <c r="Y44" s="33"/>
      <c r="Z44" s="33"/>
      <c r="AA44" s="33"/>
    </row>
    <row r="45" ht="18.0" customHeight="1">
      <c r="A45" s="81"/>
      <c r="B45" s="90" t="str">
        <f>"1-504-15-1200"</f>
        <v>1-504-15-1200</v>
      </c>
      <c r="C45" s="90" t="str">
        <f>"34285565152"</f>
        <v>34285565152</v>
      </c>
      <c r="D45" s="91" t="s">
        <v>66</v>
      </c>
      <c r="E45" s="92" t="s">
        <v>49</v>
      </c>
      <c r="F45" s="93"/>
      <c r="G45" s="93"/>
      <c r="H45" s="94"/>
      <c r="I45" s="95">
        <v>3.4098533333333325</v>
      </c>
      <c r="J45" s="92">
        <v>12.0</v>
      </c>
      <c r="K45" s="96"/>
      <c r="L45" s="92">
        <f t="shared" si="1"/>
        <v>0</v>
      </c>
      <c r="M45" s="97">
        <f t="shared" si="2"/>
        <v>0</v>
      </c>
      <c r="N45" s="76"/>
      <c r="O45" s="77"/>
      <c r="P45" s="77"/>
      <c r="Q45" s="77"/>
      <c r="R45" s="77"/>
      <c r="S45" s="33"/>
      <c r="T45" s="33"/>
      <c r="U45" s="33"/>
      <c r="V45" s="33"/>
      <c r="W45" s="33"/>
      <c r="X45" s="33"/>
      <c r="Y45" s="33"/>
      <c r="Z45" s="33"/>
      <c r="AA45" s="33"/>
    </row>
    <row r="46" ht="18.0" customHeight="1">
      <c r="A46" s="81"/>
      <c r="B46" s="90" t="str">
        <f>"1-507-01-1200"</f>
        <v>1-507-01-1200</v>
      </c>
      <c r="C46" s="90" t="str">
        <f>"34285562007"</f>
        <v>34285562007</v>
      </c>
      <c r="D46" s="91" t="s">
        <v>67</v>
      </c>
      <c r="E46" s="92" t="s">
        <v>43</v>
      </c>
      <c r="F46" s="93"/>
      <c r="G46" s="93"/>
      <c r="H46" s="94"/>
      <c r="I46" s="95">
        <v>5.797874965675058</v>
      </c>
      <c r="J46" s="92">
        <v>12.0</v>
      </c>
      <c r="K46" s="96"/>
      <c r="L46" s="92">
        <f t="shared" si="1"/>
        <v>0</v>
      </c>
      <c r="M46" s="97">
        <f t="shared" si="2"/>
        <v>0</v>
      </c>
      <c r="N46" s="76"/>
      <c r="O46" s="77"/>
      <c r="P46" s="77"/>
      <c r="Q46" s="77"/>
      <c r="R46" s="77"/>
      <c r="S46" s="33"/>
      <c r="T46" s="33"/>
      <c r="U46" s="33"/>
      <c r="V46" s="33"/>
      <c r="W46" s="33"/>
      <c r="X46" s="33"/>
      <c r="Y46" s="33"/>
      <c r="Z46" s="33"/>
      <c r="AA46" s="33"/>
    </row>
    <row r="47" ht="18.0" customHeight="1">
      <c r="A47" s="81"/>
      <c r="B47" s="90" t="str">
        <f>"1-508-01-1200"</f>
        <v>1-508-01-1200</v>
      </c>
      <c r="C47" s="90" t="str">
        <f>"34285561000"</f>
        <v>34285561000</v>
      </c>
      <c r="D47" s="91" t="s">
        <v>68</v>
      </c>
      <c r="E47" s="92" t="s">
        <v>43</v>
      </c>
      <c r="F47" s="93"/>
      <c r="G47" s="93"/>
      <c r="H47" s="94"/>
      <c r="I47" s="95">
        <v>5.797874965675058</v>
      </c>
      <c r="J47" s="92">
        <v>12.0</v>
      </c>
      <c r="K47" s="96"/>
      <c r="L47" s="92">
        <f t="shared" si="1"/>
        <v>0</v>
      </c>
      <c r="M47" s="97">
        <f t="shared" si="2"/>
        <v>0</v>
      </c>
      <c r="N47" s="76"/>
      <c r="O47" s="77"/>
      <c r="P47" s="77"/>
      <c r="Q47" s="77"/>
      <c r="R47" s="77"/>
      <c r="S47" s="33"/>
      <c r="T47" s="33"/>
      <c r="U47" s="33"/>
      <c r="V47" s="33"/>
      <c r="W47" s="33"/>
      <c r="X47" s="33"/>
      <c r="Y47" s="33"/>
      <c r="Z47" s="33"/>
      <c r="AA47" s="33"/>
    </row>
    <row r="48" ht="18.0" customHeight="1">
      <c r="A48" s="81"/>
      <c r="B48" s="90" t="str">
        <f>"1-509-12-1200"</f>
        <v>1-509-12-1200</v>
      </c>
      <c r="C48" s="90" t="str">
        <f>"34285567125"</f>
        <v>34285567125</v>
      </c>
      <c r="D48" s="91" t="s">
        <v>69</v>
      </c>
      <c r="E48" s="92" t="s">
        <v>30</v>
      </c>
      <c r="F48" s="93"/>
      <c r="G48" s="93"/>
      <c r="H48" s="94"/>
      <c r="I48" s="95">
        <v>3.4041749480968853</v>
      </c>
      <c r="J48" s="92">
        <v>12.0</v>
      </c>
      <c r="K48" s="96"/>
      <c r="L48" s="92">
        <f t="shared" si="1"/>
        <v>0</v>
      </c>
      <c r="M48" s="97">
        <f t="shared" si="2"/>
        <v>0</v>
      </c>
      <c r="N48" s="76"/>
      <c r="O48" s="77"/>
      <c r="P48" s="77"/>
      <c r="Q48" s="77"/>
      <c r="R48" s="77"/>
      <c r="S48" s="33"/>
      <c r="T48" s="33"/>
      <c r="U48" s="33"/>
      <c r="V48" s="33"/>
      <c r="W48" s="33"/>
      <c r="X48" s="33"/>
      <c r="Y48" s="33"/>
      <c r="Z48" s="33"/>
      <c r="AA48" s="33"/>
    </row>
    <row r="49" ht="18.0" customHeight="1">
      <c r="A49" s="81"/>
      <c r="B49" s="90" t="str">
        <f>"1-511-12-1200"</f>
        <v>1-511-12-1200</v>
      </c>
      <c r="C49" s="90" t="str">
        <f>"34285569129"</f>
        <v>34285569129</v>
      </c>
      <c r="D49" s="91" t="s">
        <v>70</v>
      </c>
      <c r="E49" s="92" t="s">
        <v>30</v>
      </c>
      <c r="F49" s="93"/>
      <c r="G49" s="93"/>
      <c r="H49" s="94"/>
      <c r="I49" s="95">
        <v>3.2407738078291817</v>
      </c>
      <c r="J49" s="92">
        <v>12.0</v>
      </c>
      <c r="K49" s="96"/>
      <c r="L49" s="92">
        <f t="shared" si="1"/>
        <v>0</v>
      </c>
      <c r="M49" s="97">
        <f t="shared" si="2"/>
        <v>0</v>
      </c>
      <c r="N49" s="76"/>
      <c r="O49" s="77"/>
      <c r="P49" s="77"/>
      <c r="Q49" s="77"/>
      <c r="R49" s="77"/>
      <c r="S49" s="33"/>
      <c r="T49" s="33"/>
      <c r="U49" s="33"/>
      <c r="V49" s="33"/>
      <c r="W49" s="33"/>
      <c r="X49" s="33"/>
      <c r="Y49" s="33"/>
      <c r="Z49" s="33"/>
      <c r="AA49" s="33"/>
    </row>
    <row r="50" ht="18.0" customHeight="1">
      <c r="A50" s="81"/>
      <c r="B50" s="90" t="str">
        <f>"1-517-01-1200"</f>
        <v>1-517-01-1200</v>
      </c>
      <c r="C50" s="90" t="str">
        <f>"34285517014"</f>
        <v>34285517014</v>
      </c>
      <c r="D50" s="91" t="s">
        <v>71</v>
      </c>
      <c r="E50" s="92" t="s">
        <v>43</v>
      </c>
      <c r="F50" s="93"/>
      <c r="G50" s="93"/>
      <c r="H50" s="94"/>
      <c r="I50" s="95">
        <v>6.59278470119522</v>
      </c>
      <c r="J50" s="92">
        <v>12.0</v>
      </c>
      <c r="K50" s="96"/>
      <c r="L50" s="92">
        <f t="shared" si="1"/>
        <v>0</v>
      </c>
      <c r="M50" s="97">
        <f t="shared" si="2"/>
        <v>0</v>
      </c>
      <c r="N50" s="76"/>
      <c r="O50" s="77"/>
      <c r="P50" s="77"/>
      <c r="Q50" s="77"/>
      <c r="R50" s="77"/>
      <c r="S50" s="33"/>
      <c r="T50" s="33"/>
      <c r="U50" s="33"/>
      <c r="V50" s="33"/>
      <c r="W50" s="33"/>
      <c r="X50" s="33"/>
      <c r="Y50" s="33"/>
      <c r="Z50" s="33"/>
      <c r="AA50" s="33"/>
    </row>
    <row r="51" ht="18.0" customHeight="1">
      <c r="A51" s="81"/>
      <c r="B51" s="90" t="str">
        <f>"1-525-15-1200"</f>
        <v>1-525-15-1200</v>
      </c>
      <c r="C51" s="90" t="str">
        <f>"34285525156"</f>
        <v>34285525156</v>
      </c>
      <c r="D51" s="91" t="s">
        <v>72</v>
      </c>
      <c r="E51" s="92" t="s">
        <v>49</v>
      </c>
      <c r="F51" s="93"/>
      <c r="G51" s="93"/>
      <c r="H51" s="94"/>
      <c r="I51" s="95">
        <v>3.3256108185053384</v>
      </c>
      <c r="J51" s="92">
        <v>12.0</v>
      </c>
      <c r="K51" s="96"/>
      <c r="L51" s="92">
        <f t="shared" si="1"/>
        <v>0</v>
      </c>
      <c r="M51" s="97">
        <f t="shared" si="2"/>
        <v>0</v>
      </c>
      <c r="N51" s="76"/>
      <c r="O51" s="77"/>
      <c r="P51" s="77"/>
      <c r="Q51" s="77"/>
      <c r="R51" s="77"/>
      <c r="S51" s="33"/>
      <c r="T51" s="33"/>
      <c r="U51" s="33"/>
      <c r="V51" s="33"/>
      <c r="W51" s="33"/>
      <c r="X51" s="33"/>
      <c r="Y51" s="33"/>
      <c r="Z51" s="33"/>
      <c r="AA51" s="33"/>
    </row>
    <row r="52" ht="18.0" customHeight="1">
      <c r="A52" s="81"/>
      <c r="B52" s="90" t="str">
        <f>"1-526-12-1243"</f>
        <v>1-526-12-1243</v>
      </c>
      <c r="C52" s="90" t="str">
        <f>"34285526122"</f>
        <v>34285526122</v>
      </c>
      <c r="D52" s="91" t="s">
        <v>73</v>
      </c>
      <c r="E52" s="92" t="s">
        <v>30</v>
      </c>
      <c r="F52" s="93"/>
      <c r="G52" s="93"/>
      <c r="H52" s="94"/>
      <c r="I52" s="95">
        <v>3.9287368421052626</v>
      </c>
      <c r="J52" s="92">
        <v>12.0</v>
      </c>
      <c r="K52" s="96"/>
      <c r="L52" s="92">
        <f t="shared" si="1"/>
        <v>0</v>
      </c>
      <c r="M52" s="97">
        <f t="shared" si="2"/>
        <v>0</v>
      </c>
      <c r="N52" s="76"/>
      <c r="O52" s="77"/>
      <c r="P52" s="77"/>
      <c r="Q52" s="77"/>
      <c r="R52" s="77"/>
      <c r="S52" s="33"/>
      <c r="T52" s="33"/>
      <c r="U52" s="33"/>
      <c r="V52" s="33"/>
      <c r="W52" s="33"/>
      <c r="X52" s="33"/>
      <c r="Y52" s="33"/>
      <c r="Z52" s="33"/>
      <c r="AA52" s="33"/>
    </row>
    <row r="53" ht="18.0" customHeight="1">
      <c r="A53" s="81"/>
      <c r="B53" s="90" t="str">
        <f>"1-527-08-1200"</f>
        <v>1-527-08-1200</v>
      </c>
      <c r="C53" s="90" t="str">
        <f>"34285527082"</f>
        <v>34285527082</v>
      </c>
      <c r="D53" s="91" t="s">
        <v>74</v>
      </c>
      <c r="E53" s="92" t="s">
        <v>41</v>
      </c>
      <c r="F53" s="93"/>
      <c r="G53" s="93"/>
      <c r="H53" s="94"/>
      <c r="I53" s="95">
        <v>3.4734857142857143</v>
      </c>
      <c r="J53" s="92">
        <v>12.0</v>
      </c>
      <c r="K53" s="96"/>
      <c r="L53" s="92">
        <f t="shared" si="1"/>
        <v>0</v>
      </c>
      <c r="M53" s="97">
        <f t="shared" si="2"/>
        <v>0</v>
      </c>
      <c r="N53" s="76"/>
      <c r="O53" s="77"/>
      <c r="P53" s="77"/>
      <c r="Q53" s="77"/>
      <c r="R53" s="77"/>
      <c r="S53" s="33"/>
      <c r="T53" s="33"/>
      <c r="U53" s="33"/>
      <c r="V53" s="33"/>
      <c r="W53" s="33"/>
      <c r="X53" s="33"/>
      <c r="Y53" s="33"/>
      <c r="Z53" s="33"/>
      <c r="AA53" s="33"/>
    </row>
    <row r="54" ht="18.0" customHeight="1">
      <c r="A54" s="81"/>
      <c r="B54" s="90" t="str">
        <f>"1-550-08-1200"</f>
        <v>1-550-08-1200</v>
      </c>
      <c r="C54" s="90" t="str">
        <f>"34285558086"</f>
        <v>34285558086</v>
      </c>
      <c r="D54" s="91" t="s">
        <v>75</v>
      </c>
      <c r="E54" s="92" t="s">
        <v>41</v>
      </c>
      <c r="F54" s="93"/>
      <c r="G54" s="93"/>
      <c r="H54" s="94"/>
      <c r="I54" s="95">
        <v>4.238873239436621</v>
      </c>
      <c r="J54" s="92">
        <v>12.0</v>
      </c>
      <c r="K54" s="96"/>
      <c r="L54" s="92">
        <f t="shared" si="1"/>
        <v>0</v>
      </c>
      <c r="M54" s="97">
        <f t="shared" si="2"/>
        <v>0</v>
      </c>
      <c r="N54" s="76"/>
      <c r="O54" s="77"/>
      <c r="P54" s="77"/>
      <c r="Q54" s="77"/>
      <c r="R54" s="77"/>
      <c r="S54" s="33"/>
      <c r="T54" s="33"/>
      <c r="U54" s="33"/>
      <c r="V54" s="33"/>
      <c r="W54" s="33"/>
      <c r="X54" s="33"/>
      <c r="Y54" s="33"/>
      <c r="Z54" s="33"/>
      <c r="AA54" s="33"/>
    </row>
    <row r="55" ht="18.0" customHeight="1">
      <c r="A55" s="81"/>
      <c r="B55" s="90" t="str">
        <f>"1-551-12-1200"</f>
        <v>1-551-12-1200</v>
      </c>
      <c r="C55" s="90" t="str">
        <f>"34285559083"</f>
        <v>34285559083</v>
      </c>
      <c r="D55" s="91" t="s">
        <v>76</v>
      </c>
      <c r="E55" s="92" t="s">
        <v>30</v>
      </c>
      <c r="F55" s="93"/>
      <c r="G55" s="93"/>
      <c r="H55" s="94"/>
      <c r="I55" s="95">
        <v>4.238873239436621</v>
      </c>
      <c r="J55" s="92">
        <v>12.0</v>
      </c>
      <c r="K55" s="96"/>
      <c r="L55" s="92">
        <f t="shared" si="1"/>
        <v>0</v>
      </c>
      <c r="M55" s="97">
        <f t="shared" si="2"/>
        <v>0</v>
      </c>
      <c r="N55" s="76"/>
      <c r="O55" s="77"/>
      <c r="P55" s="77"/>
      <c r="Q55" s="77"/>
      <c r="R55" s="77"/>
      <c r="S55" s="33"/>
      <c r="T55" s="33"/>
      <c r="U55" s="33"/>
      <c r="V55" s="33"/>
      <c r="W55" s="33"/>
      <c r="X55" s="33"/>
      <c r="Y55" s="33"/>
      <c r="Z55" s="33"/>
      <c r="AA55" s="33"/>
    </row>
    <row r="56" ht="18.0" customHeight="1">
      <c r="A56" s="81"/>
      <c r="B56" s="90" t="str">
        <f>"1-552-12-1200"</f>
        <v>1-552-12-1200</v>
      </c>
      <c r="C56" s="90" t="str">
        <f>"34285557164"</f>
        <v>34285557164</v>
      </c>
      <c r="D56" s="91" t="s">
        <v>77</v>
      </c>
      <c r="E56" s="92" t="s">
        <v>30</v>
      </c>
      <c r="F56" s="93"/>
      <c r="G56" s="93"/>
      <c r="H56" s="94"/>
      <c r="I56" s="95">
        <v>4.241250000000001</v>
      </c>
      <c r="J56" s="92">
        <v>12.0</v>
      </c>
      <c r="K56" s="96"/>
      <c r="L56" s="92">
        <f t="shared" si="1"/>
        <v>0</v>
      </c>
      <c r="M56" s="97">
        <f t="shared" si="2"/>
        <v>0</v>
      </c>
      <c r="N56" s="76"/>
      <c r="O56" s="77"/>
      <c r="P56" s="77"/>
      <c r="Q56" s="77"/>
      <c r="R56" s="77"/>
      <c r="S56" s="33"/>
      <c r="T56" s="33"/>
      <c r="U56" s="33"/>
      <c r="V56" s="33"/>
      <c r="W56" s="33"/>
      <c r="X56" s="33"/>
      <c r="Y56" s="33"/>
      <c r="Z56" s="33"/>
      <c r="AA56" s="33"/>
    </row>
    <row r="57" ht="18.0" customHeight="1">
      <c r="A57" s="81"/>
      <c r="B57" s="90" t="str">
        <f>"1-553-15-1200"</f>
        <v>1-553-15-1200</v>
      </c>
      <c r="C57" s="90" t="str">
        <f>"34285553159"</f>
        <v>34285553159</v>
      </c>
      <c r="D57" s="91" t="s">
        <v>78</v>
      </c>
      <c r="E57" s="92" t="s">
        <v>49</v>
      </c>
      <c r="F57" s="93"/>
      <c r="G57" s="93"/>
      <c r="H57" s="94"/>
      <c r="I57" s="95">
        <v>4.166704158415842</v>
      </c>
      <c r="J57" s="92">
        <v>12.0</v>
      </c>
      <c r="K57" s="96"/>
      <c r="L57" s="92">
        <f t="shared" si="1"/>
        <v>0</v>
      </c>
      <c r="M57" s="97">
        <f t="shared" si="2"/>
        <v>0</v>
      </c>
      <c r="N57" s="76"/>
      <c r="O57" s="77"/>
      <c r="P57" s="77"/>
      <c r="Q57" s="77"/>
      <c r="R57" s="77"/>
      <c r="S57" s="33"/>
      <c r="T57" s="33"/>
      <c r="U57" s="33"/>
      <c r="V57" s="33"/>
      <c r="W57" s="33"/>
      <c r="X57" s="33"/>
      <c r="Y57" s="33"/>
      <c r="Z57" s="33"/>
      <c r="AA57" s="33"/>
    </row>
    <row r="58" ht="18.0" customHeight="1">
      <c r="A58" s="81"/>
      <c r="B58" s="90" t="str">
        <f>"1-554-12-1200"</f>
        <v>1-554-12-1200</v>
      </c>
      <c r="C58" s="90" t="str">
        <f>"34285554125"</f>
        <v>34285554125</v>
      </c>
      <c r="D58" s="91" t="s">
        <v>79</v>
      </c>
      <c r="E58" s="92" t="s">
        <v>30</v>
      </c>
      <c r="F58" s="93"/>
      <c r="G58" s="93"/>
      <c r="H58" s="94"/>
      <c r="I58" s="95">
        <v>3.9296716800000002</v>
      </c>
      <c r="J58" s="92">
        <v>12.0</v>
      </c>
      <c r="K58" s="96"/>
      <c r="L58" s="92">
        <f t="shared" si="1"/>
        <v>0</v>
      </c>
      <c r="M58" s="97">
        <f t="shared" si="2"/>
        <v>0</v>
      </c>
      <c r="N58" s="76"/>
      <c r="O58" s="77"/>
      <c r="P58" s="77"/>
      <c r="Q58" s="77"/>
      <c r="R58" s="77"/>
      <c r="S58" s="33"/>
      <c r="T58" s="33"/>
      <c r="U58" s="33"/>
      <c r="V58" s="33"/>
      <c r="W58" s="33"/>
      <c r="X58" s="33"/>
      <c r="Y58" s="33"/>
      <c r="Z58" s="33"/>
      <c r="AA58" s="33"/>
    </row>
    <row r="59" ht="18.0" customHeight="1">
      <c r="A59" s="81"/>
      <c r="B59" s="90" t="str">
        <f>"1-555-04-2446"</f>
        <v>1-555-04-2446</v>
      </c>
      <c r="C59" s="90" t="str">
        <f>"34285555047"</f>
        <v>34285555047</v>
      </c>
      <c r="D59" s="91" t="s">
        <v>80</v>
      </c>
      <c r="E59" s="92" t="s">
        <v>81</v>
      </c>
      <c r="F59" s="93"/>
      <c r="G59" s="93"/>
      <c r="H59" s="94"/>
      <c r="I59" s="95">
        <v>3.1667328000000006</v>
      </c>
      <c r="J59" s="92">
        <v>24.0</v>
      </c>
      <c r="K59" s="96"/>
      <c r="L59" s="92">
        <f t="shared" si="1"/>
        <v>0</v>
      </c>
      <c r="M59" s="97">
        <f t="shared" si="2"/>
        <v>0</v>
      </c>
      <c r="N59" s="76"/>
      <c r="O59" s="77"/>
      <c r="P59" s="77"/>
      <c r="Q59" s="77"/>
      <c r="R59" s="77"/>
      <c r="S59" s="33"/>
      <c r="T59" s="33"/>
      <c r="U59" s="33"/>
      <c r="V59" s="33"/>
      <c r="W59" s="33"/>
      <c r="X59" s="33"/>
      <c r="Y59" s="33"/>
      <c r="Z59" s="33"/>
      <c r="AA59" s="33"/>
    </row>
    <row r="60" ht="18.0" customHeight="1">
      <c r="A60" s="81"/>
      <c r="B60" s="90" t="str">
        <f>"1-556-04-2446"</f>
        <v>1-556-04-2446</v>
      </c>
      <c r="C60" s="90" t="str">
        <f>"34285556044"</f>
        <v>34285556044</v>
      </c>
      <c r="D60" s="91" t="s">
        <v>82</v>
      </c>
      <c r="E60" s="92" t="s">
        <v>81</v>
      </c>
      <c r="F60" s="93"/>
      <c r="G60" s="93"/>
      <c r="H60" s="94"/>
      <c r="I60" s="95">
        <v>3.1667328000000006</v>
      </c>
      <c r="J60" s="92">
        <v>24.0</v>
      </c>
      <c r="K60" s="96"/>
      <c r="L60" s="92">
        <f t="shared" si="1"/>
        <v>0</v>
      </c>
      <c r="M60" s="97">
        <f t="shared" si="2"/>
        <v>0</v>
      </c>
      <c r="N60" s="76"/>
      <c r="O60" s="77"/>
      <c r="P60" s="77"/>
      <c r="Q60" s="77"/>
      <c r="R60" s="77"/>
      <c r="S60" s="33"/>
      <c r="T60" s="33"/>
      <c r="U60" s="33"/>
      <c r="V60" s="33"/>
      <c r="W60" s="33"/>
      <c r="X60" s="33"/>
      <c r="Y60" s="33"/>
      <c r="Z60" s="33"/>
      <c r="AA60" s="33"/>
    </row>
    <row r="61" ht="18.0" customHeight="1">
      <c r="A61" s="81"/>
      <c r="B61" s="90" t="str">
        <f>"1-557-04-2446"</f>
        <v>1-557-04-2446</v>
      </c>
      <c r="C61" s="90" t="str">
        <f>"34285557041"</f>
        <v>34285557041</v>
      </c>
      <c r="D61" s="91" t="s">
        <v>83</v>
      </c>
      <c r="E61" s="92" t="s">
        <v>81</v>
      </c>
      <c r="F61" s="93"/>
      <c r="G61" s="93"/>
      <c r="H61" s="94"/>
      <c r="I61" s="95">
        <v>3.1667328000000006</v>
      </c>
      <c r="J61" s="92">
        <v>24.0</v>
      </c>
      <c r="K61" s="96"/>
      <c r="L61" s="92">
        <f t="shared" si="1"/>
        <v>0</v>
      </c>
      <c r="M61" s="97">
        <f t="shared" si="2"/>
        <v>0</v>
      </c>
      <c r="N61" s="76"/>
      <c r="O61" s="77"/>
      <c r="P61" s="77"/>
      <c r="Q61" s="77"/>
      <c r="R61" s="77"/>
      <c r="S61" s="33"/>
      <c r="T61" s="33"/>
      <c r="U61" s="33"/>
      <c r="V61" s="33"/>
      <c r="W61" s="33"/>
      <c r="X61" s="33"/>
      <c r="Y61" s="33"/>
      <c r="Z61" s="33"/>
      <c r="AA61" s="33"/>
    </row>
    <row r="62" ht="18.0" customHeight="1">
      <c r="A62" s="81"/>
      <c r="B62" s="90" t="str">
        <f>"1-559-04-2446"</f>
        <v>1-559-04-2446</v>
      </c>
      <c r="C62" s="90" t="str">
        <f>"34285559045"</f>
        <v>34285559045</v>
      </c>
      <c r="D62" s="91" t="s">
        <v>84</v>
      </c>
      <c r="E62" s="92" t="s">
        <v>81</v>
      </c>
      <c r="F62" s="93"/>
      <c r="G62" s="93"/>
      <c r="H62" s="94"/>
      <c r="I62" s="95">
        <v>3.1667328000000006</v>
      </c>
      <c r="J62" s="92">
        <v>24.0</v>
      </c>
      <c r="K62" s="96"/>
      <c r="L62" s="92">
        <f t="shared" si="1"/>
        <v>0</v>
      </c>
      <c r="M62" s="97">
        <f t="shared" si="2"/>
        <v>0</v>
      </c>
      <c r="N62" s="76"/>
      <c r="O62" s="77"/>
      <c r="P62" s="77"/>
      <c r="Q62" s="77"/>
      <c r="R62" s="77"/>
      <c r="S62" s="33"/>
      <c r="T62" s="33"/>
      <c r="U62" s="33"/>
      <c r="V62" s="33"/>
      <c r="W62" s="33"/>
      <c r="X62" s="33"/>
      <c r="Y62" s="33"/>
      <c r="Z62" s="33"/>
      <c r="AA62" s="33"/>
    </row>
    <row r="63" ht="18.0" customHeight="1">
      <c r="A63" s="81"/>
      <c r="B63" s="90" t="str">
        <f>"1-560-04-2446"</f>
        <v>1-560-04-2446</v>
      </c>
      <c r="C63" s="90" t="str">
        <f>"34285560041"</f>
        <v>34285560041</v>
      </c>
      <c r="D63" s="91" t="s">
        <v>85</v>
      </c>
      <c r="E63" s="92" t="s">
        <v>81</v>
      </c>
      <c r="F63" s="93"/>
      <c r="G63" s="93"/>
      <c r="H63" s="94"/>
      <c r="I63" s="95">
        <v>3.1667328000000006</v>
      </c>
      <c r="J63" s="92">
        <v>24.0</v>
      </c>
      <c r="K63" s="96"/>
      <c r="L63" s="92">
        <f t="shared" si="1"/>
        <v>0</v>
      </c>
      <c r="M63" s="97">
        <f t="shared" si="2"/>
        <v>0</v>
      </c>
      <c r="N63" s="76"/>
      <c r="O63" s="77"/>
      <c r="P63" s="77"/>
      <c r="Q63" s="77"/>
      <c r="R63" s="77"/>
      <c r="S63" s="33"/>
      <c r="T63" s="33"/>
      <c r="U63" s="33"/>
      <c r="V63" s="33"/>
      <c r="W63" s="33"/>
      <c r="X63" s="33"/>
      <c r="Y63" s="33"/>
      <c r="Z63" s="33"/>
      <c r="AA63" s="33"/>
    </row>
    <row r="64" ht="18.0" customHeight="1">
      <c r="A64" s="81"/>
      <c r="B64" s="90" t="str">
        <f>"1-230-12-1200"</f>
        <v>1-230-12-1200</v>
      </c>
      <c r="C64" s="90" t="str">
        <f>"34285230128"</f>
        <v>34285230128</v>
      </c>
      <c r="D64" s="91" t="s">
        <v>86</v>
      </c>
      <c r="E64" s="92" t="s">
        <v>30</v>
      </c>
      <c r="F64" s="93"/>
      <c r="G64" s="93"/>
      <c r="H64" s="94"/>
      <c r="I64" s="95">
        <v>3.646278445229682</v>
      </c>
      <c r="J64" s="92">
        <v>12.0</v>
      </c>
      <c r="K64" s="96"/>
      <c r="L64" s="92">
        <f t="shared" si="1"/>
        <v>0</v>
      </c>
      <c r="M64" s="97">
        <f t="shared" si="2"/>
        <v>0</v>
      </c>
      <c r="N64" s="76"/>
      <c r="O64" s="77"/>
      <c r="P64" s="77"/>
      <c r="Q64" s="77"/>
      <c r="R64" s="77"/>
      <c r="S64" s="33"/>
      <c r="T64" s="33"/>
      <c r="U64" s="33"/>
      <c r="V64" s="33"/>
      <c r="W64" s="33"/>
      <c r="X64" s="33"/>
      <c r="Y64" s="33"/>
      <c r="Z64" s="33"/>
      <c r="AA64" s="33"/>
    </row>
    <row r="65" ht="18.0" customHeight="1">
      <c r="A65" s="81"/>
      <c r="B65" s="90" t="str">
        <f>"1-232-01-1200"</f>
        <v>1-232-01-1200</v>
      </c>
      <c r="C65" s="90" t="str">
        <f>"34285232016"</f>
        <v>34285232016</v>
      </c>
      <c r="D65" s="91" t="s">
        <v>87</v>
      </c>
      <c r="E65" s="92" t="s">
        <v>43</v>
      </c>
      <c r="F65" s="93"/>
      <c r="G65" s="93"/>
      <c r="H65" s="94"/>
      <c r="I65" s="95">
        <v>6.525688888888887</v>
      </c>
      <c r="J65" s="92">
        <v>12.0</v>
      </c>
      <c r="K65" s="96"/>
      <c r="L65" s="92">
        <f t="shared" si="1"/>
        <v>0</v>
      </c>
      <c r="M65" s="97">
        <f t="shared" si="2"/>
        <v>0</v>
      </c>
      <c r="N65" s="76"/>
      <c r="O65" s="77"/>
      <c r="P65" s="77"/>
      <c r="Q65" s="77"/>
      <c r="R65" s="77"/>
      <c r="S65" s="33"/>
      <c r="T65" s="33"/>
      <c r="U65" s="33"/>
      <c r="V65" s="33"/>
      <c r="W65" s="33"/>
      <c r="X65" s="33"/>
      <c r="Y65" s="33"/>
      <c r="Z65" s="33"/>
      <c r="AA65" s="33"/>
    </row>
    <row r="66" ht="18.0" customHeight="1">
      <c r="A66" s="81"/>
      <c r="B66" s="90" t="str">
        <f>"1-238-01-1200"</f>
        <v>1-238-01-1200</v>
      </c>
      <c r="C66" s="90" t="str">
        <f>"34285238018"</f>
        <v>34285238018</v>
      </c>
      <c r="D66" s="91" t="s">
        <v>88</v>
      </c>
      <c r="E66" s="92" t="s">
        <v>43</v>
      </c>
      <c r="F66" s="93"/>
      <c r="G66" s="93"/>
      <c r="H66" s="94"/>
      <c r="I66" s="95">
        <v>6.525688888888887</v>
      </c>
      <c r="J66" s="92">
        <v>12.0</v>
      </c>
      <c r="K66" s="96"/>
      <c r="L66" s="92">
        <f t="shared" si="1"/>
        <v>0</v>
      </c>
      <c r="M66" s="97">
        <f t="shared" si="2"/>
        <v>0</v>
      </c>
      <c r="N66" s="76"/>
      <c r="O66" s="77"/>
      <c r="P66" s="77"/>
      <c r="Q66" s="77"/>
      <c r="R66" s="77"/>
      <c r="S66" s="33"/>
      <c r="T66" s="33"/>
      <c r="U66" s="33"/>
      <c r="V66" s="33"/>
      <c r="W66" s="33"/>
      <c r="X66" s="33"/>
      <c r="Y66" s="33"/>
      <c r="Z66" s="33"/>
      <c r="AA66" s="33"/>
    </row>
    <row r="67" ht="18.0" customHeight="1">
      <c r="A67" s="81"/>
      <c r="B67" s="90" t="str">
        <f>"1-638-15-0600"</f>
        <v>1-638-15-0600</v>
      </c>
      <c r="C67" s="90" t="str">
        <f>"34285638153"</f>
        <v>34285638153</v>
      </c>
      <c r="D67" s="91" t="s">
        <v>89</v>
      </c>
      <c r="E67" s="92" t="s">
        <v>49</v>
      </c>
      <c r="F67" s="93"/>
      <c r="G67" s="93"/>
      <c r="H67" s="94"/>
      <c r="I67" s="95">
        <v>6.36087299389002</v>
      </c>
      <c r="J67" s="92">
        <v>6.0</v>
      </c>
      <c r="K67" s="96"/>
      <c r="L67" s="92">
        <f t="shared" si="1"/>
        <v>0</v>
      </c>
      <c r="M67" s="97">
        <f t="shared" si="2"/>
        <v>0</v>
      </c>
      <c r="N67" s="76"/>
      <c r="O67" s="77"/>
      <c r="P67" s="77"/>
      <c r="Q67" s="77"/>
      <c r="R67" s="77"/>
      <c r="S67" s="33"/>
      <c r="T67" s="33"/>
      <c r="U67" s="33"/>
      <c r="V67" s="33"/>
      <c r="W67" s="33"/>
      <c r="X67" s="33"/>
      <c r="Y67" s="33"/>
      <c r="Z67" s="33"/>
      <c r="AA67" s="33"/>
    </row>
    <row r="68" ht="18.0" customHeight="1">
      <c r="A68" s="81"/>
      <c r="B68" s="90" t="str">
        <f>"1-693-12-1200"</f>
        <v>1-693-12-1200</v>
      </c>
      <c r="C68" s="90" t="str">
        <f>"34285693121"</f>
        <v>34285693121</v>
      </c>
      <c r="D68" s="91" t="s">
        <v>90</v>
      </c>
      <c r="E68" s="92" t="s">
        <v>30</v>
      </c>
      <c r="F68" s="93"/>
      <c r="G68" s="93"/>
      <c r="H68" s="94"/>
      <c r="I68" s="95">
        <v>6.567631771894095</v>
      </c>
      <c r="J68" s="92">
        <v>12.0</v>
      </c>
      <c r="K68" s="96"/>
      <c r="L68" s="92">
        <f t="shared" si="1"/>
        <v>0</v>
      </c>
      <c r="M68" s="97">
        <f t="shared" si="2"/>
        <v>0</v>
      </c>
      <c r="N68" s="76"/>
      <c r="O68" s="77"/>
      <c r="P68" s="77"/>
      <c r="Q68" s="77"/>
      <c r="R68" s="77"/>
      <c r="S68" s="33"/>
      <c r="T68" s="33"/>
      <c r="U68" s="33"/>
      <c r="V68" s="33"/>
      <c r="W68" s="33"/>
      <c r="X68" s="33"/>
      <c r="Y68" s="33"/>
      <c r="Z68" s="33"/>
      <c r="AA68" s="33"/>
    </row>
    <row r="69" ht="18.0" customHeight="1">
      <c r="A69" s="81"/>
      <c r="B69" s="90" t="str">
        <f>"1-696-15-1200"</f>
        <v>1-696-15-1200</v>
      </c>
      <c r="C69" s="90" t="str">
        <f>"34285696153"</f>
        <v>34285696153</v>
      </c>
      <c r="D69" s="91" t="s">
        <v>91</v>
      </c>
      <c r="E69" s="92" t="s">
        <v>49</v>
      </c>
      <c r="F69" s="93"/>
      <c r="G69" s="93"/>
      <c r="H69" s="94"/>
      <c r="I69" s="95">
        <v>6.360872993890022</v>
      </c>
      <c r="J69" s="92">
        <v>12.0</v>
      </c>
      <c r="K69" s="96"/>
      <c r="L69" s="92">
        <f t="shared" si="1"/>
        <v>0</v>
      </c>
      <c r="M69" s="97">
        <f t="shared" si="2"/>
        <v>0</v>
      </c>
      <c r="N69" s="76"/>
      <c r="O69" s="77"/>
      <c r="P69" s="77"/>
      <c r="Q69" s="77"/>
      <c r="R69" s="77"/>
      <c r="S69" s="33"/>
      <c r="T69" s="33"/>
      <c r="U69" s="33"/>
      <c r="V69" s="33"/>
      <c r="W69" s="33"/>
      <c r="X69" s="33"/>
      <c r="Y69" s="33"/>
      <c r="Z69" s="33"/>
      <c r="AA69" s="33"/>
    </row>
    <row r="70" ht="18.0" customHeight="1">
      <c r="A70" s="81"/>
      <c r="B70" s="90" t="str">
        <f>"1-697-15-1200"</f>
        <v>1-697-15-1200</v>
      </c>
      <c r="C70" s="90" t="str">
        <f>"34285697150"</f>
        <v>34285697150</v>
      </c>
      <c r="D70" s="91" t="s">
        <v>92</v>
      </c>
      <c r="E70" s="92" t="s">
        <v>49</v>
      </c>
      <c r="F70" s="93"/>
      <c r="G70" s="93"/>
      <c r="H70" s="94"/>
      <c r="I70" s="95">
        <v>6.360872993890022</v>
      </c>
      <c r="J70" s="92">
        <v>12.0</v>
      </c>
      <c r="K70" s="96"/>
      <c r="L70" s="92">
        <f t="shared" si="1"/>
        <v>0</v>
      </c>
      <c r="M70" s="97">
        <f t="shared" si="2"/>
        <v>0</v>
      </c>
      <c r="N70" s="76"/>
      <c r="O70" s="77"/>
      <c r="P70" s="77"/>
      <c r="Q70" s="77"/>
      <c r="R70" s="77"/>
      <c r="S70" s="33"/>
      <c r="T70" s="33"/>
      <c r="U70" s="33"/>
      <c r="V70" s="33"/>
      <c r="W70" s="33"/>
      <c r="X70" s="33"/>
      <c r="Y70" s="33"/>
      <c r="Z70" s="33"/>
      <c r="AA70" s="33"/>
    </row>
    <row r="71" ht="18.0" customHeight="1">
      <c r="A71" s="81"/>
      <c r="B71" s="90" t="str">
        <f>"1-698-12-1200"</f>
        <v>1-698-12-1200</v>
      </c>
      <c r="C71" s="90" t="str">
        <f>"34285698126"</f>
        <v>34285698126</v>
      </c>
      <c r="D71" s="91" t="s">
        <v>93</v>
      </c>
      <c r="E71" s="92" t="s">
        <v>30</v>
      </c>
      <c r="F71" s="93"/>
      <c r="G71" s="93"/>
      <c r="H71" s="94"/>
      <c r="I71" s="95">
        <v>6.360872993890022</v>
      </c>
      <c r="J71" s="92">
        <v>12.0</v>
      </c>
      <c r="K71" s="96"/>
      <c r="L71" s="92">
        <f t="shared" si="1"/>
        <v>0</v>
      </c>
      <c r="M71" s="97">
        <f t="shared" si="2"/>
        <v>0</v>
      </c>
      <c r="N71" s="76"/>
      <c r="O71" s="77"/>
      <c r="P71" s="77"/>
      <c r="Q71" s="77"/>
      <c r="R71" s="77"/>
      <c r="S71" s="33"/>
      <c r="T71" s="33"/>
      <c r="U71" s="33"/>
      <c r="V71" s="33"/>
      <c r="W71" s="33"/>
      <c r="X71" s="33"/>
      <c r="Y71" s="33"/>
      <c r="Z71" s="33"/>
      <c r="AA71" s="33"/>
    </row>
    <row r="72" ht="18.0" customHeight="1">
      <c r="A72" s="81"/>
      <c r="B72" s="90" t="str">
        <f>"1-699-12-1200"</f>
        <v>1-699-12-1200</v>
      </c>
      <c r="C72" s="90" t="str">
        <f>"34285699123"</f>
        <v>34285699123</v>
      </c>
      <c r="D72" s="91" t="s">
        <v>94</v>
      </c>
      <c r="E72" s="92" t="s">
        <v>30</v>
      </c>
      <c r="F72" s="93"/>
      <c r="G72" s="93"/>
      <c r="H72" s="94"/>
      <c r="I72" s="95">
        <v>6.360872993890022</v>
      </c>
      <c r="J72" s="92">
        <v>12.0</v>
      </c>
      <c r="K72" s="96"/>
      <c r="L72" s="92">
        <f t="shared" si="1"/>
        <v>0</v>
      </c>
      <c r="M72" s="97">
        <f t="shared" si="2"/>
        <v>0</v>
      </c>
      <c r="N72" s="76"/>
      <c r="O72" s="77"/>
      <c r="P72" s="77"/>
      <c r="Q72" s="77"/>
      <c r="R72" s="77"/>
      <c r="S72" s="33"/>
      <c r="T72" s="33"/>
      <c r="U72" s="33"/>
      <c r="V72" s="33"/>
      <c r="W72" s="33"/>
      <c r="X72" s="33"/>
      <c r="Y72" s="33"/>
      <c r="Z72" s="33"/>
      <c r="AA72" s="33"/>
    </row>
    <row r="73" ht="18.0" customHeight="1">
      <c r="A73" s="81"/>
      <c r="B73" s="90" t="str">
        <f>"1-641-07-0623"</f>
        <v>1-641-07-0623</v>
      </c>
      <c r="C73" s="90" t="str">
        <f>"34285641078"</f>
        <v>34285641078</v>
      </c>
      <c r="D73" s="91" t="s">
        <v>95</v>
      </c>
      <c r="E73" s="92" t="s">
        <v>64</v>
      </c>
      <c r="F73" s="93"/>
      <c r="G73" s="93"/>
      <c r="H73" s="94"/>
      <c r="I73" s="95">
        <v>6.999696000000001</v>
      </c>
      <c r="J73" s="92">
        <v>6.0</v>
      </c>
      <c r="K73" s="96"/>
      <c r="L73" s="92">
        <f t="shared" si="1"/>
        <v>0</v>
      </c>
      <c r="M73" s="97">
        <f t="shared" si="2"/>
        <v>0</v>
      </c>
      <c r="N73" s="76"/>
      <c r="O73" s="77"/>
      <c r="P73" s="77"/>
      <c r="Q73" s="77"/>
      <c r="R73" s="77"/>
      <c r="S73" s="33"/>
      <c r="T73" s="33"/>
      <c r="U73" s="33"/>
      <c r="V73" s="33"/>
      <c r="W73" s="33"/>
      <c r="X73" s="33"/>
      <c r="Y73" s="33"/>
      <c r="Z73" s="33"/>
      <c r="AA73" s="33"/>
    </row>
    <row r="74" ht="18.0" customHeight="1">
      <c r="A74" s="81"/>
      <c r="B74" s="90" t="str">
        <f>"1-643-04-1243"</f>
        <v>1-643-04-1243</v>
      </c>
      <c r="C74" s="90" t="str">
        <f>"34285643041"</f>
        <v>34285643041</v>
      </c>
      <c r="D74" s="91" t="s">
        <v>96</v>
      </c>
      <c r="E74" s="92" t="s">
        <v>81</v>
      </c>
      <c r="F74" s="93"/>
      <c r="G74" s="93"/>
      <c r="H74" s="94"/>
      <c r="I74" s="95">
        <v>6.999696000000001</v>
      </c>
      <c r="J74" s="92">
        <v>12.0</v>
      </c>
      <c r="K74" s="96"/>
      <c r="L74" s="92">
        <f t="shared" si="1"/>
        <v>0</v>
      </c>
      <c r="M74" s="97">
        <f t="shared" si="2"/>
        <v>0</v>
      </c>
      <c r="N74" s="76"/>
      <c r="O74" s="77"/>
      <c r="P74" s="77"/>
      <c r="Q74" s="77"/>
      <c r="R74" s="77"/>
      <c r="S74" s="33"/>
      <c r="T74" s="33"/>
      <c r="U74" s="33"/>
      <c r="V74" s="33"/>
      <c r="W74" s="33"/>
      <c r="X74" s="33"/>
      <c r="Y74" s="33"/>
      <c r="Z74" s="33"/>
      <c r="AA74" s="33"/>
    </row>
    <row r="75" ht="18.0" customHeight="1">
      <c r="A75" s="81"/>
      <c r="B75" s="90" t="str">
        <f>"1-645-08-1243"</f>
        <v>1-645-08-1243</v>
      </c>
      <c r="C75" s="90" t="str">
        <f>"34285645083"</f>
        <v>34285645083</v>
      </c>
      <c r="D75" s="91" t="s">
        <v>97</v>
      </c>
      <c r="E75" s="92" t="s">
        <v>62</v>
      </c>
      <c r="F75" s="93"/>
      <c r="G75" s="93"/>
      <c r="H75" s="94"/>
      <c r="I75" s="95">
        <v>6.999696000000001</v>
      </c>
      <c r="J75" s="92">
        <v>12.0</v>
      </c>
      <c r="K75" s="96"/>
      <c r="L75" s="92">
        <f t="shared" si="1"/>
        <v>0</v>
      </c>
      <c r="M75" s="97">
        <f t="shared" si="2"/>
        <v>0</v>
      </c>
      <c r="N75" s="76"/>
      <c r="O75" s="77"/>
      <c r="P75" s="77"/>
      <c r="Q75" s="77"/>
      <c r="R75" s="77"/>
      <c r="S75" s="33"/>
      <c r="T75" s="33"/>
      <c r="U75" s="33"/>
      <c r="V75" s="33"/>
      <c r="W75" s="33"/>
      <c r="X75" s="33"/>
      <c r="Y75" s="33"/>
      <c r="Z75" s="33"/>
      <c r="AA75" s="33"/>
    </row>
    <row r="76" ht="18.0" customHeight="1">
      <c r="A76" s="81"/>
      <c r="B76" s="90" t="str">
        <f>"1-642-12-1243"</f>
        <v>1-642-12-1243</v>
      </c>
      <c r="C76" s="90" t="str">
        <f>"34285642129"</f>
        <v>34285642129</v>
      </c>
      <c r="D76" s="91" t="s">
        <v>98</v>
      </c>
      <c r="E76" s="92" t="s">
        <v>30</v>
      </c>
      <c r="F76" s="93"/>
      <c r="G76" s="93"/>
      <c r="H76" s="94"/>
      <c r="I76" s="95">
        <v>6.999696000000001</v>
      </c>
      <c r="J76" s="92">
        <v>12.0</v>
      </c>
      <c r="K76" s="96"/>
      <c r="L76" s="92">
        <f t="shared" si="1"/>
        <v>0</v>
      </c>
      <c r="M76" s="97">
        <f t="shared" si="2"/>
        <v>0</v>
      </c>
      <c r="N76" s="76"/>
      <c r="O76" s="77"/>
      <c r="P76" s="77"/>
      <c r="Q76" s="77"/>
      <c r="R76" s="77"/>
      <c r="S76" s="33"/>
      <c r="T76" s="33"/>
      <c r="U76" s="33"/>
      <c r="V76" s="33"/>
      <c r="W76" s="33"/>
      <c r="X76" s="33"/>
      <c r="Y76" s="33"/>
      <c r="Z76" s="33"/>
      <c r="AA76" s="33"/>
    </row>
    <row r="77" ht="18.0" customHeight="1">
      <c r="A77" s="81"/>
      <c r="B77" s="90" t="str">
        <f>"1-627-02-2446"</f>
        <v>1-627-02-2446</v>
      </c>
      <c r="C77" s="90" t="str">
        <f>"34285627027"</f>
        <v>34285627027</v>
      </c>
      <c r="D77" s="91" t="s">
        <v>99</v>
      </c>
      <c r="E77" s="92" t="s">
        <v>100</v>
      </c>
      <c r="F77" s="93"/>
      <c r="G77" s="93"/>
      <c r="H77" s="94"/>
      <c r="I77" s="95">
        <v>6.288169411764705</v>
      </c>
      <c r="J77" s="92">
        <v>24.0</v>
      </c>
      <c r="K77" s="96"/>
      <c r="L77" s="92">
        <f t="shared" si="1"/>
        <v>0</v>
      </c>
      <c r="M77" s="97">
        <f t="shared" si="2"/>
        <v>0</v>
      </c>
      <c r="N77" s="76"/>
      <c r="O77" s="77"/>
      <c r="P77" s="77"/>
      <c r="Q77" s="77"/>
      <c r="R77" s="77"/>
      <c r="S77" s="33"/>
      <c r="T77" s="33"/>
      <c r="U77" s="33"/>
      <c r="V77" s="33"/>
      <c r="W77" s="33"/>
      <c r="X77" s="33"/>
      <c r="Y77" s="33"/>
      <c r="Z77" s="33"/>
      <c r="AA77" s="33"/>
    </row>
    <row r="78" ht="18.0" customHeight="1">
      <c r="A78" s="81"/>
      <c r="B78" s="90" t="str">
        <f>"1-628-02-2446"</f>
        <v>1-628-02-2446</v>
      </c>
      <c r="C78" s="90" t="str">
        <f>"34285628024"</f>
        <v>34285628024</v>
      </c>
      <c r="D78" s="91" t="s">
        <v>101</v>
      </c>
      <c r="E78" s="92" t="s">
        <v>100</v>
      </c>
      <c r="F78" s="93"/>
      <c r="G78" s="93"/>
      <c r="H78" s="94"/>
      <c r="I78" s="95">
        <v>6.288169411764705</v>
      </c>
      <c r="J78" s="92">
        <v>24.0</v>
      </c>
      <c r="K78" s="96"/>
      <c r="L78" s="92">
        <f t="shared" si="1"/>
        <v>0</v>
      </c>
      <c r="M78" s="97">
        <f t="shared" si="2"/>
        <v>0</v>
      </c>
      <c r="N78" s="76"/>
      <c r="O78" s="77"/>
      <c r="P78" s="77"/>
      <c r="Q78" s="77"/>
      <c r="R78" s="77"/>
      <c r="S78" s="33"/>
      <c r="T78" s="33"/>
      <c r="U78" s="33"/>
      <c r="V78" s="33"/>
      <c r="W78" s="33"/>
      <c r="X78" s="33"/>
      <c r="Y78" s="33"/>
      <c r="Z78" s="33"/>
      <c r="AA78" s="33"/>
    </row>
    <row r="79" ht="18.0" customHeight="1">
      <c r="A79" s="81"/>
      <c r="B79" s="90" t="str">
        <f>"1-629-02-2446"</f>
        <v>1-629-02-2446</v>
      </c>
      <c r="C79" s="90" t="str">
        <f>"34285629021"</f>
        <v>34285629021</v>
      </c>
      <c r="D79" s="91" t="s">
        <v>102</v>
      </c>
      <c r="E79" s="92" t="s">
        <v>100</v>
      </c>
      <c r="F79" s="93"/>
      <c r="G79" s="93"/>
      <c r="H79" s="94"/>
      <c r="I79" s="95">
        <v>6.288169411764705</v>
      </c>
      <c r="J79" s="92">
        <v>24.0</v>
      </c>
      <c r="K79" s="96"/>
      <c r="L79" s="92">
        <f t="shared" si="1"/>
        <v>0</v>
      </c>
      <c r="M79" s="97">
        <f t="shared" si="2"/>
        <v>0</v>
      </c>
      <c r="N79" s="76"/>
      <c r="O79" s="77"/>
      <c r="P79" s="77"/>
      <c r="Q79" s="77"/>
      <c r="R79" s="77"/>
      <c r="S79" s="33"/>
      <c r="T79" s="33"/>
      <c r="U79" s="33"/>
      <c r="V79" s="33"/>
      <c r="W79" s="33"/>
      <c r="X79" s="33"/>
      <c r="Y79" s="33"/>
      <c r="Z79" s="33"/>
      <c r="AA79" s="33"/>
    </row>
    <row r="80" ht="18.0" customHeight="1">
      <c r="A80" s="81"/>
      <c r="B80" s="90" t="str">
        <f>"1-663-04-1200"</f>
        <v>1-663-04-1200</v>
      </c>
      <c r="C80" s="90" t="str">
        <f>"34285663049"</f>
        <v>34285663049</v>
      </c>
      <c r="D80" s="91" t="s">
        <v>103</v>
      </c>
      <c r="E80" s="92" t="s">
        <v>81</v>
      </c>
      <c r="F80" s="93"/>
      <c r="G80" s="93"/>
      <c r="H80" s="94"/>
      <c r="I80" s="95">
        <v>7.590694736842105</v>
      </c>
      <c r="J80" s="92">
        <v>12.0</v>
      </c>
      <c r="K80" s="96"/>
      <c r="L80" s="92">
        <f t="shared" si="1"/>
        <v>0</v>
      </c>
      <c r="M80" s="97">
        <f t="shared" si="2"/>
        <v>0</v>
      </c>
      <c r="N80" s="76"/>
      <c r="O80" s="77"/>
      <c r="P80" s="77"/>
      <c r="Q80" s="77"/>
      <c r="R80" s="77"/>
      <c r="S80" s="33"/>
      <c r="T80" s="33"/>
      <c r="U80" s="33"/>
      <c r="V80" s="33"/>
      <c r="W80" s="33"/>
      <c r="X80" s="33"/>
      <c r="Y80" s="33"/>
      <c r="Z80" s="33"/>
      <c r="AA80" s="33"/>
    </row>
    <row r="81" ht="18.0" customHeight="1">
      <c r="A81" s="81"/>
      <c r="B81" s="90" t="str">
        <f>"1-664-10-0600"</f>
        <v>1-664-10-0600</v>
      </c>
      <c r="C81" s="90" t="str">
        <f>"34285664107"</f>
        <v>34285664107</v>
      </c>
      <c r="D81" s="91" t="s">
        <v>104</v>
      </c>
      <c r="E81" s="92" t="s">
        <v>105</v>
      </c>
      <c r="F81" s="93"/>
      <c r="G81" s="93"/>
      <c r="H81" s="94"/>
      <c r="I81" s="95">
        <v>7.590694736842105</v>
      </c>
      <c r="J81" s="92">
        <v>6.0</v>
      </c>
      <c r="K81" s="96"/>
      <c r="L81" s="92">
        <f t="shared" si="1"/>
        <v>0</v>
      </c>
      <c r="M81" s="97">
        <f t="shared" si="2"/>
        <v>0</v>
      </c>
      <c r="N81" s="76"/>
      <c r="O81" s="77"/>
      <c r="P81" s="77"/>
      <c r="Q81" s="77"/>
      <c r="R81" s="77"/>
      <c r="S81" s="33"/>
      <c r="T81" s="33"/>
      <c r="U81" s="33"/>
      <c r="V81" s="33"/>
      <c r="W81" s="33"/>
      <c r="X81" s="33"/>
      <c r="Y81" s="33"/>
      <c r="Z81" s="33"/>
      <c r="AA81" s="33"/>
    </row>
    <row r="82" ht="18.0" customHeight="1">
      <c r="A82" s="81"/>
      <c r="B82" s="90" t="str">
        <f>"1-683-10-0600"</f>
        <v>1-683-10-0600</v>
      </c>
      <c r="C82" s="90" t="str">
        <f>"34285683108"</f>
        <v>34285683108</v>
      </c>
      <c r="D82" s="91" t="s">
        <v>106</v>
      </c>
      <c r="E82" s="92" t="s">
        <v>105</v>
      </c>
      <c r="F82" s="93"/>
      <c r="G82" s="93"/>
      <c r="H82" s="94"/>
      <c r="I82" s="95">
        <v>7.590694736842105</v>
      </c>
      <c r="J82" s="92">
        <v>6.0</v>
      </c>
      <c r="K82" s="96"/>
      <c r="L82" s="92">
        <f t="shared" si="1"/>
        <v>0</v>
      </c>
      <c r="M82" s="97">
        <f t="shared" si="2"/>
        <v>0</v>
      </c>
      <c r="N82" s="76"/>
      <c r="O82" s="77"/>
      <c r="P82" s="77"/>
      <c r="Q82" s="77"/>
      <c r="R82" s="77"/>
      <c r="S82" s="33"/>
      <c r="T82" s="33"/>
      <c r="U82" s="33"/>
      <c r="V82" s="33"/>
      <c r="W82" s="33"/>
      <c r="X82" s="33"/>
      <c r="Y82" s="33"/>
      <c r="Z82" s="33"/>
      <c r="AA82" s="33"/>
    </row>
    <row r="83" ht="18.0" customHeight="1">
      <c r="A83" s="81"/>
      <c r="B83" s="90" t="str">
        <f>"1-684-10-0600"</f>
        <v>1-684-10-0600</v>
      </c>
      <c r="C83" s="90" t="str">
        <f>"34285684105"</f>
        <v>34285684105</v>
      </c>
      <c r="D83" s="91" t="s">
        <v>107</v>
      </c>
      <c r="E83" s="92" t="s">
        <v>105</v>
      </c>
      <c r="F83" s="93"/>
      <c r="G83" s="93"/>
      <c r="H83" s="94"/>
      <c r="I83" s="95">
        <v>7.590694736842105</v>
      </c>
      <c r="J83" s="92">
        <v>6.0</v>
      </c>
      <c r="K83" s="96"/>
      <c r="L83" s="92">
        <f t="shared" si="1"/>
        <v>0</v>
      </c>
      <c r="M83" s="97">
        <f t="shared" si="2"/>
        <v>0</v>
      </c>
      <c r="N83" s="76"/>
      <c r="O83" s="77"/>
      <c r="P83" s="77"/>
      <c r="Q83" s="77"/>
      <c r="R83" s="77"/>
      <c r="S83" s="33"/>
      <c r="T83" s="33"/>
      <c r="U83" s="33"/>
      <c r="V83" s="33"/>
      <c r="W83" s="33"/>
      <c r="X83" s="33"/>
      <c r="Y83" s="33"/>
      <c r="Z83" s="33"/>
      <c r="AA83" s="33"/>
    </row>
    <row r="84" ht="18.0" customHeight="1">
      <c r="A84" s="81"/>
      <c r="B84" s="90" t="str">
        <f>"1-685-10-0600"</f>
        <v>1-685-10-0600</v>
      </c>
      <c r="C84" s="90" t="str">
        <f>"34285685102"</f>
        <v>34285685102</v>
      </c>
      <c r="D84" s="91" t="s">
        <v>108</v>
      </c>
      <c r="E84" s="92" t="s">
        <v>105</v>
      </c>
      <c r="F84" s="93"/>
      <c r="G84" s="93"/>
      <c r="H84" s="94"/>
      <c r="I84" s="95">
        <v>7.590694736842105</v>
      </c>
      <c r="J84" s="92">
        <v>6.0</v>
      </c>
      <c r="K84" s="96"/>
      <c r="L84" s="92">
        <f t="shared" si="1"/>
        <v>0</v>
      </c>
      <c r="M84" s="97">
        <f t="shared" si="2"/>
        <v>0</v>
      </c>
      <c r="N84" s="76"/>
      <c r="O84" s="77"/>
      <c r="P84" s="77"/>
      <c r="Q84" s="77"/>
      <c r="R84" s="77"/>
      <c r="S84" s="33"/>
      <c r="T84" s="33"/>
      <c r="U84" s="33"/>
      <c r="V84" s="33"/>
      <c r="W84" s="33"/>
      <c r="X84" s="33"/>
      <c r="Y84" s="33"/>
      <c r="Z84" s="33"/>
      <c r="AA84" s="33"/>
    </row>
    <row r="85" ht="18.0" customHeight="1">
      <c r="A85" s="81"/>
      <c r="B85" s="90" t="str">
        <f>"1-686-03-2446"</f>
        <v>1-686-03-2446</v>
      </c>
      <c r="C85" s="90" t="str">
        <f>"34285686031"</f>
        <v>34285686031</v>
      </c>
      <c r="D85" s="91" t="s">
        <v>109</v>
      </c>
      <c r="E85" s="92" t="s">
        <v>110</v>
      </c>
      <c r="F85" s="93"/>
      <c r="G85" s="93"/>
      <c r="H85" s="94"/>
      <c r="I85" s="95">
        <v>3.01913203539823</v>
      </c>
      <c r="J85" s="92">
        <v>24.0</v>
      </c>
      <c r="K85" s="96"/>
      <c r="L85" s="92">
        <f t="shared" si="1"/>
        <v>0</v>
      </c>
      <c r="M85" s="97">
        <f t="shared" si="2"/>
        <v>0</v>
      </c>
      <c r="N85" s="76"/>
      <c r="O85" s="77"/>
      <c r="P85" s="77"/>
      <c r="Q85" s="77"/>
      <c r="R85" s="77"/>
      <c r="S85" s="33"/>
      <c r="T85" s="33"/>
      <c r="U85" s="33"/>
      <c r="V85" s="33"/>
      <c r="W85" s="33"/>
      <c r="X85" s="33"/>
      <c r="Y85" s="33"/>
      <c r="Z85" s="33"/>
      <c r="AA85" s="33"/>
    </row>
    <row r="86" ht="18.0" customHeight="1">
      <c r="A86" s="81"/>
      <c r="B86" s="90" t="str">
        <f>"1-692-03-2446"</f>
        <v>1-692-03-2446</v>
      </c>
      <c r="C86" s="90" t="str">
        <f>"34285692032"</f>
        <v>34285692032</v>
      </c>
      <c r="D86" s="91" t="s">
        <v>111</v>
      </c>
      <c r="E86" s="92" t="s">
        <v>110</v>
      </c>
      <c r="F86" s="93"/>
      <c r="G86" s="93"/>
      <c r="H86" s="94"/>
      <c r="I86" s="95">
        <v>3.01913203539823</v>
      </c>
      <c r="J86" s="92">
        <v>24.0</v>
      </c>
      <c r="K86" s="96"/>
      <c r="L86" s="92">
        <f t="shared" si="1"/>
        <v>0</v>
      </c>
      <c r="M86" s="97">
        <f t="shared" si="2"/>
        <v>0</v>
      </c>
      <c r="N86" s="76"/>
      <c r="O86" s="77"/>
      <c r="P86" s="77"/>
      <c r="Q86" s="77"/>
      <c r="R86" s="77"/>
      <c r="S86" s="33"/>
      <c r="T86" s="33"/>
      <c r="U86" s="33"/>
      <c r="V86" s="33"/>
      <c r="W86" s="33"/>
      <c r="X86" s="33"/>
      <c r="Y86" s="33"/>
      <c r="Z86" s="33"/>
      <c r="AA86" s="33"/>
    </row>
    <row r="87" ht="18.0" customHeight="1">
      <c r="A87" s="81"/>
      <c r="B87" s="90" t="str">
        <f>"1-693-03-2446"</f>
        <v>1-693-03-2446</v>
      </c>
      <c r="C87" s="90" t="str">
        <f>"34285693039"</f>
        <v>34285693039</v>
      </c>
      <c r="D87" s="91" t="s">
        <v>90</v>
      </c>
      <c r="E87" s="92" t="s">
        <v>110</v>
      </c>
      <c r="F87" s="93"/>
      <c r="G87" s="93"/>
      <c r="H87" s="94"/>
      <c r="I87" s="95">
        <v>3.01913203539823</v>
      </c>
      <c r="J87" s="92">
        <v>24.0</v>
      </c>
      <c r="K87" s="96"/>
      <c r="L87" s="92">
        <f t="shared" si="1"/>
        <v>0</v>
      </c>
      <c r="M87" s="97">
        <f t="shared" si="2"/>
        <v>0</v>
      </c>
      <c r="N87" s="76"/>
      <c r="O87" s="77"/>
      <c r="P87" s="77"/>
      <c r="Q87" s="77"/>
      <c r="R87" s="77"/>
      <c r="S87" s="33"/>
      <c r="T87" s="33"/>
      <c r="U87" s="33"/>
      <c r="V87" s="33"/>
      <c r="W87" s="33"/>
      <c r="X87" s="33"/>
      <c r="Y87" s="33"/>
      <c r="Z87" s="33"/>
      <c r="AA87" s="33"/>
    </row>
    <row r="88" ht="18.0" customHeight="1">
      <c r="A88" s="81"/>
      <c r="B88" s="90" t="str">
        <f>"1-696-03-2446"</f>
        <v>1-696-03-2446</v>
      </c>
      <c r="C88" s="90" t="str">
        <f>"34285696030"</f>
        <v>34285696030</v>
      </c>
      <c r="D88" s="91" t="s">
        <v>91</v>
      </c>
      <c r="E88" s="92" t="s">
        <v>110</v>
      </c>
      <c r="F88" s="93"/>
      <c r="G88" s="93"/>
      <c r="H88" s="94"/>
      <c r="I88" s="95">
        <v>3.01913203539823</v>
      </c>
      <c r="J88" s="92">
        <v>24.0</v>
      </c>
      <c r="K88" s="96"/>
      <c r="L88" s="92">
        <f t="shared" si="1"/>
        <v>0</v>
      </c>
      <c r="M88" s="97">
        <f t="shared" si="2"/>
        <v>0</v>
      </c>
      <c r="N88" s="76"/>
      <c r="O88" s="77"/>
      <c r="P88" s="77"/>
      <c r="Q88" s="77"/>
      <c r="R88" s="77"/>
      <c r="S88" s="33"/>
      <c r="T88" s="33"/>
      <c r="U88" s="33"/>
      <c r="V88" s="33"/>
      <c r="W88" s="33"/>
      <c r="X88" s="33"/>
      <c r="Y88" s="33"/>
      <c r="Z88" s="33"/>
      <c r="AA88" s="33"/>
    </row>
    <row r="89" ht="18.0" customHeight="1">
      <c r="A89" s="81"/>
      <c r="B89" s="90" t="str">
        <f>"1-698-03-2446"</f>
        <v>1-698-03-2446</v>
      </c>
      <c r="C89" s="90" t="str">
        <f>"34285698034"</f>
        <v>34285698034</v>
      </c>
      <c r="D89" s="91" t="s">
        <v>93</v>
      </c>
      <c r="E89" s="92" t="s">
        <v>110</v>
      </c>
      <c r="F89" s="93"/>
      <c r="G89" s="93"/>
      <c r="H89" s="94"/>
      <c r="I89" s="95">
        <v>3.01913203539823</v>
      </c>
      <c r="J89" s="92">
        <v>24.0</v>
      </c>
      <c r="K89" s="96"/>
      <c r="L89" s="92">
        <f t="shared" si="1"/>
        <v>0</v>
      </c>
      <c r="M89" s="97">
        <f t="shared" si="2"/>
        <v>0</v>
      </c>
      <c r="N89" s="76"/>
      <c r="O89" s="77"/>
      <c r="P89" s="77"/>
      <c r="Q89" s="77"/>
      <c r="R89" s="77"/>
      <c r="S89" s="33"/>
      <c r="T89" s="33"/>
      <c r="U89" s="33"/>
      <c r="V89" s="33"/>
      <c r="W89" s="33"/>
      <c r="X89" s="33"/>
      <c r="Y89" s="33"/>
      <c r="Z89" s="33"/>
      <c r="AA89" s="33"/>
    </row>
    <row r="90" ht="18.0" customHeight="1">
      <c r="A90" s="81"/>
      <c r="B90" s="90" t="str">
        <f>"1-670-08-1200"</f>
        <v>1-670-08-1200</v>
      </c>
      <c r="C90" s="90" t="str">
        <f>"34285670085"</f>
        <v>34285670085</v>
      </c>
      <c r="D90" s="91" t="s">
        <v>112</v>
      </c>
      <c r="E90" s="92" t="s">
        <v>41</v>
      </c>
      <c r="F90" s="93"/>
      <c r="G90" s="93"/>
      <c r="H90" s="94"/>
      <c r="I90" s="95">
        <v>4.436587118644068</v>
      </c>
      <c r="J90" s="92">
        <v>12.0</v>
      </c>
      <c r="K90" s="96"/>
      <c r="L90" s="92">
        <f t="shared" si="1"/>
        <v>0</v>
      </c>
      <c r="M90" s="97">
        <f t="shared" si="2"/>
        <v>0</v>
      </c>
      <c r="N90" s="76"/>
      <c r="O90" s="77"/>
      <c r="P90" s="77"/>
      <c r="Q90" s="77"/>
      <c r="R90" s="77"/>
      <c r="S90" s="33"/>
      <c r="T90" s="33"/>
      <c r="U90" s="33"/>
      <c r="V90" s="33"/>
      <c r="W90" s="33"/>
      <c r="X90" s="33"/>
      <c r="Y90" s="33"/>
      <c r="Z90" s="33"/>
      <c r="AA90" s="33"/>
    </row>
    <row r="91" ht="18.0" customHeight="1">
      <c r="A91" s="81"/>
      <c r="B91" s="90" t="str">
        <f>"1-671-15-1200"</f>
        <v>1-671-15-1200</v>
      </c>
      <c r="C91" s="90" t="str">
        <f>"34285671150"</f>
        <v>34285671150</v>
      </c>
      <c r="D91" s="91" t="s">
        <v>113</v>
      </c>
      <c r="E91" s="92" t="s">
        <v>49</v>
      </c>
      <c r="F91" s="93"/>
      <c r="G91" s="93"/>
      <c r="H91" s="94"/>
      <c r="I91" s="95">
        <v>6.007531722772277</v>
      </c>
      <c r="J91" s="92">
        <v>12.0</v>
      </c>
      <c r="K91" s="96"/>
      <c r="L91" s="92">
        <f t="shared" si="1"/>
        <v>0</v>
      </c>
      <c r="M91" s="97">
        <f t="shared" si="2"/>
        <v>0</v>
      </c>
      <c r="N91" s="76"/>
      <c r="O91" s="77"/>
      <c r="P91" s="77"/>
      <c r="Q91" s="77"/>
      <c r="R91" s="77"/>
      <c r="S91" s="33"/>
      <c r="T91" s="33"/>
      <c r="U91" s="33"/>
      <c r="V91" s="33"/>
      <c r="W91" s="33"/>
      <c r="X91" s="33"/>
      <c r="Y91" s="33"/>
      <c r="Z91" s="33"/>
      <c r="AA91" s="33"/>
    </row>
    <row r="92" ht="18.0" customHeight="1">
      <c r="A92" s="81"/>
      <c r="B92" s="90" t="str">
        <f>"1-672-02-1200"</f>
        <v>1-672-02-1200</v>
      </c>
      <c r="C92" s="90" t="str">
        <f>"34285672027"</f>
        <v>34285672027</v>
      </c>
      <c r="D92" s="91" t="s">
        <v>114</v>
      </c>
      <c r="E92" s="92" t="s">
        <v>115</v>
      </c>
      <c r="F92" s="93"/>
      <c r="G92" s="93"/>
      <c r="H92" s="94"/>
      <c r="I92" s="95">
        <v>5.105306592797785</v>
      </c>
      <c r="J92" s="92">
        <v>12.0</v>
      </c>
      <c r="K92" s="96"/>
      <c r="L92" s="92">
        <f t="shared" si="1"/>
        <v>0</v>
      </c>
      <c r="M92" s="97">
        <f t="shared" si="2"/>
        <v>0</v>
      </c>
      <c r="N92" s="76"/>
      <c r="O92" s="77"/>
      <c r="P92" s="77"/>
      <c r="Q92" s="77"/>
      <c r="R92" s="77"/>
      <c r="S92" s="33"/>
      <c r="T92" s="33"/>
      <c r="U92" s="33"/>
      <c r="V92" s="33"/>
      <c r="W92" s="33"/>
      <c r="X92" s="33"/>
      <c r="Y92" s="33"/>
      <c r="Z92" s="33"/>
      <c r="AA92" s="33"/>
    </row>
    <row r="93" ht="18.0" customHeight="1">
      <c r="A93" s="81"/>
      <c r="B93" s="90" t="str">
        <f>"1-673-07-1200"</f>
        <v>1-673-07-1200</v>
      </c>
      <c r="C93" s="90" t="str">
        <f>"34285673079"</f>
        <v>34285673079</v>
      </c>
      <c r="D93" s="91" t="s">
        <v>116</v>
      </c>
      <c r="E93" s="92" t="s">
        <v>64</v>
      </c>
      <c r="F93" s="93"/>
      <c r="G93" s="93"/>
      <c r="H93" s="94"/>
      <c r="I93" s="95">
        <v>5.028406153846153</v>
      </c>
      <c r="J93" s="92">
        <v>12.0</v>
      </c>
      <c r="K93" s="96"/>
      <c r="L93" s="92">
        <f t="shared" si="1"/>
        <v>0</v>
      </c>
      <c r="M93" s="97">
        <f t="shared" si="2"/>
        <v>0</v>
      </c>
      <c r="N93" s="76"/>
      <c r="O93" s="77"/>
      <c r="P93" s="77"/>
      <c r="Q93" s="77"/>
      <c r="R93" s="77"/>
      <c r="S93" s="33"/>
      <c r="T93" s="33"/>
      <c r="U93" s="33"/>
      <c r="V93" s="33"/>
      <c r="W93" s="33"/>
      <c r="X93" s="33"/>
      <c r="Y93" s="33"/>
      <c r="Z93" s="33"/>
      <c r="AA93" s="33"/>
    </row>
    <row r="94" ht="18.0" customHeight="1">
      <c r="A94" s="81"/>
      <c r="B94" s="90" t="str">
        <f>"1-674-12-1200"</f>
        <v>1-674-12-1200</v>
      </c>
      <c r="C94" s="90" t="str">
        <f>"34285674120"</f>
        <v>34285674120</v>
      </c>
      <c r="D94" s="91" t="s">
        <v>117</v>
      </c>
      <c r="E94" s="92" t="s">
        <v>30</v>
      </c>
      <c r="F94" s="93"/>
      <c r="G94" s="93"/>
      <c r="H94" s="94"/>
      <c r="I94" s="95">
        <v>6.007531722772277</v>
      </c>
      <c r="J94" s="92">
        <v>12.0</v>
      </c>
      <c r="K94" s="96"/>
      <c r="L94" s="92">
        <f t="shared" si="1"/>
        <v>0</v>
      </c>
      <c r="M94" s="97">
        <f t="shared" si="2"/>
        <v>0</v>
      </c>
      <c r="N94" s="76"/>
      <c r="O94" s="77"/>
      <c r="P94" s="77"/>
      <c r="Q94" s="77"/>
      <c r="R94" s="77"/>
      <c r="S94" s="33"/>
      <c r="T94" s="33"/>
      <c r="U94" s="33"/>
      <c r="V94" s="33"/>
      <c r="W94" s="33"/>
      <c r="X94" s="33"/>
      <c r="Y94" s="33"/>
      <c r="Z94" s="33"/>
      <c r="AA94" s="33"/>
    </row>
    <row r="95" ht="18.0" customHeight="1">
      <c r="A95" s="81"/>
      <c r="B95" s="90" t="str">
        <f>"1-675-15-1200"</f>
        <v>1-675-15-1200</v>
      </c>
      <c r="C95" s="90" t="str">
        <f>"34285675158"</f>
        <v>34285675158</v>
      </c>
      <c r="D95" s="91" t="s">
        <v>118</v>
      </c>
      <c r="E95" s="92" t="s">
        <v>49</v>
      </c>
      <c r="F95" s="93"/>
      <c r="G95" s="93"/>
      <c r="H95" s="94"/>
      <c r="I95" s="95">
        <v>6.007531722772277</v>
      </c>
      <c r="J95" s="92">
        <v>12.0</v>
      </c>
      <c r="K95" s="96"/>
      <c r="L95" s="92">
        <f t="shared" si="1"/>
        <v>0</v>
      </c>
      <c r="M95" s="97">
        <f t="shared" si="2"/>
        <v>0</v>
      </c>
      <c r="N95" s="76"/>
      <c r="O95" s="77"/>
      <c r="P95" s="77"/>
      <c r="Q95" s="77"/>
      <c r="R95" s="77"/>
      <c r="S95" s="33"/>
      <c r="T95" s="33"/>
      <c r="U95" s="33"/>
      <c r="V95" s="33"/>
      <c r="W95" s="33"/>
      <c r="X95" s="33"/>
      <c r="Y95" s="33"/>
      <c r="Z95" s="33"/>
      <c r="AA95" s="33"/>
    </row>
    <row r="96" ht="18.0" customHeight="1">
      <c r="A96" s="81"/>
      <c r="B96" s="90" t="str">
        <f>"1-676-12-1200"</f>
        <v>1-676-12-1200</v>
      </c>
      <c r="C96" s="90" t="str">
        <f>"34285676124"</f>
        <v>34285676124</v>
      </c>
      <c r="D96" s="91" t="s">
        <v>119</v>
      </c>
      <c r="E96" s="92" t="s">
        <v>30</v>
      </c>
      <c r="F96" s="93"/>
      <c r="G96" s="93"/>
      <c r="H96" s="94"/>
      <c r="I96" s="95">
        <v>4.436587118644068</v>
      </c>
      <c r="J96" s="92">
        <v>12.0</v>
      </c>
      <c r="K96" s="96"/>
      <c r="L96" s="92">
        <f t="shared" si="1"/>
        <v>0</v>
      </c>
      <c r="M96" s="97">
        <f t="shared" si="2"/>
        <v>0</v>
      </c>
      <c r="N96" s="76"/>
      <c r="O96" s="77"/>
      <c r="P96" s="77"/>
      <c r="Q96" s="77"/>
      <c r="R96" s="77"/>
      <c r="S96" s="33"/>
      <c r="T96" s="33"/>
      <c r="U96" s="33"/>
      <c r="V96" s="33"/>
      <c r="W96" s="33"/>
      <c r="X96" s="33"/>
      <c r="Y96" s="33"/>
      <c r="Z96" s="33"/>
      <c r="AA96" s="33"/>
    </row>
    <row r="97" ht="18.0" customHeight="1">
      <c r="A97" s="81"/>
      <c r="B97" s="90" t="str">
        <f>"1-692-15-1200"</f>
        <v>1-692-15-1200</v>
      </c>
      <c r="C97" s="90" t="str">
        <f>"34285692155"</f>
        <v>34285692155</v>
      </c>
      <c r="D97" s="91" t="s">
        <v>111</v>
      </c>
      <c r="E97" s="92" t="s">
        <v>49</v>
      </c>
      <c r="F97" s="93"/>
      <c r="G97" s="93"/>
      <c r="H97" s="94"/>
      <c r="I97" s="95">
        <v>6.006553808553972</v>
      </c>
      <c r="J97" s="92">
        <v>12.0</v>
      </c>
      <c r="K97" s="96"/>
      <c r="L97" s="92">
        <f t="shared" si="1"/>
        <v>0</v>
      </c>
      <c r="M97" s="97">
        <f t="shared" si="2"/>
        <v>0</v>
      </c>
      <c r="N97" s="76"/>
      <c r="O97" s="77"/>
      <c r="P97" s="77"/>
      <c r="Q97" s="77"/>
      <c r="R97" s="77"/>
      <c r="S97" s="33"/>
      <c r="T97" s="33"/>
      <c r="U97" s="33"/>
      <c r="V97" s="33"/>
      <c r="W97" s="33"/>
      <c r="X97" s="33"/>
      <c r="Y97" s="33"/>
      <c r="Z97" s="33"/>
      <c r="AA97" s="33"/>
    </row>
    <row r="98" ht="18.0" customHeight="1">
      <c r="A98" s="81"/>
      <c r="B98" s="90" t="str">
        <f>"1-660-08-1200"</f>
        <v>1-660-08-1200</v>
      </c>
      <c r="C98" s="90" t="str">
        <f>"34285660086"</f>
        <v>34285660086</v>
      </c>
      <c r="D98" s="91" t="s">
        <v>120</v>
      </c>
      <c r="E98" s="92" t="s">
        <v>62</v>
      </c>
      <c r="F98" s="93"/>
      <c r="G98" s="93"/>
      <c r="H98" s="94"/>
      <c r="I98" s="95">
        <v>7.13930648275862</v>
      </c>
      <c r="J98" s="92">
        <v>12.0</v>
      </c>
      <c r="K98" s="96"/>
      <c r="L98" s="92">
        <f t="shared" si="1"/>
        <v>0</v>
      </c>
      <c r="M98" s="97">
        <f t="shared" si="2"/>
        <v>0</v>
      </c>
      <c r="N98" s="76"/>
      <c r="O98" s="77"/>
      <c r="P98" s="77"/>
      <c r="Q98" s="77"/>
      <c r="R98" s="77"/>
      <c r="S98" s="33"/>
      <c r="T98" s="33"/>
      <c r="U98" s="33"/>
      <c r="V98" s="33"/>
      <c r="W98" s="33"/>
      <c r="X98" s="33"/>
      <c r="Y98" s="33"/>
      <c r="Z98" s="33"/>
      <c r="AA98" s="33"/>
    </row>
    <row r="99" ht="18.0" customHeight="1">
      <c r="A99" s="81"/>
      <c r="B99" s="90" t="str">
        <f>"1-658-15-0600"</f>
        <v>1-658-15-0600</v>
      </c>
      <c r="C99" s="90" t="str">
        <f>"34285658151"</f>
        <v>34285658151</v>
      </c>
      <c r="D99" s="91" t="s">
        <v>121</v>
      </c>
      <c r="E99" s="92" t="s">
        <v>49</v>
      </c>
      <c r="F99" s="93"/>
      <c r="G99" s="93"/>
      <c r="H99" s="94"/>
      <c r="I99" s="95">
        <v>7.13930648275862</v>
      </c>
      <c r="J99" s="92">
        <v>6.0</v>
      </c>
      <c r="K99" s="96"/>
      <c r="L99" s="92">
        <f t="shared" si="1"/>
        <v>0</v>
      </c>
      <c r="M99" s="97">
        <f t="shared" si="2"/>
        <v>0</v>
      </c>
      <c r="N99" s="76"/>
      <c r="O99" s="77"/>
      <c r="P99" s="77"/>
      <c r="Q99" s="77"/>
      <c r="R99" s="77"/>
      <c r="S99" s="33"/>
      <c r="T99" s="33"/>
      <c r="U99" s="33"/>
      <c r="V99" s="33"/>
      <c r="W99" s="33"/>
      <c r="X99" s="33"/>
      <c r="Y99" s="33"/>
      <c r="Z99" s="33"/>
      <c r="AA99" s="33"/>
    </row>
    <row r="100" ht="18.0" customHeight="1">
      <c r="A100" s="81"/>
      <c r="B100" s="90" t="str">
        <f>"1-656-12-0600"</f>
        <v>1-656-12-0600</v>
      </c>
      <c r="C100" s="90" t="str">
        <f>"34285656126"</f>
        <v>34285656126</v>
      </c>
      <c r="D100" s="91" t="s">
        <v>122</v>
      </c>
      <c r="E100" s="92" t="s">
        <v>30</v>
      </c>
      <c r="F100" s="93"/>
      <c r="G100" s="93"/>
      <c r="H100" s="94"/>
      <c r="I100" s="95">
        <v>6.610989426987062</v>
      </c>
      <c r="J100" s="92">
        <v>6.0</v>
      </c>
      <c r="K100" s="96"/>
      <c r="L100" s="92">
        <f t="shared" si="1"/>
        <v>0</v>
      </c>
      <c r="M100" s="97">
        <f t="shared" si="2"/>
        <v>0</v>
      </c>
      <c r="N100" s="76"/>
      <c r="O100" s="77"/>
      <c r="P100" s="77"/>
      <c r="Q100" s="77"/>
      <c r="R100" s="77"/>
      <c r="S100" s="33"/>
      <c r="T100" s="33"/>
      <c r="U100" s="33"/>
      <c r="V100" s="33"/>
      <c r="W100" s="33"/>
      <c r="X100" s="33"/>
      <c r="Y100" s="33"/>
      <c r="Z100" s="33"/>
      <c r="AA100" s="33"/>
    </row>
    <row r="101" ht="18.0" customHeight="1">
      <c r="A101" s="81"/>
      <c r="B101" s="90" t="str">
        <f>"1-661-04-1200"</f>
        <v>1-661-04-1200</v>
      </c>
      <c r="C101" s="90" t="str">
        <f>"34285661045"</f>
        <v>34285661045</v>
      </c>
      <c r="D101" s="91" t="s">
        <v>123</v>
      </c>
      <c r="E101" s="92" t="s">
        <v>81</v>
      </c>
      <c r="F101" s="93"/>
      <c r="G101" s="93"/>
      <c r="H101" s="94"/>
      <c r="I101" s="95">
        <v>7.606224466019416</v>
      </c>
      <c r="J101" s="92">
        <v>12.0</v>
      </c>
      <c r="K101" s="96"/>
      <c r="L101" s="92">
        <f t="shared" si="1"/>
        <v>0</v>
      </c>
      <c r="M101" s="97">
        <f t="shared" si="2"/>
        <v>0</v>
      </c>
      <c r="N101" s="76"/>
      <c r="O101" s="77"/>
      <c r="P101" s="77"/>
      <c r="Q101" s="77"/>
      <c r="R101" s="77"/>
      <c r="S101" s="33"/>
      <c r="T101" s="33"/>
      <c r="U101" s="33"/>
      <c r="V101" s="33"/>
      <c r="W101" s="33"/>
      <c r="X101" s="33"/>
      <c r="Y101" s="33"/>
      <c r="Z101" s="33"/>
      <c r="AA101" s="33"/>
    </row>
    <row r="102" ht="18.0" customHeight="1">
      <c r="A102" s="81"/>
      <c r="B102" s="90" t="str">
        <f>"1-659-04-1200"</f>
        <v>1-659-04-1200</v>
      </c>
      <c r="C102" s="90" t="str">
        <f>"34285659042"</f>
        <v>34285659042</v>
      </c>
      <c r="D102" s="91" t="s">
        <v>124</v>
      </c>
      <c r="E102" s="92" t="s">
        <v>81</v>
      </c>
      <c r="F102" s="93"/>
      <c r="G102" s="93"/>
      <c r="H102" s="94"/>
      <c r="I102" s="95">
        <v>7.13930648275862</v>
      </c>
      <c r="J102" s="92">
        <v>12.0</v>
      </c>
      <c r="K102" s="96"/>
      <c r="L102" s="92">
        <f t="shared" si="1"/>
        <v>0</v>
      </c>
      <c r="M102" s="97">
        <f t="shared" si="2"/>
        <v>0</v>
      </c>
      <c r="N102" s="76"/>
      <c r="O102" s="77"/>
      <c r="P102" s="77"/>
      <c r="Q102" s="77"/>
      <c r="R102" s="77"/>
      <c r="S102" s="33"/>
      <c r="T102" s="33"/>
      <c r="U102" s="33"/>
      <c r="V102" s="33"/>
      <c r="W102" s="33"/>
      <c r="X102" s="33"/>
      <c r="Y102" s="33"/>
      <c r="Z102" s="33"/>
      <c r="AA102" s="33"/>
    </row>
    <row r="103" ht="18.0" customHeight="1">
      <c r="A103" s="81"/>
      <c r="B103" s="90" t="str">
        <f>"1-657-15-0600"</f>
        <v>1-657-15-0600</v>
      </c>
      <c r="C103" s="90" t="str">
        <f>"34285657154"</f>
        <v>34285657154</v>
      </c>
      <c r="D103" s="91" t="s">
        <v>125</v>
      </c>
      <c r="E103" s="92" t="s">
        <v>49</v>
      </c>
      <c r="F103" s="93"/>
      <c r="G103" s="93"/>
      <c r="H103" s="94"/>
      <c r="I103" s="95">
        <v>7.13930648275862</v>
      </c>
      <c r="J103" s="92">
        <v>6.0</v>
      </c>
      <c r="K103" s="96"/>
      <c r="L103" s="92">
        <f t="shared" si="1"/>
        <v>0</v>
      </c>
      <c r="M103" s="97">
        <f t="shared" si="2"/>
        <v>0</v>
      </c>
      <c r="N103" s="76"/>
      <c r="O103" s="77"/>
      <c r="P103" s="77"/>
      <c r="Q103" s="77"/>
      <c r="R103" s="77"/>
      <c r="S103" s="33"/>
      <c r="T103" s="33"/>
      <c r="U103" s="33"/>
      <c r="V103" s="33"/>
      <c r="W103" s="33"/>
      <c r="X103" s="33"/>
      <c r="Y103" s="33"/>
      <c r="Z103" s="33"/>
      <c r="AA103" s="33"/>
    </row>
    <row r="104" ht="18.0" customHeight="1">
      <c r="A104" s="81"/>
      <c r="B104" s="90" t="str">
        <f>"1-665-12-0600"</f>
        <v>1-665-12-0600</v>
      </c>
      <c r="C104" s="90" t="str">
        <f>"34285665128"</f>
        <v>34285665128</v>
      </c>
      <c r="D104" s="91" t="s">
        <v>126</v>
      </c>
      <c r="E104" s="92" t="s">
        <v>30</v>
      </c>
      <c r="F104" s="93"/>
      <c r="G104" s="93"/>
      <c r="H104" s="94"/>
      <c r="I104" s="95">
        <v>6.365810880000001</v>
      </c>
      <c r="J104" s="92">
        <v>6.0</v>
      </c>
      <c r="K104" s="96"/>
      <c r="L104" s="92">
        <f t="shared" si="1"/>
        <v>0</v>
      </c>
      <c r="M104" s="97">
        <f t="shared" si="2"/>
        <v>0</v>
      </c>
      <c r="N104" s="76"/>
      <c r="O104" s="77"/>
      <c r="P104" s="77"/>
      <c r="Q104" s="77"/>
      <c r="R104" s="77"/>
      <c r="S104" s="33"/>
      <c r="T104" s="33"/>
      <c r="U104" s="33"/>
      <c r="V104" s="33"/>
      <c r="W104" s="33"/>
      <c r="X104" s="33"/>
      <c r="Y104" s="33"/>
      <c r="Z104" s="33"/>
      <c r="AA104" s="33"/>
    </row>
    <row r="105" ht="18.0" customHeight="1">
      <c r="A105" s="81"/>
      <c r="B105" s="90" t="str">
        <f>"1-666-12-0600"</f>
        <v>1-666-12-0600</v>
      </c>
      <c r="C105" s="90" t="str">
        <f>"34285666125"</f>
        <v>34285666125</v>
      </c>
      <c r="D105" s="91" t="s">
        <v>127</v>
      </c>
      <c r="E105" s="92" t="s">
        <v>30</v>
      </c>
      <c r="F105" s="93"/>
      <c r="G105" s="93"/>
      <c r="H105" s="94"/>
      <c r="I105" s="95">
        <v>6.365810880000001</v>
      </c>
      <c r="J105" s="92">
        <v>6.0</v>
      </c>
      <c r="K105" s="96"/>
      <c r="L105" s="92">
        <f t="shared" si="1"/>
        <v>0</v>
      </c>
      <c r="M105" s="97">
        <f t="shared" si="2"/>
        <v>0</v>
      </c>
      <c r="N105" s="76"/>
      <c r="O105" s="77"/>
      <c r="P105" s="77"/>
      <c r="Q105" s="77"/>
      <c r="R105" s="77"/>
      <c r="S105" s="33"/>
      <c r="T105" s="33"/>
      <c r="U105" s="33"/>
      <c r="V105" s="33"/>
      <c r="W105" s="33"/>
      <c r="X105" s="33"/>
      <c r="Y105" s="33"/>
      <c r="Z105" s="33"/>
      <c r="AA105" s="33"/>
    </row>
    <row r="106" ht="18.0" customHeight="1">
      <c r="A106" s="81"/>
      <c r="B106" s="90" t="str">
        <f>"1-667-15-0600"</f>
        <v>1-667-15-0600</v>
      </c>
      <c r="C106" s="90" t="str">
        <f>"34285667153"</f>
        <v>34285667153</v>
      </c>
      <c r="D106" s="91" t="s">
        <v>128</v>
      </c>
      <c r="E106" s="92" t="s">
        <v>49</v>
      </c>
      <c r="F106" s="93"/>
      <c r="G106" s="93"/>
      <c r="H106" s="94"/>
      <c r="I106" s="95">
        <v>6.365810880000001</v>
      </c>
      <c r="J106" s="92">
        <v>6.0</v>
      </c>
      <c r="K106" s="96"/>
      <c r="L106" s="92">
        <f t="shared" si="1"/>
        <v>0</v>
      </c>
      <c r="M106" s="97">
        <f t="shared" si="2"/>
        <v>0</v>
      </c>
      <c r="N106" s="76"/>
      <c r="O106" s="77"/>
      <c r="P106" s="77"/>
      <c r="Q106" s="77"/>
      <c r="R106" s="77"/>
      <c r="S106" s="33"/>
      <c r="T106" s="33"/>
      <c r="U106" s="33"/>
      <c r="V106" s="33"/>
      <c r="W106" s="33"/>
      <c r="X106" s="33"/>
      <c r="Y106" s="33"/>
      <c r="Z106" s="33"/>
      <c r="AA106" s="33"/>
    </row>
    <row r="107" ht="18.0" customHeight="1">
      <c r="A107" s="81"/>
      <c r="B107" s="90" t="str">
        <f>"1-668-15-0600"</f>
        <v>1-668-15-0600</v>
      </c>
      <c r="C107" s="90" t="str">
        <f>"34285668150"</f>
        <v>34285668150</v>
      </c>
      <c r="D107" s="91" t="s">
        <v>129</v>
      </c>
      <c r="E107" s="92" t="s">
        <v>49</v>
      </c>
      <c r="F107" s="93"/>
      <c r="G107" s="93"/>
      <c r="H107" s="94"/>
      <c r="I107" s="95">
        <v>6.365810880000001</v>
      </c>
      <c r="J107" s="92">
        <v>6.0</v>
      </c>
      <c r="K107" s="96"/>
      <c r="L107" s="92">
        <f t="shared" si="1"/>
        <v>0</v>
      </c>
      <c r="M107" s="97">
        <f t="shared" si="2"/>
        <v>0</v>
      </c>
      <c r="N107" s="76"/>
      <c r="O107" s="77"/>
      <c r="P107" s="77"/>
      <c r="Q107" s="77"/>
      <c r="R107" s="77"/>
      <c r="S107" s="33"/>
      <c r="T107" s="33"/>
      <c r="U107" s="33"/>
      <c r="V107" s="33"/>
      <c r="W107" s="33"/>
      <c r="X107" s="33"/>
      <c r="Y107" s="33"/>
      <c r="Z107" s="33"/>
      <c r="AA107" s="33"/>
    </row>
    <row r="108" ht="18.0" customHeight="1">
      <c r="A108" s="81"/>
      <c r="B108" s="90" t="str">
        <f>"1-669-08-0600"</f>
        <v>1-669-08-0600</v>
      </c>
      <c r="C108" s="90" t="str">
        <f>"34285669089"</f>
        <v>34285669089</v>
      </c>
      <c r="D108" s="91" t="s">
        <v>130</v>
      </c>
      <c r="E108" s="92" t="s">
        <v>41</v>
      </c>
      <c r="F108" s="93"/>
      <c r="G108" s="93"/>
      <c r="H108" s="94"/>
      <c r="I108" s="95">
        <v>6.365810880000001</v>
      </c>
      <c r="J108" s="92">
        <v>6.0</v>
      </c>
      <c r="K108" s="96"/>
      <c r="L108" s="92">
        <f t="shared" si="1"/>
        <v>0</v>
      </c>
      <c r="M108" s="97">
        <f t="shared" si="2"/>
        <v>0</v>
      </c>
      <c r="N108" s="76"/>
      <c r="O108" s="77"/>
      <c r="P108" s="77"/>
      <c r="Q108" s="77"/>
      <c r="R108" s="77"/>
      <c r="S108" s="33"/>
      <c r="T108" s="33"/>
      <c r="U108" s="33"/>
      <c r="V108" s="33"/>
      <c r="W108" s="33"/>
      <c r="X108" s="33"/>
      <c r="Y108" s="33"/>
      <c r="Z108" s="33"/>
      <c r="AA108" s="33"/>
    </row>
    <row r="109" ht="18.0" customHeight="1">
      <c r="A109" s="81"/>
      <c r="B109" s="90" t="str">
        <f>"1-690-04-2446"</f>
        <v>1-690-04-2446</v>
      </c>
      <c r="C109" s="90" t="str">
        <f>"34285690045"</f>
        <v>34285690045</v>
      </c>
      <c r="D109" s="91" t="s">
        <v>131</v>
      </c>
      <c r="E109" s="92" t="s">
        <v>81</v>
      </c>
      <c r="F109" s="93"/>
      <c r="G109" s="93"/>
      <c r="H109" s="94"/>
      <c r="I109" s="95">
        <v>4.475027586206897</v>
      </c>
      <c r="J109" s="92">
        <v>24.0</v>
      </c>
      <c r="K109" s="96"/>
      <c r="L109" s="92">
        <f t="shared" si="1"/>
        <v>0</v>
      </c>
      <c r="M109" s="97">
        <f t="shared" si="2"/>
        <v>0</v>
      </c>
      <c r="N109" s="76"/>
      <c r="O109" s="77"/>
      <c r="P109" s="77"/>
      <c r="Q109" s="77"/>
      <c r="R109" s="77"/>
      <c r="S109" s="33"/>
      <c r="T109" s="33"/>
      <c r="U109" s="33"/>
      <c r="V109" s="33"/>
      <c r="W109" s="33"/>
      <c r="X109" s="33"/>
      <c r="Y109" s="33"/>
      <c r="Z109" s="33"/>
      <c r="AA109" s="33"/>
    </row>
    <row r="110" ht="18.0" customHeight="1">
      <c r="A110" s="81"/>
      <c r="B110" s="90" t="str">
        <f>"1-691-04-2446"</f>
        <v>1-691-04-2446</v>
      </c>
      <c r="C110" s="90" t="str">
        <f>"34285691042"</f>
        <v>34285691042</v>
      </c>
      <c r="D110" s="91" t="s">
        <v>132</v>
      </c>
      <c r="E110" s="92" t="s">
        <v>81</v>
      </c>
      <c r="F110" s="93"/>
      <c r="G110" s="93"/>
      <c r="H110" s="94"/>
      <c r="I110" s="95">
        <v>4.475027586206897</v>
      </c>
      <c r="J110" s="92">
        <v>24.0</v>
      </c>
      <c r="K110" s="96"/>
      <c r="L110" s="92">
        <f t="shared" si="1"/>
        <v>0</v>
      </c>
      <c r="M110" s="97">
        <f t="shared" si="2"/>
        <v>0</v>
      </c>
      <c r="N110" s="76"/>
      <c r="O110" s="77"/>
      <c r="P110" s="77"/>
      <c r="Q110" s="77"/>
      <c r="R110" s="77"/>
      <c r="S110" s="33"/>
      <c r="T110" s="33"/>
      <c r="U110" s="33"/>
      <c r="V110" s="33"/>
      <c r="W110" s="33"/>
      <c r="X110" s="33"/>
      <c r="Y110" s="33"/>
      <c r="Z110" s="33"/>
      <c r="AA110" s="33"/>
    </row>
    <row r="111" ht="18.0" customHeight="1">
      <c r="A111" s="81"/>
      <c r="B111" s="90" t="str">
        <f>"1-694-04-2446"</f>
        <v>1-694-04-2446</v>
      </c>
      <c r="C111" s="90" t="str">
        <f>"34285694043"</f>
        <v>34285694043</v>
      </c>
      <c r="D111" s="91" t="s">
        <v>133</v>
      </c>
      <c r="E111" s="92" t="s">
        <v>81</v>
      </c>
      <c r="F111" s="93"/>
      <c r="G111" s="93"/>
      <c r="H111" s="94"/>
      <c r="I111" s="95">
        <v>4.475027586206897</v>
      </c>
      <c r="J111" s="92">
        <v>24.0</v>
      </c>
      <c r="K111" s="96"/>
      <c r="L111" s="92">
        <f t="shared" si="1"/>
        <v>0</v>
      </c>
      <c r="M111" s="97">
        <f t="shared" si="2"/>
        <v>0</v>
      </c>
      <c r="N111" s="76"/>
      <c r="O111" s="77"/>
      <c r="P111" s="77"/>
      <c r="Q111" s="77"/>
      <c r="R111" s="77"/>
      <c r="S111" s="33"/>
      <c r="T111" s="33"/>
      <c r="U111" s="33"/>
      <c r="V111" s="33"/>
      <c r="W111" s="33"/>
      <c r="X111" s="33"/>
      <c r="Y111" s="33"/>
      <c r="Z111" s="33"/>
      <c r="AA111" s="33"/>
    </row>
    <row r="112" ht="18.0" customHeight="1">
      <c r="A112" s="81"/>
      <c r="B112" s="90" t="str">
        <f>"1-695-04-2446"</f>
        <v>1-695-04-2446</v>
      </c>
      <c r="C112" s="90" t="str">
        <f>"34285695040"</f>
        <v>34285695040</v>
      </c>
      <c r="D112" s="91" t="s">
        <v>134</v>
      </c>
      <c r="E112" s="92" t="s">
        <v>81</v>
      </c>
      <c r="F112" s="93"/>
      <c r="G112" s="93"/>
      <c r="H112" s="94"/>
      <c r="I112" s="95">
        <v>4.475027586206897</v>
      </c>
      <c r="J112" s="92">
        <v>24.0</v>
      </c>
      <c r="K112" s="96"/>
      <c r="L112" s="92">
        <f t="shared" si="1"/>
        <v>0</v>
      </c>
      <c r="M112" s="97">
        <f t="shared" si="2"/>
        <v>0</v>
      </c>
      <c r="N112" s="76"/>
      <c r="O112" s="77"/>
      <c r="P112" s="77"/>
      <c r="Q112" s="77"/>
      <c r="R112" s="77"/>
      <c r="S112" s="33"/>
      <c r="T112" s="33"/>
      <c r="U112" s="33"/>
      <c r="V112" s="33"/>
      <c r="W112" s="33"/>
      <c r="X112" s="33"/>
      <c r="Y112" s="33"/>
      <c r="Z112" s="33"/>
      <c r="AA112" s="33"/>
    </row>
    <row r="113" ht="18.0" customHeight="1">
      <c r="A113" s="81"/>
      <c r="B113" s="90" t="str">
        <f>"1-686-15-0600"</f>
        <v>1-686-15-0600</v>
      </c>
      <c r="C113" s="90" t="str">
        <f>"34285686154"</f>
        <v>34285686154</v>
      </c>
      <c r="D113" s="91" t="s">
        <v>109</v>
      </c>
      <c r="E113" s="92" t="s">
        <v>49</v>
      </c>
      <c r="F113" s="93"/>
      <c r="G113" s="93"/>
      <c r="H113" s="94"/>
      <c r="I113" s="95">
        <v>6.0889706876227905</v>
      </c>
      <c r="J113" s="92">
        <v>6.0</v>
      </c>
      <c r="K113" s="96"/>
      <c r="L113" s="92">
        <f t="shared" si="1"/>
        <v>0</v>
      </c>
      <c r="M113" s="97">
        <f t="shared" si="2"/>
        <v>0</v>
      </c>
      <c r="N113" s="76"/>
      <c r="O113" s="77"/>
      <c r="P113" s="77"/>
      <c r="Q113" s="77"/>
      <c r="R113" s="77"/>
      <c r="S113" s="33"/>
      <c r="T113" s="33"/>
      <c r="U113" s="33"/>
      <c r="V113" s="33"/>
      <c r="W113" s="33"/>
      <c r="X113" s="33"/>
      <c r="Y113" s="33"/>
      <c r="Z113" s="33"/>
      <c r="AA113" s="33"/>
    </row>
    <row r="114" ht="18.0" customHeight="1">
      <c r="A114" s="81"/>
      <c r="B114" s="90" t="str">
        <f>"1-687-07-0600"</f>
        <v>1-687-07-0600</v>
      </c>
      <c r="C114" s="90" t="str">
        <f>"34285687076"</f>
        <v>34285687076</v>
      </c>
      <c r="D114" s="91" t="s">
        <v>135</v>
      </c>
      <c r="E114" s="92" t="s">
        <v>64</v>
      </c>
      <c r="F114" s="93"/>
      <c r="G114" s="93"/>
      <c r="H114" s="94"/>
      <c r="I114" s="95">
        <v>6.0889706876227905</v>
      </c>
      <c r="J114" s="92">
        <v>6.0</v>
      </c>
      <c r="K114" s="96"/>
      <c r="L114" s="92">
        <f t="shared" si="1"/>
        <v>0</v>
      </c>
      <c r="M114" s="97">
        <f t="shared" si="2"/>
        <v>0</v>
      </c>
      <c r="N114" s="76"/>
      <c r="O114" s="77"/>
      <c r="P114" s="77"/>
      <c r="Q114" s="77"/>
      <c r="R114" s="77"/>
      <c r="S114" s="33"/>
      <c r="T114" s="33"/>
      <c r="U114" s="33"/>
      <c r="V114" s="33"/>
      <c r="W114" s="33"/>
      <c r="X114" s="33"/>
      <c r="Y114" s="33"/>
      <c r="Z114" s="33"/>
      <c r="AA114" s="33"/>
    </row>
    <row r="115" ht="18.0" customHeight="1">
      <c r="A115" s="81"/>
      <c r="B115" s="90" t="str">
        <f>"1-688-15-0600"</f>
        <v>1-688-15-0600</v>
      </c>
      <c r="C115" s="90" t="str">
        <f>"34285688158"</f>
        <v>34285688158</v>
      </c>
      <c r="D115" s="91" t="s">
        <v>136</v>
      </c>
      <c r="E115" s="92" t="s">
        <v>49</v>
      </c>
      <c r="F115" s="93"/>
      <c r="G115" s="93"/>
      <c r="H115" s="94"/>
      <c r="I115" s="95">
        <v>6.0889706876227905</v>
      </c>
      <c r="J115" s="92">
        <v>6.0</v>
      </c>
      <c r="K115" s="96"/>
      <c r="L115" s="92">
        <f t="shared" si="1"/>
        <v>0</v>
      </c>
      <c r="M115" s="97">
        <f t="shared" si="2"/>
        <v>0</v>
      </c>
      <c r="N115" s="76"/>
      <c r="O115" s="77"/>
      <c r="P115" s="77"/>
      <c r="Q115" s="77"/>
      <c r="R115" s="77"/>
      <c r="S115" s="33"/>
      <c r="T115" s="33"/>
      <c r="U115" s="33"/>
      <c r="V115" s="33"/>
      <c r="W115" s="33"/>
      <c r="X115" s="33"/>
      <c r="Y115" s="33"/>
      <c r="Z115" s="33"/>
      <c r="AA115" s="33"/>
    </row>
    <row r="116" ht="18.0" customHeight="1">
      <c r="A116" s="81"/>
      <c r="B116" s="90" t="str">
        <f>"1-689-12-0600"</f>
        <v>1-689-12-0600</v>
      </c>
      <c r="C116" s="90" t="str">
        <f>"34285689124"</f>
        <v>34285689124</v>
      </c>
      <c r="D116" s="91" t="s">
        <v>137</v>
      </c>
      <c r="E116" s="92" t="s">
        <v>30</v>
      </c>
      <c r="F116" s="93"/>
      <c r="G116" s="93"/>
      <c r="H116" s="94"/>
      <c r="I116" s="95">
        <v>6.0889706876227905</v>
      </c>
      <c r="J116" s="92">
        <v>6.0</v>
      </c>
      <c r="K116" s="96"/>
      <c r="L116" s="92">
        <f t="shared" si="1"/>
        <v>0</v>
      </c>
      <c r="M116" s="97">
        <f t="shared" si="2"/>
        <v>0</v>
      </c>
      <c r="N116" s="76"/>
      <c r="O116" s="77"/>
      <c r="P116" s="77"/>
      <c r="Q116" s="77"/>
      <c r="R116" s="77"/>
      <c r="S116" s="33"/>
      <c r="T116" s="33"/>
      <c r="U116" s="33"/>
      <c r="V116" s="33"/>
      <c r="W116" s="33"/>
      <c r="X116" s="33"/>
      <c r="Y116" s="33"/>
      <c r="Z116" s="33"/>
      <c r="AA116" s="33"/>
    </row>
    <row r="117" ht="18.0" customHeight="1">
      <c r="A117" s="81"/>
      <c r="B117" s="90" t="str">
        <f>"1-925-12-1200"</f>
        <v>1-925-12-1200</v>
      </c>
      <c r="C117" s="90" t="str">
        <f>"34285925123"</f>
        <v>34285925123</v>
      </c>
      <c r="D117" s="91" t="s">
        <v>138</v>
      </c>
      <c r="E117" s="92" t="s">
        <v>30</v>
      </c>
      <c r="F117" s="93"/>
      <c r="G117" s="93"/>
      <c r="H117" s="94"/>
      <c r="I117" s="95">
        <v>5.502816</v>
      </c>
      <c r="J117" s="92">
        <v>12.0</v>
      </c>
      <c r="K117" s="96"/>
      <c r="L117" s="92">
        <f t="shared" si="1"/>
        <v>0</v>
      </c>
      <c r="M117" s="97">
        <f t="shared" si="2"/>
        <v>0</v>
      </c>
      <c r="N117" s="76"/>
      <c r="O117" s="77"/>
      <c r="P117" s="77"/>
      <c r="Q117" s="77"/>
      <c r="R117" s="77"/>
      <c r="S117" s="33"/>
      <c r="T117" s="33"/>
      <c r="U117" s="33"/>
      <c r="V117" s="33"/>
      <c r="W117" s="33"/>
      <c r="X117" s="33"/>
      <c r="Y117" s="33"/>
      <c r="Z117" s="33"/>
      <c r="AA117" s="33"/>
    </row>
    <row r="118" ht="18.0" customHeight="1">
      <c r="A118" s="81"/>
      <c r="B118" s="90" t="str">
        <f>"K-035"</f>
        <v>K-035</v>
      </c>
      <c r="C118" s="90" t="str">
        <f>"74867770352"</f>
        <v>74867770352</v>
      </c>
      <c r="D118" s="91" t="s">
        <v>139</v>
      </c>
      <c r="E118" s="92" t="s">
        <v>81</v>
      </c>
      <c r="F118" s="93"/>
      <c r="G118" s="93"/>
      <c r="H118" s="94"/>
      <c r="I118" s="95">
        <v>3.2671858698851923</v>
      </c>
      <c r="J118" s="92" t="s">
        <v>140</v>
      </c>
      <c r="K118" s="96"/>
      <c r="L118" s="92">
        <f t="shared" si="1"/>
        <v>0</v>
      </c>
      <c r="M118" s="97">
        <f t="shared" si="2"/>
        <v>0</v>
      </c>
      <c r="N118" s="76"/>
      <c r="O118" s="77"/>
      <c r="P118" s="77"/>
      <c r="Q118" s="77"/>
      <c r="R118" s="77"/>
      <c r="S118" s="33"/>
      <c r="T118" s="33"/>
      <c r="U118" s="33"/>
      <c r="V118" s="33"/>
      <c r="W118" s="33"/>
      <c r="X118" s="33"/>
      <c r="Y118" s="33"/>
      <c r="Z118" s="33"/>
      <c r="AA118" s="33"/>
    </row>
    <row r="119" ht="18.0" customHeight="1">
      <c r="A119" s="81"/>
      <c r="B119" s="90" t="str">
        <f>"K-036"</f>
        <v>K-036</v>
      </c>
      <c r="C119" s="90" t="str">
        <f>"74867770369"</f>
        <v>74867770369</v>
      </c>
      <c r="D119" s="91" t="s">
        <v>139</v>
      </c>
      <c r="E119" s="92" t="s">
        <v>41</v>
      </c>
      <c r="F119" s="93"/>
      <c r="G119" s="93"/>
      <c r="H119" s="94"/>
      <c r="I119" s="95">
        <v>4.840026025003362</v>
      </c>
      <c r="J119" s="92" t="s">
        <v>141</v>
      </c>
      <c r="K119" s="96"/>
      <c r="L119" s="92">
        <f t="shared" si="1"/>
        <v>0</v>
      </c>
      <c r="M119" s="97">
        <f t="shared" si="2"/>
        <v>0</v>
      </c>
      <c r="N119" s="76"/>
      <c r="O119" s="77"/>
      <c r="P119" s="77"/>
      <c r="Q119" s="77"/>
      <c r="R119" s="77"/>
      <c r="S119" s="33"/>
      <c r="T119" s="33"/>
      <c r="U119" s="33"/>
      <c r="V119" s="33"/>
      <c r="W119" s="33"/>
      <c r="X119" s="33"/>
      <c r="Y119" s="33"/>
      <c r="Z119" s="33"/>
      <c r="AA119" s="33"/>
    </row>
    <row r="120" ht="18.0" customHeight="1">
      <c r="A120" s="81"/>
      <c r="B120" s="90" t="str">
        <f>"K-038"</f>
        <v>K-038</v>
      </c>
      <c r="C120" s="90" t="str">
        <f>"74867770383"</f>
        <v>74867770383</v>
      </c>
      <c r="D120" s="91" t="s">
        <v>142</v>
      </c>
      <c r="E120" s="92" t="s">
        <v>41</v>
      </c>
      <c r="F120" s="93"/>
      <c r="G120" s="93"/>
      <c r="H120" s="94"/>
      <c r="I120" s="95">
        <v>6.779520000000001</v>
      </c>
      <c r="J120" s="92">
        <v>6.0</v>
      </c>
      <c r="K120" s="96"/>
      <c r="L120" s="92">
        <f t="shared" si="1"/>
        <v>0</v>
      </c>
      <c r="M120" s="97">
        <f t="shared" si="2"/>
        <v>0</v>
      </c>
      <c r="N120" s="76"/>
      <c r="O120" s="77"/>
      <c r="P120" s="77"/>
      <c r="Q120" s="77"/>
      <c r="R120" s="77"/>
      <c r="S120" s="33"/>
      <c r="T120" s="33"/>
      <c r="U120" s="33"/>
      <c r="V120" s="33"/>
      <c r="W120" s="33"/>
      <c r="X120" s="33"/>
      <c r="Y120" s="33"/>
      <c r="Z120" s="33"/>
      <c r="AA120" s="33"/>
    </row>
    <row r="121" ht="18.0" customHeight="1">
      <c r="A121" s="81"/>
      <c r="B121" s="90" t="str">
        <f>"K-680"</f>
        <v>K-680</v>
      </c>
      <c r="C121" s="90" t="str">
        <f>"74867786803"</f>
        <v>74867786803</v>
      </c>
      <c r="D121" s="91" t="s">
        <v>143</v>
      </c>
      <c r="E121" s="92" t="s">
        <v>144</v>
      </c>
      <c r="F121" s="93"/>
      <c r="G121" s="93"/>
      <c r="H121" s="94"/>
      <c r="I121" s="95">
        <v>8.671324820295984</v>
      </c>
      <c r="J121" s="92" t="s">
        <v>141</v>
      </c>
      <c r="K121" s="96"/>
      <c r="L121" s="92">
        <f t="shared" si="1"/>
        <v>0</v>
      </c>
      <c r="M121" s="97">
        <f t="shared" si="2"/>
        <v>0</v>
      </c>
      <c r="N121" s="76"/>
      <c r="O121" s="77"/>
      <c r="P121" s="77"/>
      <c r="Q121" s="77"/>
      <c r="R121" s="77"/>
      <c r="S121" s="33"/>
      <c r="T121" s="33"/>
      <c r="U121" s="33"/>
      <c r="V121" s="33"/>
      <c r="W121" s="33"/>
      <c r="X121" s="33"/>
      <c r="Y121" s="33"/>
      <c r="Z121" s="33"/>
      <c r="AA121" s="33"/>
    </row>
    <row r="122" ht="18.0" customHeight="1">
      <c r="A122" s="81"/>
      <c r="B122" s="90" t="str">
        <f>"K-938"</f>
        <v>K-938</v>
      </c>
      <c r="C122" s="90" t="str">
        <f>"74867679389"</f>
        <v>74867679389</v>
      </c>
      <c r="D122" s="91" t="s">
        <v>139</v>
      </c>
      <c r="E122" s="92" t="s">
        <v>100</v>
      </c>
      <c r="F122" s="93"/>
      <c r="G122" s="93"/>
      <c r="H122" s="94"/>
      <c r="I122" s="95">
        <v>1.6884045377197963</v>
      </c>
      <c r="J122" s="92" t="s">
        <v>145</v>
      </c>
      <c r="K122" s="96"/>
      <c r="L122" s="92">
        <f t="shared" si="1"/>
        <v>0</v>
      </c>
      <c r="M122" s="97">
        <f t="shared" si="2"/>
        <v>0</v>
      </c>
      <c r="N122" s="76"/>
      <c r="O122" s="77"/>
      <c r="P122" s="77"/>
      <c r="Q122" s="77"/>
      <c r="R122" s="77"/>
      <c r="S122" s="33"/>
      <c r="T122" s="33"/>
      <c r="U122" s="33"/>
      <c r="V122" s="33"/>
      <c r="W122" s="33"/>
      <c r="X122" s="33"/>
      <c r="Y122" s="33"/>
      <c r="Z122" s="33"/>
      <c r="AA122" s="33"/>
    </row>
    <row r="123" ht="18.0" customHeight="1">
      <c r="A123" s="81"/>
      <c r="B123" s="90" t="str">
        <f>"K-922"</f>
        <v>K-922</v>
      </c>
      <c r="C123" s="90" t="str">
        <f>"74867679228"</f>
        <v>74867679228</v>
      </c>
      <c r="D123" s="91" t="s">
        <v>146</v>
      </c>
      <c r="E123" s="92" t="s">
        <v>41</v>
      </c>
      <c r="F123" s="93"/>
      <c r="G123" s="93"/>
      <c r="H123" s="94"/>
      <c r="I123" s="95">
        <v>5.1702048275862085</v>
      </c>
      <c r="J123" s="92" t="s">
        <v>140</v>
      </c>
      <c r="K123" s="96"/>
      <c r="L123" s="92">
        <f t="shared" si="1"/>
        <v>0</v>
      </c>
      <c r="M123" s="97">
        <f t="shared" si="2"/>
        <v>0</v>
      </c>
      <c r="N123" s="76"/>
      <c r="O123" s="77"/>
      <c r="P123" s="77"/>
      <c r="Q123" s="77"/>
      <c r="R123" s="77"/>
      <c r="S123" s="33"/>
      <c r="T123" s="33"/>
      <c r="U123" s="33"/>
      <c r="V123" s="33"/>
      <c r="W123" s="33"/>
      <c r="X123" s="33"/>
      <c r="Y123" s="33"/>
      <c r="Z123" s="33"/>
      <c r="AA123" s="33"/>
    </row>
    <row r="124" ht="18.0" customHeight="1">
      <c r="A124" s="81"/>
      <c r="B124" s="90" t="str">
        <f>"K-923"</f>
        <v>K-923</v>
      </c>
      <c r="C124" s="90" t="str">
        <f>"74867679235"</f>
        <v>74867679235</v>
      </c>
      <c r="D124" s="91" t="s">
        <v>146</v>
      </c>
      <c r="E124" s="92" t="s">
        <v>49</v>
      </c>
      <c r="F124" s="93"/>
      <c r="G124" s="93"/>
      <c r="H124" s="94"/>
      <c r="I124" s="95">
        <v>8.87803304347826</v>
      </c>
      <c r="J124" s="92" t="s">
        <v>141</v>
      </c>
      <c r="K124" s="96"/>
      <c r="L124" s="92">
        <f t="shared" si="1"/>
        <v>0</v>
      </c>
      <c r="M124" s="97">
        <f t="shared" si="2"/>
        <v>0</v>
      </c>
      <c r="N124" s="76"/>
      <c r="O124" s="77"/>
      <c r="P124" s="77"/>
      <c r="Q124" s="77"/>
      <c r="R124" s="77"/>
      <c r="S124" s="33"/>
      <c r="T124" s="33"/>
      <c r="U124" s="33"/>
      <c r="V124" s="33"/>
      <c r="W124" s="33"/>
      <c r="X124" s="33"/>
      <c r="Y124" s="33"/>
      <c r="Z124" s="33"/>
      <c r="AA124" s="33"/>
    </row>
    <row r="125" ht="18.0" customHeight="1">
      <c r="A125" s="81"/>
      <c r="B125" s="90" t="str">
        <f>"K-931"</f>
        <v>K-931</v>
      </c>
      <c r="C125" s="90" t="str">
        <f>"74867679310"</f>
        <v>74867679310</v>
      </c>
      <c r="D125" s="91" t="s">
        <v>147</v>
      </c>
      <c r="E125" s="92" t="s">
        <v>41</v>
      </c>
      <c r="F125" s="93"/>
      <c r="G125" s="93"/>
      <c r="H125" s="94"/>
      <c r="I125" s="95">
        <v>5.244900677966101</v>
      </c>
      <c r="J125" s="92" t="s">
        <v>140</v>
      </c>
      <c r="K125" s="96"/>
      <c r="L125" s="92">
        <f t="shared" si="1"/>
        <v>0</v>
      </c>
      <c r="M125" s="97">
        <f t="shared" si="2"/>
        <v>0</v>
      </c>
      <c r="N125" s="76"/>
      <c r="O125" s="77"/>
      <c r="P125" s="77"/>
      <c r="Q125" s="77"/>
      <c r="R125" s="77"/>
      <c r="S125" s="33"/>
      <c r="T125" s="33"/>
      <c r="U125" s="33"/>
      <c r="V125" s="33"/>
      <c r="W125" s="33"/>
      <c r="X125" s="33"/>
      <c r="Y125" s="33"/>
      <c r="Z125" s="33"/>
      <c r="AA125" s="33"/>
    </row>
    <row r="126" ht="18.0" customHeight="1">
      <c r="A126" s="81"/>
      <c r="B126" s="90" t="str">
        <f>"K-933"</f>
        <v>K-933</v>
      </c>
      <c r="C126" s="90" t="str">
        <f>"74867679334"</f>
        <v>74867679334</v>
      </c>
      <c r="D126" s="91" t="s">
        <v>148</v>
      </c>
      <c r="E126" s="92" t="s">
        <v>105</v>
      </c>
      <c r="F126" s="93"/>
      <c r="G126" s="93"/>
      <c r="H126" s="94"/>
      <c r="I126" s="95">
        <v>6.647761607142858</v>
      </c>
      <c r="J126" s="92" t="s">
        <v>141</v>
      </c>
      <c r="K126" s="96"/>
      <c r="L126" s="92">
        <f t="shared" si="1"/>
        <v>0</v>
      </c>
      <c r="M126" s="97">
        <f t="shared" si="2"/>
        <v>0</v>
      </c>
      <c r="N126" s="76"/>
      <c r="O126" s="77"/>
      <c r="P126" s="77"/>
      <c r="Q126" s="77"/>
      <c r="R126" s="77"/>
      <c r="S126" s="33"/>
      <c r="T126" s="33"/>
      <c r="U126" s="33"/>
      <c r="V126" s="33"/>
      <c r="W126" s="33"/>
      <c r="X126" s="33"/>
      <c r="Y126" s="33"/>
      <c r="Z126" s="33"/>
      <c r="AA126" s="33"/>
    </row>
    <row r="127" ht="18.0" customHeight="1">
      <c r="A127" s="81"/>
      <c r="B127" s="90" t="str">
        <f>"K-928"</f>
        <v>K-928</v>
      </c>
      <c r="C127" s="90" t="str">
        <f>"74867679280"</f>
        <v>74867679280</v>
      </c>
      <c r="D127" s="91" t="s">
        <v>149</v>
      </c>
      <c r="E127" s="92" t="s">
        <v>41</v>
      </c>
      <c r="F127" s="93"/>
      <c r="G127" s="93"/>
      <c r="H127" s="94"/>
      <c r="I127" s="95">
        <v>5.1702048275862085</v>
      </c>
      <c r="J127" s="92" t="s">
        <v>140</v>
      </c>
      <c r="K127" s="96"/>
      <c r="L127" s="92">
        <f t="shared" si="1"/>
        <v>0</v>
      </c>
      <c r="M127" s="97">
        <f t="shared" si="2"/>
        <v>0</v>
      </c>
      <c r="N127" s="76"/>
      <c r="O127" s="77"/>
      <c r="P127" s="77"/>
      <c r="Q127" s="77"/>
      <c r="R127" s="77"/>
      <c r="S127" s="33"/>
      <c r="T127" s="33"/>
      <c r="U127" s="33"/>
      <c r="V127" s="33"/>
      <c r="W127" s="33"/>
      <c r="X127" s="33"/>
      <c r="Y127" s="33"/>
      <c r="Z127" s="33"/>
      <c r="AA127" s="33"/>
    </row>
    <row r="128" ht="18.0" customHeight="1">
      <c r="A128" s="81"/>
      <c r="B128" s="90" t="str">
        <f>"K-929"</f>
        <v>K-929</v>
      </c>
      <c r="C128" s="90" t="str">
        <f>"74867679299"</f>
        <v>74867679299</v>
      </c>
      <c r="D128" s="91" t="s">
        <v>149</v>
      </c>
      <c r="E128" s="92" t="s">
        <v>49</v>
      </c>
      <c r="F128" s="93"/>
      <c r="G128" s="93"/>
      <c r="H128" s="94"/>
      <c r="I128" s="95">
        <v>8.87803304347826</v>
      </c>
      <c r="J128" s="92" t="s">
        <v>141</v>
      </c>
      <c r="K128" s="96"/>
      <c r="L128" s="92">
        <f t="shared" si="1"/>
        <v>0</v>
      </c>
      <c r="M128" s="97">
        <f t="shared" si="2"/>
        <v>0</v>
      </c>
      <c r="N128" s="76"/>
      <c r="O128" s="77"/>
      <c r="P128" s="77"/>
      <c r="Q128" s="77"/>
      <c r="R128" s="77"/>
      <c r="S128" s="33"/>
      <c r="T128" s="33"/>
      <c r="U128" s="33"/>
      <c r="V128" s="33"/>
      <c r="W128" s="33"/>
      <c r="X128" s="33"/>
      <c r="Y128" s="33"/>
      <c r="Z128" s="33"/>
      <c r="AA128" s="33"/>
    </row>
    <row r="129" ht="18.0" customHeight="1">
      <c r="A129" s="81"/>
      <c r="B129" s="90" t="str">
        <f>"K-943"</f>
        <v>K-943</v>
      </c>
      <c r="C129" s="90" t="str">
        <f>"74867679433"</f>
        <v>74867679433</v>
      </c>
      <c r="D129" s="91" t="s">
        <v>150</v>
      </c>
      <c r="E129" s="92" t="s">
        <v>41</v>
      </c>
      <c r="F129" s="93"/>
      <c r="G129" s="93"/>
      <c r="H129" s="94"/>
      <c r="I129" s="95">
        <v>5.244900677966101</v>
      </c>
      <c r="J129" s="92" t="s">
        <v>140</v>
      </c>
      <c r="K129" s="96"/>
      <c r="L129" s="92">
        <f t="shared" si="1"/>
        <v>0</v>
      </c>
      <c r="M129" s="97">
        <f t="shared" si="2"/>
        <v>0</v>
      </c>
      <c r="N129" s="76"/>
      <c r="O129" s="77"/>
      <c r="P129" s="77"/>
      <c r="Q129" s="77"/>
      <c r="R129" s="77"/>
      <c r="S129" s="33"/>
      <c r="T129" s="33"/>
      <c r="U129" s="33"/>
      <c r="V129" s="33"/>
      <c r="W129" s="33"/>
      <c r="X129" s="33"/>
      <c r="Y129" s="33"/>
      <c r="Z129" s="33"/>
      <c r="AA129" s="33"/>
    </row>
    <row r="130" ht="18.0" customHeight="1">
      <c r="A130" s="81"/>
      <c r="B130" s="90" t="str">
        <f>"K-702"</f>
        <v>K-702</v>
      </c>
      <c r="C130" s="90" t="str">
        <f>"74867687025"</f>
        <v>74867687025</v>
      </c>
      <c r="D130" s="91" t="s">
        <v>151</v>
      </c>
      <c r="E130" s="92" t="s">
        <v>81</v>
      </c>
      <c r="F130" s="93"/>
      <c r="G130" s="93"/>
      <c r="H130" s="94"/>
      <c r="I130" s="95">
        <v>5.953160597014925</v>
      </c>
      <c r="J130" s="92" t="s">
        <v>141</v>
      </c>
      <c r="K130" s="96"/>
      <c r="L130" s="92">
        <f t="shared" si="1"/>
        <v>0</v>
      </c>
      <c r="M130" s="97">
        <f t="shared" si="2"/>
        <v>0</v>
      </c>
      <c r="N130" s="76"/>
      <c r="O130" s="77"/>
      <c r="P130" s="77"/>
      <c r="Q130" s="77"/>
      <c r="R130" s="77"/>
      <c r="S130" s="33"/>
      <c r="T130" s="33"/>
      <c r="U130" s="33"/>
      <c r="V130" s="33"/>
      <c r="W130" s="33"/>
      <c r="X130" s="33"/>
      <c r="Y130" s="33"/>
      <c r="Z130" s="33"/>
      <c r="AA130" s="33"/>
    </row>
    <row r="131" ht="18.0" customHeight="1">
      <c r="A131" s="81"/>
      <c r="B131" s="90" t="str">
        <f>"K-705"</f>
        <v>K-705</v>
      </c>
      <c r="C131" s="90" t="str">
        <f>"74867687056"</f>
        <v>74867687056</v>
      </c>
      <c r="D131" s="91" t="s">
        <v>152</v>
      </c>
      <c r="E131" s="92" t="s">
        <v>81</v>
      </c>
      <c r="F131" s="93"/>
      <c r="G131" s="93"/>
      <c r="H131" s="94"/>
      <c r="I131" s="95">
        <v>5.953160597014925</v>
      </c>
      <c r="J131" s="92" t="s">
        <v>141</v>
      </c>
      <c r="K131" s="96"/>
      <c r="L131" s="92">
        <f t="shared" si="1"/>
        <v>0</v>
      </c>
      <c r="M131" s="97">
        <f t="shared" si="2"/>
        <v>0</v>
      </c>
      <c r="N131" s="76"/>
      <c r="O131" s="77"/>
      <c r="P131" s="77"/>
      <c r="Q131" s="77"/>
      <c r="R131" s="77"/>
      <c r="S131" s="33"/>
      <c r="T131" s="33"/>
      <c r="U131" s="33"/>
      <c r="V131" s="33"/>
      <c r="W131" s="33"/>
      <c r="X131" s="33"/>
      <c r="Y131" s="33"/>
      <c r="Z131" s="33"/>
      <c r="AA131" s="33"/>
    </row>
    <row r="132" ht="18.0" customHeight="1">
      <c r="A132" s="81"/>
      <c r="B132" s="90" t="str">
        <f>"K-710"</f>
        <v>K-710</v>
      </c>
      <c r="C132" s="90" t="str">
        <f>"74867687100"</f>
        <v>74867687100</v>
      </c>
      <c r="D132" s="91" t="s">
        <v>153</v>
      </c>
      <c r="E132" s="92" t="s">
        <v>81</v>
      </c>
      <c r="F132" s="93"/>
      <c r="G132" s="93"/>
      <c r="H132" s="94"/>
      <c r="I132" s="95">
        <v>5.953160597014925</v>
      </c>
      <c r="J132" s="92" t="s">
        <v>141</v>
      </c>
      <c r="K132" s="96"/>
      <c r="L132" s="92">
        <f t="shared" si="1"/>
        <v>0</v>
      </c>
      <c r="M132" s="97">
        <f t="shared" si="2"/>
        <v>0</v>
      </c>
      <c r="N132" s="76"/>
      <c r="O132" s="77"/>
      <c r="P132" s="77"/>
      <c r="Q132" s="77"/>
      <c r="R132" s="77"/>
      <c r="S132" s="33"/>
      <c r="T132" s="33"/>
      <c r="U132" s="33"/>
      <c r="V132" s="33"/>
      <c r="W132" s="33"/>
      <c r="X132" s="33"/>
      <c r="Y132" s="33"/>
      <c r="Z132" s="33"/>
      <c r="AA132" s="33"/>
    </row>
    <row r="133" ht="18.0" customHeight="1">
      <c r="A133" s="81"/>
      <c r="B133" s="90" t="str">
        <f>"K-740"</f>
        <v>K-740</v>
      </c>
      <c r="C133" s="90" t="str">
        <f>"74867687407"</f>
        <v>74867687407</v>
      </c>
      <c r="D133" s="91" t="s">
        <v>154</v>
      </c>
      <c r="E133" s="92" t="s">
        <v>81</v>
      </c>
      <c r="F133" s="93"/>
      <c r="G133" s="93"/>
      <c r="H133" s="94"/>
      <c r="I133" s="95">
        <v>5.953160597014925</v>
      </c>
      <c r="J133" s="92" t="s">
        <v>141</v>
      </c>
      <c r="K133" s="96"/>
      <c r="L133" s="92">
        <f t="shared" si="1"/>
        <v>0</v>
      </c>
      <c r="M133" s="97">
        <f t="shared" si="2"/>
        <v>0</v>
      </c>
      <c r="N133" s="76"/>
      <c r="O133" s="77"/>
      <c r="P133" s="77"/>
      <c r="Q133" s="77"/>
      <c r="R133" s="77"/>
      <c r="S133" s="33"/>
      <c r="T133" s="33"/>
      <c r="U133" s="33"/>
      <c r="V133" s="33"/>
      <c r="W133" s="33"/>
      <c r="X133" s="33"/>
      <c r="Y133" s="33"/>
      <c r="Z133" s="33"/>
      <c r="AA133" s="33"/>
    </row>
    <row r="134" ht="18.0" customHeight="1">
      <c r="A134" s="81"/>
      <c r="B134" s="90" t="str">
        <f>"K-744"</f>
        <v>K-744</v>
      </c>
      <c r="C134" s="90" t="str">
        <f>"74867687445"</f>
        <v>74867687445</v>
      </c>
      <c r="D134" s="91" t="s">
        <v>155</v>
      </c>
      <c r="E134" s="92" t="s">
        <v>81</v>
      </c>
      <c r="F134" s="93"/>
      <c r="G134" s="93"/>
      <c r="H134" s="94"/>
      <c r="I134" s="95">
        <v>5.953160597014925</v>
      </c>
      <c r="J134" s="92" t="s">
        <v>141</v>
      </c>
      <c r="K134" s="96"/>
      <c r="L134" s="92">
        <f t="shared" si="1"/>
        <v>0</v>
      </c>
      <c r="M134" s="97">
        <f t="shared" si="2"/>
        <v>0</v>
      </c>
      <c r="N134" s="76"/>
      <c r="O134" s="77"/>
      <c r="P134" s="77"/>
      <c r="Q134" s="77"/>
      <c r="R134" s="77"/>
      <c r="S134" s="33"/>
      <c r="T134" s="33"/>
      <c r="U134" s="33"/>
      <c r="V134" s="33"/>
      <c r="W134" s="33"/>
      <c r="X134" s="33"/>
      <c r="Y134" s="33"/>
      <c r="Z134" s="33"/>
      <c r="AA134" s="33"/>
    </row>
    <row r="135" ht="18.0" customHeight="1">
      <c r="A135" s="81"/>
      <c r="B135" s="90" t="str">
        <f>"K-748"</f>
        <v>K-748</v>
      </c>
      <c r="C135" s="90" t="str">
        <f>"74867687483"</f>
        <v>74867687483</v>
      </c>
      <c r="D135" s="91" t="s">
        <v>156</v>
      </c>
      <c r="E135" s="92" t="s">
        <v>81</v>
      </c>
      <c r="F135" s="93"/>
      <c r="G135" s="93"/>
      <c r="H135" s="94"/>
      <c r="I135" s="95">
        <v>5.953160597014925</v>
      </c>
      <c r="J135" s="92" t="s">
        <v>141</v>
      </c>
      <c r="K135" s="96"/>
      <c r="L135" s="92">
        <f t="shared" si="1"/>
        <v>0</v>
      </c>
      <c r="M135" s="97">
        <f t="shared" si="2"/>
        <v>0</v>
      </c>
      <c r="N135" s="76"/>
      <c r="O135" s="77"/>
      <c r="P135" s="77"/>
      <c r="Q135" s="77"/>
      <c r="R135" s="77"/>
      <c r="S135" s="33"/>
      <c r="T135" s="33"/>
      <c r="U135" s="33"/>
      <c r="V135" s="33"/>
      <c r="W135" s="33"/>
      <c r="X135" s="33"/>
      <c r="Y135" s="33"/>
      <c r="Z135" s="33"/>
      <c r="AA135" s="33"/>
    </row>
    <row r="136" ht="18.0" customHeight="1">
      <c r="A136" s="81"/>
      <c r="B136" s="90" t="str">
        <f>"K-715"</f>
        <v>K-715</v>
      </c>
      <c r="C136" s="90" t="str">
        <f>"74867687155"</f>
        <v>74867687155</v>
      </c>
      <c r="D136" s="91" t="s">
        <v>157</v>
      </c>
      <c r="E136" s="92" t="s">
        <v>41</v>
      </c>
      <c r="F136" s="93"/>
      <c r="G136" s="93"/>
      <c r="H136" s="94"/>
      <c r="I136" s="95">
        <v>5.560851063829786</v>
      </c>
      <c r="J136" s="92" t="s">
        <v>141</v>
      </c>
      <c r="K136" s="96"/>
      <c r="L136" s="92">
        <f t="shared" si="1"/>
        <v>0</v>
      </c>
      <c r="M136" s="97">
        <f t="shared" si="2"/>
        <v>0</v>
      </c>
      <c r="N136" s="76"/>
      <c r="O136" s="77"/>
      <c r="P136" s="77"/>
      <c r="Q136" s="77"/>
      <c r="R136" s="77"/>
      <c r="S136" s="33"/>
      <c r="T136" s="33"/>
      <c r="U136" s="33"/>
      <c r="V136" s="33"/>
      <c r="W136" s="33"/>
      <c r="X136" s="33"/>
      <c r="Y136" s="33"/>
      <c r="Z136" s="33"/>
      <c r="AA136" s="33"/>
    </row>
    <row r="137" ht="18.0" customHeight="1">
      <c r="A137" s="81"/>
      <c r="B137" s="90" t="str">
        <f>"K-718"</f>
        <v>K-718</v>
      </c>
      <c r="C137" s="90" t="str">
        <f>"74867687186"</f>
        <v>74867687186</v>
      </c>
      <c r="D137" s="91" t="s">
        <v>158</v>
      </c>
      <c r="E137" s="92" t="s">
        <v>41</v>
      </c>
      <c r="F137" s="93"/>
      <c r="G137" s="93"/>
      <c r="H137" s="94"/>
      <c r="I137" s="95">
        <v>5.560851063829786</v>
      </c>
      <c r="J137" s="92" t="s">
        <v>141</v>
      </c>
      <c r="K137" s="96"/>
      <c r="L137" s="92">
        <f t="shared" si="1"/>
        <v>0</v>
      </c>
      <c r="M137" s="97">
        <f t="shared" si="2"/>
        <v>0</v>
      </c>
      <c r="N137" s="76"/>
      <c r="O137" s="77"/>
      <c r="P137" s="77"/>
      <c r="Q137" s="77"/>
      <c r="R137" s="77"/>
      <c r="S137" s="33"/>
      <c r="T137" s="33"/>
      <c r="U137" s="33"/>
      <c r="V137" s="33"/>
      <c r="W137" s="33"/>
      <c r="X137" s="33"/>
      <c r="Y137" s="33"/>
      <c r="Z137" s="33"/>
      <c r="AA137" s="33"/>
    </row>
    <row r="138" ht="18.0" customHeight="1">
      <c r="A138" s="81"/>
      <c r="B138" s="90" t="str">
        <f>"K-724"</f>
        <v>K-724</v>
      </c>
      <c r="C138" s="90" t="str">
        <f>"74867687247"</f>
        <v>74867687247</v>
      </c>
      <c r="D138" s="91" t="s">
        <v>159</v>
      </c>
      <c r="E138" s="92" t="s">
        <v>30</v>
      </c>
      <c r="F138" s="93"/>
      <c r="G138" s="93"/>
      <c r="H138" s="94"/>
      <c r="I138" s="95">
        <v>4.279430865051904</v>
      </c>
      <c r="J138" s="92" t="s">
        <v>141</v>
      </c>
      <c r="K138" s="96"/>
      <c r="L138" s="92">
        <f t="shared" si="1"/>
        <v>0</v>
      </c>
      <c r="M138" s="97">
        <f t="shared" si="2"/>
        <v>0</v>
      </c>
      <c r="N138" s="76"/>
      <c r="O138" s="77"/>
      <c r="P138" s="77"/>
      <c r="Q138" s="77"/>
      <c r="R138" s="77"/>
      <c r="S138" s="33"/>
      <c r="T138" s="33"/>
      <c r="U138" s="33"/>
      <c r="V138" s="33"/>
      <c r="W138" s="33"/>
      <c r="X138" s="33"/>
      <c r="Y138" s="33"/>
      <c r="Z138" s="33"/>
      <c r="AA138" s="33"/>
    </row>
    <row r="139" ht="18.0" customHeight="1">
      <c r="A139" s="81"/>
      <c r="B139" s="90" t="str">
        <f>"K-728"</f>
        <v>K-728</v>
      </c>
      <c r="C139" s="90" t="str">
        <f>"74867687285"</f>
        <v>74867687285</v>
      </c>
      <c r="D139" s="91" t="s">
        <v>160</v>
      </c>
      <c r="E139" s="92" t="s">
        <v>43</v>
      </c>
      <c r="F139" s="93"/>
      <c r="G139" s="93"/>
      <c r="H139" s="94"/>
      <c r="I139" s="95">
        <v>5.473490594594595</v>
      </c>
      <c r="J139" s="92" t="s">
        <v>141</v>
      </c>
      <c r="K139" s="96"/>
      <c r="L139" s="92">
        <f t="shared" si="1"/>
        <v>0</v>
      </c>
      <c r="M139" s="97">
        <f t="shared" si="2"/>
        <v>0</v>
      </c>
      <c r="N139" s="76"/>
      <c r="O139" s="77"/>
      <c r="P139" s="77"/>
      <c r="Q139" s="77"/>
      <c r="R139" s="77"/>
      <c r="S139" s="33"/>
      <c r="T139" s="33"/>
      <c r="U139" s="33"/>
      <c r="V139" s="33"/>
      <c r="W139" s="33"/>
      <c r="X139" s="33"/>
      <c r="Y139" s="33"/>
      <c r="Z139" s="33"/>
      <c r="AA139" s="33"/>
    </row>
    <row r="140" ht="18.0" customHeight="1">
      <c r="A140" s="81"/>
      <c r="B140" s="90" t="str">
        <f>"K-730"</f>
        <v>K-730</v>
      </c>
      <c r="C140" s="90" t="str">
        <f>"74867687308"</f>
        <v>74867687308</v>
      </c>
      <c r="D140" s="91" t="s">
        <v>161</v>
      </c>
      <c r="E140" s="92" t="s">
        <v>100</v>
      </c>
      <c r="F140" s="93"/>
      <c r="G140" s="93"/>
      <c r="H140" s="94"/>
      <c r="I140" s="95">
        <v>4.040901657458563</v>
      </c>
      <c r="J140" s="92" t="s">
        <v>140</v>
      </c>
      <c r="K140" s="96"/>
      <c r="L140" s="92">
        <f t="shared" si="1"/>
        <v>0</v>
      </c>
      <c r="M140" s="97">
        <f t="shared" si="2"/>
        <v>0</v>
      </c>
      <c r="N140" s="76"/>
      <c r="O140" s="77"/>
      <c r="P140" s="77"/>
      <c r="Q140" s="77"/>
      <c r="R140" s="77"/>
      <c r="S140" s="33"/>
      <c r="T140" s="33"/>
      <c r="U140" s="33"/>
      <c r="V140" s="33"/>
      <c r="W140" s="33"/>
      <c r="X140" s="33"/>
      <c r="Y140" s="33"/>
      <c r="Z140" s="33"/>
      <c r="AA140" s="33"/>
    </row>
    <row r="141" ht="18.0" customHeight="1">
      <c r="A141" s="81"/>
      <c r="B141" s="90" t="str">
        <f>"K-749"</f>
        <v>K-749</v>
      </c>
      <c r="C141" s="90" t="str">
        <f>"74867687490"</f>
        <v>74867687490</v>
      </c>
      <c r="D141" s="91" t="s">
        <v>162</v>
      </c>
      <c r="E141" s="92" t="s">
        <v>81</v>
      </c>
      <c r="F141" s="93"/>
      <c r="G141" s="93"/>
      <c r="H141" s="94"/>
      <c r="I141" s="95">
        <v>7.3212811336032395</v>
      </c>
      <c r="J141" s="92" t="s">
        <v>140</v>
      </c>
      <c r="K141" s="96"/>
      <c r="L141" s="92">
        <f t="shared" si="1"/>
        <v>0</v>
      </c>
      <c r="M141" s="97">
        <f t="shared" si="2"/>
        <v>0</v>
      </c>
      <c r="N141" s="76"/>
      <c r="O141" s="77"/>
      <c r="P141" s="77"/>
      <c r="Q141" s="77"/>
      <c r="R141" s="77"/>
      <c r="S141" s="33"/>
      <c r="T141" s="33"/>
      <c r="U141" s="33"/>
      <c r="V141" s="33"/>
      <c r="W141" s="33"/>
      <c r="X141" s="33"/>
      <c r="Y141" s="33"/>
      <c r="Z141" s="33"/>
      <c r="AA141" s="33"/>
    </row>
    <row r="142" ht="18.0" customHeight="1">
      <c r="A142" s="81"/>
      <c r="B142" s="90" t="str">
        <f>"K-107"</f>
        <v>K-107</v>
      </c>
      <c r="C142" s="90" t="str">
        <f>"74867781075"</f>
        <v>74867781075</v>
      </c>
      <c r="D142" s="91" t="s">
        <v>163</v>
      </c>
      <c r="E142" s="92" t="s">
        <v>81</v>
      </c>
      <c r="F142" s="93"/>
      <c r="G142" s="93"/>
      <c r="H142" s="94"/>
      <c r="I142" s="95">
        <v>2.7205030849549128</v>
      </c>
      <c r="J142" s="92" t="s">
        <v>140</v>
      </c>
      <c r="K142" s="96"/>
      <c r="L142" s="92">
        <f t="shared" si="1"/>
        <v>0</v>
      </c>
      <c r="M142" s="97">
        <f t="shared" si="2"/>
        <v>0</v>
      </c>
      <c r="N142" s="76"/>
      <c r="O142" s="77"/>
      <c r="P142" s="77"/>
      <c r="Q142" s="77"/>
      <c r="R142" s="77"/>
      <c r="S142" s="33"/>
      <c r="T142" s="33"/>
      <c r="U142" s="33"/>
      <c r="V142" s="33"/>
      <c r="W142" s="33"/>
      <c r="X142" s="33"/>
      <c r="Y142" s="33"/>
      <c r="Z142" s="33"/>
      <c r="AA142" s="33"/>
    </row>
    <row r="143" ht="18.0" customHeight="1">
      <c r="A143" s="81"/>
      <c r="B143" s="90" t="str">
        <f>"K-321"</f>
        <v>K-321</v>
      </c>
      <c r="C143" s="90" t="str">
        <f>"74867763217"</f>
        <v>74867763217</v>
      </c>
      <c r="D143" s="91" t="s">
        <v>164</v>
      </c>
      <c r="E143" s="92" t="s">
        <v>81</v>
      </c>
      <c r="F143" s="93"/>
      <c r="G143" s="93"/>
      <c r="H143" s="94"/>
      <c r="I143" s="95">
        <v>2.852213868145935</v>
      </c>
      <c r="J143" s="92" t="s">
        <v>140</v>
      </c>
      <c r="K143" s="96"/>
      <c r="L143" s="92">
        <f t="shared" si="1"/>
        <v>0</v>
      </c>
      <c r="M143" s="97">
        <f t="shared" si="2"/>
        <v>0</v>
      </c>
      <c r="N143" s="76"/>
      <c r="O143" s="77"/>
      <c r="P143" s="77"/>
      <c r="Q143" s="77"/>
      <c r="R143" s="77"/>
      <c r="S143" s="33"/>
      <c r="T143" s="33"/>
      <c r="U143" s="33"/>
      <c r="V143" s="33"/>
      <c r="W143" s="33"/>
      <c r="X143" s="33"/>
      <c r="Y143" s="33"/>
      <c r="Z143" s="33"/>
      <c r="AA143" s="33"/>
    </row>
    <row r="144" ht="18.0" customHeight="1">
      <c r="A144" s="81"/>
      <c r="B144" s="90" t="str">
        <f>"K-414"</f>
        <v>K-414</v>
      </c>
      <c r="C144" s="90" t="str">
        <f>"74867784144"</f>
        <v>74867784144</v>
      </c>
      <c r="D144" s="91" t="s">
        <v>165</v>
      </c>
      <c r="E144" s="92" t="s">
        <v>41</v>
      </c>
      <c r="F144" s="93"/>
      <c r="G144" s="93"/>
      <c r="H144" s="94"/>
      <c r="I144" s="95">
        <v>3.8633156723963595</v>
      </c>
      <c r="J144" s="92" t="s">
        <v>141</v>
      </c>
      <c r="K144" s="96"/>
      <c r="L144" s="92">
        <f t="shared" si="1"/>
        <v>0</v>
      </c>
      <c r="M144" s="97">
        <f t="shared" si="2"/>
        <v>0</v>
      </c>
      <c r="N144" s="76"/>
      <c r="O144" s="77"/>
      <c r="P144" s="77"/>
      <c r="Q144" s="77"/>
      <c r="R144" s="77"/>
      <c r="S144" s="33"/>
      <c r="T144" s="33"/>
      <c r="U144" s="33"/>
      <c r="V144" s="33"/>
      <c r="W144" s="33"/>
      <c r="X144" s="33"/>
      <c r="Y144" s="33"/>
      <c r="Z144" s="33"/>
      <c r="AA144" s="33"/>
    </row>
    <row r="145" ht="18.0" customHeight="1">
      <c r="A145" s="81"/>
      <c r="B145" s="90" t="str">
        <f>"K-510"</f>
        <v>K-510</v>
      </c>
      <c r="C145" s="90" t="str">
        <f>"74867795102"</f>
        <v>74867795102</v>
      </c>
      <c r="D145" s="91" t="s">
        <v>166</v>
      </c>
      <c r="E145" s="92" t="s">
        <v>41</v>
      </c>
      <c r="F145" s="93"/>
      <c r="G145" s="93"/>
      <c r="H145" s="94"/>
      <c r="I145" s="95">
        <v>4.1986560000000015</v>
      </c>
      <c r="J145" s="92" t="s">
        <v>141</v>
      </c>
      <c r="K145" s="96"/>
      <c r="L145" s="92">
        <f t="shared" si="1"/>
        <v>0</v>
      </c>
      <c r="M145" s="97">
        <f t="shared" si="2"/>
        <v>0</v>
      </c>
      <c r="N145" s="76"/>
      <c r="O145" s="77"/>
      <c r="P145" s="77"/>
      <c r="Q145" s="77"/>
      <c r="R145" s="77"/>
      <c r="S145" s="33"/>
      <c r="T145" s="33"/>
      <c r="U145" s="33"/>
      <c r="V145" s="33"/>
      <c r="W145" s="33"/>
      <c r="X145" s="33"/>
      <c r="Y145" s="33"/>
      <c r="Z145" s="33"/>
      <c r="AA145" s="33"/>
    </row>
    <row r="146" ht="18.0" customHeight="1">
      <c r="A146" s="81"/>
      <c r="B146" s="90" t="str">
        <f>"K-904"</f>
        <v>K-904</v>
      </c>
      <c r="C146" s="90" t="str">
        <f>"74867789040"</f>
        <v>74867789040</v>
      </c>
      <c r="D146" s="91" t="s">
        <v>167</v>
      </c>
      <c r="E146" s="92" t="s">
        <v>81</v>
      </c>
      <c r="F146" s="93"/>
      <c r="G146" s="93"/>
      <c r="H146" s="94"/>
      <c r="I146" s="95">
        <v>3.035048090462982</v>
      </c>
      <c r="J146" s="92" t="s">
        <v>140</v>
      </c>
      <c r="K146" s="96"/>
      <c r="L146" s="92">
        <f t="shared" si="1"/>
        <v>0</v>
      </c>
      <c r="M146" s="97">
        <f t="shared" si="2"/>
        <v>0</v>
      </c>
      <c r="N146" s="76"/>
      <c r="O146" s="77"/>
      <c r="P146" s="77"/>
      <c r="Q146" s="77"/>
      <c r="R146" s="77"/>
      <c r="S146" s="33"/>
      <c r="T146" s="33"/>
      <c r="U146" s="33"/>
      <c r="V146" s="33"/>
      <c r="W146" s="33"/>
      <c r="X146" s="33"/>
      <c r="Y146" s="33"/>
      <c r="Z146" s="33"/>
      <c r="AA146" s="33"/>
    </row>
    <row r="147" ht="18.0" customHeight="1">
      <c r="A147" s="81"/>
      <c r="B147" s="90" t="str">
        <f>"K-914"</f>
        <v>K-914</v>
      </c>
      <c r="C147" s="90" t="str">
        <f>"74867789149"</f>
        <v>74867789149</v>
      </c>
      <c r="D147" s="91" t="s">
        <v>167</v>
      </c>
      <c r="E147" s="92" t="s">
        <v>41</v>
      </c>
      <c r="F147" s="93"/>
      <c r="G147" s="93"/>
      <c r="H147" s="94"/>
      <c r="I147" s="95">
        <v>3.919058073089702</v>
      </c>
      <c r="J147" s="92" t="s">
        <v>141</v>
      </c>
      <c r="K147" s="96"/>
      <c r="L147" s="92">
        <f t="shared" si="1"/>
        <v>0</v>
      </c>
      <c r="M147" s="97">
        <f t="shared" si="2"/>
        <v>0</v>
      </c>
      <c r="N147" s="76"/>
      <c r="O147" s="77"/>
      <c r="P147" s="77"/>
      <c r="Q147" s="77"/>
      <c r="R147" s="77"/>
      <c r="S147" s="33"/>
      <c r="T147" s="33"/>
      <c r="U147" s="33"/>
      <c r="V147" s="33"/>
      <c r="W147" s="33"/>
      <c r="X147" s="33"/>
      <c r="Y147" s="33"/>
      <c r="Z147" s="33"/>
      <c r="AA147" s="33"/>
    </row>
    <row r="148" ht="18.0" customHeight="1">
      <c r="A148" s="81"/>
      <c r="B148" s="90" t="str">
        <f>"K-982"</f>
        <v>K-982</v>
      </c>
      <c r="C148" s="90" t="str">
        <f>"74867679822"</f>
        <v>74867679822</v>
      </c>
      <c r="D148" s="91" t="s">
        <v>168</v>
      </c>
      <c r="E148" s="92" t="s">
        <v>41</v>
      </c>
      <c r="F148" s="93"/>
      <c r="G148" s="93"/>
      <c r="H148" s="94"/>
      <c r="I148" s="95">
        <v>2.887847326780149</v>
      </c>
      <c r="J148" s="92" t="s">
        <v>141</v>
      </c>
      <c r="K148" s="96"/>
      <c r="L148" s="92">
        <f t="shared" si="1"/>
        <v>0</v>
      </c>
      <c r="M148" s="97">
        <f t="shared" si="2"/>
        <v>0</v>
      </c>
      <c r="N148" s="76"/>
      <c r="O148" s="77"/>
      <c r="P148" s="77"/>
      <c r="Q148" s="77"/>
      <c r="R148" s="77"/>
      <c r="S148" s="33"/>
      <c r="T148" s="33"/>
      <c r="U148" s="33"/>
      <c r="V148" s="33"/>
      <c r="W148" s="33"/>
      <c r="X148" s="33"/>
      <c r="Y148" s="33"/>
      <c r="Z148" s="33"/>
      <c r="AA148" s="33"/>
    </row>
    <row r="149" ht="18.0" customHeight="1">
      <c r="A149" s="81"/>
      <c r="B149" s="90" t="str">
        <f>"K-984"</f>
        <v>K-984</v>
      </c>
      <c r="C149" s="90" t="str">
        <f>"74867679846"</f>
        <v>74867679846</v>
      </c>
      <c r="D149" s="91" t="s">
        <v>168</v>
      </c>
      <c r="E149" s="92" t="s">
        <v>49</v>
      </c>
      <c r="F149" s="93"/>
      <c r="G149" s="93"/>
      <c r="H149" s="94"/>
      <c r="I149" s="95">
        <v>4.306426521523997</v>
      </c>
      <c r="J149" s="92" t="s">
        <v>141</v>
      </c>
      <c r="K149" s="96"/>
      <c r="L149" s="92">
        <f t="shared" si="1"/>
        <v>0</v>
      </c>
      <c r="M149" s="97">
        <f t="shared" si="2"/>
        <v>0</v>
      </c>
      <c r="N149" s="76"/>
      <c r="O149" s="77"/>
      <c r="P149" s="77"/>
      <c r="Q149" s="77"/>
      <c r="R149" s="77"/>
      <c r="S149" s="33"/>
      <c r="T149" s="33"/>
      <c r="U149" s="33"/>
      <c r="V149" s="33"/>
      <c r="W149" s="33"/>
      <c r="X149" s="33"/>
      <c r="Y149" s="33"/>
      <c r="Z149" s="33"/>
      <c r="AA149" s="33"/>
    </row>
    <row r="150" ht="18.0" customHeight="1">
      <c r="A150" s="81"/>
      <c r="B150" s="90" t="str">
        <f>"K-040"</f>
        <v>K-040</v>
      </c>
      <c r="C150" s="90" t="str">
        <f>"74867680408"</f>
        <v>74867680408</v>
      </c>
      <c r="D150" s="91" t="s">
        <v>169</v>
      </c>
      <c r="E150" s="92" t="s">
        <v>81</v>
      </c>
      <c r="F150" s="93"/>
      <c r="G150" s="93"/>
      <c r="H150" s="94"/>
      <c r="I150" s="95">
        <v>3.6698399999999998</v>
      </c>
      <c r="J150" s="92" t="s">
        <v>170</v>
      </c>
      <c r="K150" s="96"/>
      <c r="L150" s="92">
        <f t="shared" si="1"/>
        <v>0</v>
      </c>
      <c r="M150" s="97">
        <f t="shared" si="2"/>
        <v>0</v>
      </c>
      <c r="N150" s="76"/>
      <c r="O150" s="77"/>
      <c r="P150" s="77"/>
      <c r="Q150" s="77"/>
      <c r="R150" s="77"/>
      <c r="S150" s="33"/>
      <c r="T150" s="33"/>
      <c r="U150" s="33"/>
      <c r="V150" s="33"/>
      <c r="W150" s="33"/>
      <c r="X150" s="33"/>
      <c r="Y150" s="33"/>
      <c r="Z150" s="33"/>
      <c r="AA150" s="33"/>
    </row>
    <row r="151" ht="18.0" customHeight="1">
      <c r="A151" s="81"/>
      <c r="B151" s="90" t="str">
        <f>"K-042"</f>
        <v>K-042</v>
      </c>
      <c r="C151" s="90" t="str">
        <f>"74867680422"</f>
        <v>74867680422</v>
      </c>
      <c r="D151" s="91" t="s">
        <v>171</v>
      </c>
      <c r="E151" s="92" t="s">
        <v>81</v>
      </c>
      <c r="F151" s="93"/>
      <c r="G151" s="93"/>
      <c r="H151" s="94"/>
      <c r="I151" s="95">
        <v>3.6698399999999998</v>
      </c>
      <c r="J151" s="92" t="s">
        <v>170</v>
      </c>
      <c r="K151" s="96"/>
      <c r="L151" s="92">
        <f t="shared" si="1"/>
        <v>0</v>
      </c>
      <c r="M151" s="97">
        <f t="shared" si="2"/>
        <v>0</v>
      </c>
      <c r="N151" s="76"/>
      <c r="O151" s="77"/>
      <c r="P151" s="77"/>
      <c r="Q151" s="77"/>
      <c r="R151" s="77"/>
      <c r="S151" s="33"/>
      <c r="T151" s="33"/>
      <c r="U151" s="33"/>
      <c r="V151" s="33"/>
      <c r="W151" s="33"/>
      <c r="X151" s="33"/>
      <c r="Y151" s="33"/>
      <c r="Z151" s="33"/>
      <c r="AA151" s="33"/>
    </row>
    <row r="152" ht="18.0" customHeight="1">
      <c r="A152" s="81"/>
      <c r="B152" s="90" t="str">
        <f>"K-097"</f>
        <v>K-097</v>
      </c>
      <c r="C152" s="90" t="str">
        <f>"74867680972"</f>
        <v>74867680972</v>
      </c>
      <c r="D152" s="91" t="s">
        <v>172</v>
      </c>
      <c r="E152" s="92" t="s">
        <v>41</v>
      </c>
      <c r="F152" s="93"/>
      <c r="G152" s="93"/>
      <c r="H152" s="94"/>
      <c r="I152" s="95">
        <v>8.324944262295084</v>
      </c>
      <c r="J152" s="92" t="s">
        <v>140</v>
      </c>
      <c r="K152" s="96"/>
      <c r="L152" s="92">
        <f t="shared" si="1"/>
        <v>0</v>
      </c>
      <c r="M152" s="97">
        <f t="shared" si="2"/>
        <v>0</v>
      </c>
      <c r="N152" s="76"/>
      <c r="O152" s="77"/>
      <c r="P152" s="77"/>
      <c r="Q152" s="77"/>
      <c r="R152" s="77"/>
      <c r="S152" s="33"/>
      <c r="T152" s="33"/>
      <c r="U152" s="33"/>
      <c r="V152" s="33"/>
      <c r="W152" s="33"/>
      <c r="X152" s="33"/>
      <c r="Y152" s="33"/>
      <c r="Z152" s="33"/>
      <c r="AA152" s="33"/>
    </row>
    <row r="153" ht="18.0" customHeight="1">
      <c r="A153" s="81"/>
      <c r="B153" s="90" t="str">
        <f>"HB-250"</f>
        <v>HB-250</v>
      </c>
      <c r="C153" s="90" t="str">
        <f>"45836002507"</f>
        <v>45836002507</v>
      </c>
      <c r="D153" s="91" t="s">
        <v>173</v>
      </c>
      <c r="E153" s="92" t="s">
        <v>81</v>
      </c>
      <c r="F153" s="93"/>
      <c r="G153" s="93"/>
      <c r="H153" s="94"/>
      <c r="I153" s="95">
        <v>6.296734323144105</v>
      </c>
      <c r="J153" s="92" t="s">
        <v>140</v>
      </c>
      <c r="K153" s="96"/>
      <c r="L153" s="92">
        <f t="shared" si="1"/>
        <v>0</v>
      </c>
      <c r="M153" s="97">
        <f t="shared" si="2"/>
        <v>0</v>
      </c>
      <c r="N153" s="76"/>
      <c r="O153" s="77"/>
      <c r="P153" s="77"/>
      <c r="Q153" s="77"/>
      <c r="R153" s="77"/>
      <c r="S153" s="33"/>
      <c r="T153" s="33"/>
      <c r="U153" s="33"/>
      <c r="V153" s="33"/>
      <c r="W153" s="33"/>
      <c r="X153" s="33"/>
      <c r="Y153" s="33"/>
      <c r="Z153" s="33"/>
      <c r="AA153" s="33"/>
    </row>
    <row r="154" ht="18.0" customHeight="1">
      <c r="A154" s="81"/>
      <c r="B154" s="90" t="str">
        <f>"HB-251"</f>
        <v>HB-251</v>
      </c>
      <c r="C154" s="90" t="str">
        <f>"45836002514"</f>
        <v>45836002514</v>
      </c>
      <c r="D154" s="91" t="s">
        <v>174</v>
      </c>
      <c r="E154" s="92" t="s">
        <v>81</v>
      </c>
      <c r="F154" s="93"/>
      <c r="G154" s="93"/>
      <c r="H154" s="94"/>
      <c r="I154" s="95">
        <v>6.296734323144105</v>
      </c>
      <c r="J154" s="92" t="s">
        <v>140</v>
      </c>
      <c r="K154" s="96"/>
      <c r="L154" s="92">
        <f t="shared" si="1"/>
        <v>0</v>
      </c>
      <c r="M154" s="97">
        <f t="shared" si="2"/>
        <v>0</v>
      </c>
      <c r="N154" s="76"/>
      <c r="O154" s="77"/>
      <c r="P154" s="77"/>
      <c r="Q154" s="77"/>
      <c r="R154" s="77"/>
      <c r="S154" s="33"/>
      <c r="T154" s="33"/>
      <c r="U154" s="33"/>
      <c r="V154" s="33"/>
      <c r="W154" s="33"/>
      <c r="X154" s="33"/>
      <c r="Y154" s="33"/>
      <c r="Z154" s="33"/>
      <c r="AA154" s="33"/>
    </row>
    <row r="155" ht="18.0" customHeight="1">
      <c r="A155" s="81"/>
      <c r="B155" s="90" t="str">
        <f>"HB-910"</f>
        <v>HB-910</v>
      </c>
      <c r="C155" s="90" t="str">
        <f>"45836009100"</f>
        <v>45836009100</v>
      </c>
      <c r="D155" s="91" t="s">
        <v>175</v>
      </c>
      <c r="E155" s="92" t="s">
        <v>81</v>
      </c>
      <c r="F155" s="93"/>
      <c r="G155" s="93"/>
      <c r="H155" s="94"/>
      <c r="I155" s="95">
        <v>6.296734323144105</v>
      </c>
      <c r="J155" s="92">
        <v>12.0</v>
      </c>
      <c r="K155" s="96"/>
      <c r="L155" s="92">
        <f t="shared" si="1"/>
        <v>0</v>
      </c>
      <c r="M155" s="97">
        <f t="shared" si="2"/>
        <v>0</v>
      </c>
      <c r="N155" s="76"/>
      <c r="O155" s="77"/>
      <c r="P155" s="77"/>
      <c r="Q155" s="77"/>
      <c r="R155" s="77"/>
      <c r="S155" s="33"/>
      <c r="T155" s="33"/>
      <c r="U155" s="33"/>
      <c r="V155" s="33"/>
      <c r="W155" s="33"/>
      <c r="X155" s="33"/>
      <c r="Y155" s="33"/>
      <c r="Z155" s="33"/>
      <c r="AA155" s="33"/>
    </row>
    <row r="156" ht="18.0" customHeight="1">
      <c r="A156" s="81"/>
      <c r="B156" s="90" t="str">
        <f>"HB-330"</f>
        <v>HB-330</v>
      </c>
      <c r="C156" s="90" t="str">
        <f>"45836003306"</f>
        <v>45836003306</v>
      </c>
      <c r="D156" s="91" t="s">
        <v>176</v>
      </c>
      <c r="E156" s="92" t="s">
        <v>43</v>
      </c>
      <c r="F156" s="93"/>
      <c r="G156" s="93"/>
      <c r="H156" s="94"/>
      <c r="I156" s="95">
        <v>6.179483199999998</v>
      </c>
      <c r="J156" s="92">
        <v>6.0</v>
      </c>
      <c r="K156" s="96"/>
      <c r="L156" s="92">
        <f t="shared" si="1"/>
        <v>0</v>
      </c>
      <c r="M156" s="97">
        <f t="shared" si="2"/>
        <v>0</v>
      </c>
      <c r="N156" s="76"/>
      <c r="O156" s="77"/>
      <c r="P156" s="77"/>
      <c r="Q156" s="77"/>
      <c r="R156" s="77"/>
      <c r="S156" s="33"/>
      <c r="T156" s="33"/>
      <c r="U156" s="33"/>
      <c r="V156" s="33"/>
      <c r="W156" s="33"/>
      <c r="X156" s="33"/>
      <c r="Y156" s="33"/>
      <c r="Z156" s="33"/>
      <c r="AA156" s="33"/>
    </row>
    <row r="157" ht="18.0" customHeight="1">
      <c r="A157" s="81"/>
      <c r="B157" s="90" t="str">
        <f>"HB-535"</f>
        <v>HB-535</v>
      </c>
      <c r="C157" s="90" t="str">
        <f>"45836005355"</f>
        <v>45836005355</v>
      </c>
      <c r="D157" s="91" t="s">
        <v>177</v>
      </c>
      <c r="E157" s="92" t="s">
        <v>178</v>
      </c>
      <c r="F157" s="93"/>
      <c r="G157" s="93"/>
      <c r="H157" s="94"/>
      <c r="I157" s="95">
        <v>2.9668944416114216</v>
      </c>
      <c r="J157" s="92" t="s">
        <v>141</v>
      </c>
      <c r="K157" s="96"/>
      <c r="L157" s="92">
        <f t="shared" si="1"/>
        <v>0</v>
      </c>
      <c r="M157" s="97">
        <f t="shared" si="2"/>
        <v>0</v>
      </c>
      <c r="N157" s="76"/>
      <c r="O157" s="77"/>
      <c r="P157" s="77"/>
      <c r="Q157" s="77"/>
      <c r="R157" s="77"/>
      <c r="S157" s="33"/>
      <c r="T157" s="33"/>
      <c r="U157" s="33"/>
      <c r="V157" s="33"/>
      <c r="W157" s="33"/>
      <c r="X157" s="33"/>
      <c r="Y157" s="33"/>
      <c r="Z157" s="33"/>
      <c r="AA157" s="33"/>
    </row>
    <row r="158" ht="18.0" customHeight="1">
      <c r="A158" s="81"/>
      <c r="B158" s="90" t="str">
        <f>"HB-600/6"</f>
        <v>HB-600/6</v>
      </c>
      <c r="C158" s="90" t="str">
        <f>"45836006000"</f>
        <v>45836006000</v>
      </c>
      <c r="D158" s="91" t="s">
        <v>179</v>
      </c>
      <c r="E158" s="92" t="s">
        <v>64</v>
      </c>
      <c r="F158" s="93"/>
      <c r="G158" s="93"/>
      <c r="H158" s="94"/>
      <c r="I158" s="95">
        <v>3.6643159943013988</v>
      </c>
      <c r="J158" s="92">
        <v>6.0</v>
      </c>
      <c r="K158" s="96"/>
      <c r="L158" s="92">
        <f t="shared" si="1"/>
        <v>0</v>
      </c>
      <c r="M158" s="97">
        <f t="shared" si="2"/>
        <v>0</v>
      </c>
      <c r="N158" s="76"/>
      <c r="O158" s="77"/>
      <c r="P158" s="77"/>
      <c r="Q158" s="77"/>
      <c r="R158" s="77"/>
      <c r="S158" s="33"/>
      <c r="T158" s="33"/>
      <c r="U158" s="33"/>
      <c r="V158" s="33"/>
      <c r="W158" s="33"/>
      <c r="X158" s="33"/>
      <c r="Y158" s="33"/>
      <c r="Z158" s="33"/>
      <c r="AA158" s="33"/>
    </row>
    <row r="159" ht="18.0" customHeight="1">
      <c r="A159" s="81"/>
      <c r="B159" s="90" t="str">
        <f>"HB-513"</f>
        <v>HB-513</v>
      </c>
      <c r="C159" s="90" t="str">
        <f>"45836005133"</f>
        <v>45836005133</v>
      </c>
      <c r="D159" s="91" t="s">
        <v>180</v>
      </c>
      <c r="E159" s="92" t="s">
        <v>30</v>
      </c>
      <c r="F159" s="93"/>
      <c r="G159" s="93"/>
      <c r="H159" s="94"/>
      <c r="I159" s="95">
        <v>4.4762496371552984</v>
      </c>
      <c r="J159" s="92" t="s">
        <v>140</v>
      </c>
      <c r="K159" s="96"/>
      <c r="L159" s="92">
        <f t="shared" si="1"/>
        <v>0</v>
      </c>
      <c r="M159" s="97">
        <f t="shared" si="2"/>
        <v>0</v>
      </c>
      <c r="N159" s="76"/>
      <c r="O159" s="77"/>
      <c r="P159" s="77"/>
      <c r="Q159" s="77"/>
      <c r="R159" s="77"/>
      <c r="S159" s="33"/>
      <c r="T159" s="33"/>
      <c r="U159" s="33"/>
      <c r="V159" s="33"/>
      <c r="W159" s="33"/>
      <c r="X159" s="33"/>
      <c r="Y159" s="33"/>
      <c r="Z159" s="33"/>
      <c r="AA159" s="33"/>
    </row>
    <row r="160" ht="18.0" customHeight="1">
      <c r="A160" s="81"/>
      <c r="B160" s="90" t="str">
        <f>"HB-1006"</f>
        <v>HB-1006</v>
      </c>
      <c r="C160" s="90" t="str">
        <f>"45836001005"</f>
        <v>45836001005</v>
      </c>
      <c r="D160" s="91" t="s">
        <v>181</v>
      </c>
      <c r="E160" s="92" t="s">
        <v>64</v>
      </c>
      <c r="F160" s="93"/>
      <c r="G160" s="93"/>
      <c r="H160" s="94"/>
      <c r="I160" s="95">
        <v>4.162366100989068</v>
      </c>
      <c r="J160" s="92">
        <v>6.0</v>
      </c>
      <c r="K160" s="96"/>
      <c r="L160" s="92">
        <f t="shared" si="1"/>
        <v>0</v>
      </c>
      <c r="M160" s="97">
        <f t="shared" si="2"/>
        <v>0</v>
      </c>
      <c r="N160" s="76"/>
      <c r="O160" s="77"/>
      <c r="P160" s="77"/>
      <c r="Q160" s="77"/>
      <c r="R160" s="77"/>
      <c r="S160" s="33"/>
      <c r="T160" s="33"/>
      <c r="U160" s="33"/>
      <c r="V160" s="33"/>
      <c r="W160" s="33"/>
      <c r="X160" s="33"/>
      <c r="Y160" s="33"/>
      <c r="Z160" s="33"/>
      <c r="AA160" s="33"/>
    </row>
    <row r="161" ht="18.0" customHeight="1">
      <c r="A161" s="81"/>
      <c r="B161" s="90" t="str">
        <f>"HB-150"</f>
        <v>HB-150</v>
      </c>
      <c r="C161" s="90" t="str">
        <f>"45836001500"</f>
        <v>45836001500</v>
      </c>
      <c r="D161" s="91" t="s">
        <v>182</v>
      </c>
      <c r="E161" s="92" t="s">
        <v>178</v>
      </c>
      <c r="F161" s="93"/>
      <c r="G161" s="93"/>
      <c r="H161" s="94"/>
      <c r="I161" s="95">
        <v>3.6505843999221925</v>
      </c>
      <c r="J161" s="92" t="s">
        <v>141</v>
      </c>
      <c r="K161" s="96"/>
      <c r="L161" s="92">
        <f t="shared" si="1"/>
        <v>0</v>
      </c>
      <c r="M161" s="97">
        <f t="shared" si="2"/>
        <v>0</v>
      </c>
      <c r="N161" s="76"/>
      <c r="O161" s="77"/>
      <c r="P161" s="77"/>
      <c r="Q161" s="77"/>
      <c r="R161" s="77"/>
      <c r="S161" s="33"/>
      <c r="T161" s="33"/>
      <c r="U161" s="33"/>
      <c r="V161" s="33"/>
      <c r="W161" s="33"/>
      <c r="X161" s="33"/>
      <c r="Y161" s="33"/>
      <c r="Z161" s="33"/>
      <c r="AA161" s="33"/>
    </row>
    <row r="162" ht="18.0" customHeight="1">
      <c r="A162" s="81"/>
      <c r="B162" s="90" t="str">
        <f>"HB-245"</f>
        <v>HB-245</v>
      </c>
      <c r="C162" s="90" t="str">
        <f>"45836002453"</f>
        <v>45836002453</v>
      </c>
      <c r="D162" s="91" t="s">
        <v>183</v>
      </c>
      <c r="E162" s="92" t="s">
        <v>184</v>
      </c>
      <c r="F162" s="93"/>
      <c r="G162" s="93"/>
      <c r="H162" s="94"/>
      <c r="I162" s="95">
        <v>9.981639432143437</v>
      </c>
      <c r="J162" s="92" t="s">
        <v>141</v>
      </c>
      <c r="K162" s="96"/>
      <c r="L162" s="92">
        <f t="shared" si="1"/>
        <v>0</v>
      </c>
      <c r="M162" s="97">
        <f t="shared" si="2"/>
        <v>0</v>
      </c>
      <c r="N162" s="76"/>
      <c r="O162" s="77"/>
      <c r="P162" s="77"/>
      <c r="Q162" s="77"/>
      <c r="R162" s="77"/>
      <c r="S162" s="33"/>
      <c r="T162" s="33"/>
      <c r="U162" s="33"/>
      <c r="V162" s="33"/>
      <c r="W162" s="33"/>
      <c r="X162" s="33"/>
      <c r="Y162" s="33"/>
      <c r="Z162" s="33"/>
      <c r="AA162" s="33"/>
    </row>
    <row r="163" ht="18.0" customHeight="1">
      <c r="A163" s="81"/>
      <c r="B163" s="90" t="str">
        <f>"HB-305"</f>
        <v>HB-305</v>
      </c>
      <c r="C163" s="90" t="str">
        <f>"45836003054"</f>
        <v>45836003054</v>
      </c>
      <c r="D163" s="91" t="s">
        <v>185</v>
      </c>
      <c r="E163" s="92" t="s">
        <v>186</v>
      </c>
      <c r="F163" s="93"/>
      <c r="G163" s="93"/>
      <c r="H163" s="94"/>
      <c r="I163" s="95">
        <v>8.398899549308686</v>
      </c>
      <c r="J163" s="92" t="s">
        <v>187</v>
      </c>
      <c r="K163" s="96"/>
      <c r="L163" s="92">
        <f t="shared" si="1"/>
        <v>0</v>
      </c>
      <c r="M163" s="97">
        <f t="shared" si="2"/>
        <v>0</v>
      </c>
      <c r="N163" s="76"/>
      <c r="O163" s="77"/>
      <c r="P163" s="77"/>
      <c r="Q163" s="77"/>
      <c r="R163" s="77"/>
      <c r="S163" s="33"/>
      <c r="T163" s="33"/>
      <c r="U163" s="33"/>
      <c r="V163" s="33"/>
      <c r="W163" s="33"/>
      <c r="X163" s="33"/>
      <c r="Y163" s="33"/>
      <c r="Z163" s="33"/>
      <c r="AA163" s="33"/>
    </row>
    <row r="164" ht="18.0" customHeight="1">
      <c r="A164" s="81"/>
      <c r="B164" s="90" t="str">
        <f>"HB-309"</f>
        <v>HB-309</v>
      </c>
      <c r="C164" s="90" t="str">
        <f>"45836003092"</f>
        <v>45836003092</v>
      </c>
      <c r="D164" s="91" t="s">
        <v>188</v>
      </c>
      <c r="E164" s="92" t="s">
        <v>186</v>
      </c>
      <c r="F164" s="93"/>
      <c r="G164" s="93"/>
      <c r="H164" s="94"/>
      <c r="I164" s="95">
        <v>10.321482096219093</v>
      </c>
      <c r="J164" s="92" t="s">
        <v>187</v>
      </c>
      <c r="K164" s="96"/>
      <c r="L164" s="92">
        <f t="shared" si="1"/>
        <v>0</v>
      </c>
      <c r="M164" s="97">
        <f t="shared" si="2"/>
        <v>0</v>
      </c>
      <c r="N164" s="76"/>
      <c r="O164" s="77"/>
      <c r="P164" s="77"/>
      <c r="Q164" s="77"/>
      <c r="R164" s="77"/>
      <c r="S164" s="33"/>
      <c r="T164" s="33"/>
      <c r="U164" s="33"/>
      <c r="V164" s="33"/>
      <c r="W164" s="33"/>
      <c r="X164" s="33"/>
      <c r="Y164" s="33"/>
      <c r="Z164" s="33"/>
      <c r="AA164" s="33"/>
    </row>
    <row r="165" ht="18.0" customHeight="1">
      <c r="A165" s="81"/>
      <c r="B165" s="90" t="str">
        <f>"HB-314"</f>
        <v>HB-314</v>
      </c>
      <c r="C165" s="90" t="str">
        <f>"45836003146"</f>
        <v>45836003146</v>
      </c>
      <c r="D165" s="91" t="s">
        <v>189</v>
      </c>
      <c r="E165" s="92" t="s">
        <v>81</v>
      </c>
      <c r="F165" s="93"/>
      <c r="G165" s="93"/>
      <c r="H165" s="94"/>
      <c r="I165" s="95">
        <v>6.063869738751813</v>
      </c>
      <c r="J165" s="92" t="s">
        <v>141</v>
      </c>
      <c r="K165" s="96"/>
      <c r="L165" s="92">
        <f t="shared" si="1"/>
        <v>0</v>
      </c>
      <c r="M165" s="97">
        <f t="shared" si="2"/>
        <v>0</v>
      </c>
      <c r="N165" s="76"/>
      <c r="O165" s="77"/>
      <c r="P165" s="77"/>
      <c r="Q165" s="77"/>
      <c r="R165" s="77"/>
      <c r="S165" s="33"/>
      <c r="T165" s="33"/>
      <c r="U165" s="33"/>
      <c r="V165" s="33"/>
      <c r="W165" s="33"/>
      <c r="X165" s="33"/>
      <c r="Y165" s="33"/>
      <c r="Z165" s="33"/>
      <c r="AA165" s="33"/>
    </row>
    <row r="166" ht="18.0" customHeight="1">
      <c r="A166" s="81"/>
      <c r="B166" s="90" t="str">
        <f>"HB-540"</f>
        <v>HB-540</v>
      </c>
      <c r="C166" s="90" t="str">
        <f>"45836005409"</f>
        <v>45836005409</v>
      </c>
      <c r="D166" s="91" t="s">
        <v>190</v>
      </c>
      <c r="E166" s="92" t="s">
        <v>110</v>
      </c>
      <c r="F166" s="93"/>
      <c r="G166" s="93"/>
      <c r="H166" s="94"/>
      <c r="I166" s="95">
        <v>5.968237114187779</v>
      </c>
      <c r="J166" s="92" t="s">
        <v>187</v>
      </c>
      <c r="K166" s="96"/>
      <c r="L166" s="92">
        <f t="shared" si="1"/>
        <v>0</v>
      </c>
      <c r="M166" s="97">
        <f t="shared" si="2"/>
        <v>0</v>
      </c>
      <c r="N166" s="76"/>
      <c r="O166" s="77"/>
      <c r="P166" s="77"/>
      <c r="Q166" s="77"/>
      <c r="R166" s="77"/>
      <c r="S166" s="33"/>
      <c r="T166" s="33"/>
      <c r="U166" s="33"/>
      <c r="V166" s="33"/>
      <c r="W166" s="33"/>
      <c r="X166" s="33"/>
      <c r="Y166" s="33"/>
      <c r="Z166" s="33"/>
      <c r="AA166" s="33"/>
    </row>
    <row r="167" ht="18.0" customHeight="1">
      <c r="A167" s="81"/>
      <c r="B167" s="90" t="str">
        <f>"HB-2540"</f>
        <v>HB-2540</v>
      </c>
      <c r="C167" s="90" t="str">
        <f>"45836025407"</f>
        <v>45836025407</v>
      </c>
      <c r="D167" s="91" t="s">
        <v>191</v>
      </c>
      <c r="E167" s="92" t="s">
        <v>100</v>
      </c>
      <c r="F167" s="93"/>
      <c r="G167" s="93"/>
      <c r="H167" s="94"/>
      <c r="I167" s="95">
        <v>2.4585387212415086</v>
      </c>
      <c r="J167" s="92" t="s">
        <v>192</v>
      </c>
      <c r="K167" s="96"/>
      <c r="L167" s="92">
        <f t="shared" si="1"/>
        <v>0</v>
      </c>
      <c r="M167" s="97">
        <f t="shared" si="2"/>
        <v>0</v>
      </c>
      <c r="N167" s="76"/>
      <c r="O167" s="77"/>
      <c r="P167" s="77"/>
      <c r="Q167" s="77"/>
      <c r="R167" s="77"/>
      <c r="S167" s="33"/>
      <c r="T167" s="33"/>
      <c r="U167" s="33"/>
      <c r="V167" s="33"/>
      <c r="W167" s="33"/>
      <c r="X167" s="33"/>
      <c r="Y167" s="33"/>
      <c r="Z167" s="33"/>
      <c r="AA167" s="33"/>
    </row>
    <row r="168" ht="18.0" customHeight="1">
      <c r="A168" s="81"/>
      <c r="B168" s="90" t="str">
        <f>"HB-400"</f>
        <v>HB-400</v>
      </c>
      <c r="C168" s="90" t="str">
        <f>"45836004006"</f>
        <v>45836004006</v>
      </c>
      <c r="D168" s="91" t="s">
        <v>193</v>
      </c>
      <c r="E168" s="92" t="s">
        <v>100</v>
      </c>
      <c r="F168" s="93"/>
      <c r="G168" s="93"/>
      <c r="H168" s="94"/>
      <c r="I168" s="95">
        <v>2.4585387212415086</v>
      </c>
      <c r="J168" s="92" t="s">
        <v>192</v>
      </c>
      <c r="K168" s="96"/>
      <c r="L168" s="92">
        <f t="shared" si="1"/>
        <v>0</v>
      </c>
      <c r="M168" s="97">
        <f t="shared" si="2"/>
        <v>0</v>
      </c>
      <c r="N168" s="76"/>
      <c r="O168" s="77"/>
      <c r="P168" s="77"/>
      <c r="Q168" s="77"/>
      <c r="R168" s="77"/>
      <c r="S168" s="33"/>
      <c r="T168" s="33"/>
      <c r="U168" s="33"/>
      <c r="V168" s="33"/>
      <c r="W168" s="33"/>
      <c r="X168" s="33"/>
      <c r="Y168" s="33"/>
      <c r="Z168" s="33"/>
      <c r="AA168" s="33"/>
    </row>
    <row r="169" ht="18.0" customHeight="1">
      <c r="A169" s="81"/>
      <c r="B169" s="90" t="str">
        <f>"HB-420"</f>
        <v>HB-420</v>
      </c>
      <c r="C169" s="90" t="str">
        <f>"45836004204"</f>
        <v>45836004204</v>
      </c>
      <c r="D169" s="91" t="s">
        <v>194</v>
      </c>
      <c r="E169" s="92" t="s">
        <v>100</v>
      </c>
      <c r="F169" s="93"/>
      <c r="G169" s="93"/>
      <c r="H169" s="94"/>
      <c r="I169" s="95">
        <v>2.4585387212415086</v>
      </c>
      <c r="J169" s="92" t="s">
        <v>192</v>
      </c>
      <c r="K169" s="96"/>
      <c r="L169" s="92">
        <f t="shared" si="1"/>
        <v>0</v>
      </c>
      <c r="M169" s="97">
        <f t="shared" si="2"/>
        <v>0</v>
      </c>
      <c r="N169" s="76"/>
      <c r="O169" s="77"/>
      <c r="P169" s="77"/>
      <c r="Q169" s="77"/>
      <c r="R169" s="77"/>
      <c r="S169" s="33"/>
      <c r="T169" s="33"/>
      <c r="U169" s="33"/>
      <c r="V169" s="33"/>
      <c r="W169" s="33"/>
      <c r="X169" s="33"/>
      <c r="Y169" s="33"/>
      <c r="Z169" s="33"/>
      <c r="AA169" s="33"/>
    </row>
    <row r="170" ht="18.0" customHeight="1">
      <c r="A170" s="81"/>
      <c r="B170" s="90" t="str">
        <f>"HB-525"</f>
        <v>HB-525</v>
      </c>
      <c r="C170" s="90" t="str">
        <f t="shared" ref="C170:C171" si="3">"45836005256"</f>
        <v>45836005256</v>
      </c>
      <c r="D170" s="91" t="s">
        <v>195</v>
      </c>
      <c r="E170" s="92" t="s">
        <v>100</v>
      </c>
      <c r="F170" s="93"/>
      <c r="G170" s="93"/>
      <c r="H170" s="94"/>
      <c r="I170" s="95">
        <v>2.4585387212415086</v>
      </c>
      <c r="J170" s="92" t="s">
        <v>192</v>
      </c>
      <c r="K170" s="96"/>
      <c r="L170" s="92">
        <f t="shared" si="1"/>
        <v>0</v>
      </c>
      <c r="M170" s="97">
        <f t="shared" si="2"/>
        <v>0</v>
      </c>
      <c r="N170" s="76"/>
      <c r="O170" s="77"/>
      <c r="P170" s="77"/>
      <c r="Q170" s="77"/>
      <c r="R170" s="77"/>
      <c r="S170" s="33"/>
      <c r="T170" s="33"/>
      <c r="U170" s="33"/>
      <c r="V170" s="33"/>
      <c r="W170" s="33"/>
      <c r="X170" s="33"/>
      <c r="Y170" s="33"/>
      <c r="Z170" s="33"/>
      <c r="AA170" s="33"/>
    </row>
    <row r="171" ht="18.0" customHeight="1">
      <c r="A171" s="81"/>
      <c r="B171" s="90" t="str">
        <f>"HB-525/6"</f>
        <v>HB-525/6</v>
      </c>
      <c r="C171" s="90" t="str">
        <f t="shared" si="3"/>
        <v>45836005256</v>
      </c>
      <c r="D171" s="91" t="s">
        <v>196</v>
      </c>
      <c r="E171" s="92" t="s">
        <v>100</v>
      </c>
      <c r="F171" s="93"/>
      <c r="G171" s="93"/>
      <c r="H171" s="94"/>
      <c r="I171" s="95">
        <v>2.4585387212415086</v>
      </c>
      <c r="J171" s="92" t="s">
        <v>192</v>
      </c>
      <c r="K171" s="96"/>
      <c r="L171" s="92">
        <f t="shared" si="1"/>
        <v>0</v>
      </c>
      <c r="M171" s="97">
        <f t="shared" si="2"/>
        <v>0</v>
      </c>
      <c r="N171" s="76"/>
      <c r="O171" s="77"/>
      <c r="P171" s="77"/>
      <c r="Q171" s="77"/>
      <c r="R171" s="77"/>
      <c r="S171" s="33"/>
      <c r="T171" s="33"/>
      <c r="U171" s="33"/>
      <c r="V171" s="33"/>
      <c r="W171" s="33"/>
      <c r="X171" s="33"/>
      <c r="Y171" s="33"/>
      <c r="Z171" s="33"/>
      <c r="AA171" s="33"/>
    </row>
    <row r="172" ht="18.0" customHeight="1">
      <c r="A172" s="81"/>
      <c r="B172" s="90" t="str">
        <f>"HB-528"</f>
        <v>HB-528</v>
      </c>
      <c r="C172" s="90" t="str">
        <f>"45836005287"</f>
        <v>45836005287</v>
      </c>
      <c r="D172" s="91" t="s">
        <v>197</v>
      </c>
      <c r="E172" s="92" t="s">
        <v>41</v>
      </c>
      <c r="F172" s="93"/>
      <c r="G172" s="93"/>
      <c r="H172" s="94"/>
      <c r="I172" s="95">
        <v>5.452614846384593</v>
      </c>
      <c r="J172" s="92" t="s">
        <v>140</v>
      </c>
      <c r="K172" s="96"/>
      <c r="L172" s="92">
        <f t="shared" si="1"/>
        <v>0</v>
      </c>
      <c r="M172" s="97">
        <f t="shared" si="2"/>
        <v>0</v>
      </c>
      <c r="N172" s="76"/>
      <c r="O172" s="77"/>
      <c r="P172" s="77"/>
      <c r="Q172" s="77"/>
      <c r="R172" s="77"/>
      <c r="S172" s="33"/>
      <c r="T172" s="33"/>
      <c r="U172" s="33"/>
      <c r="V172" s="33"/>
      <c r="W172" s="33"/>
      <c r="X172" s="33"/>
      <c r="Y172" s="33"/>
      <c r="Z172" s="33"/>
      <c r="AA172" s="33"/>
    </row>
    <row r="173" ht="18.0" customHeight="1">
      <c r="A173" s="81"/>
      <c r="B173" s="90" t="str">
        <f>"HB-550"</f>
        <v>HB-550</v>
      </c>
      <c r="C173" s="90" t="str">
        <f>"45836005508"</f>
        <v>45836005508</v>
      </c>
      <c r="D173" s="91" t="s">
        <v>198</v>
      </c>
      <c r="E173" s="92" t="s">
        <v>100</v>
      </c>
      <c r="F173" s="93"/>
      <c r="G173" s="93"/>
      <c r="H173" s="94"/>
      <c r="I173" s="95">
        <v>2.4585387212415086</v>
      </c>
      <c r="J173" s="92" t="s">
        <v>192</v>
      </c>
      <c r="K173" s="96"/>
      <c r="L173" s="92">
        <f t="shared" si="1"/>
        <v>0</v>
      </c>
      <c r="M173" s="97">
        <f t="shared" si="2"/>
        <v>0</v>
      </c>
      <c r="N173" s="76"/>
      <c r="O173" s="77"/>
      <c r="P173" s="77"/>
      <c r="Q173" s="77"/>
      <c r="R173" s="77"/>
      <c r="S173" s="33"/>
      <c r="T173" s="33"/>
      <c r="U173" s="33"/>
      <c r="V173" s="33"/>
      <c r="W173" s="33"/>
      <c r="X173" s="33"/>
      <c r="Y173" s="33"/>
      <c r="Z173" s="33"/>
      <c r="AA173" s="33"/>
    </row>
    <row r="174" ht="18.0" customHeight="1">
      <c r="A174" s="81"/>
      <c r="B174" s="90" t="str">
        <f>"HB-552"</f>
        <v>HB-552</v>
      </c>
      <c r="C174" s="90" t="str">
        <f>"45836005522"</f>
        <v>45836005522</v>
      </c>
      <c r="D174" s="91" t="s">
        <v>199</v>
      </c>
      <c r="E174" s="92" t="s">
        <v>100</v>
      </c>
      <c r="F174" s="93"/>
      <c r="G174" s="93"/>
      <c r="H174" s="94"/>
      <c r="I174" s="95">
        <v>2.4585387212415086</v>
      </c>
      <c r="J174" s="92" t="s">
        <v>192</v>
      </c>
      <c r="K174" s="96"/>
      <c r="L174" s="92">
        <f t="shared" si="1"/>
        <v>0</v>
      </c>
      <c r="M174" s="97">
        <f t="shared" si="2"/>
        <v>0</v>
      </c>
      <c r="N174" s="76"/>
      <c r="O174" s="77"/>
      <c r="P174" s="77"/>
      <c r="Q174" s="77"/>
      <c r="R174" s="77"/>
      <c r="S174" s="33"/>
      <c r="T174" s="33"/>
      <c r="U174" s="33"/>
      <c r="V174" s="33"/>
      <c r="W174" s="33"/>
      <c r="X174" s="33"/>
      <c r="Y174" s="33"/>
      <c r="Z174" s="33"/>
      <c r="AA174" s="33"/>
    </row>
    <row r="175" ht="18.0" customHeight="1">
      <c r="A175" s="81"/>
      <c r="B175" s="90" t="str">
        <f>"HB-5528"</f>
        <v>HB-5528</v>
      </c>
      <c r="C175" s="90" t="str">
        <f>"45836055282"</f>
        <v>45836055282</v>
      </c>
      <c r="D175" s="91" t="s">
        <v>200</v>
      </c>
      <c r="E175" s="92" t="s">
        <v>41</v>
      </c>
      <c r="F175" s="93"/>
      <c r="G175" s="93"/>
      <c r="H175" s="94"/>
      <c r="I175" s="95">
        <v>5.452614846384593</v>
      </c>
      <c r="J175" s="92" t="s">
        <v>140</v>
      </c>
      <c r="K175" s="96"/>
      <c r="L175" s="92">
        <f t="shared" si="1"/>
        <v>0</v>
      </c>
      <c r="M175" s="97">
        <f t="shared" si="2"/>
        <v>0</v>
      </c>
      <c r="N175" s="76"/>
      <c r="O175" s="77"/>
      <c r="P175" s="77"/>
      <c r="Q175" s="77"/>
      <c r="R175" s="77"/>
      <c r="S175" s="33"/>
      <c r="T175" s="33"/>
      <c r="U175" s="33"/>
      <c r="V175" s="33"/>
      <c r="W175" s="33"/>
      <c r="X175" s="33"/>
      <c r="Y175" s="33"/>
      <c r="Z175" s="33"/>
      <c r="AA175" s="33"/>
    </row>
    <row r="176" ht="18.0" customHeight="1">
      <c r="A176" s="81"/>
      <c r="B176" s="90" t="str">
        <f>"HB-5558"</f>
        <v>HB-5558</v>
      </c>
      <c r="C176" s="90" t="str">
        <f>"45836055589"</f>
        <v>45836055589</v>
      </c>
      <c r="D176" s="91" t="s">
        <v>201</v>
      </c>
      <c r="E176" s="92" t="s">
        <v>41</v>
      </c>
      <c r="F176" s="93"/>
      <c r="G176" s="93"/>
      <c r="H176" s="94"/>
      <c r="I176" s="95">
        <v>5.452614846384593</v>
      </c>
      <c r="J176" s="92" t="s">
        <v>140</v>
      </c>
      <c r="K176" s="96"/>
      <c r="L176" s="92">
        <f t="shared" si="1"/>
        <v>0</v>
      </c>
      <c r="M176" s="97">
        <f t="shared" si="2"/>
        <v>0</v>
      </c>
      <c r="N176" s="76"/>
      <c r="O176" s="77"/>
      <c r="P176" s="77"/>
      <c r="Q176" s="77"/>
      <c r="R176" s="77"/>
      <c r="S176" s="33"/>
      <c r="T176" s="33"/>
      <c r="U176" s="33"/>
      <c r="V176" s="33"/>
      <c r="W176" s="33"/>
      <c r="X176" s="33"/>
      <c r="Y176" s="33"/>
      <c r="Z176" s="33"/>
      <c r="AA176" s="33"/>
    </row>
    <row r="177" ht="18.0" customHeight="1">
      <c r="A177" s="81"/>
      <c r="B177" s="90" t="str">
        <f>"HB-557"</f>
        <v>HB-557</v>
      </c>
      <c r="C177" s="90" t="str">
        <f>"45836005577"</f>
        <v>45836005577</v>
      </c>
      <c r="D177" s="91" t="s">
        <v>202</v>
      </c>
      <c r="E177" s="92" t="s">
        <v>110</v>
      </c>
      <c r="F177" s="93"/>
      <c r="G177" s="93"/>
      <c r="H177" s="94"/>
      <c r="I177" s="95">
        <v>3.5296862168809917</v>
      </c>
      <c r="J177" s="92" t="s">
        <v>187</v>
      </c>
      <c r="K177" s="96"/>
      <c r="L177" s="92">
        <f t="shared" si="1"/>
        <v>0</v>
      </c>
      <c r="M177" s="97">
        <f t="shared" si="2"/>
        <v>0</v>
      </c>
      <c r="N177" s="76"/>
      <c r="O177" s="77"/>
      <c r="P177" s="77"/>
      <c r="Q177" s="77"/>
      <c r="R177" s="77"/>
      <c r="S177" s="33"/>
      <c r="T177" s="33"/>
      <c r="U177" s="33"/>
      <c r="V177" s="33"/>
      <c r="W177" s="33"/>
      <c r="X177" s="33"/>
      <c r="Y177" s="33"/>
      <c r="Z177" s="33"/>
      <c r="AA177" s="33"/>
    </row>
    <row r="178" ht="18.0" customHeight="1">
      <c r="A178" s="81"/>
      <c r="B178" s="90" t="str">
        <f>"HB-5578"</f>
        <v>HB-5578</v>
      </c>
      <c r="C178" s="90" t="str">
        <f>"45836055787"</f>
        <v>45836055787</v>
      </c>
      <c r="D178" s="91" t="s">
        <v>203</v>
      </c>
      <c r="E178" s="92" t="s">
        <v>41</v>
      </c>
      <c r="F178" s="93"/>
      <c r="G178" s="93"/>
      <c r="H178" s="94"/>
      <c r="I178" s="95">
        <v>9.456773228907082</v>
      </c>
      <c r="J178" s="92" t="s">
        <v>140</v>
      </c>
      <c r="K178" s="96"/>
      <c r="L178" s="92">
        <f t="shared" si="1"/>
        <v>0</v>
      </c>
      <c r="M178" s="97">
        <f t="shared" si="2"/>
        <v>0</v>
      </c>
      <c r="N178" s="76"/>
      <c r="O178" s="77"/>
      <c r="P178" s="77"/>
      <c r="Q178" s="77"/>
      <c r="R178" s="77"/>
      <c r="S178" s="33"/>
      <c r="T178" s="33"/>
      <c r="U178" s="33"/>
      <c r="V178" s="33"/>
      <c r="W178" s="33"/>
      <c r="X178" s="33"/>
      <c r="Y178" s="33"/>
      <c r="Z178" s="33"/>
      <c r="AA178" s="33"/>
    </row>
    <row r="179" ht="18.0" customHeight="1">
      <c r="A179" s="81"/>
      <c r="B179" s="90" t="str">
        <f>"HB-558"</f>
        <v>HB-558</v>
      </c>
      <c r="C179" s="90" t="str">
        <f>"45836005584"</f>
        <v>45836005584</v>
      </c>
      <c r="D179" s="91" t="s">
        <v>204</v>
      </c>
      <c r="E179" s="92" t="s">
        <v>41</v>
      </c>
      <c r="F179" s="93"/>
      <c r="G179" s="93"/>
      <c r="H179" s="94"/>
      <c r="I179" s="95">
        <v>5.452614846384593</v>
      </c>
      <c r="J179" s="92" t="s">
        <v>140</v>
      </c>
      <c r="K179" s="96"/>
      <c r="L179" s="92">
        <f t="shared" si="1"/>
        <v>0</v>
      </c>
      <c r="M179" s="97">
        <f t="shared" si="2"/>
        <v>0</v>
      </c>
      <c r="N179" s="76"/>
      <c r="O179" s="77"/>
      <c r="P179" s="77"/>
      <c r="Q179" s="77"/>
      <c r="R179" s="77"/>
      <c r="S179" s="33"/>
      <c r="T179" s="33"/>
      <c r="U179" s="33"/>
      <c r="V179" s="33"/>
      <c r="W179" s="33"/>
      <c r="X179" s="33"/>
      <c r="Y179" s="33"/>
      <c r="Z179" s="33"/>
      <c r="AA179" s="33"/>
    </row>
    <row r="180" ht="18.0" customHeight="1">
      <c r="A180" s="81"/>
      <c r="B180" s="90" t="str">
        <f>"HB-571"</f>
        <v>HB-571</v>
      </c>
      <c r="C180" s="90" t="str">
        <f>"45836005713"</f>
        <v>45836005713</v>
      </c>
      <c r="D180" s="91" t="s">
        <v>205</v>
      </c>
      <c r="E180" s="92" t="s">
        <v>100</v>
      </c>
      <c r="F180" s="93"/>
      <c r="G180" s="93"/>
      <c r="H180" s="94"/>
      <c r="I180" s="95">
        <v>2.4585387212415086</v>
      </c>
      <c r="J180" s="92" t="s">
        <v>192</v>
      </c>
      <c r="K180" s="96"/>
      <c r="L180" s="92">
        <f t="shared" si="1"/>
        <v>0</v>
      </c>
      <c r="M180" s="97">
        <f t="shared" si="2"/>
        <v>0</v>
      </c>
      <c r="N180" s="76"/>
      <c r="O180" s="77"/>
      <c r="P180" s="77"/>
      <c r="Q180" s="77"/>
      <c r="R180" s="77"/>
      <c r="S180" s="33"/>
      <c r="T180" s="33"/>
      <c r="U180" s="33"/>
      <c r="V180" s="33"/>
      <c r="W180" s="33"/>
      <c r="X180" s="33"/>
      <c r="Y180" s="33"/>
      <c r="Z180" s="33"/>
      <c r="AA180" s="33"/>
    </row>
    <row r="181" ht="18.0" customHeight="1">
      <c r="A181" s="81"/>
      <c r="B181" s="90" t="str">
        <f>"HB-573"</f>
        <v>HB-573</v>
      </c>
      <c r="C181" s="90" t="str">
        <f>"45836005737"</f>
        <v>45836005737</v>
      </c>
      <c r="D181" s="91" t="s">
        <v>206</v>
      </c>
      <c r="E181" s="92" t="s">
        <v>100</v>
      </c>
      <c r="F181" s="93"/>
      <c r="G181" s="93"/>
      <c r="H181" s="94"/>
      <c r="I181" s="95">
        <v>2.4585387212415086</v>
      </c>
      <c r="J181" s="92">
        <v>72.0</v>
      </c>
      <c r="K181" s="96"/>
      <c r="L181" s="92">
        <f t="shared" si="1"/>
        <v>0</v>
      </c>
      <c r="M181" s="97">
        <f t="shared" si="2"/>
        <v>0</v>
      </c>
      <c r="N181" s="76"/>
      <c r="O181" s="77"/>
      <c r="P181" s="77"/>
      <c r="Q181" s="77"/>
      <c r="R181" s="77"/>
      <c r="S181" s="33"/>
      <c r="T181" s="33"/>
      <c r="U181" s="33"/>
      <c r="V181" s="33"/>
      <c r="W181" s="33"/>
      <c r="X181" s="33"/>
      <c r="Y181" s="33"/>
      <c r="Z181" s="33"/>
      <c r="AA181" s="33"/>
    </row>
    <row r="182" ht="18.0" customHeight="1">
      <c r="A182" s="81"/>
      <c r="B182" s="90" t="str">
        <f>"HB-576"</f>
        <v>HB-576</v>
      </c>
      <c r="C182" s="90" t="str">
        <f>"45836005768"</f>
        <v>45836005768</v>
      </c>
      <c r="D182" s="91" t="s">
        <v>207</v>
      </c>
      <c r="E182" s="92" t="s">
        <v>100</v>
      </c>
      <c r="F182" s="93"/>
      <c r="G182" s="93"/>
      <c r="H182" s="94"/>
      <c r="I182" s="95">
        <v>2.4585387212415086</v>
      </c>
      <c r="J182" s="92">
        <v>72.0</v>
      </c>
      <c r="K182" s="96"/>
      <c r="L182" s="92">
        <f t="shared" si="1"/>
        <v>0</v>
      </c>
      <c r="M182" s="97">
        <f t="shared" si="2"/>
        <v>0</v>
      </c>
      <c r="N182" s="76"/>
      <c r="O182" s="77"/>
      <c r="P182" s="77"/>
      <c r="Q182" s="77"/>
      <c r="R182" s="77"/>
      <c r="S182" s="33"/>
      <c r="T182" s="33"/>
      <c r="U182" s="33"/>
      <c r="V182" s="33"/>
      <c r="W182" s="33"/>
      <c r="X182" s="33"/>
      <c r="Y182" s="33"/>
      <c r="Z182" s="33"/>
      <c r="AA182" s="33"/>
    </row>
    <row r="183" ht="18.0" customHeight="1">
      <c r="A183" s="81"/>
      <c r="B183" s="90" t="str">
        <f>"HB-5768"</f>
        <v>HB-5768</v>
      </c>
      <c r="C183" s="90" t="str">
        <f>"45836057682"</f>
        <v>45836057682</v>
      </c>
      <c r="D183" s="91" t="s">
        <v>208</v>
      </c>
      <c r="E183" s="92" t="s">
        <v>41</v>
      </c>
      <c r="F183" s="93"/>
      <c r="G183" s="93"/>
      <c r="H183" s="94"/>
      <c r="I183" s="95">
        <v>5.452614846384593</v>
      </c>
      <c r="J183" s="92">
        <v>12.0</v>
      </c>
      <c r="K183" s="96"/>
      <c r="L183" s="92">
        <f t="shared" si="1"/>
        <v>0</v>
      </c>
      <c r="M183" s="97">
        <f t="shared" si="2"/>
        <v>0</v>
      </c>
      <c r="N183" s="76"/>
      <c r="O183" s="77"/>
      <c r="P183" s="77"/>
      <c r="Q183" s="77"/>
      <c r="R183" s="77"/>
      <c r="S183" s="33"/>
      <c r="T183" s="33"/>
      <c r="U183" s="33"/>
      <c r="V183" s="33"/>
      <c r="W183" s="33"/>
      <c r="X183" s="33"/>
      <c r="Y183" s="33"/>
      <c r="Z183" s="33"/>
      <c r="AA183" s="33"/>
    </row>
    <row r="184" ht="18.0" customHeight="1">
      <c r="A184" s="81"/>
      <c r="B184" s="90" t="str">
        <f>"HB-577"</f>
        <v>HB-577</v>
      </c>
      <c r="C184" s="90" t="str">
        <f>"45836005775"</f>
        <v>45836005775</v>
      </c>
      <c r="D184" s="91" t="s">
        <v>209</v>
      </c>
      <c r="E184" s="92" t="s">
        <v>100</v>
      </c>
      <c r="F184" s="93"/>
      <c r="G184" s="93"/>
      <c r="H184" s="94"/>
      <c r="I184" s="95">
        <v>2.4585387212415086</v>
      </c>
      <c r="J184" s="92">
        <v>72.0</v>
      </c>
      <c r="K184" s="96"/>
      <c r="L184" s="92">
        <f t="shared" si="1"/>
        <v>0</v>
      </c>
      <c r="M184" s="97">
        <f t="shared" si="2"/>
        <v>0</v>
      </c>
      <c r="N184" s="76"/>
      <c r="O184" s="77"/>
      <c r="P184" s="77"/>
      <c r="Q184" s="77"/>
      <c r="R184" s="77"/>
      <c r="S184" s="33"/>
      <c r="T184" s="33"/>
      <c r="U184" s="33"/>
      <c r="V184" s="33"/>
      <c r="W184" s="33"/>
      <c r="X184" s="33"/>
      <c r="Y184" s="33"/>
      <c r="Z184" s="33"/>
      <c r="AA184" s="33"/>
    </row>
    <row r="185" ht="18.0" customHeight="1">
      <c r="A185" s="81"/>
      <c r="B185" s="90" t="str">
        <f>"HB-5778"</f>
        <v>HB-5778</v>
      </c>
      <c r="C185" s="90" t="str">
        <f>"45836057781"</f>
        <v>45836057781</v>
      </c>
      <c r="D185" s="91" t="s">
        <v>210</v>
      </c>
      <c r="E185" s="92" t="s">
        <v>41</v>
      </c>
      <c r="F185" s="93"/>
      <c r="G185" s="93"/>
      <c r="H185" s="94"/>
      <c r="I185" s="95">
        <v>5.452614846384593</v>
      </c>
      <c r="J185" s="92">
        <v>12.0</v>
      </c>
      <c r="K185" s="96"/>
      <c r="L185" s="92">
        <f t="shared" si="1"/>
        <v>0</v>
      </c>
      <c r="M185" s="97">
        <f t="shared" si="2"/>
        <v>0</v>
      </c>
      <c r="N185" s="76"/>
      <c r="O185" s="77"/>
      <c r="P185" s="77"/>
      <c r="Q185" s="77"/>
      <c r="R185" s="77"/>
      <c r="S185" s="33"/>
      <c r="T185" s="33"/>
      <c r="U185" s="33"/>
      <c r="V185" s="33"/>
      <c r="W185" s="33"/>
      <c r="X185" s="33"/>
      <c r="Y185" s="33"/>
      <c r="Z185" s="33"/>
      <c r="AA185" s="33"/>
    </row>
    <row r="186" ht="18.0" customHeight="1">
      <c r="A186" s="81"/>
      <c r="B186" s="90" t="str">
        <f>"HB-578"</f>
        <v>HB-578</v>
      </c>
      <c r="C186" s="90" t="str">
        <f>"45836005782"</f>
        <v>45836005782</v>
      </c>
      <c r="D186" s="91" t="s">
        <v>211</v>
      </c>
      <c r="E186" s="92" t="s">
        <v>100</v>
      </c>
      <c r="F186" s="93"/>
      <c r="G186" s="93"/>
      <c r="H186" s="94"/>
      <c r="I186" s="95">
        <v>2.3070775898998974</v>
      </c>
      <c r="J186" s="92">
        <v>72.0</v>
      </c>
      <c r="K186" s="96"/>
      <c r="L186" s="92">
        <f t="shared" si="1"/>
        <v>0</v>
      </c>
      <c r="M186" s="97">
        <f t="shared" si="2"/>
        <v>0</v>
      </c>
      <c r="N186" s="76"/>
      <c r="O186" s="77"/>
      <c r="P186" s="77"/>
      <c r="Q186" s="77"/>
      <c r="R186" s="77"/>
      <c r="S186" s="33"/>
      <c r="T186" s="33"/>
      <c r="U186" s="33"/>
      <c r="V186" s="33"/>
      <c r="W186" s="33"/>
      <c r="X186" s="33"/>
      <c r="Y186" s="33"/>
      <c r="Z186" s="33"/>
      <c r="AA186" s="33"/>
    </row>
    <row r="187" ht="18.0" customHeight="1">
      <c r="A187" s="81"/>
      <c r="B187" s="90" t="str">
        <f>"HB-5788"</f>
        <v>HB-5788</v>
      </c>
      <c r="C187" s="90" t="str">
        <f>"45836057880"</f>
        <v>45836057880</v>
      </c>
      <c r="D187" s="91" t="s">
        <v>212</v>
      </c>
      <c r="E187" s="92" t="s">
        <v>41</v>
      </c>
      <c r="F187" s="93"/>
      <c r="G187" s="93"/>
      <c r="H187" s="94"/>
      <c r="I187" s="95">
        <v>5.120503115604166</v>
      </c>
      <c r="J187" s="92">
        <v>12.0</v>
      </c>
      <c r="K187" s="96"/>
      <c r="L187" s="92">
        <f t="shared" si="1"/>
        <v>0</v>
      </c>
      <c r="M187" s="97">
        <f t="shared" si="2"/>
        <v>0</v>
      </c>
      <c r="N187" s="76"/>
      <c r="O187" s="77"/>
      <c r="P187" s="77"/>
      <c r="Q187" s="77"/>
      <c r="R187" s="77"/>
      <c r="S187" s="33"/>
      <c r="T187" s="33"/>
      <c r="U187" s="33"/>
      <c r="V187" s="33"/>
      <c r="W187" s="33"/>
      <c r="X187" s="33"/>
      <c r="Y187" s="33"/>
      <c r="Z187" s="33"/>
      <c r="AA187" s="33"/>
    </row>
    <row r="188" ht="18.0" customHeight="1">
      <c r="A188" s="81"/>
      <c r="B188" s="90" t="str">
        <f>"HB-590"</f>
        <v>HB-590</v>
      </c>
      <c r="C188" s="90" t="str">
        <f t="shared" ref="C188:C189" si="4">"45836005904"</f>
        <v>45836005904</v>
      </c>
      <c r="D188" s="91" t="s">
        <v>213</v>
      </c>
      <c r="E188" s="92" t="s">
        <v>100</v>
      </c>
      <c r="F188" s="93"/>
      <c r="G188" s="93"/>
      <c r="H188" s="94"/>
      <c r="I188" s="95">
        <v>2.4585387212415086</v>
      </c>
      <c r="J188" s="92">
        <v>72.0</v>
      </c>
      <c r="K188" s="96"/>
      <c r="L188" s="92">
        <f t="shared" si="1"/>
        <v>0</v>
      </c>
      <c r="M188" s="97">
        <f t="shared" si="2"/>
        <v>0</v>
      </c>
      <c r="N188" s="76"/>
      <c r="O188" s="77"/>
      <c r="P188" s="77"/>
      <c r="Q188" s="77"/>
      <c r="R188" s="77"/>
      <c r="S188" s="33"/>
      <c r="T188" s="33"/>
      <c r="U188" s="33"/>
      <c r="V188" s="33"/>
      <c r="W188" s="33"/>
      <c r="X188" s="33"/>
      <c r="Y188" s="33"/>
      <c r="Z188" s="33"/>
      <c r="AA188" s="33"/>
    </row>
    <row r="189" ht="18.0" customHeight="1">
      <c r="A189" s="81"/>
      <c r="B189" s="90" t="str">
        <f>"HB-590/6"</f>
        <v>HB-590/6</v>
      </c>
      <c r="C189" s="90" t="str">
        <f t="shared" si="4"/>
        <v>45836005904</v>
      </c>
      <c r="D189" s="91" t="s">
        <v>214</v>
      </c>
      <c r="E189" s="92" t="s">
        <v>100</v>
      </c>
      <c r="F189" s="93"/>
      <c r="G189" s="93"/>
      <c r="H189" s="94"/>
      <c r="I189" s="95">
        <v>2.4585387212415086</v>
      </c>
      <c r="J189" s="92">
        <v>72.0</v>
      </c>
      <c r="K189" s="96"/>
      <c r="L189" s="92">
        <f t="shared" si="1"/>
        <v>0</v>
      </c>
      <c r="M189" s="97">
        <f t="shared" si="2"/>
        <v>0</v>
      </c>
      <c r="N189" s="76"/>
      <c r="O189" s="77"/>
      <c r="P189" s="77"/>
      <c r="Q189" s="77"/>
      <c r="R189" s="77"/>
      <c r="S189" s="33"/>
      <c r="T189" s="33"/>
      <c r="U189" s="33"/>
      <c r="V189" s="33"/>
      <c r="W189" s="33"/>
      <c r="X189" s="33"/>
      <c r="Y189" s="33"/>
      <c r="Z189" s="33"/>
      <c r="AA189" s="33"/>
    </row>
    <row r="190" ht="18.0" customHeight="1">
      <c r="A190" s="81"/>
      <c r="B190" s="90" t="str">
        <f>"HB-5916"</f>
        <v>HB-5916</v>
      </c>
      <c r="C190" s="90" t="str">
        <f>"45836059167"</f>
        <v>45836059167</v>
      </c>
      <c r="D190" s="91" t="s">
        <v>215</v>
      </c>
      <c r="E190" s="92" t="s">
        <v>43</v>
      </c>
      <c r="F190" s="93"/>
      <c r="G190" s="93"/>
      <c r="H190" s="94"/>
      <c r="I190" s="95">
        <v>9.714236667853328</v>
      </c>
      <c r="J190" s="92">
        <v>6.0</v>
      </c>
      <c r="K190" s="96"/>
      <c r="L190" s="92">
        <f t="shared" si="1"/>
        <v>0</v>
      </c>
      <c r="M190" s="97">
        <f t="shared" si="2"/>
        <v>0</v>
      </c>
      <c r="N190" s="76"/>
      <c r="O190" s="77"/>
      <c r="P190" s="77"/>
      <c r="Q190" s="77"/>
      <c r="R190" s="77"/>
      <c r="S190" s="33"/>
      <c r="T190" s="33"/>
      <c r="U190" s="33"/>
      <c r="V190" s="33"/>
      <c r="W190" s="33"/>
      <c r="X190" s="33"/>
      <c r="Y190" s="33"/>
      <c r="Z190" s="33"/>
      <c r="AA190" s="33"/>
    </row>
    <row r="191" ht="18.0" customHeight="1">
      <c r="A191" s="81"/>
      <c r="B191" s="90" t="str">
        <f>"HB-598"</f>
        <v>HB-598</v>
      </c>
      <c r="C191" s="90" t="str">
        <f>"45836005980"</f>
        <v>45836005980</v>
      </c>
      <c r="D191" s="91" t="s">
        <v>216</v>
      </c>
      <c r="E191" s="92" t="s">
        <v>41</v>
      </c>
      <c r="F191" s="93"/>
      <c r="G191" s="93"/>
      <c r="H191" s="94"/>
      <c r="I191" s="95">
        <v>5.452614846384593</v>
      </c>
      <c r="J191" s="92">
        <v>12.0</v>
      </c>
      <c r="K191" s="96"/>
      <c r="L191" s="92">
        <f t="shared" si="1"/>
        <v>0</v>
      </c>
      <c r="M191" s="97">
        <f t="shared" si="2"/>
        <v>0</v>
      </c>
      <c r="N191" s="76"/>
      <c r="O191" s="77"/>
      <c r="P191" s="77"/>
      <c r="Q191" s="77"/>
      <c r="R191" s="77"/>
      <c r="S191" s="33"/>
      <c r="T191" s="33"/>
      <c r="U191" s="33"/>
      <c r="V191" s="33"/>
      <c r="W191" s="33"/>
      <c r="X191" s="33"/>
      <c r="Y191" s="33"/>
      <c r="Z191" s="33"/>
      <c r="AA191" s="33"/>
    </row>
    <row r="192" ht="18.0" customHeight="1">
      <c r="A192" s="81"/>
      <c r="B192" s="90" t="str">
        <f>"HB-925"</f>
        <v>HB-925</v>
      </c>
      <c r="C192" s="90" t="str">
        <f>"45836009254"</f>
        <v>45836009254</v>
      </c>
      <c r="D192" s="91" t="s">
        <v>217</v>
      </c>
      <c r="E192" s="92" t="s">
        <v>100</v>
      </c>
      <c r="F192" s="93"/>
      <c r="G192" s="93"/>
      <c r="H192" s="94"/>
      <c r="I192" s="95">
        <v>2.4585387212415086</v>
      </c>
      <c r="J192" s="92">
        <v>72.0</v>
      </c>
      <c r="K192" s="96"/>
      <c r="L192" s="92">
        <f t="shared" si="1"/>
        <v>0</v>
      </c>
      <c r="M192" s="97">
        <f t="shared" si="2"/>
        <v>0</v>
      </c>
      <c r="N192" s="76"/>
      <c r="O192" s="77"/>
      <c r="P192" s="77"/>
      <c r="Q192" s="77"/>
      <c r="R192" s="77"/>
      <c r="S192" s="33"/>
      <c r="T192" s="33"/>
      <c r="U192" s="33"/>
      <c r="V192" s="33"/>
      <c r="W192" s="33"/>
      <c r="X192" s="33"/>
      <c r="Y192" s="33"/>
      <c r="Z192" s="33"/>
      <c r="AA192" s="33"/>
    </row>
    <row r="193" ht="18.0" customHeight="1">
      <c r="A193" s="81"/>
      <c r="B193" s="90" t="str">
        <f>"HB-995"</f>
        <v>HB-995</v>
      </c>
      <c r="C193" s="90" t="str">
        <f>"45836009957"</f>
        <v>45836009957</v>
      </c>
      <c r="D193" s="91" t="s">
        <v>218</v>
      </c>
      <c r="E193" s="92" t="s">
        <v>100</v>
      </c>
      <c r="F193" s="93"/>
      <c r="G193" s="93"/>
      <c r="H193" s="94"/>
      <c r="I193" s="95">
        <v>2.4585387212415086</v>
      </c>
      <c r="J193" s="92">
        <v>72.0</v>
      </c>
      <c r="K193" s="96"/>
      <c r="L193" s="92">
        <f t="shared" si="1"/>
        <v>0</v>
      </c>
      <c r="M193" s="97">
        <f t="shared" si="2"/>
        <v>0</v>
      </c>
      <c r="N193" s="76"/>
      <c r="O193" s="77"/>
      <c r="P193" s="77"/>
      <c r="Q193" s="77"/>
      <c r="R193" s="77"/>
      <c r="S193" s="33"/>
      <c r="T193" s="33"/>
      <c r="U193" s="33"/>
      <c r="V193" s="33"/>
      <c r="W193" s="33"/>
      <c r="X193" s="33"/>
      <c r="Y193" s="33"/>
      <c r="Z193" s="33"/>
      <c r="AA193" s="33"/>
    </row>
    <row r="194" ht="18.0" customHeight="1">
      <c r="A194" s="81"/>
      <c r="B194" s="90" t="str">
        <f>"HB-996"</f>
        <v>HB-996</v>
      </c>
      <c r="C194" s="90" t="str">
        <f>"45836009964"</f>
        <v>45836009964</v>
      </c>
      <c r="D194" s="91" t="s">
        <v>219</v>
      </c>
      <c r="E194" s="92" t="s">
        <v>100</v>
      </c>
      <c r="F194" s="93"/>
      <c r="G194" s="93"/>
      <c r="H194" s="94"/>
      <c r="I194" s="95">
        <v>2.4585387212415086</v>
      </c>
      <c r="J194" s="92">
        <v>72.0</v>
      </c>
      <c r="K194" s="96"/>
      <c r="L194" s="92">
        <f t="shared" si="1"/>
        <v>0</v>
      </c>
      <c r="M194" s="97">
        <f t="shared" si="2"/>
        <v>0</v>
      </c>
      <c r="N194" s="76"/>
      <c r="O194" s="77"/>
      <c r="P194" s="77"/>
      <c r="Q194" s="77"/>
      <c r="R194" s="77"/>
      <c r="S194" s="33"/>
      <c r="T194" s="33"/>
      <c r="U194" s="33"/>
      <c r="V194" s="33"/>
      <c r="W194" s="33"/>
      <c r="X194" s="33"/>
      <c r="Y194" s="33"/>
      <c r="Z194" s="33"/>
      <c r="AA194" s="33"/>
    </row>
    <row r="195" ht="18.0" customHeight="1">
      <c r="A195" s="81"/>
      <c r="B195" s="90" t="str">
        <f>"HB-9968"</f>
        <v>HB-9968</v>
      </c>
      <c r="C195" s="90" t="str">
        <f>"45836099682"</f>
        <v>45836099682</v>
      </c>
      <c r="D195" s="91" t="s">
        <v>220</v>
      </c>
      <c r="E195" s="92" t="s">
        <v>41</v>
      </c>
      <c r="F195" s="93"/>
      <c r="G195" s="93"/>
      <c r="H195" s="94"/>
      <c r="I195" s="95">
        <v>6.0017759999999996</v>
      </c>
      <c r="J195" s="92">
        <v>12.0</v>
      </c>
      <c r="K195" s="96"/>
      <c r="L195" s="92">
        <f t="shared" si="1"/>
        <v>0</v>
      </c>
      <c r="M195" s="97">
        <f t="shared" si="2"/>
        <v>0</v>
      </c>
      <c r="N195" s="76"/>
      <c r="O195" s="77"/>
      <c r="P195" s="77"/>
      <c r="Q195" s="77"/>
      <c r="R195" s="77"/>
      <c r="S195" s="33"/>
      <c r="T195" s="33"/>
      <c r="U195" s="33"/>
      <c r="V195" s="33"/>
      <c r="W195" s="33"/>
      <c r="X195" s="33"/>
      <c r="Y195" s="33"/>
      <c r="Z195" s="33"/>
      <c r="AA195" s="33"/>
    </row>
    <row r="196" ht="18.0" customHeight="1">
      <c r="A196" s="81"/>
      <c r="B196" s="90" t="str">
        <f>"HB-560"</f>
        <v>HB-560</v>
      </c>
      <c r="C196" s="90" t="str">
        <f>"45836005607"</f>
        <v>45836005607</v>
      </c>
      <c r="D196" s="91" t="s">
        <v>221</v>
      </c>
      <c r="E196" s="92" t="s">
        <v>100</v>
      </c>
      <c r="F196" s="93"/>
      <c r="G196" s="93"/>
      <c r="H196" s="94"/>
      <c r="I196" s="95">
        <v>2.70864</v>
      </c>
      <c r="J196" s="92">
        <v>72.0</v>
      </c>
      <c r="K196" s="96"/>
      <c r="L196" s="92">
        <f t="shared" si="1"/>
        <v>0</v>
      </c>
      <c r="M196" s="97">
        <f t="shared" si="2"/>
        <v>0</v>
      </c>
      <c r="N196" s="76"/>
      <c r="O196" s="77"/>
      <c r="P196" s="77"/>
      <c r="Q196" s="77"/>
      <c r="R196" s="77"/>
      <c r="S196" s="33"/>
      <c r="T196" s="33"/>
      <c r="U196" s="33"/>
      <c r="V196" s="33"/>
      <c r="W196" s="33"/>
      <c r="X196" s="33"/>
      <c r="Y196" s="33"/>
      <c r="Z196" s="33"/>
      <c r="AA196" s="33"/>
    </row>
    <row r="197" ht="18.0" customHeight="1">
      <c r="A197" s="81"/>
      <c r="B197" s="90" t="str">
        <f>"HB-562"</f>
        <v>HB-562</v>
      </c>
      <c r="C197" s="90" t="str">
        <f>"45836005621"</f>
        <v>45836005621</v>
      </c>
      <c r="D197" s="91" t="s">
        <v>222</v>
      </c>
      <c r="E197" s="92" t="s">
        <v>100</v>
      </c>
      <c r="F197" s="93"/>
      <c r="G197" s="93"/>
      <c r="H197" s="94"/>
      <c r="I197" s="95">
        <v>2.70864</v>
      </c>
      <c r="J197" s="92">
        <v>72.0</v>
      </c>
      <c r="K197" s="96"/>
      <c r="L197" s="92">
        <f t="shared" si="1"/>
        <v>0</v>
      </c>
      <c r="M197" s="97">
        <f t="shared" si="2"/>
        <v>0</v>
      </c>
      <c r="N197" s="76"/>
      <c r="O197" s="77"/>
      <c r="P197" s="77"/>
      <c r="Q197" s="77"/>
      <c r="R197" s="77"/>
      <c r="S197" s="33"/>
      <c r="T197" s="33"/>
      <c r="U197" s="33"/>
      <c r="V197" s="33"/>
      <c r="W197" s="33"/>
      <c r="X197" s="33"/>
      <c r="Y197" s="33"/>
      <c r="Z197" s="33"/>
      <c r="AA197" s="33"/>
    </row>
    <row r="198" ht="18.0" customHeight="1">
      <c r="A198" s="81"/>
      <c r="B198" s="90" t="str">
        <f>"1-2101-12-0600"</f>
        <v>1-2101-12-0600</v>
      </c>
      <c r="C198" s="90" t="str">
        <f>"34285210113"</f>
        <v>34285210113</v>
      </c>
      <c r="D198" s="91" t="s">
        <v>223</v>
      </c>
      <c r="E198" s="92" t="s">
        <v>30</v>
      </c>
      <c r="F198" s="93"/>
      <c r="G198" s="93"/>
      <c r="H198" s="94"/>
      <c r="I198" s="95">
        <v>6.209280000000001</v>
      </c>
      <c r="J198" s="92">
        <v>6.0</v>
      </c>
      <c r="K198" s="96"/>
      <c r="L198" s="92">
        <f t="shared" si="1"/>
        <v>0</v>
      </c>
      <c r="M198" s="97">
        <f t="shared" si="2"/>
        <v>0</v>
      </c>
      <c r="N198" s="76"/>
      <c r="O198" s="77"/>
      <c r="P198" s="77"/>
      <c r="Q198" s="77"/>
      <c r="R198" s="77"/>
      <c r="S198" s="33"/>
      <c r="T198" s="33"/>
      <c r="U198" s="33"/>
      <c r="V198" s="33"/>
      <c r="W198" s="33"/>
      <c r="X198" s="33"/>
      <c r="Y198" s="33"/>
      <c r="Z198" s="33"/>
      <c r="AA198" s="33"/>
    </row>
    <row r="199" ht="18.0" customHeight="1">
      <c r="A199" s="81"/>
      <c r="B199" s="90" t="str">
        <f>"1-2108-10-0600"</f>
        <v>1-2108-10-0600</v>
      </c>
      <c r="C199" s="90" t="str">
        <f>"34285210816"</f>
        <v>34285210816</v>
      </c>
      <c r="D199" s="91" t="s">
        <v>224</v>
      </c>
      <c r="E199" s="92" t="s">
        <v>105</v>
      </c>
      <c r="F199" s="93"/>
      <c r="G199" s="93"/>
      <c r="H199" s="94"/>
      <c r="I199" s="95">
        <v>6.209280000000001</v>
      </c>
      <c r="J199" s="92">
        <v>6.0</v>
      </c>
      <c r="K199" s="96"/>
      <c r="L199" s="92">
        <f t="shared" si="1"/>
        <v>0</v>
      </c>
      <c r="M199" s="97">
        <f t="shared" si="2"/>
        <v>0</v>
      </c>
      <c r="N199" s="76"/>
      <c r="O199" s="77"/>
      <c r="P199" s="77"/>
      <c r="Q199" s="77"/>
      <c r="R199" s="77"/>
      <c r="S199" s="33"/>
      <c r="T199" s="33"/>
      <c r="U199" s="33"/>
      <c r="V199" s="33"/>
      <c r="W199" s="33"/>
      <c r="X199" s="33"/>
      <c r="Y199" s="33"/>
      <c r="Z199" s="33"/>
      <c r="AA199" s="33"/>
    </row>
    <row r="200" ht="18.0" customHeight="1">
      <c r="A200" s="81"/>
      <c r="B200" s="90" t="str">
        <f>"1-2109-04-1200"</f>
        <v>1-2109-04-1200</v>
      </c>
      <c r="C200" s="90" t="str">
        <f>"34285210915"</f>
        <v>34285210915</v>
      </c>
      <c r="D200" s="91" t="s">
        <v>225</v>
      </c>
      <c r="E200" s="92" t="s">
        <v>81</v>
      </c>
      <c r="F200" s="93"/>
      <c r="G200" s="93"/>
      <c r="H200" s="94"/>
      <c r="I200" s="95">
        <v>4.466879999999998</v>
      </c>
      <c r="J200" s="92">
        <v>12.0</v>
      </c>
      <c r="K200" s="96"/>
      <c r="L200" s="92">
        <f t="shared" si="1"/>
        <v>0</v>
      </c>
      <c r="M200" s="97">
        <f t="shared" si="2"/>
        <v>0</v>
      </c>
      <c r="N200" s="76"/>
      <c r="O200" s="77"/>
      <c r="P200" s="77"/>
      <c r="Q200" s="77"/>
      <c r="R200" s="77"/>
      <c r="S200" s="33"/>
      <c r="T200" s="33"/>
      <c r="U200" s="33"/>
      <c r="V200" s="33"/>
      <c r="W200" s="33"/>
      <c r="X200" s="33"/>
      <c r="Y200" s="33"/>
      <c r="Z200" s="33"/>
      <c r="AA200" s="33"/>
    </row>
    <row r="201" ht="18.0" customHeight="1">
      <c r="A201" s="81"/>
      <c r="B201" s="90" t="str">
        <f>"1-2107-06-1200"</f>
        <v>1-2107-06-1200</v>
      </c>
      <c r="C201" s="90" t="str">
        <f>"34285210717"</f>
        <v>34285210717</v>
      </c>
      <c r="D201" s="91" t="s">
        <v>226</v>
      </c>
      <c r="E201" s="92" t="s">
        <v>46</v>
      </c>
      <c r="F201" s="93"/>
      <c r="G201" s="93"/>
      <c r="H201" s="94"/>
      <c r="I201" s="95">
        <v>5.353920000000001</v>
      </c>
      <c r="J201" s="92">
        <v>12.0</v>
      </c>
      <c r="K201" s="96"/>
      <c r="L201" s="92">
        <f t="shared" si="1"/>
        <v>0</v>
      </c>
      <c r="M201" s="97">
        <f t="shared" si="2"/>
        <v>0</v>
      </c>
      <c r="N201" s="76"/>
      <c r="O201" s="77"/>
      <c r="P201" s="77"/>
      <c r="Q201" s="77"/>
      <c r="R201" s="77"/>
      <c r="S201" s="33"/>
      <c r="T201" s="33"/>
      <c r="U201" s="33"/>
      <c r="V201" s="33"/>
      <c r="W201" s="33"/>
      <c r="X201" s="33"/>
      <c r="Y201" s="33"/>
      <c r="Z201" s="33"/>
      <c r="AA201" s="33"/>
    </row>
    <row r="202" ht="18.0" customHeight="1">
      <c r="A202" s="81"/>
      <c r="B202" s="90" t="str">
        <f>"1-267-12-0600"</f>
        <v>1-267-12-0600</v>
      </c>
      <c r="C202" s="90" t="str">
        <f>"34285267124"</f>
        <v>34285267124</v>
      </c>
      <c r="D202" s="91" t="s">
        <v>227</v>
      </c>
      <c r="E202" s="92" t="s">
        <v>30</v>
      </c>
      <c r="F202" s="93"/>
      <c r="G202" s="93"/>
      <c r="H202" s="94"/>
      <c r="I202" s="95">
        <v>4.9737599999999995</v>
      </c>
      <c r="J202" s="92">
        <v>6.0</v>
      </c>
      <c r="K202" s="96"/>
      <c r="L202" s="92">
        <f t="shared" si="1"/>
        <v>0</v>
      </c>
      <c r="M202" s="97">
        <f t="shared" si="2"/>
        <v>0</v>
      </c>
      <c r="N202" s="76"/>
      <c r="O202" s="77"/>
      <c r="P202" s="77"/>
      <c r="Q202" s="77"/>
      <c r="R202" s="77"/>
      <c r="S202" s="33"/>
      <c r="T202" s="33"/>
      <c r="U202" s="33"/>
      <c r="V202" s="33"/>
      <c r="W202" s="33"/>
      <c r="X202" s="33"/>
      <c r="Y202" s="33"/>
      <c r="Z202" s="33"/>
      <c r="AA202" s="33"/>
    </row>
    <row r="203" ht="18.0" customHeight="1">
      <c r="A203" s="81"/>
      <c r="B203" s="90" t="str">
        <f>"1-268-15-0600"</f>
        <v>1-268-15-0600</v>
      </c>
      <c r="C203" s="90" t="str">
        <f>"34285268152"</f>
        <v>34285268152</v>
      </c>
      <c r="D203" s="91" t="s">
        <v>228</v>
      </c>
      <c r="E203" s="92" t="s">
        <v>49</v>
      </c>
      <c r="F203" s="93"/>
      <c r="G203" s="93"/>
      <c r="H203" s="94"/>
      <c r="I203" s="95">
        <v>4.9737599999999995</v>
      </c>
      <c r="J203" s="92">
        <v>6.0</v>
      </c>
      <c r="K203" s="96"/>
      <c r="L203" s="92">
        <f t="shared" si="1"/>
        <v>0</v>
      </c>
      <c r="M203" s="97">
        <f t="shared" si="2"/>
        <v>0</v>
      </c>
      <c r="N203" s="76"/>
      <c r="O203" s="77"/>
      <c r="P203" s="77"/>
      <c r="Q203" s="77"/>
      <c r="R203" s="77"/>
      <c r="S203" s="33"/>
      <c r="T203" s="33"/>
      <c r="U203" s="33"/>
      <c r="V203" s="33"/>
      <c r="W203" s="33"/>
      <c r="X203" s="33"/>
      <c r="Y203" s="33"/>
      <c r="Z203" s="33"/>
      <c r="AA203" s="33"/>
    </row>
    <row r="204" ht="18.0" customHeight="1">
      <c r="A204" s="81"/>
      <c r="B204" s="90" t="str">
        <f>"1-269-12-0600"</f>
        <v>1-269-12-0600</v>
      </c>
      <c r="C204" s="90" t="str">
        <f>"34285269128"</f>
        <v>34285269128</v>
      </c>
      <c r="D204" s="91" t="s">
        <v>229</v>
      </c>
      <c r="E204" s="92" t="s">
        <v>30</v>
      </c>
      <c r="F204" s="93"/>
      <c r="G204" s="93"/>
      <c r="H204" s="94"/>
      <c r="I204" s="95">
        <v>4.9737599999999995</v>
      </c>
      <c r="J204" s="92">
        <v>6.0</v>
      </c>
      <c r="K204" s="96"/>
      <c r="L204" s="92">
        <f t="shared" si="1"/>
        <v>0</v>
      </c>
      <c r="M204" s="97">
        <f t="shared" si="2"/>
        <v>0</v>
      </c>
      <c r="N204" s="76"/>
      <c r="O204" s="77"/>
      <c r="P204" s="77"/>
      <c r="Q204" s="77"/>
      <c r="R204" s="77"/>
      <c r="S204" s="33"/>
      <c r="T204" s="33"/>
      <c r="U204" s="33"/>
      <c r="V204" s="33"/>
      <c r="W204" s="33"/>
      <c r="X204" s="33"/>
      <c r="Y204" s="33"/>
      <c r="Z204" s="33"/>
      <c r="AA204" s="33"/>
    </row>
    <row r="205" ht="18.0" customHeight="1">
      <c r="A205" s="81"/>
      <c r="B205" s="90" t="str">
        <f>"1-271-15-0600"</f>
        <v>1-271-15-0600</v>
      </c>
      <c r="C205" s="90" t="str">
        <f>"34285271152"</f>
        <v>34285271152</v>
      </c>
      <c r="D205" s="91" t="s">
        <v>230</v>
      </c>
      <c r="E205" s="92" t="s">
        <v>49</v>
      </c>
      <c r="F205" s="93"/>
      <c r="G205" s="93"/>
      <c r="H205" s="94"/>
      <c r="I205" s="95">
        <v>4.9737599999999995</v>
      </c>
      <c r="J205" s="92">
        <v>6.0</v>
      </c>
      <c r="K205" s="96"/>
      <c r="L205" s="92">
        <f t="shared" si="1"/>
        <v>0</v>
      </c>
      <c r="M205" s="97">
        <f t="shared" si="2"/>
        <v>0</v>
      </c>
      <c r="N205" s="76"/>
      <c r="O205" s="77"/>
      <c r="P205" s="77"/>
      <c r="Q205" s="77"/>
      <c r="R205" s="77"/>
      <c r="S205" s="33"/>
      <c r="T205" s="33"/>
      <c r="U205" s="33"/>
      <c r="V205" s="33"/>
      <c r="W205" s="33"/>
      <c r="X205" s="33"/>
      <c r="Y205" s="33"/>
      <c r="Z205" s="33"/>
      <c r="AA205" s="33"/>
    </row>
    <row r="206" ht="18.0" customHeight="1">
      <c r="A206" s="81"/>
      <c r="B206" s="90" t="str">
        <f>"1-272-08-1200"</f>
        <v>1-272-08-1200</v>
      </c>
      <c r="C206" s="90" t="str">
        <f>"34285272081"</f>
        <v>34285272081</v>
      </c>
      <c r="D206" s="91" t="s">
        <v>231</v>
      </c>
      <c r="E206" s="92" t="s">
        <v>62</v>
      </c>
      <c r="F206" s="93"/>
      <c r="G206" s="93"/>
      <c r="H206" s="94"/>
      <c r="I206" s="95">
        <v>4.9737599999999995</v>
      </c>
      <c r="J206" s="92">
        <v>12.0</v>
      </c>
      <c r="K206" s="96"/>
      <c r="L206" s="92">
        <f t="shared" si="1"/>
        <v>0</v>
      </c>
      <c r="M206" s="97">
        <f t="shared" si="2"/>
        <v>0</v>
      </c>
      <c r="N206" s="76"/>
      <c r="O206" s="77"/>
      <c r="P206" s="77"/>
      <c r="Q206" s="77"/>
      <c r="R206" s="77"/>
      <c r="S206" s="33"/>
      <c r="T206" s="33"/>
      <c r="U206" s="33"/>
      <c r="V206" s="33"/>
      <c r="W206" s="33"/>
      <c r="X206" s="33"/>
      <c r="Y206" s="33"/>
      <c r="Z206" s="33"/>
      <c r="AA206" s="33"/>
    </row>
    <row r="207" ht="18.0" customHeight="1">
      <c r="A207" s="81"/>
      <c r="B207" s="90" t="str">
        <f>"1-677-08-0600"</f>
        <v>1-677-08-0600</v>
      </c>
      <c r="C207" s="90" t="str">
        <f>"34285677084"</f>
        <v>34285677084</v>
      </c>
      <c r="D207" s="91" t="s">
        <v>232</v>
      </c>
      <c r="E207" s="92" t="s">
        <v>41</v>
      </c>
      <c r="F207" s="93"/>
      <c r="G207" s="93"/>
      <c r="H207" s="94"/>
      <c r="I207" s="95">
        <v>7.63488</v>
      </c>
      <c r="J207" s="92">
        <v>6.0</v>
      </c>
      <c r="K207" s="96"/>
      <c r="L207" s="92">
        <f t="shared" si="1"/>
        <v>0</v>
      </c>
      <c r="M207" s="97">
        <f t="shared" si="2"/>
        <v>0</v>
      </c>
      <c r="N207" s="76"/>
      <c r="O207" s="77"/>
      <c r="P207" s="77"/>
      <c r="Q207" s="77"/>
      <c r="R207" s="77"/>
      <c r="S207" s="33"/>
      <c r="T207" s="33"/>
      <c r="U207" s="33"/>
      <c r="V207" s="33"/>
      <c r="W207" s="33"/>
      <c r="X207" s="33"/>
      <c r="Y207" s="33"/>
      <c r="Z207" s="33"/>
      <c r="AA207" s="33"/>
    </row>
    <row r="208" ht="18.0" customHeight="1">
      <c r="A208" s="81"/>
      <c r="B208" s="90" t="str">
        <f>"1-678-08-0600"</f>
        <v>1-678-08-0600</v>
      </c>
      <c r="C208" s="90" t="str">
        <f>"34285678081"</f>
        <v>34285678081</v>
      </c>
      <c r="D208" s="91" t="s">
        <v>233</v>
      </c>
      <c r="E208" s="92" t="s">
        <v>41</v>
      </c>
      <c r="F208" s="93"/>
      <c r="G208" s="93"/>
      <c r="H208" s="94"/>
      <c r="I208" s="95">
        <v>7.63488</v>
      </c>
      <c r="J208" s="92">
        <v>6.0</v>
      </c>
      <c r="K208" s="96"/>
      <c r="L208" s="92">
        <f t="shared" si="1"/>
        <v>0</v>
      </c>
      <c r="M208" s="97">
        <f t="shared" si="2"/>
        <v>0</v>
      </c>
      <c r="N208" s="76"/>
      <c r="O208" s="77"/>
      <c r="P208" s="77"/>
      <c r="Q208" s="77"/>
      <c r="R208" s="77"/>
      <c r="S208" s="33"/>
      <c r="T208" s="33"/>
      <c r="U208" s="33"/>
      <c r="V208" s="33"/>
      <c r="W208" s="33"/>
      <c r="X208" s="33"/>
      <c r="Y208" s="33"/>
      <c r="Z208" s="33"/>
      <c r="AA208" s="33"/>
    </row>
    <row r="209" ht="18.0" customHeight="1">
      <c r="A209" s="81"/>
      <c r="B209" s="90" t="str">
        <f>"1-679-08-0600"</f>
        <v>1-679-08-0600</v>
      </c>
      <c r="C209" s="90" t="str">
        <f>"34285679088"</f>
        <v>34285679088</v>
      </c>
      <c r="D209" s="91" t="s">
        <v>234</v>
      </c>
      <c r="E209" s="92" t="s">
        <v>41</v>
      </c>
      <c r="F209" s="93"/>
      <c r="G209" s="93"/>
      <c r="H209" s="94"/>
      <c r="I209" s="95">
        <v>7.63488</v>
      </c>
      <c r="J209" s="92">
        <v>6.0</v>
      </c>
      <c r="K209" s="96"/>
      <c r="L209" s="92">
        <f t="shared" si="1"/>
        <v>0</v>
      </c>
      <c r="M209" s="97">
        <f t="shared" si="2"/>
        <v>0</v>
      </c>
      <c r="N209" s="76"/>
      <c r="O209" s="77"/>
      <c r="P209" s="77"/>
      <c r="Q209" s="77"/>
      <c r="R209" s="77"/>
      <c r="S209" s="33"/>
      <c r="T209" s="33"/>
      <c r="U209" s="33"/>
      <c r="V209" s="33"/>
      <c r="W209" s="33"/>
      <c r="X209" s="33"/>
      <c r="Y209" s="33"/>
      <c r="Z209" s="33"/>
      <c r="AA209" s="33"/>
    </row>
    <row r="210" ht="18.0" customHeight="1">
      <c r="A210" s="81"/>
      <c r="B210" s="90" t="str">
        <f>"1-680-08-0600"</f>
        <v>1-680-08-0600</v>
      </c>
      <c r="C210" s="90" t="str">
        <f>"34285680084"</f>
        <v>34285680084</v>
      </c>
      <c r="D210" s="91" t="s">
        <v>235</v>
      </c>
      <c r="E210" s="92" t="s">
        <v>41</v>
      </c>
      <c r="F210" s="93"/>
      <c r="G210" s="93"/>
      <c r="H210" s="94"/>
      <c r="I210" s="95">
        <v>7.63488</v>
      </c>
      <c r="J210" s="92">
        <v>6.0</v>
      </c>
      <c r="K210" s="96"/>
      <c r="L210" s="92">
        <f t="shared" si="1"/>
        <v>0</v>
      </c>
      <c r="M210" s="97">
        <f t="shared" si="2"/>
        <v>0</v>
      </c>
      <c r="N210" s="76"/>
      <c r="O210" s="77"/>
      <c r="P210" s="77"/>
      <c r="Q210" s="77"/>
      <c r="R210" s="77"/>
      <c r="S210" s="33"/>
      <c r="T210" s="33"/>
      <c r="U210" s="33"/>
      <c r="V210" s="33"/>
      <c r="W210" s="33"/>
      <c r="X210" s="33"/>
      <c r="Y210" s="33"/>
      <c r="Z210" s="33"/>
      <c r="AA210" s="33"/>
    </row>
    <row r="211" ht="18.0" customHeight="1">
      <c r="A211" s="81"/>
      <c r="B211" s="90" t="str">
        <f>"1-681-08-0600"</f>
        <v>1-681-08-0600</v>
      </c>
      <c r="C211" s="90" t="str">
        <f>"34285681081"</f>
        <v>34285681081</v>
      </c>
      <c r="D211" s="91" t="s">
        <v>236</v>
      </c>
      <c r="E211" s="92" t="s">
        <v>41</v>
      </c>
      <c r="F211" s="93"/>
      <c r="G211" s="93"/>
      <c r="H211" s="94"/>
      <c r="I211" s="95">
        <v>7.63488</v>
      </c>
      <c r="J211" s="92">
        <v>6.0</v>
      </c>
      <c r="K211" s="96"/>
      <c r="L211" s="92">
        <f t="shared" si="1"/>
        <v>0</v>
      </c>
      <c r="M211" s="97">
        <f t="shared" si="2"/>
        <v>0</v>
      </c>
      <c r="N211" s="76"/>
      <c r="O211" s="77"/>
      <c r="P211" s="77"/>
      <c r="Q211" s="77"/>
      <c r="R211" s="77"/>
      <c r="S211" s="33"/>
      <c r="T211" s="33"/>
      <c r="U211" s="33"/>
      <c r="V211" s="33"/>
      <c r="W211" s="33"/>
      <c r="X211" s="33"/>
      <c r="Y211" s="33"/>
      <c r="Z211" s="33"/>
      <c r="AA211" s="33"/>
    </row>
    <row r="212" ht="18.0" customHeight="1">
      <c r="A212" s="81"/>
      <c r="B212" s="90" t="str">
        <f>"1-656-03-2446"</f>
        <v>1-656-03-2446</v>
      </c>
      <c r="C212" s="90" t="str">
        <f>"34285656034"</f>
        <v>34285656034</v>
      </c>
      <c r="D212" s="91" t="s">
        <v>122</v>
      </c>
      <c r="E212" s="92" t="s">
        <v>110</v>
      </c>
      <c r="F212" s="93"/>
      <c r="G212" s="93"/>
      <c r="H212" s="94"/>
      <c r="I212" s="95">
        <v>2.8195200000000002</v>
      </c>
      <c r="J212" s="92">
        <v>24.0</v>
      </c>
      <c r="K212" s="96"/>
      <c r="L212" s="92">
        <f t="shared" si="1"/>
        <v>0</v>
      </c>
      <c r="M212" s="97">
        <f t="shared" si="2"/>
        <v>0</v>
      </c>
      <c r="N212" s="76"/>
      <c r="O212" s="77"/>
      <c r="P212" s="77"/>
      <c r="Q212" s="77"/>
      <c r="R212" s="77"/>
      <c r="S212" s="33"/>
      <c r="T212" s="33"/>
      <c r="U212" s="33"/>
      <c r="V212" s="33"/>
      <c r="W212" s="33"/>
      <c r="X212" s="33"/>
      <c r="Y212" s="33"/>
      <c r="Z212" s="33"/>
      <c r="AA212" s="33"/>
    </row>
    <row r="213" ht="18.0" customHeight="1">
      <c r="A213" s="81"/>
      <c r="B213" s="90" t="str">
        <f>"1-687-03-2446"</f>
        <v>1-687-03-2446</v>
      </c>
      <c r="C213" s="90" t="str">
        <f>"34285687045"</f>
        <v>34285687045</v>
      </c>
      <c r="D213" s="91" t="s">
        <v>135</v>
      </c>
      <c r="E213" s="92" t="s">
        <v>110</v>
      </c>
      <c r="F213" s="93"/>
      <c r="G213" s="93"/>
      <c r="H213" s="94"/>
      <c r="I213" s="95">
        <v>2.8195200000000002</v>
      </c>
      <c r="J213" s="92">
        <v>24.0</v>
      </c>
      <c r="K213" s="96"/>
      <c r="L213" s="92">
        <f t="shared" si="1"/>
        <v>0</v>
      </c>
      <c r="M213" s="97">
        <f t="shared" si="2"/>
        <v>0</v>
      </c>
      <c r="N213" s="76"/>
      <c r="O213" s="77"/>
      <c r="P213" s="77"/>
      <c r="Q213" s="77"/>
      <c r="R213" s="77"/>
      <c r="S213" s="33"/>
      <c r="T213" s="33"/>
      <c r="U213" s="33"/>
      <c r="V213" s="33"/>
      <c r="W213" s="33"/>
      <c r="X213" s="33"/>
      <c r="Y213" s="33"/>
      <c r="Z213" s="33"/>
      <c r="AA213" s="33"/>
    </row>
    <row r="214" ht="18.0" customHeight="1">
      <c r="A214" s="81"/>
      <c r="B214" s="90" t="str">
        <f>"K-135"</f>
        <v>K-135</v>
      </c>
      <c r="C214" s="90" t="str">
        <f>"74867771359"</f>
        <v>74867771359</v>
      </c>
      <c r="D214" s="91" t="s">
        <v>237</v>
      </c>
      <c r="E214" s="92" t="s">
        <v>81</v>
      </c>
      <c r="F214" s="93"/>
      <c r="G214" s="93"/>
      <c r="H214" s="94"/>
      <c r="I214" s="95">
        <v>3.1056552251987046</v>
      </c>
      <c r="J214" s="92" t="s">
        <v>140</v>
      </c>
      <c r="K214" s="96"/>
      <c r="L214" s="92">
        <f t="shared" si="1"/>
        <v>0</v>
      </c>
      <c r="M214" s="97">
        <f t="shared" si="2"/>
        <v>0</v>
      </c>
      <c r="N214" s="76"/>
      <c r="O214" s="77"/>
      <c r="P214" s="77"/>
      <c r="Q214" s="77"/>
      <c r="R214" s="77"/>
      <c r="S214" s="33"/>
      <c r="T214" s="33"/>
      <c r="U214" s="33"/>
      <c r="V214" s="33"/>
      <c r="W214" s="33"/>
      <c r="X214" s="33"/>
      <c r="Y214" s="33"/>
      <c r="Z214" s="33"/>
      <c r="AA214" s="33"/>
    </row>
    <row r="215" ht="18.0" customHeight="1">
      <c r="A215" s="81"/>
      <c r="B215" s="90" t="str">
        <f>"K-963"</f>
        <v>K-963</v>
      </c>
      <c r="C215" s="90" t="str">
        <f>"74867679631"</f>
        <v>74867679631</v>
      </c>
      <c r="D215" s="91" t="s">
        <v>146</v>
      </c>
      <c r="E215" s="92" t="s">
        <v>110</v>
      </c>
      <c r="F215" s="93"/>
      <c r="G215" s="93"/>
      <c r="H215" s="94"/>
      <c r="I215" s="95">
        <v>2.8036799999999995</v>
      </c>
      <c r="J215" s="92" t="s">
        <v>140</v>
      </c>
      <c r="K215" s="96"/>
      <c r="L215" s="92">
        <f t="shared" si="1"/>
        <v>0</v>
      </c>
      <c r="M215" s="97">
        <f t="shared" si="2"/>
        <v>0</v>
      </c>
      <c r="N215" s="76"/>
      <c r="O215" s="77"/>
      <c r="P215" s="77"/>
      <c r="Q215" s="77"/>
      <c r="R215" s="77"/>
      <c r="S215" s="33"/>
      <c r="T215" s="33"/>
      <c r="U215" s="33"/>
      <c r="V215" s="33"/>
      <c r="W215" s="33"/>
      <c r="X215" s="33"/>
      <c r="Y215" s="33"/>
      <c r="Z215" s="33"/>
      <c r="AA215" s="33"/>
    </row>
    <row r="216" ht="18.0" customHeight="1">
      <c r="A216" s="81"/>
      <c r="B216" s="90" t="str">
        <f>"K-934"</f>
        <v>K-934</v>
      </c>
      <c r="C216" s="90" t="str">
        <f>"74867679341"</f>
        <v>74867679341</v>
      </c>
      <c r="D216" s="91" t="s">
        <v>146</v>
      </c>
      <c r="E216" s="92" t="s">
        <v>238</v>
      </c>
      <c r="F216" s="93"/>
      <c r="G216" s="93"/>
      <c r="H216" s="94"/>
      <c r="I216" s="95">
        <v>11.3652</v>
      </c>
      <c r="J216" s="92" t="s">
        <v>141</v>
      </c>
      <c r="K216" s="96"/>
      <c r="L216" s="92">
        <f t="shared" si="1"/>
        <v>0</v>
      </c>
      <c r="M216" s="97">
        <f t="shared" si="2"/>
        <v>0</v>
      </c>
      <c r="N216" s="76"/>
      <c r="O216" s="77"/>
      <c r="P216" s="77"/>
      <c r="Q216" s="77"/>
      <c r="R216" s="77"/>
      <c r="S216" s="33"/>
      <c r="T216" s="33"/>
      <c r="U216" s="33"/>
      <c r="V216" s="33"/>
      <c r="W216" s="33"/>
      <c r="X216" s="33"/>
      <c r="Y216" s="33"/>
      <c r="Z216" s="33"/>
      <c r="AA216" s="33"/>
    </row>
    <row r="217" ht="18.0" customHeight="1">
      <c r="A217" s="81"/>
      <c r="B217" s="90" t="str">
        <f>"K-989"</f>
        <v>K-989</v>
      </c>
      <c r="C217" s="90" t="str">
        <f>"74867679891"</f>
        <v>74867679891</v>
      </c>
      <c r="D217" s="91" t="s">
        <v>146</v>
      </c>
      <c r="E217" s="92" t="s">
        <v>239</v>
      </c>
      <c r="F217" s="93"/>
      <c r="G217" s="93"/>
      <c r="H217" s="94"/>
      <c r="I217" s="95">
        <v>30.880080000000003</v>
      </c>
      <c r="J217" s="92" t="s">
        <v>240</v>
      </c>
      <c r="K217" s="96"/>
      <c r="L217" s="92">
        <f t="shared" si="1"/>
        <v>0</v>
      </c>
      <c r="M217" s="97">
        <f t="shared" si="2"/>
        <v>0</v>
      </c>
      <c r="N217" s="76"/>
      <c r="O217" s="77"/>
      <c r="P217" s="77"/>
      <c r="Q217" s="77"/>
      <c r="R217" s="77"/>
      <c r="S217" s="33"/>
      <c r="T217" s="33"/>
      <c r="U217" s="33"/>
      <c r="V217" s="33"/>
      <c r="W217" s="33"/>
      <c r="X217" s="33"/>
      <c r="Y217" s="33"/>
      <c r="Z217" s="33"/>
      <c r="AA217" s="33"/>
    </row>
    <row r="218" ht="18.0" customHeight="1">
      <c r="A218" s="81"/>
      <c r="B218" s="90" t="str">
        <f>"K-939"</f>
        <v>K-939</v>
      </c>
      <c r="C218" s="90" t="str">
        <f>"74867679396"</f>
        <v>74867679396</v>
      </c>
      <c r="D218" s="91" t="s">
        <v>148</v>
      </c>
      <c r="E218" s="92" t="s">
        <v>241</v>
      </c>
      <c r="F218" s="93"/>
      <c r="G218" s="93"/>
      <c r="H218" s="94"/>
      <c r="I218" s="95">
        <v>3.7883999999999993</v>
      </c>
      <c r="J218" s="92" t="s">
        <v>140</v>
      </c>
      <c r="K218" s="96"/>
      <c r="L218" s="92">
        <f t="shared" si="1"/>
        <v>0</v>
      </c>
      <c r="M218" s="97">
        <f t="shared" si="2"/>
        <v>0</v>
      </c>
      <c r="N218" s="76"/>
      <c r="O218" s="77"/>
      <c r="P218" s="77"/>
      <c r="Q218" s="77"/>
      <c r="R218" s="77"/>
      <c r="S218" s="33"/>
      <c r="T218" s="33"/>
      <c r="U218" s="33"/>
      <c r="V218" s="33"/>
      <c r="W218" s="33"/>
      <c r="X218" s="33"/>
      <c r="Y218" s="33"/>
      <c r="Z218" s="33"/>
      <c r="AA218" s="33"/>
    </row>
    <row r="219" ht="18.0" customHeight="1">
      <c r="A219" s="81"/>
      <c r="B219" s="90" t="str">
        <f>"K-981"</f>
        <v>K-981</v>
      </c>
      <c r="C219" s="90" t="str">
        <f>"74867679815"</f>
        <v>74867679815</v>
      </c>
      <c r="D219" s="91" t="s">
        <v>149</v>
      </c>
      <c r="E219" s="92" t="s">
        <v>110</v>
      </c>
      <c r="F219" s="93"/>
      <c r="G219" s="93"/>
      <c r="H219" s="94"/>
      <c r="I219" s="95">
        <v>2.8036799999999995</v>
      </c>
      <c r="J219" s="92" t="s">
        <v>140</v>
      </c>
      <c r="K219" s="96"/>
      <c r="L219" s="92">
        <f t="shared" si="1"/>
        <v>0</v>
      </c>
      <c r="M219" s="97">
        <f t="shared" si="2"/>
        <v>0</v>
      </c>
      <c r="N219" s="76"/>
      <c r="O219" s="77"/>
      <c r="P219" s="77"/>
      <c r="Q219" s="77"/>
      <c r="R219" s="77"/>
      <c r="S219" s="33"/>
      <c r="T219" s="33"/>
      <c r="U219" s="33"/>
      <c r="V219" s="33"/>
      <c r="W219" s="33"/>
      <c r="X219" s="33"/>
      <c r="Y219" s="33"/>
      <c r="Z219" s="33"/>
      <c r="AA219" s="33"/>
    </row>
    <row r="220" ht="18.0" customHeight="1">
      <c r="A220" s="81"/>
      <c r="B220" s="90" t="str">
        <f>"K-937"</f>
        <v>K-937</v>
      </c>
      <c r="C220" s="90" t="str">
        <f>"74867679372"</f>
        <v>74867679372</v>
      </c>
      <c r="D220" s="91" t="s">
        <v>149</v>
      </c>
      <c r="E220" s="92" t="s">
        <v>238</v>
      </c>
      <c r="F220" s="93"/>
      <c r="G220" s="93"/>
      <c r="H220" s="94"/>
      <c r="I220" s="95">
        <v>11.3652</v>
      </c>
      <c r="J220" s="92" t="s">
        <v>141</v>
      </c>
      <c r="K220" s="96"/>
      <c r="L220" s="92">
        <f t="shared" si="1"/>
        <v>0</v>
      </c>
      <c r="M220" s="97">
        <f t="shared" si="2"/>
        <v>0</v>
      </c>
      <c r="N220" s="76"/>
      <c r="O220" s="77"/>
      <c r="P220" s="77"/>
      <c r="Q220" s="77"/>
      <c r="R220" s="77"/>
      <c r="S220" s="33"/>
      <c r="T220" s="33"/>
      <c r="U220" s="33"/>
      <c r="V220" s="33"/>
      <c r="W220" s="33"/>
      <c r="X220" s="33"/>
      <c r="Y220" s="33"/>
      <c r="Z220" s="33"/>
      <c r="AA220" s="33"/>
    </row>
    <row r="221" ht="18.0" customHeight="1">
      <c r="A221" s="81"/>
      <c r="B221" s="90" t="str">
        <f>"K-988"</f>
        <v>K-988</v>
      </c>
      <c r="C221" s="90" t="str">
        <f>"74867679884"</f>
        <v>74867679884</v>
      </c>
      <c r="D221" s="91" t="s">
        <v>149</v>
      </c>
      <c r="E221" s="92" t="s">
        <v>239</v>
      </c>
      <c r="F221" s="93"/>
      <c r="G221" s="93"/>
      <c r="H221" s="94"/>
      <c r="I221" s="95">
        <v>30.880080000000003</v>
      </c>
      <c r="J221" s="92" t="s">
        <v>240</v>
      </c>
      <c r="K221" s="96"/>
      <c r="L221" s="92">
        <f t="shared" si="1"/>
        <v>0</v>
      </c>
      <c r="M221" s="97">
        <f t="shared" si="2"/>
        <v>0</v>
      </c>
      <c r="N221" s="76"/>
      <c r="O221" s="77"/>
      <c r="P221" s="77"/>
      <c r="Q221" s="77"/>
      <c r="R221" s="77"/>
      <c r="S221" s="33"/>
      <c r="T221" s="33"/>
      <c r="U221" s="33"/>
      <c r="V221" s="33"/>
      <c r="W221" s="33"/>
      <c r="X221" s="33"/>
      <c r="Y221" s="33"/>
      <c r="Z221" s="33"/>
      <c r="AA221" s="33"/>
    </row>
    <row r="222" ht="18.0" customHeight="1">
      <c r="A222" s="81"/>
      <c r="B222" s="90" t="str">
        <f>"K-944"</f>
        <v>K-944</v>
      </c>
      <c r="C222" s="90" t="str">
        <f>"74867679440"</f>
        <v>74867679440</v>
      </c>
      <c r="D222" s="91" t="s">
        <v>242</v>
      </c>
      <c r="E222" s="92" t="s">
        <v>105</v>
      </c>
      <c r="F222" s="93"/>
      <c r="G222" s="93"/>
      <c r="H222" s="94"/>
      <c r="I222" s="95">
        <v>6.243599999999999</v>
      </c>
      <c r="J222" s="92" t="s">
        <v>141</v>
      </c>
      <c r="K222" s="96"/>
      <c r="L222" s="92">
        <f t="shared" si="1"/>
        <v>0</v>
      </c>
      <c r="M222" s="97">
        <f t="shared" si="2"/>
        <v>0</v>
      </c>
      <c r="N222" s="76"/>
      <c r="O222" s="77"/>
      <c r="P222" s="77"/>
      <c r="Q222" s="77"/>
      <c r="R222" s="77"/>
      <c r="S222" s="33"/>
      <c r="T222" s="33"/>
      <c r="U222" s="33"/>
      <c r="V222" s="33"/>
      <c r="W222" s="33"/>
      <c r="X222" s="33"/>
      <c r="Y222" s="33"/>
      <c r="Z222" s="33"/>
      <c r="AA222" s="33"/>
    </row>
    <row r="223" ht="18.0" customHeight="1">
      <c r="A223" s="81"/>
      <c r="B223" s="98" t="str">
        <f>"K-081"</f>
        <v>K-081</v>
      </c>
      <c r="C223" s="98" t="str">
        <f>"74867680811"</f>
        <v>74867680811</v>
      </c>
      <c r="D223" s="99" t="s">
        <v>243</v>
      </c>
      <c r="E223" s="100" t="s">
        <v>46</v>
      </c>
      <c r="F223" s="101"/>
      <c r="G223" s="101"/>
      <c r="H223" s="102"/>
      <c r="I223" s="103">
        <v>11.193599999999998</v>
      </c>
      <c r="J223" s="100" t="s">
        <v>141</v>
      </c>
      <c r="K223" s="104"/>
      <c r="L223" s="100">
        <f t="shared" si="1"/>
        <v>0</v>
      </c>
      <c r="M223" s="105">
        <f t="shared" si="2"/>
        <v>0</v>
      </c>
      <c r="N223" s="76"/>
      <c r="O223" s="77"/>
      <c r="P223" s="77"/>
      <c r="Q223" s="77"/>
      <c r="R223" s="77"/>
      <c r="S223" s="33"/>
      <c r="T223" s="33"/>
      <c r="U223" s="33"/>
      <c r="V223" s="33"/>
      <c r="W223" s="33"/>
      <c r="X223" s="33"/>
      <c r="Y223" s="33"/>
      <c r="Z223" s="33"/>
      <c r="AA223" s="33"/>
    </row>
    <row r="224" ht="36.0" customHeight="1">
      <c r="A224" s="106"/>
      <c r="B224" s="107"/>
      <c r="C224" s="108"/>
      <c r="D224" s="109"/>
      <c r="E224" s="107"/>
      <c r="F224" s="107"/>
      <c r="G224" s="107"/>
      <c r="H224" s="107"/>
      <c r="I224" s="107"/>
      <c r="J224" s="107"/>
      <c r="K224" s="107"/>
      <c r="L224" s="107"/>
      <c r="M224" s="107"/>
      <c r="N224" s="51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</row>
    <row r="225" ht="36.0" customHeight="1">
      <c r="A225" s="106"/>
      <c r="B225" s="51"/>
      <c r="C225" s="110"/>
      <c r="D225" s="111"/>
      <c r="E225" s="51"/>
      <c r="F225" s="112"/>
      <c r="G225" s="51"/>
      <c r="H225" s="51"/>
      <c r="I225" s="51"/>
      <c r="J225" s="51"/>
      <c r="K225" s="113"/>
      <c r="L225" s="113"/>
      <c r="M225" s="113"/>
      <c r="N225" s="51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</row>
    <row r="226" ht="36.0" customHeight="1">
      <c r="A226" s="106"/>
      <c r="B226" s="51"/>
      <c r="C226" s="51"/>
      <c r="D226" s="106"/>
      <c r="E226" s="106"/>
      <c r="F226" s="112"/>
      <c r="G226" s="112"/>
      <c r="H226" s="112"/>
      <c r="I226" s="51"/>
      <c r="J226" s="81"/>
      <c r="K226" s="114" t="s">
        <v>244</v>
      </c>
      <c r="L226" s="115">
        <f t="shared" ref="L226:M226" si="5">sum(L16:L223)</f>
        <v>0</v>
      </c>
      <c r="M226" s="116">
        <f t="shared" si="5"/>
        <v>0</v>
      </c>
      <c r="N226" s="76"/>
      <c r="O226" s="77"/>
      <c r="P226" s="77"/>
      <c r="Q226" s="77"/>
      <c r="R226" s="77"/>
      <c r="S226" s="33"/>
      <c r="T226" s="33"/>
      <c r="U226" s="33"/>
      <c r="V226" s="33"/>
      <c r="W226" s="33"/>
      <c r="X226" s="33"/>
      <c r="Y226" s="33"/>
      <c r="Z226" s="33"/>
      <c r="AA226" s="33"/>
    </row>
    <row r="227" ht="18.75" customHeight="1">
      <c r="A227" s="1"/>
      <c r="B227" s="51"/>
      <c r="C227" s="51"/>
      <c r="D227" s="51"/>
      <c r="E227" s="51"/>
      <c r="F227" s="51"/>
      <c r="G227" s="51"/>
      <c r="H227" s="51"/>
      <c r="I227" s="51"/>
      <c r="J227" s="106"/>
      <c r="K227" s="107"/>
      <c r="L227" s="107"/>
      <c r="M227" s="107"/>
      <c r="N227" s="51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</row>
    <row r="228" ht="18.75" customHeight="1">
      <c r="A228" s="1"/>
      <c r="B228" s="51"/>
      <c r="C228" s="110"/>
      <c r="D228" s="111"/>
      <c r="E228" s="51"/>
      <c r="F228" s="51"/>
      <c r="G228" s="51"/>
      <c r="H228" s="51"/>
      <c r="I228" s="51"/>
      <c r="J228" s="106"/>
      <c r="K228" s="117"/>
      <c r="L228" s="51"/>
      <c r="M228" s="51"/>
      <c r="N228" s="51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</row>
    <row r="229" ht="18.75" customHeight="1">
      <c r="A229" s="1"/>
      <c r="B229" s="51"/>
      <c r="C229" s="51"/>
      <c r="D229" s="106"/>
      <c r="E229" s="106"/>
      <c r="F229" s="106"/>
      <c r="G229" s="112"/>
      <c r="H229" s="112"/>
      <c r="I229" s="51"/>
      <c r="J229" s="106"/>
      <c r="K229" s="117"/>
      <c r="L229" s="51"/>
      <c r="M229" s="51"/>
      <c r="N229" s="51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</row>
    <row r="230" ht="18.75" customHeight="1">
      <c r="A230" s="1"/>
      <c r="B230" s="51"/>
      <c r="C230" s="51"/>
      <c r="D230" s="51"/>
      <c r="E230" s="51"/>
      <c r="F230" s="51"/>
      <c r="G230" s="51"/>
      <c r="H230" s="51"/>
      <c r="I230" s="51"/>
      <c r="J230" s="106"/>
      <c r="K230" s="117"/>
      <c r="L230" s="51"/>
      <c r="M230" s="51"/>
      <c r="N230" s="51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</row>
    <row r="231" ht="18.75" customHeight="1">
      <c r="A231" s="1"/>
      <c r="B231" s="51"/>
      <c r="C231" s="110"/>
      <c r="D231" s="111"/>
      <c r="E231" s="51"/>
      <c r="F231" s="51"/>
      <c r="G231" s="51"/>
      <c r="H231" s="51"/>
      <c r="I231" s="51"/>
      <c r="J231" s="106"/>
      <c r="K231" s="117"/>
      <c r="L231" s="51"/>
      <c r="M231" s="51"/>
      <c r="N231" s="51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</row>
    <row r="232" ht="18.75" customHeight="1">
      <c r="A232" s="1"/>
      <c r="B232" s="51"/>
      <c r="C232" s="51"/>
      <c r="D232" s="106"/>
      <c r="E232" s="106"/>
      <c r="F232" s="106"/>
      <c r="G232" s="112"/>
      <c r="H232" s="112"/>
      <c r="I232" s="51"/>
      <c r="J232" s="106"/>
      <c r="K232" s="117"/>
      <c r="L232" s="51"/>
      <c r="M232" s="51"/>
      <c r="N232" s="51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</row>
    <row r="233" ht="18.75" customHeight="1">
      <c r="A233" s="1"/>
      <c r="B233" s="51"/>
      <c r="C233" s="51"/>
      <c r="D233" s="51"/>
      <c r="E233" s="51"/>
      <c r="F233" s="51"/>
      <c r="G233" s="51"/>
      <c r="H233" s="51"/>
      <c r="I233" s="51"/>
      <c r="J233" s="106"/>
      <c r="K233" s="117"/>
      <c r="L233" s="51"/>
      <c r="M233" s="51"/>
      <c r="N233" s="51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</row>
    <row r="234" ht="18.75" customHeight="1">
      <c r="A234" s="1"/>
      <c r="B234" s="51"/>
      <c r="C234" s="110"/>
      <c r="D234" s="111"/>
      <c r="E234" s="51"/>
      <c r="F234" s="51"/>
      <c r="G234" s="51"/>
      <c r="H234" s="51"/>
      <c r="I234" s="51"/>
      <c r="J234" s="106"/>
      <c r="K234" s="117"/>
      <c r="L234" s="51"/>
      <c r="M234" s="51"/>
      <c r="N234" s="51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</row>
    <row r="235" ht="18.75" customHeight="1">
      <c r="A235" s="1"/>
      <c r="B235" s="51"/>
      <c r="C235" s="51"/>
      <c r="D235" s="106"/>
      <c r="E235" s="106"/>
      <c r="F235" s="106"/>
      <c r="G235" s="112"/>
      <c r="H235" s="112"/>
      <c r="I235" s="51"/>
      <c r="J235" s="106"/>
      <c r="K235" s="117"/>
      <c r="L235" s="51"/>
      <c r="M235" s="51"/>
      <c r="N235" s="51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</row>
    <row r="236" ht="18.75" customHeight="1">
      <c r="A236" s="1"/>
      <c r="B236" s="51"/>
      <c r="C236" s="51"/>
      <c r="D236" s="51"/>
      <c r="E236" s="51"/>
      <c r="F236" s="51"/>
      <c r="G236" s="51"/>
      <c r="H236" s="51"/>
      <c r="I236" s="51"/>
      <c r="J236" s="106"/>
      <c r="K236" s="117"/>
      <c r="L236" s="51"/>
      <c r="M236" s="51"/>
      <c r="N236" s="51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</row>
    <row r="237" ht="18.75" customHeight="1">
      <c r="A237" s="1"/>
      <c r="B237" s="51"/>
      <c r="C237" s="51"/>
      <c r="D237" s="106"/>
      <c r="E237" s="106"/>
      <c r="F237" s="106"/>
      <c r="G237" s="112"/>
      <c r="H237" s="112"/>
      <c r="I237" s="51"/>
      <c r="J237" s="106"/>
      <c r="K237" s="51"/>
      <c r="L237" s="51"/>
      <c r="M237" s="51"/>
      <c r="N237" s="51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</row>
    <row r="238" ht="15.75" customHeight="1">
      <c r="A238" s="8"/>
      <c r="B238" s="118"/>
      <c r="C238" s="118"/>
      <c r="D238" s="8"/>
      <c r="E238" s="8"/>
      <c r="F238" s="8"/>
      <c r="G238" s="119"/>
      <c r="H238" s="119"/>
      <c r="I238" s="119"/>
      <c r="J238" s="8"/>
      <c r="K238" s="8"/>
      <c r="L238" s="8"/>
      <c r="M238" s="119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 ht="15.75" customHeight="1">
      <c r="A239" s="8"/>
      <c r="B239" s="118"/>
      <c r="C239" s="118"/>
      <c r="D239" s="8"/>
      <c r="E239" s="8"/>
      <c r="F239" s="8"/>
      <c r="G239" s="119"/>
      <c r="H239" s="119"/>
      <c r="I239" s="119"/>
      <c r="J239" s="8"/>
      <c r="K239" s="8"/>
      <c r="L239" s="8"/>
      <c r="M239" s="119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 ht="15.75" customHeight="1">
      <c r="A240" s="8"/>
      <c r="B240" s="118"/>
      <c r="C240" s="118"/>
      <c r="D240" s="8"/>
      <c r="E240" s="8"/>
      <c r="F240" s="8"/>
      <c r="G240" s="119"/>
      <c r="H240" s="119"/>
      <c r="I240" s="119"/>
      <c r="J240" s="8"/>
      <c r="K240" s="8"/>
      <c r="L240" s="8"/>
      <c r="M240" s="119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 ht="15.75" customHeight="1">
      <c r="A241" s="8"/>
      <c r="B241" s="118"/>
      <c r="C241" s="118"/>
      <c r="D241" s="8"/>
      <c r="E241" s="8"/>
      <c r="F241" s="8"/>
      <c r="G241" s="119"/>
      <c r="H241" s="119"/>
      <c r="I241" s="119"/>
      <c r="J241" s="8"/>
      <c r="K241" s="8"/>
      <c r="L241" s="8"/>
      <c r="M241" s="119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 ht="15.75" customHeight="1">
      <c r="A242" s="8"/>
      <c r="B242" s="118"/>
      <c r="C242" s="118"/>
      <c r="D242" s="8"/>
      <c r="E242" s="8"/>
      <c r="F242" s="8"/>
      <c r="G242" s="119"/>
      <c r="H242" s="119"/>
      <c r="I242" s="119"/>
      <c r="J242" s="8"/>
      <c r="K242" s="8"/>
      <c r="L242" s="8"/>
      <c r="M242" s="119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 ht="15.75" customHeight="1">
      <c r="A243" s="8"/>
      <c r="B243" s="118"/>
      <c r="C243" s="118"/>
      <c r="D243" s="8"/>
      <c r="E243" s="8"/>
      <c r="F243" s="8"/>
      <c r="G243" s="119"/>
      <c r="H243" s="119"/>
      <c r="I243" s="119"/>
      <c r="J243" s="8"/>
      <c r="K243" s="8"/>
      <c r="L243" s="8"/>
      <c r="M243" s="119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 ht="15.75" customHeight="1">
      <c r="A244" s="8"/>
      <c r="B244" s="118"/>
      <c r="C244" s="118"/>
      <c r="D244" s="8"/>
      <c r="E244" s="8"/>
      <c r="F244" s="8"/>
      <c r="G244" s="119"/>
      <c r="H244" s="119"/>
      <c r="I244" s="119"/>
      <c r="J244" s="8"/>
      <c r="K244" s="8"/>
      <c r="L244" s="8"/>
      <c r="M244" s="119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 ht="15.75" customHeight="1">
      <c r="A245" s="8"/>
      <c r="B245" s="118"/>
      <c r="C245" s="118"/>
      <c r="D245" s="8"/>
      <c r="E245" s="8"/>
      <c r="F245" s="8"/>
      <c r="G245" s="119"/>
      <c r="H245" s="119"/>
      <c r="I245" s="119"/>
      <c r="J245" s="8"/>
      <c r="K245" s="8"/>
      <c r="L245" s="8"/>
      <c r="M245" s="119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 ht="15.75" customHeight="1">
      <c r="A246" s="8"/>
      <c r="B246" s="118"/>
      <c r="C246" s="118"/>
      <c r="D246" s="8"/>
      <c r="E246" s="8"/>
      <c r="F246" s="8"/>
      <c r="G246" s="119"/>
      <c r="H246" s="119"/>
      <c r="I246" s="119"/>
      <c r="J246" s="8"/>
      <c r="K246" s="8"/>
      <c r="L246" s="8"/>
      <c r="M246" s="119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 ht="15.75" customHeight="1">
      <c r="A247" s="8"/>
      <c r="B247" s="118"/>
      <c r="C247" s="118"/>
      <c r="D247" s="8"/>
      <c r="E247" s="8"/>
      <c r="F247" s="8"/>
      <c r="G247" s="119"/>
      <c r="H247" s="119"/>
      <c r="I247" s="119"/>
      <c r="J247" s="8"/>
      <c r="K247" s="8"/>
      <c r="L247" s="8"/>
      <c r="M247" s="119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 ht="15.75" customHeight="1">
      <c r="A248" s="8"/>
      <c r="B248" s="118"/>
      <c r="C248" s="118"/>
      <c r="D248" s="8"/>
      <c r="E248" s="8"/>
      <c r="F248" s="8"/>
      <c r="G248" s="119"/>
      <c r="H248" s="119"/>
      <c r="I248" s="119"/>
      <c r="J248" s="8"/>
      <c r="K248" s="8"/>
      <c r="L248" s="8"/>
      <c r="M248" s="119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 ht="15.75" customHeight="1">
      <c r="A249" s="8"/>
      <c r="B249" s="118"/>
      <c r="C249" s="118"/>
      <c r="D249" s="8"/>
      <c r="E249" s="8"/>
      <c r="F249" s="8"/>
      <c r="G249" s="119"/>
      <c r="H249" s="119"/>
      <c r="I249" s="119"/>
      <c r="J249" s="8"/>
      <c r="K249" s="8"/>
      <c r="L249" s="8"/>
      <c r="M249" s="119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 ht="15.75" customHeight="1">
      <c r="A250" s="8"/>
      <c r="B250" s="118"/>
      <c r="C250" s="118"/>
      <c r="D250" s="8"/>
      <c r="E250" s="8"/>
      <c r="F250" s="8"/>
      <c r="G250" s="119"/>
      <c r="H250" s="119"/>
      <c r="I250" s="119"/>
      <c r="J250" s="8"/>
      <c r="K250" s="8"/>
      <c r="L250" s="8"/>
      <c r="M250" s="119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 ht="15.75" customHeight="1">
      <c r="A251" s="8"/>
      <c r="B251" s="118"/>
      <c r="C251" s="118"/>
      <c r="D251" s="8"/>
      <c r="E251" s="8"/>
      <c r="F251" s="8"/>
      <c r="G251" s="119"/>
      <c r="H251" s="119"/>
      <c r="I251" s="119"/>
      <c r="J251" s="8"/>
      <c r="K251" s="8"/>
      <c r="L251" s="8"/>
      <c r="M251" s="119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 ht="15.75" customHeight="1">
      <c r="A252" s="8"/>
      <c r="B252" s="118"/>
      <c r="C252" s="118"/>
      <c r="D252" s="8"/>
      <c r="E252" s="8"/>
      <c r="F252" s="8"/>
      <c r="G252" s="119"/>
      <c r="H252" s="119"/>
      <c r="I252" s="119"/>
      <c r="J252" s="8"/>
      <c r="K252" s="8"/>
      <c r="L252" s="8"/>
      <c r="M252" s="119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 ht="15.75" customHeight="1">
      <c r="A253" s="8"/>
      <c r="B253" s="118"/>
      <c r="C253" s="118"/>
      <c r="D253" s="8"/>
      <c r="E253" s="8"/>
      <c r="F253" s="8"/>
      <c r="G253" s="119"/>
      <c r="H253" s="119"/>
      <c r="I253" s="119"/>
      <c r="J253" s="8"/>
      <c r="K253" s="8"/>
      <c r="L253" s="8"/>
      <c r="M253" s="119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 ht="15.75" customHeight="1">
      <c r="A254" s="8"/>
      <c r="B254" s="118"/>
      <c r="C254" s="118"/>
      <c r="D254" s="8"/>
      <c r="E254" s="8"/>
      <c r="F254" s="8"/>
      <c r="G254" s="119"/>
      <c r="H254" s="119"/>
      <c r="I254" s="119"/>
      <c r="J254" s="8"/>
      <c r="K254" s="8"/>
      <c r="L254" s="8"/>
      <c r="M254" s="119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 ht="15.75" customHeight="1">
      <c r="A255" s="8"/>
      <c r="B255" s="118"/>
      <c r="C255" s="118"/>
      <c r="D255" s="8"/>
      <c r="E255" s="8"/>
      <c r="F255" s="8"/>
      <c r="G255" s="119"/>
      <c r="H255" s="119"/>
      <c r="I255" s="119"/>
      <c r="J255" s="8"/>
      <c r="K255" s="8"/>
      <c r="L255" s="8"/>
      <c r="M255" s="119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 ht="15.75" customHeight="1">
      <c r="A256" s="8"/>
      <c r="B256" s="118"/>
      <c r="C256" s="118"/>
      <c r="D256" s="8"/>
      <c r="E256" s="8"/>
      <c r="F256" s="8"/>
      <c r="G256" s="119"/>
      <c r="H256" s="119"/>
      <c r="I256" s="119"/>
      <c r="J256" s="8"/>
      <c r="K256" s="8"/>
      <c r="L256" s="8"/>
      <c r="M256" s="119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 ht="15.75" customHeight="1">
      <c r="A257" s="8"/>
      <c r="B257" s="118"/>
      <c r="C257" s="118"/>
      <c r="D257" s="8"/>
      <c r="E257" s="8"/>
      <c r="F257" s="8"/>
      <c r="G257" s="119"/>
      <c r="H257" s="119"/>
      <c r="I257" s="119"/>
      <c r="J257" s="8"/>
      <c r="K257" s="8"/>
      <c r="L257" s="8"/>
      <c r="M257" s="119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 ht="15.75" customHeight="1">
      <c r="A258" s="8"/>
      <c r="B258" s="118"/>
      <c r="C258" s="118"/>
      <c r="D258" s="8"/>
      <c r="E258" s="8"/>
      <c r="F258" s="8"/>
      <c r="G258" s="119"/>
      <c r="H258" s="119"/>
      <c r="I258" s="119"/>
      <c r="J258" s="8"/>
      <c r="K258" s="8"/>
      <c r="L258" s="8"/>
      <c r="M258" s="119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 ht="15.75" customHeight="1">
      <c r="A259" s="8"/>
      <c r="B259" s="118"/>
      <c r="C259" s="118"/>
      <c r="D259" s="8"/>
      <c r="E259" s="8"/>
      <c r="F259" s="8"/>
      <c r="G259" s="119"/>
      <c r="H259" s="119"/>
      <c r="I259" s="119"/>
      <c r="J259" s="8"/>
      <c r="K259" s="8"/>
      <c r="L259" s="8"/>
      <c r="M259" s="119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 ht="15.75" customHeight="1">
      <c r="A260" s="8"/>
      <c r="B260" s="118"/>
      <c r="C260" s="118"/>
      <c r="D260" s="8"/>
      <c r="E260" s="8"/>
      <c r="F260" s="8"/>
      <c r="G260" s="119"/>
      <c r="H260" s="119"/>
      <c r="I260" s="119"/>
      <c r="J260" s="8"/>
      <c r="K260" s="8"/>
      <c r="L260" s="8"/>
      <c r="M260" s="119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 ht="15.75" customHeight="1">
      <c r="A261" s="8"/>
      <c r="B261" s="118"/>
      <c r="C261" s="118"/>
      <c r="D261" s="8"/>
      <c r="E261" s="8"/>
      <c r="F261" s="8"/>
      <c r="G261" s="119"/>
      <c r="H261" s="119"/>
      <c r="I261" s="119"/>
      <c r="J261" s="8"/>
      <c r="K261" s="8"/>
      <c r="L261" s="8"/>
      <c r="M261" s="119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 ht="15.75" customHeight="1">
      <c r="A262" s="8"/>
      <c r="B262" s="118"/>
      <c r="C262" s="118"/>
      <c r="D262" s="8"/>
      <c r="E262" s="8"/>
      <c r="F262" s="8"/>
      <c r="G262" s="119"/>
      <c r="H262" s="119"/>
      <c r="I262" s="119"/>
      <c r="J262" s="8"/>
      <c r="K262" s="8"/>
      <c r="L262" s="8"/>
      <c r="M262" s="119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 ht="15.75" customHeight="1">
      <c r="A263" s="8"/>
      <c r="B263" s="118"/>
      <c r="C263" s="118"/>
      <c r="D263" s="8"/>
      <c r="E263" s="8"/>
      <c r="F263" s="8"/>
      <c r="G263" s="119"/>
      <c r="H263" s="119"/>
      <c r="I263" s="119"/>
      <c r="J263" s="8"/>
      <c r="K263" s="8"/>
      <c r="L263" s="8"/>
      <c r="M263" s="119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 ht="15.75" customHeight="1">
      <c r="A264" s="8"/>
      <c r="B264" s="118"/>
      <c r="C264" s="118"/>
      <c r="D264" s="8"/>
      <c r="E264" s="8"/>
      <c r="F264" s="8"/>
      <c r="G264" s="119"/>
      <c r="H264" s="119"/>
      <c r="I264" s="119"/>
      <c r="J264" s="8"/>
      <c r="K264" s="8"/>
      <c r="L264" s="8"/>
      <c r="M264" s="119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 ht="15.75" customHeight="1">
      <c r="A265" s="8"/>
      <c r="B265" s="118"/>
      <c r="C265" s="118"/>
      <c r="D265" s="8"/>
      <c r="E265" s="8"/>
      <c r="F265" s="8"/>
      <c r="G265" s="119"/>
      <c r="H265" s="119"/>
      <c r="I265" s="119"/>
      <c r="J265" s="8"/>
      <c r="K265" s="8"/>
      <c r="L265" s="8"/>
      <c r="M265" s="119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 ht="15.75" customHeight="1">
      <c r="A266" s="8"/>
      <c r="B266" s="118"/>
      <c r="C266" s="118"/>
      <c r="D266" s="8"/>
      <c r="E266" s="8"/>
      <c r="F266" s="8"/>
      <c r="G266" s="119"/>
      <c r="H266" s="119"/>
      <c r="I266" s="119"/>
      <c r="J266" s="8"/>
      <c r="K266" s="8"/>
      <c r="L266" s="8"/>
      <c r="M266" s="119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 ht="15.75" customHeight="1">
      <c r="A267" s="8"/>
      <c r="B267" s="118"/>
      <c r="C267" s="118"/>
      <c r="D267" s="8"/>
      <c r="E267" s="8"/>
      <c r="F267" s="8"/>
      <c r="G267" s="119"/>
      <c r="H267" s="119"/>
      <c r="I267" s="119"/>
      <c r="J267" s="8"/>
      <c r="K267" s="8"/>
      <c r="L267" s="8"/>
      <c r="M267" s="119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 ht="15.75" customHeight="1">
      <c r="A268" s="8"/>
      <c r="B268" s="118"/>
      <c r="C268" s="118"/>
      <c r="D268" s="8"/>
      <c r="E268" s="8"/>
      <c r="F268" s="8"/>
      <c r="G268" s="119"/>
      <c r="H268" s="119"/>
      <c r="I268" s="119"/>
      <c r="J268" s="8"/>
      <c r="K268" s="8"/>
      <c r="L268" s="8"/>
      <c r="M268" s="119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 ht="15.75" customHeight="1">
      <c r="A269" s="8"/>
      <c r="B269" s="118"/>
      <c r="C269" s="118"/>
      <c r="D269" s="8"/>
      <c r="E269" s="8"/>
      <c r="F269" s="8"/>
      <c r="G269" s="119"/>
      <c r="H269" s="119"/>
      <c r="I269" s="119"/>
      <c r="J269" s="8"/>
      <c r="K269" s="8"/>
      <c r="L269" s="8"/>
      <c r="M269" s="119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 ht="15.75" customHeight="1">
      <c r="A270" s="8"/>
      <c r="B270" s="118"/>
      <c r="C270" s="118"/>
      <c r="D270" s="8"/>
      <c r="E270" s="8"/>
      <c r="F270" s="8"/>
      <c r="G270" s="119"/>
      <c r="H270" s="119"/>
      <c r="I270" s="119"/>
      <c r="J270" s="8"/>
      <c r="K270" s="8"/>
      <c r="L270" s="8"/>
      <c r="M270" s="119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 ht="15.75" customHeight="1">
      <c r="A271" s="8"/>
      <c r="B271" s="118"/>
      <c r="C271" s="118"/>
      <c r="D271" s="8"/>
      <c r="E271" s="8"/>
      <c r="F271" s="8"/>
      <c r="G271" s="119"/>
      <c r="H271" s="119"/>
      <c r="I271" s="119"/>
      <c r="J271" s="8"/>
      <c r="K271" s="8"/>
      <c r="L271" s="8"/>
      <c r="M271" s="119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 ht="15.75" customHeight="1">
      <c r="A272" s="8"/>
      <c r="B272" s="118"/>
      <c r="C272" s="118"/>
      <c r="D272" s="8"/>
      <c r="E272" s="8"/>
      <c r="F272" s="8"/>
      <c r="G272" s="119"/>
      <c r="H272" s="119"/>
      <c r="I272" s="119"/>
      <c r="J272" s="8"/>
      <c r="K272" s="8"/>
      <c r="L272" s="8"/>
      <c r="M272" s="119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 ht="15.75" customHeight="1">
      <c r="A273" s="8"/>
      <c r="B273" s="118"/>
      <c r="C273" s="118"/>
      <c r="D273" s="8"/>
      <c r="E273" s="8"/>
      <c r="F273" s="8"/>
      <c r="G273" s="119"/>
      <c r="H273" s="119"/>
      <c r="I273" s="119"/>
      <c r="J273" s="8"/>
      <c r="K273" s="8"/>
      <c r="L273" s="8"/>
      <c r="M273" s="119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 ht="15.75" customHeight="1">
      <c r="A274" s="8"/>
      <c r="B274" s="118"/>
      <c r="C274" s="118"/>
      <c r="D274" s="8"/>
      <c r="E274" s="8"/>
      <c r="F274" s="8"/>
      <c r="G274" s="119"/>
      <c r="H274" s="119"/>
      <c r="I274" s="119"/>
      <c r="J274" s="8"/>
      <c r="K274" s="8"/>
      <c r="L274" s="8"/>
      <c r="M274" s="119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 ht="15.75" customHeight="1">
      <c r="A275" s="8"/>
      <c r="B275" s="118"/>
      <c r="C275" s="118"/>
      <c r="D275" s="8"/>
      <c r="E275" s="8"/>
      <c r="F275" s="8"/>
      <c r="G275" s="119"/>
      <c r="H275" s="119"/>
      <c r="I275" s="119"/>
      <c r="J275" s="8"/>
      <c r="K275" s="8"/>
      <c r="L275" s="8"/>
      <c r="M275" s="119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 ht="15.75" customHeight="1">
      <c r="A276" s="8"/>
      <c r="B276" s="118"/>
      <c r="C276" s="118"/>
      <c r="D276" s="8"/>
      <c r="E276" s="8"/>
      <c r="F276" s="8"/>
      <c r="G276" s="119"/>
      <c r="H276" s="119"/>
      <c r="I276" s="119"/>
      <c r="J276" s="8"/>
      <c r="K276" s="8"/>
      <c r="L276" s="8"/>
      <c r="M276" s="119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 ht="15.75" customHeight="1">
      <c r="A277" s="8"/>
      <c r="B277" s="118"/>
      <c r="C277" s="118"/>
      <c r="D277" s="8"/>
      <c r="E277" s="8"/>
      <c r="F277" s="8"/>
      <c r="G277" s="119"/>
      <c r="H277" s="119"/>
      <c r="I277" s="119"/>
      <c r="J277" s="8"/>
      <c r="K277" s="8"/>
      <c r="L277" s="8"/>
      <c r="M277" s="119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 ht="15.75" customHeight="1">
      <c r="A278" s="8"/>
      <c r="B278" s="118"/>
      <c r="C278" s="118"/>
      <c r="D278" s="8"/>
      <c r="E278" s="8"/>
      <c r="F278" s="8"/>
      <c r="G278" s="119"/>
      <c r="H278" s="119"/>
      <c r="I278" s="119"/>
      <c r="J278" s="8"/>
      <c r="K278" s="8"/>
      <c r="L278" s="8"/>
      <c r="M278" s="119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 ht="15.75" customHeight="1">
      <c r="A279" s="8"/>
      <c r="B279" s="118"/>
      <c r="C279" s="118"/>
      <c r="D279" s="8"/>
      <c r="E279" s="8"/>
      <c r="F279" s="8"/>
      <c r="G279" s="119"/>
      <c r="H279" s="119"/>
      <c r="I279" s="119"/>
      <c r="J279" s="8"/>
      <c r="K279" s="8"/>
      <c r="L279" s="8"/>
      <c r="M279" s="119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 ht="15.75" customHeight="1">
      <c r="A280" s="8"/>
      <c r="B280" s="118"/>
      <c r="C280" s="118"/>
      <c r="D280" s="8"/>
      <c r="E280" s="8"/>
      <c r="F280" s="8"/>
      <c r="G280" s="119"/>
      <c r="H280" s="119"/>
      <c r="I280" s="119"/>
      <c r="J280" s="8"/>
      <c r="K280" s="8"/>
      <c r="L280" s="8"/>
      <c r="M280" s="119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 ht="15.75" customHeight="1">
      <c r="A281" s="8"/>
      <c r="B281" s="118"/>
      <c r="C281" s="118"/>
      <c r="D281" s="8"/>
      <c r="E281" s="8"/>
      <c r="F281" s="8"/>
      <c r="G281" s="119"/>
      <c r="H281" s="119"/>
      <c r="I281" s="119"/>
      <c r="J281" s="8"/>
      <c r="K281" s="8"/>
      <c r="L281" s="8"/>
      <c r="M281" s="119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 ht="15.75" customHeight="1">
      <c r="A282" s="8"/>
      <c r="B282" s="118"/>
      <c r="C282" s="118"/>
      <c r="D282" s="8"/>
      <c r="E282" s="8"/>
      <c r="F282" s="8"/>
      <c r="G282" s="119"/>
      <c r="H282" s="119"/>
      <c r="I282" s="119"/>
      <c r="J282" s="8"/>
      <c r="K282" s="8"/>
      <c r="L282" s="8"/>
      <c r="M282" s="119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 ht="15.75" customHeight="1">
      <c r="A283" s="8"/>
      <c r="B283" s="118"/>
      <c r="C283" s="118"/>
      <c r="D283" s="8"/>
      <c r="E283" s="8"/>
      <c r="F283" s="8"/>
      <c r="G283" s="119"/>
      <c r="H283" s="119"/>
      <c r="I283" s="119"/>
      <c r="J283" s="8"/>
      <c r="K283" s="8"/>
      <c r="L283" s="8"/>
      <c r="M283" s="119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 ht="15.75" customHeight="1">
      <c r="A284" s="8"/>
      <c r="B284" s="118"/>
      <c r="C284" s="118"/>
      <c r="D284" s="8"/>
      <c r="E284" s="8"/>
      <c r="F284" s="8"/>
      <c r="G284" s="119"/>
      <c r="H284" s="119"/>
      <c r="I284" s="119"/>
      <c r="J284" s="8"/>
      <c r="K284" s="8"/>
      <c r="L284" s="8"/>
      <c r="M284" s="119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 ht="15.75" customHeight="1">
      <c r="A285" s="8"/>
      <c r="B285" s="118"/>
      <c r="C285" s="118"/>
      <c r="D285" s="8"/>
      <c r="E285" s="8"/>
      <c r="F285" s="8"/>
      <c r="G285" s="119"/>
      <c r="H285" s="119"/>
      <c r="I285" s="119"/>
      <c r="J285" s="8"/>
      <c r="K285" s="8"/>
      <c r="L285" s="8"/>
      <c r="M285" s="119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 ht="15.75" customHeight="1">
      <c r="A286" s="8"/>
      <c r="B286" s="118"/>
      <c r="C286" s="118"/>
      <c r="D286" s="8"/>
      <c r="E286" s="8"/>
      <c r="F286" s="8"/>
      <c r="G286" s="119"/>
      <c r="H286" s="119"/>
      <c r="I286" s="119"/>
      <c r="J286" s="8"/>
      <c r="K286" s="8"/>
      <c r="L286" s="8"/>
      <c r="M286" s="119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 ht="15.75" customHeight="1">
      <c r="A287" s="8"/>
      <c r="B287" s="118"/>
      <c r="C287" s="118"/>
      <c r="D287" s="8"/>
      <c r="E287" s="8"/>
      <c r="F287" s="8"/>
      <c r="G287" s="119"/>
      <c r="H287" s="119"/>
      <c r="I287" s="119"/>
      <c r="J287" s="8"/>
      <c r="K287" s="8"/>
      <c r="L287" s="8"/>
      <c r="M287" s="119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 ht="15.75" customHeight="1">
      <c r="A288" s="8"/>
      <c r="B288" s="118"/>
      <c r="C288" s="118"/>
      <c r="D288" s="8"/>
      <c r="E288" s="8"/>
      <c r="F288" s="8"/>
      <c r="G288" s="119"/>
      <c r="H288" s="119"/>
      <c r="I288" s="119"/>
      <c r="J288" s="8"/>
      <c r="K288" s="8"/>
      <c r="L288" s="8"/>
      <c r="M288" s="119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 ht="15.75" customHeight="1">
      <c r="A289" s="8"/>
      <c r="B289" s="118"/>
      <c r="C289" s="118"/>
      <c r="D289" s="8"/>
      <c r="E289" s="8"/>
      <c r="F289" s="8"/>
      <c r="G289" s="119"/>
      <c r="H289" s="119"/>
      <c r="I289" s="119"/>
      <c r="J289" s="8"/>
      <c r="K289" s="8"/>
      <c r="L289" s="8"/>
      <c r="M289" s="119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 ht="15.75" customHeight="1">
      <c r="A290" s="8"/>
      <c r="B290" s="118"/>
      <c r="C290" s="118"/>
      <c r="D290" s="8"/>
      <c r="E290" s="8"/>
      <c r="F290" s="8"/>
      <c r="G290" s="119"/>
      <c r="H290" s="119"/>
      <c r="I290" s="119"/>
      <c r="J290" s="8"/>
      <c r="K290" s="8"/>
      <c r="L290" s="8"/>
      <c r="M290" s="119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 ht="15.75" customHeight="1">
      <c r="A291" s="8"/>
      <c r="B291" s="118"/>
      <c r="C291" s="118"/>
      <c r="D291" s="8"/>
      <c r="E291" s="8"/>
      <c r="F291" s="8"/>
      <c r="G291" s="119"/>
      <c r="H291" s="119"/>
      <c r="I291" s="119"/>
      <c r="J291" s="8"/>
      <c r="K291" s="8"/>
      <c r="L291" s="8"/>
      <c r="M291" s="119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ht="15.75" customHeight="1">
      <c r="A292" s="8"/>
      <c r="B292" s="118"/>
      <c r="C292" s="118"/>
      <c r="D292" s="8"/>
      <c r="E292" s="8"/>
      <c r="F292" s="8"/>
      <c r="G292" s="119"/>
      <c r="H292" s="119"/>
      <c r="I292" s="119"/>
      <c r="J292" s="8"/>
      <c r="K292" s="8"/>
      <c r="L292" s="8"/>
      <c r="M292" s="119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ht="15.75" customHeight="1">
      <c r="A293" s="8"/>
      <c r="B293" s="118"/>
      <c r="C293" s="118"/>
      <c r="D293" s="8"/>
      <c r="E293" s="8"/>
      <c r="F293" s="8"/>
      <c r="G293" s="119"/>
      <c r="H293" s="119"/>
      <c r="I293" s="119"/>
      <c r="J293" s="8"/>
      <c r="K293" s="8"/>
      <c r="L293" s="8"/>
      <c r="M293" s="119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ht="15.75" customHeight="1">
      <c r="A294" s="8"/>
      <c r="B294" s="118"/>
      <c r="C294" s="118"/>
      <c r="D294" s="8"/>
      <c r="E294" s="8"/>
      <c r="F294" s="8"/>
      <c r="G294" s="119"/>
      <c r="H294" s="119"/>
      <c r="I294" s="119"/>
      <c r="J294" s="8"/>
      <c r="K294" s="8"/>
      <c r="L294" s="8"/>
      <c r="M294" s="119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ht="15.75" customHeight="1">
      <c r="A295" s="8"/>
      <c r="B295" s="118"/>
      <c r="C295" s="118"/>
      <c r="D295" s="8"/>
      <c r="E295" s="8"/>
      <c r="F295" s="8"/>
      <c r="G295" s="119"/>
      <c r="H295" s="119"/>
      <c r="I295" s="119"/>
      <c r="J295" s="8"/>
      <c r="K295" s="8"/>
      <c r="L295" s="8"/>
      <c r="M295" s="119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ht="15.75" customHeight="1">
      <c r="A296" s="8"/>
      <c r="B296" s="118"/>
      <c r="C296" s="118"/>
      <c r="D296" s="8"/>
      <c r="E296" s="8"/>
      <c r="F296" s="8"/>
      <c r="G296" s="119"/>
      <c r="H296" s="119"/>
      <c r="I296" s="119"/>
      <c r="J296" s="8"/>
      <c r="K296" s="8"/>
      <c r="L296" s="8"/>
      <c r="M296" s="119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ht="15.75" customHeight="1">
      <c r="A297" s="8"/>
      <c r="B297" s="118"/>
      <c r="C297" s="118"/>
      <c r="D297" s="8"/>
      <c r="E297" s="8"/>
      <c r="F297" s="8"/>
      <c r="G297" s="119"/>
      <c r="H297" s="119"/>
      <c r="I297" s="119"/>
      <c r="J297" s="8"/>
      <c r="K297" s="8"/>
      <c r="L297" s="8"/>
      <c r="M297" s="119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ht="15.75" customHeight="1">
      <c r="A298" s="8"/>
      <c r="B298" s="118"/>
      <c r="C298" s="118"/>
      <c r="D298" s="8"/>
      <c r="E298" s="8"/>
      <c r="F298" s="8"/>
      <c r="G298" s="119"/>
      <c r="H298" s="119"/>
      <c r="I298" s="119"/>
      <c r="J298" s="8"/>
      <c r="K298" s="8"/>
      <c r="L298" s="8"/>
      <c r="M298" s="119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ht="15.75" customHeight="1">
      <c r="A299" s="8"/>
      <c r="B299" s="118"/>
      <c r="C299" s="118"/>
      <c r="D299" s="8"/>
      <c r="E299" s="8"/>
      <c r="F299" s="8"/>
      <c r="G299" s="119"/>
      <c r="H299" s="119"/>
      <c r="I299" s="119"/>
      <c r="J299" s="8"/>
      <c r="K299" s="8"/>
      <c r="L299" s="8"/>
      <c r="M299" s="119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ht="15.75" customHeight="1">
      <c r="A300" s="8"/>
      <c r="B300" s="118"/>
      <c r="C300" s="118"/>
      <c r="D300" s="8"/>
      <c r="E300" s="8"/>
      <c r="F300" s="8"/>
      <c r="G300" s="119"/>
      <c r="H300" s="119"/>
      <c r="I300" s="119"/>
      <c r="J300" s="8"/>
      <c r="K300" s="8"/>
      <c r="L300" s="8"/>
      <c r="M300" s="119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 ht="15.75" customHeight="1">
      <c r="A301" s="8"/>
      <c r="B301" s="118"/>
      <c r="C301" s="118"/>
      <c r="D301" s="8"/>
      <c r="E301" s="8"/>
      <c r="F301" s="8"/>
      <c r="G301" s="119"/>
      <c r="H301" s="119"/>
      <c r="I301" s="119"/>
      <c r="J301" s="8"/>
      <c r="K301" s="8"/>
      <c r="L301" s="8"/>
      <c r="M301" s="119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 ht="15.75" customHeight="1">
      <c r="A302" s="8"/>
      <c r="B302" s="118"/>
      <c r="C302" s="118"/>
      <c r="D302" s="8"/>
      <c r="E302" s="8"/>
      <c r="F302" s="8"/>
      <c r="G302" s="119"/>
      <c r="H302" s="119"/>
      <c r="I302" s="119"/>
      <c r="J302" s="8"/>
      <c r="K302" s="8"/>
      <c r="L302" s="8"/>
      <c r="M302" s="119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 ht="15.75" customHeight="1">
      <c r="A303" s="8"/>
      <c r="B303" s="118"/>
      <c r="C303" s="118"/>
      <c r="D303" s="8"/>
      <c r="E303" s="8"/>
      <c r="F303" s="8"/>
      <c r="G303" s="119"/>
      <c r="H303" s="119"/>
      <c r="I303" s="119"/>
      <c r="J303" s="8"/>
      <c r="K303" s="8"/>
      <c r="L303" s="8"/>
      <c r="M303" s="119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 ht="15.75" customHeight="1">
      <c r="A304" s="8"/>
      <c r="B304" s="118"/>
      <c r="C304" s="118"/>
      <c r="D304" s="8"/>
      <c r="E304" s="8"/>
      <c r="F304" s="8"/>
      <c r="G304" s="119"/>
      <c r="H304" s="119"/>
      <c r="I304" s="119"/>
      <c r="J304" s="8"/>
      <c r="K304" s="8"/>
      <c r="L304" s="8"/>
      <c r="M304" s="119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 ht="15.75" customHeight="1">
      <c r="A305" s="8"/>
      <c r="B305" s="118"/>
      <c r="C305" s="118"/>
      <c r="D305" s="8"/>
      <c r="E305" s="8"/>
      <c r="F305" s="8"/>
      <c r="G305" s="119"/>
      <c r="H305" s="119"/>
      <c r="I305" s="119"/>
      <c r="J305" s="8"/>
      <c r="K305" s="8"/>
      <c r="L305" s="8"/>
      <c r="M305" s="119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 ht="15.75" customHeight="1">
      <c r="A306" s="8"/>
      <c r="B306" s="118"/>
      <c r="C306" s="118"/>
      <c r="D306" s="8"/>
      <c r="E306" s="8"/>
      <c r="F306" s="8"/>
      <c r="G306" s="119"/>
      <c r="H306" s="119"/>
      <c r="I306" s="119"/>
      <c r="J306" s="8"/>
      <c r="K306" s="8"/>
      <c r="L306" s="8"/>
      <c r="M306" s="119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 ht="15.75" customHeight="1">
      <c r="A307" s="8"/>
      <c r="B307" s="118"/>
      <c r="C307" s="118"/>
      <c r="D307" s="8"/>
      <c r="E307" s="8"/>
      <c r="F307" s="8"/>
      <c r="G307" s="119"/>
      <c r="H307" s="119"/>
      <c r="I307" s="119"/>
      <c r="J307" s="8"/>
      <c r="K307" s="8"/>
      <c r="L307" s="8"/>
      <c r="M307" s="119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 ht="15.75" customHeight="1">
      <c r="A308" s="8"/>
      <c r="B308" s="118"/>
      <c r="C308" s="118"/>
      <c r="D308" s="8"/>
      <c r="E308" s="8"/>
      <c r="F308" s="8"/>
      <c r="G308" s="119"/>
      <c r="H308" s="119"/>
      <c r="I308" s="119"/>
      <c r="J308" s="8"/>
      <c r="K308" s="8"/>
      <c r="L308" s="8"/>
      <c r="M308" s="119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 ht="15.75" customHeight="1">
      <c r="A309" s="8"/>
      <c r="B309" s="118"/>
      <c r="C309" s="118"/>
      <c r="D309" s="8"/>
      <c r="E309" s="8"/>
      <c r="F309" s="8"/>
      <c r="G309" s="119"/>
      <c r="H309" s="119"/>
      <c r="I309" s="119"/>
      <c r="J309" s="8"/>
      <c r="K309" s="8"/>
      <c r="L309" s="8"/>
      <c r="M309" s="119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 ht="15.75" customHeight="1">
      <c r="A310" s="8"/>
      <c r="B310" s="118"/>
      <c r="C310" s="118"/>
      <c r="D310" s="8"/>
      <c r="E310" s="8"/>
      <c r="F310" s="8"/>
      <c r="G310" s="119"/>
      <c r="H310" s="119"/>
      <c r="I310" s="119"/>
      <c r="J310" s="8"/>
      <c r="K310" s="8"/>
      <c r="L310" s="8"/>
      <c r="M310" s="119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 ht="15.75" customHeight="1">
      <c r="A311" s="8"/>
      <c r="B311" s="118"/>
      <c r="C311" s="118"/>
      <c r="D311" s="8"/>
      <c r="E311" s="8"/>
      <c r="F311" s="8"/>
      <c r="G311" s="119"/>
      <c r="H311" s="119"/>
      <c r="I311" s="119"/>
      <c r="J311" s="8"/>
      <c r="K311" s="8"/>
      <c r="L311" s="8"/>
      <c r="M311" s="119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 ht="15.75" customHeight="1">
      <c r="A312" s="8"/>
      <c r="B312" s="118"/>
      <c r="C312" s="118"/>
      <c r="D312" s="8"/>
      <c r="E312" s="8"/>
      <c r="F312" s="8"/>
      <c r="G312" s="119"/>
      <c r="H312" s="119"/>
      <c r="I312" s="119"/>
      <c r="J312" s="8"/>
      <c r="K312" s="8"/>
      <c r="L312" s="8"/>
      <c r="M312" s="119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 ht="15.75" customHeight="1">
      <c r="A313" s="8"/>
      <c r="B313" s="118"/>
      <c r="C313" s="118"/>
      <c r="D313" s="8"/>
      <c r="E313" s="8"/>
      <c r="F313" s="8"/>
      <c r="G313" s="119"/>
      <c r="H313" s="119"/>
      <c r="I313" s="119"/>
      <c r="J313" s="8"/>
      <c r="K313" s="8"/>
      <c r="L313" s="8"/>
      <c r="M313" s="119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 ht="15.75" customHeight="1">
      <c r="A314" s="8"/>
      <c r="B314" s="118"/>
      <c r="C314" s="118"/>
      <c r="D314" s="8"/>
      <c r="E314" s="8"/>
      <c r="F314" s="8"/>
      <c r="G314" s="119"/>
      <c r="H314" s="119"/>
      <c r="I314" s="119"/>
      <c r="J314" s="8"/>
      <c r="K314" s="8"/>
      <c r="L314" s="8"/>
      <c r="M314" s="119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 ht="15.75" customHeight="1">
      <c r="A315" s="8"/>
      <c r="B315" s="118"/>
      <c r="C315" s="118"/>
      <c r="D315" s="8"/>
      <c r="E315" s="8"/>
      <c r="F315" s="8"/>
      <c r="G315" s="119"/>
      <c r="H315" s="119"/>
      <c r="I315" s="119"/>
      <c r="J315" s="8"/>
      <c r="K315" s="8"/>
      <c r="L315" s="8"/>
      <c r="M315" s="119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 ht="15.75" customHeight="1">
      <c r="A316" s="8"/>
      <c r="B316" s="118"/>
      <c r="C316" s="118"/>
      <c r="D316" s="8"/>
      <c r="E316" s="8"/>
      <c r="F316" s="8"/>
      <c r="G316" s="119"/>
      <c r="H316" s="119"/>
      <c r="I316" s="119"/>
      <c r="J316" s="8"/>
      <c r="K316" s="8"/>
      <c r="L316" s="8"/>
      <c r="M316" s="119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 ht="15.75" customHeight="1">
      <c r="A317" s="8"/>
      <c r="B317" s="118"/>
      <c r="C317" s="118"/>
      <c r="D317" s="8"/>
      <c r="E317" s="8"/>
      <c r="F317" s="8"/>
      <c r="G317" s="119"/>
      <c r="H317" s="119"/>
      <c r="I317" s="119"/>
      <c r="J317" s="8"/>
      <c r="K317" s="8"/>
      <c r="L317" s="8"/>
      <c r="M317" s="119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 ht="15.75" customHeight="1">
      <c r="A318" s="8"/>
      <c r="B318" s="118"/>
      <c r="C318" s="118"/>
      <c r="D318" s="8"/>
      <c r="E318" s="8"/>
      <c r="F318" s="8"/>
      <c r="G318" s="119"/>
      <c r="H318" s="119"/>
      <c r="I318" s="119"/>
      <c r="J318" s="8"/>
      <c r="K318" s="8"/>
      <c r="L318" s="8"/>
      <c r="M318" s="119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 ht="15.75" customHeight="1">
      <c r="A319" s="8"/>
      <c r="B319" s="118"/>
      <c r="C319" s="118"/>
      <c r="D319" s="8"/>
      <c r="E319" s="8"/>
      <c r="F319" s="8"/>
      <c r="G319" s="119"/>
      <c r="H319" s="119"/>
      <c r="I319" s="119"/>
      <c r="J319" s="8"/>
      <c r="K319" s="8"/>
      <c r="L319" s="8"/>
      <c r="M319" s="119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 ht="15.75" customHeight="1">
      <c r="A320" s="8"/>
      <c r="B320" s="118"/>
      <c r="C320" s="118"/>
      <c r="D320" s="8"/>
      <c r="E320" s="8"/>
      <c r="F320" s="8"/>
      <c r="G320" s="119"/>
      <c r="H320" s="119"/>
      <c r="I320" s="119"/>
      <c r="J320" s="8"/>
      <c r="K320" s="8"/>
      <c r="L320" s="8"/>
      <c r="M320" s="119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 ht="15.75" customHeight="1">
      <c r="A321" s="8"/>
      <c r="B321" s="118"/>
      <c r="C321" s="118"/>
      <c r="D321" s="8"/>
      <c r="E321" s="8"/>
      <c r="F321" s="8"/>
      <c r="G321" s="119"/>
      <c r="H321" s="119"/>
      <c r="I321" s="119"/>
      <c r="J321" s="8"/>
      <c r="K321" s="8"/>
      <c r="L321" s="8"/>
      <c r="M321" s="119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 ht="15.75" customHeight="1">
      <c r="A322" s="8"/>
      <c r="B322" s="118"/>
      <c r="C322" s="118"/>
      <c r="D322" s="8"/>
      <c r="E322" s="8"/>
      <c r="F322" s="8"/>
      <c r="G322" s="119"/>
      <c r="H322" s="119"/>
      <c r="I322" s="119"/>
      <c r="J322" s="8"/>
      <c r="K322" s="8"/>
      <c r="L322" s="8"/>
      <c r="M322" s="119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 ht="15.75" customHeight="1">
      <c r="A323" s="8"/>
      <c r="B323" s="118"/>
      <c r="C323" s="118"/>
      <c r="D323" s="8"/>
      <c r="E323" s="8"/>
      <c r="F323" s="8"/>
      <c r="G323" s="119"/>
      <c r="H323" s="119"/>
      <c r="I323" s="119"/>
      <c r="J323" s="8"/>
      <c r="K323" s="8"/>
      <c r="L323" s="8"/>
      <c r="M323" s="119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 ht="15.75" customHeight="1">
      <c r="A324" s="8"/>
      <c r="B324" s="118"/>
      <c r="C324" s="118"/>
      <c r="D324" s="8"/>
      <c r="E324" s="8"/>
      <c r="F324" s="8"/>
      <c r="G324" s="119"/>
      <c r="H324" s="119"/>
      <c r="I324" s="119"/>
      <c r="J324" s="8"/>
      <c r="K324" s="8"/>
      <c r="L324" s="8"/>
      <c r="M324" s="119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 ht="15.75" customHeight="1">
      <c r="A325" s="8"/>
      <c r="B325" s="118"/>
      <c r="C325" s="118"/>
      <c r="D325" s="8"/>
      <c r="E325" s="8"/>
      <c r="F325" s="8"/>
      <c r="G325" s="119"/>
      <c r="H325" s="119"/>
      <c r="I325" s="119"/>
      <c r="J325" s="8"/>
      <c r="K325" s="8"/>
      <c r="L325" s="8"/>
      <c r="M325" s="119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 ht="15.75" customHeight="1">
      <c r="A326" s="8"/>
      <c r="B326" s="118"/>
      <c r="C326" s="118"/>
      <c r="D326" s="8"/>
      <c r="E326" s="8"/>
      <c r="F326" s="8"/>
      <c r="G326" s="119"/>
      <c r="H326" s="119"/>
      <c r="I326" s="119"/>
      <c r="J326" s="8"/>
      <c r="K326" s="8"/>
      <c r="L326" s="8"/>
      <c r="M326" s="119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 ht="15.75" customHeight="1">
      <c r="A327" s="8"/>
      <c r="B327" s="118"/>
      <c r="C327" s="118"/>
      <c r="D327" s="8"/>
      <c r="E327" s="8"/>
      <c r="F327" s="8"/>
      <c r="G327" s="119"/>
      <c r="H327" s="119"/>
      <c r="I327" s="119"/>
      <c r="J327" s="8"/>
      <c r="K327" s="8"/>
      <c r="L327" s="8"/>
      <c r="M327" s="119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 ht="15.75" customHeight="1">
      <c r="A328" s="8"/>
      <c r="B328" s="118"/>
      <c r="C328" s="118"/>
      <c r="D328" s="8"/>
      <c r="E328" s="8"/>
      <c r="F328" s="8"/>
      <c r="G328" s="119"/>
      <c r="H328" s="119"/>
      <c r="I328" s="119"/>
      <c r="J328" s="8"/>
      <c r="K328" s="8"/>
      <c r="L328" s="8"/>
      <c r="M328" s="119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 ht="15.75" customHeight="1">
      <c r="A329" s="8"/>
      <c r="B329" s="118"/>
      <c r="C329" s="118"/>
      <c r="D329" s="8"/>
      <c r="E329" s="8"/>
      <c r="F329" s="8"/>
      <c r="G329" s="119"/>
      <c r="H329" s="119"/>
      <c r="I329" s="119"/>
      <c r="J329" s="8"/>
      <c r="K329" s="8"/>
      <c r="L329" s="8"/>
      <c r="M329" s="119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 ht="15.75" customHeight="1">
      <c r="A330" s="8"/>
      <c r="B330" s="118"/>
      <c r="C330" s="118"/>
      <c r="D330" s="8"/>
      <c r="E330" s="8"/>
      <c r="F330" s="8"/>
      <c r="G330" s="119"/>
      <c r="H330" s="119"/>
      <c r="I330" s="119"/>
      <c r="J330" s="8"/>
      <c r="K330" s="8"/>
      <c r="L330" s="8"/>
      <c r="M330" s="119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 ht="15.75" customHeight="1">
      <c r="A331" s="8"/>
      <c r="B331" s="118"/>
      <c r="C331" s="118"/>
      <c r="D331" s="8"/>
      <c r="E331" s="8"/>
      <c r="F331" s="8"/>
      <c r="G331" s="119"/>
      <c r="H331" s="119"/>
      <c r="I331" s="119"/>
      <c r="J331" s="8"/>
      <c r="K331" s="8"/>
      <c r="L331" s="8"/>
      <c r="M331" s="119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 ht="15.75" customHeight="1">
      <c r="A332" s="8"/>
      <c r="B332" s="118"/>
      <c r="C332" s="118"/>
      <c r="D332" s="8"/>
      <c r="E332" s="8"/>
      <c r="F332" s="8"/>
      <c r="G332" s="119"/>
      <c r="H332" s="119"/>
      <c r="I332" s="119"/>
      <c r="J332" s="8"/>
      <c r="K332" s="8"/>
      <c r="L332" s="8"/>
      <c r="M332" s="119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 ht="15.75" customHeight="1">
      <c r="A333" s="8"/>
      <c r="B333" s="118"/>
      <c r="C333" s="118"/>
      <c r="D333" s="8"/>
      <c r="E333" s="8"/>
      <c r="F333" s="8"/>
      <c r="G333" s="119"/>
      <c r="H333" s="119"/>
      <c r="I333" s="119"/>
      <c r="J333" s="8"/>
      <c r="K333" s="8"/>
      <c r="L333" s="8"/>
      <c r="M333" s="119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 ht="15.75" customHeight="1">
      <c r="A334" s="8"/>
      <c r="B334" s="118"/>
      <c r="C334" s="118"/>
      <c r="D334" s="8"/>
      <c r="E334" s="8"/>
      <c r="F334" s="8"/>
      <c r="G334" s="119"/>
      <c r="H334" s="119"/>
      <c r="I334" s="119"/>
      <c r="J334" s="8"/>
      <c r="K334" s="8"/>
      <c r="L334" s="8"/>
      <c r="M334" s="119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 ht="15.75" customHeight="1">
      <c r="A335" s="8"/>
      <c r="B335" s="118"/>
      <c r="C335" s="118"/>
      <c r="D335" s="8"/>
      <c r="E335" s="8"/>
      <c r="F335" s="8"/>
      <c r="G335" s="119"/>
      <c r="H335" s="119"/>
      <c r="I335" s="119"/>
      <c r="J335" s="8"/>
      <c r="K335" s="8"/>
      <c r="L335" s="8"/>
      <c r="M335" s="119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 ht="15.75" customHeight="1">
      <c r="A336" s="8"/>
      <c r="B336" s="118"/>
      <c r="C336" s="118"/>
      <c r="D336" s="8"/>
      <c r="E336" s="8"/>
      <c r="F336" s="8"/>
      <c r="G336" s="119"/>
      <c r="H336" s="119"/>
      <c r="I336" s="119"/>
      <c r="J336" s="8"/>
      <c r="K336" s="8"/>
      <c r="L336" s="8"/>
      <c r="M336" s="119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 ht="15.75" customHeight="1">
      <c r="A337" s="8"/>
      <c r="B337" s="118"/>
      <c r="C337" s="118"/>
      <c r="D337" s="8"/>
      <c r="E337" s="8"/>
      <c r="F337" s="8"/>
      <c r="G337" s="119"/>
      <c r="H337" s="119"/>
      <c r="I337" s="119"/>
      <c r="J337" s="8"/>
      <c r="K337" s="8"/>
      <c r="L337" s="8"/>
      <c r="M337" s="119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 ht="15.75" customHeight="1">
      <c r="A338" s="8"/>
      <c r="B338" s="118"/>
      <c r="C338" s="118"/>
      <c r="D338" s="8"/>
      <c r="E338" s="8"/>
      <c r="F338" s="8"/>
      <c r="G338" s="119"/>
      <c r="H338" s="119"/>
      <c r="I338" s="119"/>
      <c r="J338" s="8"/>
      <c r="K338" s="8"/>
      <c r="L338" s="8"/>
      <c r="M338" s="119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 ht="15.75" customHeight="1">
      <c r="A339" s="8"/>
      <c r="B339" s="118"/>
      <c r="C339" s="118"/>
      <c r="D339" s="8"/>
      <c r="E339" s="8"/>
      <c r="F339" s="8"/>
      <c r="G339" s="119"/>
      <c r="H339" s="119"/>
      <c r="I339" s="119"/>
      <c r="J339" s="8"/>
      <c r="K339" s="8"/>
      <c r="L339" s="8"/>
      <c r="M339" s="119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 ht="15.75" customHeight="1">
      <c r="A340" s="8"/>
      <c r="B340" s="118"/>
      <c r="C340" s="118"/>
      <c r="D340" s="8"/>
      <c r="E340" s="8"/>
      <c r="F340" s="8"/>
      <c r="G340" s="119"/>
      <c r="H340" s="119"/>
      <c r="I340" s="119"/>
      <c r="J340" s="8"/>
      <c r="K340" s="8"/>
      <c r="L340" s="8"/>
      <c r="M340" s="119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 ht="15.75" customHeight="1">
      <c r="A341" s="8"/>
      <c r="B341" s="118"/>
      <c r="C341" s="118"/>
      <c r="D341" s="8"/>
      <c r="E341" s="8"/>
      <c r="F341" s="8"/>
      <c r="G341" s="119"/>
      <c r="H341" s="119"/>
      <c r="I341" s="119"/>
      <c r="J341" s="8"/>
      <c r="K341" s="8"/>
      <c r="L341" s="8"/>
      <c r="M341" s="119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 ht="15.75" customHeight="1">
      <c r="A342" s="8"/>
      <c r="B342" s="118"/>
      <c r="C342" s="118"/>
      <c r="D342" s="8"/>
      <c r="E342" s="8"/>
      <c r="F342" s="8"/>
      <c r="G342" s="119"/>
      <c r="H342" s="119"/>
      <c r="I342" s="119"/>
      <c r="J342" s="8"/>
      <c r="K342" s="8"/>
      <c r="L342" s="8"/>
      <c r="M342" s="119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 ht="15.75" customHeight="1">
      <c r="A343" s="8"/>
      <c r="B343" s="118"/>
      <c r="C343" s="118"/>
      <c r="D343" s="8"/>
      <c r="E343" s="8"/>
      <c r="F343" s="8"/>
      <c r="G343" s="119"/>
      <c r="H343" s="119"/>
      <c r="I343" s="119"/>
      <c r="J343" s="8"/>
      <c r="K343" s="8"/>
      <c r="L343" s="8"/>
      <c r="M343" s="119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 ht="15.75" customHeight="1">
      <c r="A344" s="8"/>
      <c r="B344" s="118"/>
      <c r="C344" s="118"/>
      <c r="D344" s="8"/>
      <c r="E344" s="8"/>
      <c r="F344" s="8"/>
      <c r="G344" s="119"/>
      <c r="H344" s="119"/>
      <c r="I344" s="119"/>
      <c r="J344" s="8"/>
      <c r="K344" s="8"/>
      <c r="L344" s="8"/>
      <c r="M344" s="119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 ht="15.75" customHeight="1">
      <c r="A345" s="8"/>
      <c r="B345" s="118"/>
      <c r="C345" s="118"/>
      <c r="D345" s="8"/>
      <c r="E345" s="8"/>
      <c r="F345" s="8"/>
      <c r="G345" s="119"/>
      <c r="H345" s="119"/>
      <c r="I345" s="119"/>
      <c r="J345" s="8"/>
      <c r="K345" s="8"/>
      <c r="L345" s="8"/>
      <c r="M345" s="119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 ht="15.75" customHeight="1">
      <c r="A346" s="8"/>
      <c r="B346" s="118"/>
      <c r="C346" s="118"/>
      <c r="D346" s="8"/>
      <c r="E346" s="8"/>
      <c r="F346" s="8"/>
      <c r="G346" s="119"/>
      <c r="H346" s="119"/>
      <c r="I346" s="119"/>
      <c r="J346" s="8"/>
      <c r="K346" s="8"/>
      <c r="L346" s="8"/>
      <c r="M346" s="119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 ht="15.75" customHeight="1">
      <c r="A347" s="8"/>
      <c r="B347" s="118"/>
      <c r="C347" s="118"/>
      <c r="D347" s="8"/>
      <c r="E347" s="8"/>
      <c r="F347" s="8"/>
      <c r="G347" s="119"/>
      <c r="H347" s="119"/>
      <c r="I347" s="119"/>
      <c r="J347" s="8"/>
      <c r="K347" s="8"/>
      <c r="L347" s="8"/>
      <c r="M347" s="119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 ht="15.75" customHeight="1">
      <c r="A348" s="8"/>
      <c r="B348" s="118"/>
      <c r="C348" s="118"/>
      <c r="D348" s="8"/>
      <c r="E348" s="8"/>
      <c r="F348" s="8"/>
      <c r="G348" s="119"/>
      <c r="H348" s="119"/>
      <c r="I348" s="119"/>
      <c r="J348" s="8"/>
      <c r="K348" s="8"/>
      <c r="L348" s="8"/>
      <c r="M348" s="119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 ht="15.75" customHeight="1">
      <c r="A349" s="8"/>
      <c r="B349" s="118"/>
      <c r="C349" s="118"/>
      <c r="D349" s="8"/>
      <c r="E349" s="8"/>
      <c r="F349" s="8"/>
      <c r="G349" s="119"/>
      <c r="H349" s="119"/>
      <c r="I349" s="119"/>
      <c r="J349" s="8"/>
      <c r="K349" s="8"/>
      <c r="L349" s="8"/>
      <c r="M349" s="119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ht="15.75" customHeight="1">
      <c r="A350" s="8"/>
      <c r="B350" s="118"/>
      <c r="C350" s="118"/>
      <c r="D350" s="8"/>
      <c r="E350" s="8"/>
      <c r="F350" s="8"/>
      <c r="G350" s="119"/>
      <c r="H350" s="119"/>
      <c r="I350" s="119"/>
      <c r="J350" s="8"/>
      <c r="K350" s="8"/>
      <c r="L350" s="8"/>
      <c r="M350" s="119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ht="15.75" customHeight="1">
      <c r="A351" s="8"/>
      <c r="B351" s="118"/>
      <c r="C351" s="118"/>
      <c r="D351" s="8"/>
      <c r="E351" s="8"/>
      <c r="F351" s="8"/>
      <c r="G351" s="119"/>
      <c r="H351" s="119"/>
      <c r="I351" s="119"/>
      <c r="J351" s="8"/>
      <c r="K351" s="8"/>
      <c r="L351" s="8"/>
      <c r="M351" s="119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ht="15.75" customHeight="1">
      <c r="A352" s="8"/>
      <c r="B352" s="118"/>
      <c r="C352" s="118"/>
      <c r="D352" s="8"/>
      <c r="E352" s="8"/>
      <c r="F352" s="8"/>
      <c r="G352" s="119"/>
      <c r="H352" s="119"/>
      <c r="I352" s="119"/>
      <c r="J352" s="8"/>
      <c r="K352" s="8"/>
      <c r="L352" s="8"/>
      <c r="M352" s="119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 ht="15.75" customHeight="1">
      <c r="A353" s="8"/>
      <c r="B353" s="118"/>
      <c r="C353" s="118"/>
      <c r="D353" s="8"/>
      <c r="E353" s="8"/>
      <c r="F353" s="8"/>
      <c r="G353" s="119"/>
      <c r="H353" s="119"/>
      <c r="I353" s="119"/>
      <c r="J353" s="8"/>
      <c r="K353" s="8"/>
      <c r="L353" s="8"/>
      <c r="M353" s="119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 ht="15.75" customHeight="1">
      <c r="A354" s="8"/>
      <c r="B354" s="118"/>
      <c r="C354" s="118"/>
      <c r="D354" s="8"/>
      <c r="E354" s="8"/>
      <c r="F354" s="8"/>
      <c r="G354" s="119"/>
      <c r="H354" s="119"/>
      <c r="I354" s="119"/>
      <c r="J354" s="8"/>
      <c r="K354" s="8"/>
      <c r="L354" s="8"/>
      <c r="M354" s="119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 ht="15.75" customHeight="1">
      <c r="A355" s="8"/>
      <c r="B355" s="118"/>
      <c r="C355" s="118"/>
      <c r="D355" s="8"/>
      <c r="E355" s="8"/>
      <c r="F355" s="8"/>
      <c r="G355" s="119"/>
      <c r="H355" s="119"/>
      <c r="I355" s="119"/>
      <c r="J355" s="8"/>
      <c r="K355" s="8"/>
      <c r="L355" s="8"/>
      <c r="M355" s="119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 ht="15.75" customHeight="1">
      <c r="A356" s="8"/>
      <c r="B356" s="118"/>
      <c r="C356" s="118"/>
      <c r="D356" s="8"/>
      <c r="E356" s="8"/>
      <c r="F356" s="8"/>
      <c r="G356" s="119"/>
      <c r="H356" s="119"/>
      <c r="I356" s="119"/>
      <c r="J356" s="8"/>
      <c r="K356" s="8"/>
      <c r="L356" s="8"/>
      <c r="M356" s="119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 ht="15.75" customHeight="1">
      <c r="A357" s="8"/>
      <c r="B357" s="118"/>
      <c r="C357" s="118"/>
      <c r="D357" s="8"/>
      <c r="E357" s="8"/>
      <c r="F357" s="8"/>
      <c r="G357" s="119"/>
      <c r="H357" s="119"/>
      <c r="I357" s="119"/>
      <c r="J357" s="8"/>
      <c r="K357" s="8"/>
      <c r="L357" s="8"/>
      <c r="M357" s="119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 ht="15.75" customHeight="1">
      <c r="A358" s="8"/>
      <c r="B358" s="118"/>
      <c r="C358" s="118"/>
      <c r="D358" s="8"/>
      <c r="E358" s="8"/>
      <c r="F358" s="8"/>
      <c r="G358" s="119"/>
      <c r="H358" s="119"/>
      <c r="I358" s="119"/>
      <c r="J358" s="8"/>
      <c r="K358" s="8"/>
      <c r="L358" s="8"/>
      <c r="M358" s="119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 ht="15.75" customHeight="1">
      <c r="A359" s="8"/>
      <c r="B359" s="118"/>
      <c r="C359" s="118"/>
      <c r="D359" s="8"/>
      <c r="E359" s="8"/>
      <c r="F359" s="8"/>
      <c r="G359" s="119"/>
      <c r="H359" s="119"/>
      <c r="I359" s="119"/>
      <c r="J359" s="8"/>
      <c r="K359" s="8"/>
      <c r="L359" s="8"/>
      <c r="M359" s="119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 ht="15.75" customHeight="1">
      <c r="A360" s="8"/>
      <c r="B360" s="118"/>
      <c r="C360" s="118"/>
      <c r="D360" s="8"/>
      <c r="E360" s="8"/>
      <c r="F360" s="8"/>
      <c r="G360" s="119"/>
      <c r="H360" s="119"/>
      <c r="I360" s="119"/>
      <c r="J360" s="8"/>
      <c r="K360" s="8"/>
      <c r="L360" s="8"/>
      <c r="M360" s="119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 ht="15.75" customHeight="1">
      <c r="A361" s="8"/>
      <c r="B361" s="118"/>
      <c r="C361" s="118"/>
      <c r="D361" s="8"/>
      <c r="E361" s="8"/>
      <c r="F361" s="8"/>
      <c r="G361" s="119"/>
      <c r="H361" s="119"/>
      <c r="I361" s="119"/>
      <c r="J361" s="8"/>
      <c r="K361" s="8"/>
      <c r="L361" s="8"/>
      <c r="M361" s="119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 ht="15.75" customHeight="1">
      <c r="A362" s="8"/>
      <c r="B362" s="118"/>
      <c r="C362" s="118"/>
      <c r="D362" s="8"/>
      <c r="E362" s="8"/>
      <c r="F362" s="8"/>
      <c r="G362" s="119"/>
      <c r="H362" s="119"/>
      <c r="I362" s="119"/>
      <c r="J362" s="8"/>
      <c r="K362" s="8"/>
      <c r="L362" s="8"/>
      <c r="M362" s="119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 ht="15.75" customHeight="1">
      <c r="A363" s="8"/>
      <c r="B363" s="118"/>
      <c r="C363" s="118"/>
      <c r="D363" s="8"/>
      <c r="E363" s="8"/>
      <c r="F363" s="8"/>
      <c r="G363" s="119"/>
      <c r="H363" s="119"/>
      <c r="I363" s="119"/>
      <c r="J363" s="8"/>
      <c r="K363" s="8"/>
      <c r="L363" s="8"/>
      <c r="M363" s="119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 ht="15.75" customHeight="1">
      <c r="A364" s="8"/>
      <c r="B364" s="118"/>
      <c r="C364" s="118"/>
      <c r="D364" s="8"/>
      <c r="E364" s="8"/>
      <c r="F364" s="8"/>
      <c r="G364" s="119"/>
      <c r="H364" s="119"/>
      <c r="I364" s="119"/>
      <c r="J364" s="8"/>
      <c r="K364" s="8"/>
      <c r="L364" s="8"/>
      <c r="M364" s="119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 ht="15.75" customHeight="1">
      <c r="A365" s="8"/>
      <c r="B365" s="118"/>
      <c r="C365" s="118"/>
      <c r="D365" s="8"/>
      <c r="E365" s="8"/>
      <c r="F365" s="8"/>
      <c r="G365" s="119"/>
      <c r="H365" s="119"/>
      <c r="I365" s="119"/>
      <c r="J365" s="8"/>
      <c r="K365" s="8"/>
      <c r="L365" s="8"/>
      <c r="M365" s="119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 ht="15.75" customHeight="1">
      <c r="A366" s="8"/>
      <c r="B366" s="118"/>
      <c r="C366" s="118"/>
      <c r="D366" s="8"/>
      <c r="E366" s="8"/>
      <c r="F366" s="8"/>
      <c r="G366" s="119"/>
      <c r="H366" s="119"/>
      <c r="I366" s="119"/>
      <c r="J366" s="8"/>
      <c r="K366" s="8"/>
      <c r="L366" s="8"/>
      <c r="M366" s="119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 ht="15.75" customHeight="1">
      <c r="A367" s="8"/>
      <c r="B367" s="118"/>
      <c r="C367" s="118"/>
      <c r="D367" s="8"/>
      <c r="E367" s="8"/>
      <c r="F367" s="8"/>
      <c r="G367" s="119"/>
      <c r="H367" s="119"/>
      <c r="I367" s="119"/>
      <c r="J367" s="8"/>
      <c r="K367" s="8"/>
      <c r="L367" s="8"/>
      <c r="M367" s="119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 ht="15.75" customHeight="1">
      <c r="A368" s="8"/>
      <c r="B368" s="118"/>
      <c r="C368" s="118"/>
      <c r="D368" s="8"/>
      <c r="E368" s="8"/>
      <c r="F368" s="8"/>
      <c r="G368" s="119"/>
      <c r="H368" s="119"/>
      <c r="I368" s="119"/>
      <c r="J368" s="8"/>
      <c r="K368" s="8"/>
      <c r="L368" s="8"/>
      <c r="M368" s="119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 ht="15.75" customHeight="1">
      <c r="A369" s="8"/>
      <c r="B369" s="118"/>
      <c r="C369" s="118"/>
      <c r="D369" s="8"/>
      <c r="E369" s="8"/>
      <c r="F369" s="8"/>
      <c r="G369" s="119"/>
      <c r="H369" s="119"/>
      <c r="I369" s="119"/>
      <c r="J369" s="8"/>
      <c r="K369" s="8"/>
      <c r="L369" s="8"/>
      <c r="M369" s="119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 ht="15.75" customHeight="1">
      <c r="A370" s="8"/>
      <c r="B370" s="118"/>
      <c r="C370" s="118"/>
      <c r="D370" s="8"/>
      <c r="E370" s="8"/>
      <c r="F370" s="8"/>
      <c r="G370" s="119"/>
      <c r="H370" s="119"/>
      <c r="I370" s="119"/>
      <c r="J370" s="8"/>
      <c r="K370" s="8"/>
      <c r="L370" s="8"/>
      <c r="M370" s="119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 ht="15.75" customHeight="1">
      <c r="A371" s="8"/>
      <c r="B371" s="118"/>
      <c r="C371" s="118"/>
      <c r="D371" s="8"/>
      <c r="E371" s="8"/>
      <c r="F371" s="8"/>
      <c r="G371" s="119"/>
      <c r="H371" s="119"/>
      <c r="I371" s="119"/>
      <c r="J371" s="8"/>
      <c r="K371" s="8"/>
      <c r="L371" s="8"/>
      <c r="M371" s="119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 ht="15.75" customHeight="1">
      <c r="A372" s="8"/>
      <c r="B372" s="118"/>
      <c r="C372" s="118"/>
      <c r="D372" s="8"/>
      <c r="E372" s="8"/>
      <c r="F372" s="8"/>
      <c r="G372" s="119"/>
      <c r="H372" s="119"/>
      <c r="I372" s="119"/>
      <c r="J372" s="8"/>
      <c r="K372" s="8"/>
      <c r="L372" s="8"/>
      <c r="M372" s="119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 ht="15.75" customHeight="1">
      <c r="A373" s="8"/>
      <c r="B373" s="118"/>
      <c r="C373" s="118"/>
      <c r="D373" s="8"/>
      <c r="E373" s="8"/>
      <c r="F373" s="8"/>
      <c r="G373" s="119"/>
      <c r="H373" s="119"/>
      <c r="I373" s="119"/>
      <c r="J373" s="8"/>
      <c r="K373" s="8"/>
      <c r="L373" s="8"/>
      <c r="M373" s="119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 ht="15.75" customHeight="1">
      <c r="A374" s="8"/>
      <c r="B374" s="118"/>
      <c r="C374" s="118"/>
      <c r="D374" s="8"/>
      <c r="E374" s="8"/>
      <c r="F374" s="8"/>
      <c r="G374" s="119"/>
      <c r="H374" s="119"/>
      <c r="I374" s="119"/>
      <c r="J374" s="8"/>
      <c r="K374" s="8"/>
      <c r="L374" s="8"/>
      <c r="M374" s="119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 ht="15.75" customHeight="1">
      <c r="A375" s="8"/>
      <c r="B375" s="118"/>
      <c r="C375" s="118"/>
      <c r="D375" s="8"/>
      <c r="E375" s="8"/>
      <c r="F375" s="8"/>
      <c r="G375" s="119"/>
      <c r="H375" s="119"/>
      <c r="I375" s="119"/>
      <c r="J375" s="8"/>
      <c r="K375" s="8"/>
      <c r="L375" s="8"/>
      <c r="M375" s="119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 ht="15.75" customHeight="1">
      <c r="A376" s="8"/>
      <c r="B376" s="118"/>
      <c r="C376" s="118"/>
      <c r="D376" s="8"/>
      <c r="E376" s="8"/>
      <c r="F376" s="8"/>
      <c r="G376" s="119"/>
      <c r="H376" s="119"/>
      <c r="I376" s="119"/>
      <c r="J376" s="8"/>
      <c r="K376" s="8"/>
      <c r="L376" s="8"/>
      <c r="M376" s="119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ht="15.75" customHeight="1">
      <c r="A377" s="8"/>
      <c r="B377" s="118"/>
      <c r="C377" s="118"/>
      <c r="D377" s="8"/>
      <c r="E377" s="8"/>
      <c r="F377" s="8"/>
      <c r="G377" s="119"/>
      <c r="H377" s="119"/>
      <c r="I377" s="119"/>
      <c r="J377" s="8"/>
      <c r="K377" s="8"/>
      <c r="L377" s="8"/>
      <c r="M377" s="119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ht="15.75" customHeight="1">
      <c r="A378" s="8"/>
      <c r="B378" s="118"/>
      <c r="C378" s="118"/>
      <c r="D378" s="8"/>
      <c r="E378" s="8"/>
      <c r="F378" s="8"/>
      <c r="G378" s="119"/>
      <c r="H378" s="119"/>
      <c r="I378" s="119"/>
      <c r="J378" s="8"/>
      <c r="K378" s="8"/>
      <c r="L378" s="8"/>
      <c r="M378" s="119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ht="15.75" customHeight="1">
      <c r="A379" s="8"/>
      <c r="B379" s="118"/>
      <c r="C379" s="118"/>
      <c r="D379" s="8"/>
      <c r="E379" s="8"/>
      <c r="F379" s="8"/>
      <c r="G379" s="119"/>
      <c r="H379" s="119"/>
      <c r="I379" s="119"/>
      <c r="J379" s="8"/>
      <c r="K379" s="8"/>
      <c r="L379" s="8"/>
      <c r="M379" s="119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ht="15.75" customHeight="1">
      <c r="A380" s="8"/>
      <c r="B380" s="118"/>
      <c r="C380" s="118"/>
      <c r="D380" s="8"/>
      <c r="E380" s="8"/>
      <c r="F380" s="8"/>
      <c r="G380" s="119"/>
      <c r="H380" s="119"/>
      <c r="I380" s="119"/>
      <c r="J380" s="8"/>
      <c r="K380" s="8"/>
      <c r="L380" s="8"/>
      <c r="M380" s="119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ht="15.75" customHeight="1">
      <c r="A381" s="8"/>
      <c r="B381" s="118"/>
      <c r="C381" s="118"/>
      <c r="D381" s="8"/>
      <c r="E381" s="8"/>
      <c r="F381" s="8"/>
      <c r="G381" s="119"/>
      <c r="H381" s="119"/>
      <c r="I381" s="119"/>
      <c r="J381" s="8"/>
      <c r="K381" s="8"/>
      <c r="L381" s="8"/>
      <c r="M381" s="119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ht="15.75" customHeight="1">
      <c r="A382" s="8"/>
      <c r="B382" s="118"/>
      <c r="C382" s="118"/>
      <c r="D382" s="8"/>
      <c r="E382" s="8"/>
      <c r="F382" s="8"/>
      <c r="G382" s="119"/>
      <c r="H382" s="119"/>
      <c r="I382" s="119"/>
      <c r="J382" s="8"/>
      <c r="K382" s="8"/>
      <c r="L382" s="8"/>
      <c r="M382" s="119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ht="15.75" customHeight="1">
      <c r="A383" s="8"/>
      <c r="B383" s="118"/>
      <c r="C383" s="118"/>
      <c r="D383" s="8"/>
      <c r="E383" s="8"/>
      <c r="F383" s="8"/>
      <c r="G383" s="119"/>
      <c r="H383" s="119"/>
      <c r="I383" s="119"/>
      <c r="J383" s="8"/>
      <c r="K383" s="8"/>
      <c r="L383" s="8"/>
      <c r="M383" s="119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ht="15.75" customHeight="1">
      <c r="A384" s="8"/>
      <c r="B384" s="118"/>
      <c r="C384" s="118"/>
      <c r="D384" s="8"/>
      <c r="E384" s="8"/>
      <c r="F384" s="8"/>
      <c r="G384" s="119"/>
      <c r="H384" s="119"/>
      <c r="I384" s="119"/>
      <c r="J384" s="8"/>
      <c r="K384" s="8"/>
      <c r="L384" s="8"/>
      <c r="M384" s="119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ht="15.75" customHeight="1">
      <c r="A385" s="8"/>
      <c r="B385" s="118"/>
      <c r="C385" s="118"/>
      <c r="D385" s="8"/>
      <c r="E385" s="8"/>
      <c r="F385" s="8"/>
      <c r="G385" s="119"/>
      <c r="H385" s="119"/>
      <c r="I385" s="119"/>
      <c r="J385" s="8"/>
      <c r="K385" s="8"/>
      <c r="L385" s="8"/>
      <c r="M385" s="119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ht="15.75" customHeight="1">
      <c r="A386" s="8"/>
      <c r="B386" s="118"/>
      <c r="C386" s="118"/>
      <c r="D386" s="8"/>
      <c r="E386" s="8"/>
      <c r="F386" s="8"/>
      <c r="G386" s="119"/>
      <c r="H386" s="119"/>
      <c r="I386" s="119"/>
      <c r="J386" s="8"/>
      <c r="K386" s="8"/>
      <c r="L386" s="8"/>
      <c r="M386" s="119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ht="15.75" customHeight="1">
      <c r="A387" s="8"/>
      <c r="B387" s="118"/>
      <c r="C387" s="118"/>
      <c r="D387" s="8"/>
      <c r="E387" s="8"/>
      <c r="F387" s="8"/>
      <c r="G387" s="119"/>
      <c r="H387" s="119"/>
      <c r="I387" s="119"/>
      <c r="J387" s="8"/>
      <c r="K387" s="8"/>
      <c r="L387" s="8"/>
      <c r="M387" s="119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ht="15.75" customHeight="1">
      <c r="A388" s="8"/>
      <c r="B388" s="118"/>
      <c r="C388" s="118"/>
      <c r="D388" s="8"/>
      <c r="E388" s="8"/>
      <c r="F388" s="8"/>
      <c r="G388" s="119"/>
      <c r="H388" s="119"/>
      <c r="I388" s="119"/>
      <c r="J388" s="8"/>
      <c r="K388" s="8"/>
      <c r="L388" s="8"/>
      <c r="M388" s="119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ht="15.75" customHeight="1">
      <c r="A389" s="8"/>
      <c r="B389" s="118"/>
      <c r="C389" s="118"/>
      <c r="D389" s="8"/>
      <c r="E389" s="8"/>
      <c r="F389" s="8"/>
      <c r="G389" s="119"/>
      <c r="H389" s="119"/>
      <c r="I389" s="119"/>
      <c r="J389" s="8"/>
      <c r="K389" s="8"/>
      <c r="L389" s="8"/>
      <c r="M389" s="119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ht="15.75" customHeight="1">
      <c r="A390" s="8"/>
      <c r="B390" s="118"/>
      <c r="C390" s="118"/>
      <c r="D390" s="8"/>
      <c r="E390" s="8"/>
      <c r="F390" s="8"/>
      <c r="G390" s="119"/>
      <c r="H390" s="119"/>
      <c r="I390" s="119"/>
      <c r="J390" s="8"/>
      <c r="K390" s="8"/>
      <c r="L390" s="8"/>
      <c r="M390" s="119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ht="15.75" customHeight="1">
      <c r="A391" s="8"/>
      <c r="B391" s="118"/>
      <c r="C391" s="118"/>
      <c r="D391" s="8"/>
      <c r="E391" s="8"/>
      <c r="F391" s="8"/>
      <c r="G391" s="119"/>
      <c r="H391" s="119"/>
      <c r="I391" s="119"/>
      <c r="J391" s="8"/>
      <c r="K391" s="8"/>
      <c r="L391" s="8"/>
      <c r="M391" s="119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ht="15.75" customHeight="1">
      <c r="A392" s="8"/>
      <c r="B392" s="118"/>
      <c r="C392" s="118"/>
      <c r="D392" s="8"/>
      <c r="E392" s="8"/>
      <c r="F392" s="8"/>
      <c r="G392" s="119"/>
      <c r="H392" s="119"/>
      <c r="I392" s="119"/>
      <c r="J392" s="8"/>
      <c r="K392" s="8"/>
      <c r="L392" s="8"/>
      <c r="M392" s="119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ht="15.75" customHeight="1">
      <c r="A393" s="8"/>
      <c r="B393" s="118"/>
      <c r="C393" s="118"/>
      <c r="D393" s="8"/>
      <c r="E393" s="8"/>
      <c r="F393" s="8"/>
      <c r="G393" s="119"/>
      <c r="H393" s="119"/>
      <c r="I393" s="119"/>
      <c r="J393" s="8"/>
      <c r="K393" s="8"/>
      <c r="L393" s="8"/>
      <c r="M393" s="119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ht="15.75" customHeight="1">
      <c r="A394" s="8"/>
      <c r="B394" s="118"/>
      <c r="C394" s="118"/>
      <c r="D394" s="8"/>
      <c r="E394" s="8"/>
      <c r="F394" s="8"/>
      <c r="G394" s="119"/>
      <c r="H394" s="119"/>
      <c r="I394" s="119"/>
      <c r="J394" s="8"/>
      <c r="K394" s="8"/>
      <c r="L394" s="8"/>
      <c r="M394" s="119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ht="15.75" customHeight="1">
      <c r="A395" s="8"/>
      <c r="B395" s="118"/>
      <c r="C395" s="118"/>
      <c r="D395" s="8"/>
      <c r="E395" s="8"/>
      <c r="F395" s="8"/>
      <c r="G395" s="119"/>
      <c r="H395" s="119"/>
      <c r="I395" s="119"/>
      <c r="J395" s="8"/>
      <c r="K395" s="8"/>
      <c r="L395" s="8"/>
      <c r="M395" s="119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ht="15.75" customHeight="1">
      <c r="A396" s="8"/>
      <c r="B396" s="118"/>
      <c r="C396" s="118"/>
      <c r="D396" s="8"/>
      <c r="E396" s="8"/>
      <c r="F396" s="8"/>
      <c r="G396" s="119"/>
      <c r="H396" s="119"/>
      <c r="I396" s="119"/>
      <c r="J396" s="8"/>
      <c r="K396" s="8"/>
      <c r="L396" s="8"/>
      <c r="M396" s="119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ht="15.75" customHeight="1">
      <c r="A397" s="8"/>
      <c r="B397" s="118"/>
      <c r="C397" s="118"/>
      <c r="D397" s="8"/>
      <c r="E397" s="8"/>
      <c r="F397" s="8"/>
      <c r="G397" s="119"/>
      <c r="H397" s="119"/>
      <c r="I397" s="119"/>
      <c r="J397" s="8"/>
      <c r="K397" s="8"/>
      <c r="L397" s="8"/>
      <c r="M397" s="119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ht="15.75" customHeight="1">
      <c r="A398" s="8"/>
      <c r="B398" s="118"/>
      <c r="C398" s="118"/>
      <c r="D398" s="8"/>
      <c r="E398" s="8"/>
      <c r="F398" s="8"/>
      <c r="G398" s="119"/>
      <c r="H398" s="119"/>
      <c r="I398" s="119"/>
      <c r="J398" s="8"/>
      <c r="K398" s="8"/>
      <c r="L398" s="8"/>
      <c r="M398" s="119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ht="15.75" customHeight="1">
      <c r="A399" s="8"/>
      <c r="B399" s="118"/>
      <c r="C399" s="118"/>
      <c r="D399" s="8"/>
      <c r="E399" s="8"/>
      <c r="F399" s="8"/>
      <c r="G399" s="119"/>
      <c r="H399" s="119"/>
      <c r="I399" s="119"/>
      <c r="J399" s="8"/>
      <c r="K399" s="8"/>
      <c r="L399" s="8"/>
      <c r="M399" s="119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ht="15.75" customHeight="1">
      <c r="A400" s="8"/>
      <c r="B400" s="118"/>
      <c r="C400" s="118"/>
      <c r="D400" s="8"/>
      <c r="E400" s="8"/>
      <c r="F400" s="8"/>
      <c r="G400" s="119"/>
      <c r="H400" s="119"/>
      <c r="I400" s="119"/>
      <c r="J400" s="8"/>
      <c r="K400" s="8"/>
      <c r="L400" s="8"/>
      <c r="M400" s="119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ht="15.75" customHeight="1">
      <c r="A401" s="8"/>
      <c r="B401" s="118"/>
      <c r="C401" s="118"/>
      <c r="D401" s="8"/>
      <c r="E401" s="8"/>
      <c r="F401" s="8"/>
      <c r="G401" s="119"/>
      <c r="H401" s="119"/>
      <c r="I401" s="119"/>
      <c r="J401" s="8"/>
      <c r="K401" s="8"/>
      <c r="L401" s="8"/>
      <c r="M401" s="119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ht="15.75" customHeight="1">
      <c r="A402" s="8"/>
      <c r="B402" s="118"/>
      <c r="C402" s="118"/>
      <c r="D402" s="8"/>
      <c r="E402" s="8"/>
      <c r="F402" s="8"/>
      <c r="G402" s="119"/>
      <c r="H402" s="119"/>
      <c r="I402" s="119"/>
      <c r="J402" s="8"/>
      <c r="K402" s="8"/>
      <c r="L402" s="8"/>
      <c r="M402" s="119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ht="15.75" customHeight="1">
      <c r="A403" s="8"/>
      <c r="B403" s="118"/>
      <c r="C403" s="118"/>
      <c r="D403" s="8"/>
      <c r="E403" s="8"/>
      <c r="F403" s="8"/>
      <c r="G403" s="119"/>
      <c r="H403" s="119"/>
      <c r="I403" s="119"/>
      <c r="J403" s="8"/>
      <c r="K403" s="8"/>
      <c r="L403" s="8"/>
      <c r="M403" s="119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ht="15.75" customHeight="1">
      <c r="A404" s="8"/>
      <c r="B404" s="118"/>
      <c r="C404" s="118"/>
      <c r="D404" s="8"/>
      <c r="E404" s="8"/>
      <c r="F404" s="8"/>
      <c r="G404" s="119"/>
      <c r="H404" s="119"/>
      <c r="I404" s="119"/>
      <c r="J404" s="8"/>
      <c r="K404" s="8"/>
      <c r="L404" s="8"/>
      <c r="M404" s="119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ht="15.75" customHeight="1">
      <c r="A405" s="8"/>
      <c r="B405" s="118"/>
      <c r="C405" s="118"/>
      <c r="D405" s="8"/>
      <c r="E405" s="8"/>
      <c r="F405" s="8"/>
      <c r="G405" s="119"/>
      <c r="H405" s="119"/>
      <c r="I405" s="119"/>
      <c r="J405" s="8"/>
      <c r="K405" s="8"/>
      <c r="L405" s="8"/>
      <c r="M405" s="119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ht="15.75" customHeight="1">
      <c r="A406" s="8"/>
      <c r="B406" s="118"/>
      <c r="C406" s="118"/>
      <c r="D406" s="8"/>
      <c r="E406" s="8"/>
      <c r="F406" s="8"/>
      <c r="G406" s="119"/>
      <c r="H406" s="119"/>
      <c r="I406" s="119"/>
      <c r="J406" s="8"/>
      <c r="K406" s="8"/>
      <c r="L406" s="8"/>
      <c r="M406" s="119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ht="15.75" customHeight="1">
      <c r="A407" s="8"/>
      <c r="B407" s="118"/>
      <c r="C407" s="118"/>
      <c r="D407" s="8"/>
      <c r="E407" s="8"/>
      <c r="F407" s="8"/>
      <c r="G407" s="119"/>
      <c r="H407" s="119"/>
      <c r="I407" s="119"/>
      <c r="J407" s="8"/>
      <c r="K407" s="8"/>
      <c r="L407" s="8"/>
      <c r="M407" s="119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ht="15.75" customHeight="1">
      <c r="A408" s="8"/>
      <c r="B408" s="118"/>
      <c r="C408" s="118"/>
      <c r="D408" s="8"/>
      <c r="E408" s="8"/>
      <c r="F408" s="8"/>
      <c r="G408" s="119"/>
      <c r="H408" s="119"/>
      <c r="I408" s="119"/>
      <c r="J408" s="8"/>
      <c r="K408" s="8"/>
      <c r="L408" s="8"/>
      <c r="M408" s="119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ht="15.75" customHeight="1">
      <c r="A409" s="8"/>
      <c r="B409" s="118"/>
      <c r="C409" s="118"/>
      <c r="D409" s="8"/>
      <c r="E409" s="8"/>
      <c r="F409" s="8"/>
      <c r="G409" s="119"/>
      <c r="H409" s="119"/>
      <c r="I409" s="119"/>
      <c r="J409" s="8"/>
      <c r="K409" s="8"/>
      <c r="L409" s="8"/>
      <c r="M409" s="119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ht="15.75" customHeight="1">
      <c r="A410" s="8"/>
      <c r="B410" s="118"/>
      <c r="C410" s="118"/>
      <c r="D410" s="8"/>
      <c r="E410" s="8"/>
      <c r="F410" s="8"/>
      <c r="G410" s="119"/>
      <c r="H410" s="119"/>
      <c r="I410" s="119"/>
      <c r="J410" s="8"/>
      <c r="K410" s="8"/>
      <c r="L410" s="8"/>
      <c r="M410" s="119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ht="15.75" customHeight="1">
      <c r="A411" s="8"/>
      <c r="B411" s="118"/>
      <c r="C411" s="118"/>
      <c r="D411" s="8"/>
      <c r="E411" s="8"/>
      <c r="F411" s="8"/>
      <c r="G411" s="119"/>
      <c r="H411" s="119"/>
      <c r="I411" s="119"/>
      <c r="J411" s="8"/>
      <c r="K411" s="8"/>
      <c r="L411" s="8"/>
      <c r="M411" s="119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ht="15.75" customHeight="1">
      <c r="A412" s="8"/>
      <c r="B412" s="118"/>
      <c r="C412" s="118"/>
      <c r="D412" s="8"/>
      <c r="E412" s="8"/>
      <c r="F412" s="8"/>
      <c r="G412" s="119"/>
      <c r="H412" s="119"/>
      <c r="I412" s="119"/>
      <c r="J412" s="8"/>
      <c r="K412" s="8"/>
      <c r="L412" s="8"/>
      <c r="M412" s="119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ht="15.75" customHeight="1">
      <c r="A413" s="8"/>
      <c r="B413" s="118"/>
      <c r="C413" s="118"/>
      <c r="D413" s="8"/>
      <c r="E413" s="8"/>
      <c r="F413" s="8"/>
      <c r="G413" s="119"/>
      <c r="H413" s="119"/>
      <c r="I413" s="119"/>
      <c r="J413" s="8"/>
      <c r="K413" s="8"/>
      <c r="L413" s="8"/>
      <c r="M413" s="119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ht="15.75" customHeight="1">
      <c r="A414" s="8"/>
      <c r="B414" s="118"/>
      <c r="C414" s="118"/>
      <c r="D414" s="8"/>
      <c r="E414" s="8"/>
      <c r="F414" s="8"/>
      <c r="G414" s="119"/>
      <c r="H414" s="119"/>
      <c r="I414" s="119"/>
      <c r="J414" s="8"/>
      <c r="K414" s="8"/>
      <c r="L414" s="8"/>
      <c r="M414" s="119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ht="15.75" customHeight="1">
      <c r="A415" s="8"/>
      <c r="B415" s="118"/>
      <c r="C415" s="118"/>
      <c r="D415" s="8"/>
      <c r="E415" s="8"/>
      <c r="F415" s="8"/>
      <c r="G415" s="119"/>
      <c r="H415" s="119"/>
      <c r="I415" s="119"/>
      <c r="J415" s="8"/>
      <c r="K415" s="8"/>
      <c r="L415" s="8"/>
      <c r="M415" s="119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ht="15.75" customHeight="1">
      <c r="A416" s="8"/>
      <c r="B416" s="118"/>
      <c r="C416" s="118"/>
      <c r="D416" s="8"/>
      <c r="E416" s="8"/>
      <c r="F416" s="8"/>
      <c r="G416" s="119"/>
      <c r="H416" s="119"/>
      <c r="I416" s="119"/>
      <c r="J416" s="8"/>
      <c r="K416" s="8"/>
      <c r="L416" s="8"/>
      <c r="M416" s="119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 ht="15.75" customHeight="1">
      <c r="A417" s="8"/>
      <c r="B417" s="118"/>
      <c r="C417" s="118"/>
      <c r="D417" s="8"/>
      <c r="E417" s="8"/>
      <c r="F417" s="8"/>
      <c r="G417" s="119"/>
      <c r="H417" s="119"/>
      <c r="I417" s="119"/>
      <c r="J417" s="8"/>
      <c r="K417" s="8"/>
      <c r="L417" s="8"/>
      <c r="M417" s="119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ht="15.75" customHeight="1">
      <c r="A418" s="8"/>
      <c r="B418" s="118"/>
      <c r="C418" s="118"/>
      <c r="D418" s="8"/>
      <c r="E418" s="8"/>
      <c r="F418" s="8"/>
      <c r="G418" s="119"/>
      <c r="H418" s="119"/>
      <c r="I418" s="119"/>
      <c r="J418" s="8"/>
      <c r="K418" s="8"/>
      <c r="L418" s="8"/>
      <c r="M418" s="119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ht="15.75" customHeight="1">
      <c r="A419" s="8"/>
      <c r="B419" s="118"/>
      <c r="C419" s="118"/>
      <c r="D419" s="8"/>
      <c r="E419" s="8"/>
      <c r="F419" s="8"/>
      <c r="G419" s="119"/>
      <c r="H419" s="119"/>
      <c r="I419" s="119"/>
      <c r="J419" s="8"/>
      <c r="K419" s="8"/>
      <c r="L419" s="8"/>
      <c r="M419" s="119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ht="15.75" customHeight="1">
      <c r="A420" s="8"/>
      <c r="B420" s="118"/>
      <c r="C420" s="118"/>
      <c r="D420" s="8"/>
      <c r="E420" s="8"/>
      <c r="F420" s="8"/>
      <c r="G420" s="119"/>
      <c r="H420" s="119"/>
      <c r="I420" s="119"/>
      <c r="J420" s="8"/>
      <c r="K420" s="8"/>
      <c r="L420" s="8"/>
      <c r="M420" s="119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ht="15.75" customHeight="1">
      <c r="A421" s="8"/>
      <c r="B421" s="118"/>
      <c r="C421" s="118"/>
      <c r="D421" s="8"/>
      <c r="E421" s="8"/>
      <c r="F421" s="8"/>
      <c r="G421" s="119"/>
      <c r="H421" s="119"/>
      <c r="I421" s="119"/>
      <c r="J421" s="8"/>
      <c r="K421" s="8"/>
      <c r="L421" s="8"/>
      <c r="M421" s="119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ht="15.75" customHeight="1">
      <c r="A422" s="8"/>
      <c r="B422" s="118"/>
      <c r="C422" s="118"/>
      <c r="D422" s="8"/>
      <c r="E422" s="8"/>
      <c r="F422" s="8"/>
      <c r="G422" s="119"/>
      <c r="H422" s="119"/>
      <c r="I422" s="119"/>
      <c r="J422" s="8"/>
      <c r="K422" s="8"/>
      <c r="L422" s="8"/>
      <c r="M422" s="119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 ht="15.75" customHeight="1">
      <c r="A423" s="8"/>
      <c r="B423" s="118"/>
      <c r="C423" s="118"/>
      <c r="D423" s="8"/>
      <c r="E423" s="8"/>
      <c r="F423" s="8"/>
      <c r="G423" s="119"/>
      <c r="H423" s="119"/>
      <c r="I423" s="119"/>
      <c r="J423" s="8"/>
      <c r="K423" s="8"/>
      <c r="L423" s="8"/>
      <c r="M423" s="119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ht="15.75" customHeight="1">
      <c r="A424" s="8"/>
      <c r="B424" s="118"/>
      <c r="C424" s="118"/>
      <c r="D424" s="8"/>
      <c r="E424" s="8"/>
      <c r="F424" s="8"/>
      <c r="G424" s="119"/>
      <c r="H424" s="119"/>
      <c r="I424" s="119"/>
      <c r="J424" s="8"/>
      <c r="K424" s="8"/>
      <c r="L424" s="8"/>
      <c r="M424" s="119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 ht="15.75" customHeight="1">
      <c r="A425" s="8"/>
      <c r="B425" s="118"/>
      <c r="C425" s="118"/>
      <c r="D425" s="8"/>
      <c r="E425" s="8"/>
      <c r="F425" s="8"/>
      <c r="G425" s="119"/>
      <c r="H425" s="119"/>
      <c r="I425" s="119"/>
      <c r="J425" s="8"/>
      <c r="K425" s="8"/>
      <c r="L425" s="8"/>
      <c r="M425" s="119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ht="15.75" customHeight="1">
      <c r="A426" s="8"/>
      <c r="B426" s="118"/>
      <c r="C426" s="118"/>
      <c r="D426" s="8"/>
      <c r="E426" s="8"/>
      <c r="F426" s="8"/>
      <c r="G426" s="119"/>
      <c r="H426" s="119"/>
      <c r="I426" s="119"/>
      <c r="J426" s="8"/>
      <c r="K426" s="8"/>
      <c r="L426" s="8"/>
      <c r="M426" s="119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ht="15.75" customHeight="1">
      <c r="F427" s="120"/>
      <c r="G427" s="121"/>
      <c r="H427" s="121"/>
      <c r="I427" s="121"/>
      <c r="M427" s="121"/>
    </row>
    <row r="428" ht="15.75" customHeight="1">
      <c r="F428" s="120"/>
      <c r="G428" s="121"/>
      <c r="H428" s="121"/>
      <c r="I428" s="121"/>
      <c r="M428" s="121"/>
    </row>
    <row r="429" ht="15.75" customHeight="1">
      <c r="F429" s="120"/>
      <c r="G429" s="121"/>
      <c r="H429" s="121"/>
      <c r="I429" s="121"/>
      <c r="M429" s="121"/>
    </row>
    <row r="430" ht="15.75" customHeight="1">
      <c r="F430" s="120"/>
      <c r="G430" s="121"/>
      <c r="H430" s="121"/>
      <c r="I430" s="121"/>
      <c r="M430" s="121"/>
    </row>
    <row r="431" ht="15.75" customHeight="1">
      <c r="F431" s="120"/>
      <c r="G431" s="121"/>
      <c r="H431" s="121"/>
      <c r="I431" s="121"/>
      <c r="M431" s="121"/>
    </row>
    <row r="432" ht="15.75" customHeight="1">
      <c r="F432" s="120"/>
      <c r="G432" s="121"/>
      <c r="H432" s="121"/>
      <c r="I432" s="121"/>
      <c r="M432" s="121"/>
    </row>
    <row r="433" ht="15.75" customHeight="1">
      <c r="F433" s="120"/>
      <c r="G433" s="121"/>
      <c r="H433" s="121"/>
      <c r="I433" s="121"/>
      <c r="M433" s="121"/>
    </row>
    <row r="434" ht="15.75" customHeight="1">
      <c r="F434" s="120"/>
      <c r="G434" s="121"/>
      <c r="H434" s="121"/>
      <c r="I434" s="121"/>
      <c r="M434" s="121"/>
    </row>
    <row r="435" ht="15.75" customHeight="1">
      <c r="F435" s="120"/>
      <c r="G435" s="121"/>
      <c r="H435" s="121"/>
      <c r="I435" s="121"/>
      <c r="M435" s="121"/>
    </row>
    <row r="436" ht="15.75" customHeight="1">
      <c r="F436" s="120"/>
      <c r="G436" s="121"/>
      <c r="H436" s="121"/>
      <c r="I436" s="121"/>
      <c r="M436" s="121"/>
    </row>
    <row r="437" ht="15.75" customHeight="1">
      <c r="F437" s="120"/>
      <c r="G437" s="121"/>
      <c r="H437" s="121"/>
      <c r="I437" s="121"/>
      <c r="M437" s="121"/>
    </row>
    <row r="438" ht="15.75" customHeight="1">
      <c r="F438" s="120"/>
      <c r="G438" s="121"/>
      <c r="H438" s="121"/>
      <c r="I438" s="121"/>
      <c r="M438" s="121"/>
    </row>
    <row r="439" ht="15.75" customHeight="1">
      <c r="F439" s="120"/>
      <c r="G439" s="121"/>
      <c r="H439" s="121"/>
      <c r="I439" s="121"/>
      <c r="M439" s="121"/>
    </row>
    <row r="440" ht="15.75" customHeight="1">
      <c r="F440" s="120"/>
      <c r="G440" s="121"/>
      <c r="H440" s="121"/>
      <c r="I440" s="121"/>
      <c r="M440" s="121"/>
    </row>
    <row r="441" ht="15.75" customHeight="1">
      <c r="F441" s="120"/>
      <c r="G441" s="121"/>
      <c r="H441" s="121"/>
      <c r="I441" s="121"/>
      <c r="M441" s="121"/>
    </row>
    <row r="442" ht="15.75" customHeight="1">
      <c r="F442" s="120"/>
      <c r="G442" s="121"/>
      <c r="H442" s="121"/>
      <c r="I442" s="121"/>
      <c r="M442" s="121"/>
    </row>
    <row r="443" ht="15.75" customHeight="1">
      <c r="F443" s="120"/>
      <c r="G443" s="121"/>
      <c r="H443" s="121"/>
      <c r="I443" s="121"/>
      <c r="M443" s="121"/>
    </row>
    <row r="444" ht="15.75" customHeight="1">
      <c r="F444" s="120"/>
      <c r="G444" s="121"/>
      <c r="H444" s="121"/>
      <c r="I444" s="121"/>
      <c r="M444" s="121"/>
    </row>
    <row r="445" ht="15.75" customHeight="1">
      <c r="F445" s="120"/>
      <c r="G445" s="121"/>
      <c r="H445" s="121"/>
      <c r="I445" s="121"/>
      <c r="M445" s="121"/>
    </row>
    <row r="446" ht="15.75" customHeight="1">
      <c r="F446" s="120"/>
      <c r="G446" s="121"/>
      <c r="H446" s="121"/>
      <c r="I446" s="121"/>
      <c r="M446" s="121"/>
    </row>
    <row r="447" ht="15.75" customHeight="1">
      <c r="F447" s="120"/>
      <c r="G447" s="121"/>
      <c r="H447" s="121"/>
      <c r="I447" s="121"/>
      <c r="M447" s="121"/>
    </row>
    <row r="448" ht="15.75" customHeight="1">
      <c r="F448" s="120"/>
      <c r="G448" s="121"/>
      <c r="H448" s="121"/>
      <c r="I448" s="121"/>
      <c r="M448" s="121"/>
    </row>
    <row r="449" ht="15.75" customHeight="1">
      <c r="F449" s="120"/>
      <c r="G449" s="121"/>
      <c r="H449" s="121"/>
      <c r="I449" s="121"/>
      <c r="M449" s="121"/>
    </row>
    <row r="450" ht="15.75" customHeight="1">
      <c r="F450" s="120"/>
      <c r="G450" s="121"/>
      <c r="H450" s="121"/>
      <c r="I450" s="121"/>
      <c r="M450" s="121"/>
    </row>
    <row r="451" ht="15.75" customHeight="1">
      <c r="F451" s="120"/>
      <c r="G451" s="121"/>
      <c r="H451" s="121"/>
      <c r="I451" s="121"/>
      <c r="M451" s="121"/>
    </row>
    <row r="452" ht="15.75" customHeight="1">
      <c r="F452" s="120"/>
      <c r="G452" s="121"/>
      <c r="H452" s="121"/>
      <c r="I452" s="121"/>
      <c r="M452" s="121"/>
    </row>
    <row r="453" ht="15.75" customHeight="1">
      <c r="F453" s="120"/>
      <c r="G453" s="121"/>
      <c r="H453" s="121"/>
      <c r="I453" s="121"/>
      <c r="M453" s="121"/>
    </row>
    <row r="454" ht="15.75" customHeight="1">
      <c r="F454" s="120"/>
      <c r="G454" s="121"/>
      <c r="H454" s="121"/>
      <c r="I454" s="121"/>
      <c r="M454" s="121"/>
    </row>
    <row r="455" ht="15.75" customHeight="1">
      <c r="F455" s="120"/>
      <c r="G455" s="121"/>
      <c r="H455" s="121"/>
      <c r="I455" s="121"/>
      <c r="M455" s="121"/>
    </row>
    <row r="456" ht="15.75" customHeight="1">
      <c r="F456" s="120"/>
      <c r="G456" s="121"/>
      <c r="H456" s="121"/>
      <c r="I456" s="121"/>
      <c r="M456" s="121"/>
    </row>
    <row r="457" ht="15.75" customHeight="1">
      <c r="F457" s="120"/>
      <c r="G457" s="121"/>
      <c r="H457" s="121"/>
      <c r="I457" s="121"/>
      <c r="M457" s="121"/>
    </row>
    <row r="458" ht="15.75" customHeight="1">
      <c r="F458" s="120"/>
      <c r="G458" s="121"/>
      <c r="H458" s="121"/>
      <c r="I458" s="121"/>
      <c r="M458" s="121"/>
    </row>
    <row r="459" ht="15.75" customHeight="1">
      <c r="F459" s="120"/>
      <c r="G459" s="121"/>
      <c r="H459" s="121"/>
      <c r="I459" s="121"/>
      <c r="M459" s="121"/>
    </row>
    <row r="460" ht="15.75" customHeight="1">
      <c r="F460" s="120"/>
      <c r="G460" s="121"/>
      <c r="H460" s="121"/>
      <c r="I460" s="121"/>
      <c r="M460" s="121"/>
    </row>
    <row r="461" ht="15.75" customHeight="1">
      <c r="F461" s="120"/>
      <c r="G461" s="121"/>
      <c r="H461" s="121"/>
      <c r="I461" s="121"/>
      <c r="M461" s="121"/>
    </row>
    <row r="462" ht="15.75" customHeight="1">
      <c r="F462" s="120"/>
      <c r="G462" s="121"/>
      <c r="H462" s="121"/>
      <c r="I462" s="121"/>
      <c r="M462" s="121"/>
    </row>
    <row r="463" ht="15.75" customHeight="1">
      <c r="F463" s="120"/>
      <c r="G463" s="121"/>
      <c r="H463" s="121"/>
      <c r="I463" s="121"/>
      <c r="M463" s="121"/>
    </row>
    <row r="464" ht="15.75" customHeight="1">
      <c r="F464" s="120"/>
      <c r="G464" s="121"/>
      <c r="H464" s="121"/>
      <c r="I464" s="121"/>
      <c r="M464" s="121"/>
    </row>
    <row r="465" ht="15.75" customHeight="1">
      <c r="F465" s="120"/>
      <c r="G465" s="121"/>
      <c r="H465" s="121"/>
      <c r="I465" s="121"/>
      <c r="M465" s="121"/>
    </row>
    <row r="466" ht="15.75" customHeight="1">
      <c r="F466" s="120"/>
      <c r="G466" s="121"/>
      <c r="H466" s="121"/>
      <c r="I466" s="121"/>
      <c r="M466" s="121"/>
    </row>
    <row r="467" ht="15.75" customHeight="1">
      <c r="F467" s="120"/>
      <c r="G467" s="121"/>
      <c r="H467" s="121"/>
      <c r="I467" s="121"/>
      <c r="M467" s="121"/>
    </row>
    <row r="468" ht="15.75" customHeight="1">
      <c r="F468" s="120"/>
      <c r="G468" s="121"/>
      <c r="H468" s="121"/>
      <c r="I468" s="121"/>
      <c r="M468" s="121"/>
    </row>
    <row r="469" ht="15.75" customHeight="1">
      <c r="F469" s="120"/>
      <c r="G469" s="121"/>
      <c r="H469" s="121"/>
      <c r="I469" s="121"/>
      <c r="M469" s="121"/>
    </row>
    <row r="470" ht="15.75" customHeight="1">
      <c r="F470" s="120"/>
      <c r="G470" s="121"/>
      <c r="H470" s="121"/>
      <c r="I470" s="121"/>
      <c r="M470" s="121"/>
    </row>
    <row r="471" ht="15.75" customHeight="1">
      <c r="F471" s="120"/>
      <c r="G471" s="121"/>
      <c r="H471" s="121"/>
      <c r="I471" s="121"/>
      <c r="M471" s="121"/>
    </row>
    <row r="472" ht="15.75" customHeight="1">
      <c r="F472" s="120"/>
      <c r="G472" s="121"/>
      <c r="H472" s="121"/>
      <c r="I472" s="121"/>
      <c r="M472" s="121"/>
    </row>
    <row r="473" ht="15.75" customHeight="1">
      <c r="F473" s="120"/>
      <c r="G473" s="121"/>
      <c r="H473" s="121"/>
      <c r="I473" s="121"/>
      <c r="M473" s="121"/>
    </row>
    <row r="474" ht="15.75" customHeight="1">
      <c r="F474" s="120"/>
      <c r="G474" s="121"/>
      <c r="H474" s="121"/>
      <c r="I474" s="121"/>
      <c r="M474" s="121"/>
    </row>
    <row r="475" ht="15.75" customHeight="1">
      <c r="F475" s="120"/>
      <c r="G475" s="121"/>
      <c r="H475" s="121"/>
      <c r="I475" s="121"/>
      <c r="M475" s="121"/>
    </row>
    <row r="476" ht="15.75" customHeight="1">
      <c r="F476" s="120"/>
      <c r="G476" s="121"/>
      <c r="H476" s="121"/>
      <c r="I476" s="121"/>
      <c r="M476" s="121"/>
    </row>
    <row r="477" ht="15.75" customHeight="1">
      <c r="F477" s="120"/>
      <c r="G477" s="121"/>
      <c r="H477" s="121"/>
      <c r="I477" s="121"/>
      <c r="M477" s="121"/>
    </row>
    <row r="478" ht="15.75" customHeight="1">
      <c r="F478" s="120"/>
      <c r="G478" s="121"/>
      <c r="H478" s="121"/>
      <c r="I478" s="121"/>
      <c r="M478" s="121"/>
    </row>
    <row r="479" ht="15.75" customHeight="1">
      <c r="F479" s="120"/>
      <c r="G479" s="121"/>
      <c r="H479" s="121"/>
      <c r="I479" s="121"/>
      <c r="M479" s="121"/>
    </row>
    <row r="480" ht="15.75" customHeight="1">
      <c r="F480" s="120"/>
      <c r="G480" s="121"/>
      <c r="H480" s="121"/>
      <c r="I480" s="121"/>
      <c r="M480" s="121"/>
    </row>
    <row r="481" ht="15.75" customHeight="1">
      <c r="F481" s="120"/>
      <c r="G481" s="121"/>
      <c r="H481" s="121"/>
      <c r="I481" s="121"/>
      <c r="M481" s="121"/>
    </row>
    <row r="482" ht="15.75" customHeight="1">
      <c r="F482" s="120"/>
      <c r="G482" s="121"/>
      <c r="H482" s="121"/>
      <c r="I482" s="121"/>
      <c r="M482" s="121"/>
    </row>
    <row r="483" ht="15.75" customHeight="1">
      <c r="F483" s="120"/>
      <c r="G483" s="121"/>
      <c r="H483" s="121"/>
      <c r="I483" s="121"/>
      <c r="M483" s="121"/>
    </row>
    <row r="484" ht="15.75" customHeight="1">
      <c r="F484" s="120"/>
      <c r="G484" s="121"/>
      <c r="H484" s="121"/>
      <c r="I484" s="121"/>
      <c r="M484" s="121"/>
    </row>
    <row r="485" ht="15.75" customHeight="1">
      <c r="F485" s="120"/>
      <c r="G485" s="121"/>
      <c r="H485" s="121"/>
      <c r="I485" s="121"/>
      <c r="M485" s="121"/>
    </row>
    <row r="486" ht="15.75" customHeight="1">
      <c r="F486" s="120"/>
      <c r="G486" s="121"/>
      <c r="H486" s="121"/>
      <c r="I486" s="121"/>
      <c r="M486" s="121"/>
    </row>
    <row r="487" ht="15.75" customHeight="1">
      <c r="F487" s="120"/>
      <c r="G487" s="121"/>
      <c r="H487" s="121"/>
      <c r="I487" s="121"/>
      <c r="M487" s="121"/>
    </row>
    <row r="488" ht="15.75" customHeight="1">
      <c r="F488" s="120"/>
      <c r="G488" s="121"/>
      <c r="H488" s="121"/>
      <c r="I488" s="121"/>
      <c r="M488" s="121"/>
    </row>
    <row r="489" ht="15.75" customHeight="1">
      <c r="F489" s="120"/>
      <c r="G489" s="121"/>
      <c r="H489" s="121"/>
      <c r="I489" s="121"/>
      <c r="M489" s="121"/>
    </row>
    <row r="490" ht="15.75" customHeight="1">
      <c r="F490" s="120"/>
      <c r="G490" s="121"/>
      <c r="H490" s="121"/>
      <c r="I490" s="121"/>
      <c r="M490" s="121"/>
    </row>
    <row r="491" ht="15.75" customHeight="1">
      <c r="F491" s="120"/>
      <c r="G491" s="121"/>
      <c r="H491" s="121"/>
      <c r="I491" s="121"/>
      <c r="M491" s="121"/>
    </row>
    <row r="492" ht="15.75" customHeight="1">
      <c r="F492" s="120"/>
      <c r="G492" s="121"/>
      <c r="H492" s="121"/>
      <c r="I492" s="121"/>
      <c r="M492" s="121"/>
    </row>
    <row r="493" ht="15.75" customHeight="1">
      <c r="F493" s="120"/>
      <c r="G493" s="121"/>
      <c r="H493" s="121"/>
      <c r="I493" s="121"/>
      <c r="M493" s="121"/>
    </row>
    <row r="494" ht="15.75" customHeight="1">
      <c r="F494" s="120"/>
      <c r="G494" s="121"/>
      <c r="H494" s="121"/>
      <c r="I494" s="121"/>
      <c r="M494" s="121"/>
    </row>
    <row r="495" ht="15.75" customHeight="1">
      <c r="F495" s="120"/>
      <c r="G495" s="121"/>
      <c r="H495" s="121"/>
      <c r="I495" s="121"/>
      <c r="M495" s="121"/>
    </row>
    <row r="496" ht="15.75" customHeight="1">
      <c r="F496" s="120"/>
      <c r="G496" s="121"/>
      <c r="H496" s="121"/>
      <c r="I496" s="121"/>
      <c r="M496" s="121"/>
    </row>
    <row r="497" ht="15.75" customHeight="1">
      <c r="F497" s="120"/>
      <c r="G497" s="121"/>
      <c r="H497" s="121"/>
      <c r="I497" s="121"/>
      <c r="M497" s="121"/>
    </row>
    <row r="498" ht="15.75" customHeight="1">
      <c r="F498" s="120"/>
      <c r="G498" s="121"/>
      <c r="H498" s="121"/>
      <c r="I498" s="121"/>
      <c r="M498" s="121"/>
    </row>
    <row r="499" ht="15.75" customHeight="1">
      <c r="F499" s="120"/>
      <c r="G499" s="121"/>
      <c r="H499" s="121"/>
      <c r="I499" s="121"/>
      <c r="M499" s="121"/>
    </row>
    <row r="500" ht="15.75" customHeight="1">
      <c r="F500" s="120"/>
      <c r="G500" s="121"/>
      <c r="H500" s="121"/>
      <c r="I500" s="121"/>
      <c r="M500" s="121"/>
    </row>
    <row r="501" ht="15.75" customHeight="1">
      <c r="F501" s="120"/>
      <c r="G501" s="121"/>
      <c r="H501" s="121"/>
      <c r="I501" s="121"/>
      <c r="M501" s="121"/>
    </row>
    <row r="502" ht="15.75" customHeight="1">
      <c r="F502" s="120"/>
      <c r="G502" s="121"/>
      <c r="H502" s="121"/>
      <c r="I502" s="121"/>
      <c r="M502" s="121"/>
    </row>
    <row r="503" ht="15.75" customHeight="1">
      <c r="F503" s="120"/>
      <c r="G503" s="121"/>
      <c r="H503" s="121"/>
      <c r="I503" s="121"/>
      <c r="M503" s="121"/>
    </row>
    <row r="504" ht="15.75" customHeight="1">
      <c r="F504" s="120"/>
      <c r="G504" s="121"/>
      <c r="H504" s="121"/>
      <c r="I504" s="121"/>
      <c r="M504" s="121"/>
    </row>
    <row r="505" ht="15.75" customHeight="1">
      <c r="F505" s="120"/>
      <c r="G505" s="121"/>
      <c r="H505" s="121"/>
      <c r="I505" s="121"/>
      <c r="M505" s="121"/>
    </row>
    <row r="506" ht="15.75" customHeight="1">
      <c r="F506" s="120"/>
      <c r="G506" s="121"/>
      <c r="H506" s="121"/>
      <c r="I506" s="121"/>
      <c r="M506" s="121"/>
    </row>
    <row r="507" ht="15.75" customHeight="1">
      <c r="F507" s="120"/>
      <c r="G507" s="121"/>
      <c r="H507" s="121"/>
      <c r="I507" s="121"/>
      <c r="M507" s="121"/>
    </row>
    <row r="508" ht="15.75" customHeight="1">
      <c r="F508" s="120"/>
      <c r="G508" s="121"/>
      <c r="H508" s="121"/>
      <c r="I508" s="121"/>
      <c r="M508" s="121"/>
    </row>
    <row r="509" ht="15.75" customHeight="1">
      <c r="F509" s="120"/>
      <c r="G509" s="121"/>
      <c r="H509" s="121"/>
      <c r="I509" s="121"/>
      <c r="M509" s="121"/>
    </row>
    <row r="510" ht="15.75" customHeight="1">
      <c r="F510" s="120"/>
      <c r="G510" s="121"/>
      <c r="H510" s="121"/>
      <c r="I510" s="121"/>
      <c r="M510" s="121"/>
    </row>
    <row r="511" ht="15.75" customHeight="1">
      <c r="F511" s="120"/>
      <c r="G511" s="121"/>
      <c r="H511" s="121"/>
      <c r="I511" s="121"/>
      <c r="M511" s="121"/>
    </row>
    <row r="512" ht="15.75" customHeight="1">
      <c r="F512" s="120"/>
      <c r="G512" s="121"/>
      <c r="H512" s="121"/>
      <c r="I512" s="121"/>
      <c r="M512" s="121"/>
    </row>
    <row r="513" ht="15.75" customHeight="1">
      <c r="F513" s="120"/>
      <c r="G513" s="121"/>
      <c r="H513" s="121"/>
      <c r="I513" s="121"/>
      <c r="M513" s="121"/>
    </row>
    <row r="514" ht="15.75" customHeight="1">
      <c r="F514" s="120"/>
      <c r="G514" s="121"/>
      <c r="H514" s="121"/>
      <c r="I514" s="121"/>
      <c r="M514" s="121"/>
    </row>
    <row r="515" ht="15.75" customHeight="1">
      <c r="F515" s="120"/>
      <c r="G515" s="121"/>
      <c r="H515" s="121"/>
      <c r="I515" s="121"/>
      <c r="M515" s="121"/>
    </row>
    <row r="516" ht="15.75" customHeight="1">
      <c r="F516" s="120"/>
      <c r="G516" s="121"/>
      <c r="H516" s="121"/>
      <c r="I516" s="121"/>
      <c r="M516" s="121"/>
    </row>
    <row r="517" ht="15.75" customHeight="1">
      <c r="F517" s="120"/>
      <c r="G517" s="121"/>
      <c r="H517" s="121"/>
      <c r="I517" s="121"/>
      <c r="M517" s="121"/>
    </row>
    <row r="518" ht="15.75" customHeight="1">
      <c r="F518" s="120"/>
      <c r="G518" s="121"/>
      <c r="H518" s="121"/>
      <c r="I518" s="121"/>
      <c r="M518" s="121"/>
    </row>
    <row r="519" ht="15.75" customHeight="1">
      <c r="F519" s="120"/>
      <c r="G519" s="121"/>
      <c r="H519" s="121"/>
      <c r="I519" s="121"/>
      <c r="M519" s="121"/>
    </row>
    <row r="520" ht="15.75" customHeight="1">
      <c r="F520" s="120"/>
      <c r="G520" s="121"/>
      <c r="H520" s="121"/>
      <c r="I520" s="121"/>
      <c r="M520" s="121"/>
    </row>
    <row r="521" ht="15.75" customHeight="1">
      <c r="F521" s="120"/>
      <c r="G521" s="121"/>
      <c r="H521" s="121"/>
      <c r="I521" s="121"/>
      <c r="M521" s="121"/>
    </row>
    <row r="522" ht="15.75" customHeight="1">
      <c r="F522" s="120"/>
      <c r="G522" s="121"/>
      <c r="H522" s="121"/>
      <c r="I522" s="121"/>
      <c r="M522" s="121"/>
    </row>
    <row r="523" ht="15.75" customHeight="1">
      <c r="F523" s="120"/>
      <c r="G523" s="121"/>
      <c r="H523" s="121"/>
      <c r="I523" s="121"/>
      <c r="M523" s="121"/>
    </row>
    <row r="524" ht="15.75" customHeight="1">
      <c r="F524" s="120"/>
      <c r="G524" s="121"/>
      <c r="H524" s="121"/>
      <c r="I524" s="121"/>
      <c r="M524" s="121"/>
    </row>
    <row r="525" ht="15.75" customHeight="1">
      <c r="F525" s="120"/>
      <c r="G525" s="121"/>
      <c r="H525" s="121"/>
      <c r="I525" s="121"/>
      <c r="M525" s="121"/>
    </row>
    <row r="526" ht="15.75" customHeight="1">
      <c r="F526" s="120"/>
      <c r="G526" s="121"/>
      <c r="H526" s="121"/>
      <c r="I526" s="121"/>
      <c r="M526" s="121"/>
    </row>
    <row r="527" ht="15.75" customHeight="1">
      <c r="F527" s="120"/>
      <c r="G527" s="121"/>
      <c r="H527" s="121"/>
      <c r="I527" s="121"/>
      <c r="M527" s="121"/>
    </row>
    <row r="528" ht="15.75" customHeight="1">
      <c r="F528" s="120"/>
      <c r="G528" s="121"/>
      <c r="H528" s="121"/>
      <c r="I528" s="121"/>
      <c r="M528" s="121"/>
    </row>
    <row r="529" ht="15.75" customHeight="1">
      <c r="F529" s="120"/>
      <c r="G529" s="121"/>
      <c r="H529" s="121"/>
      <c r="I529" s="121"/>
      <c r="M529" s="121"/>
    </row>
    <row r="530" ht="15.75" customHeight="1">
      <c r="F530" s="120"/>
      <c r="G530" s="121"/>
      <c r="H530" s="121"/>
      <c r="I530" s="121"/>
      <c r="M530" s="121"/>
    </row>
    <row r="531" ht="15.75" customHeight="1">
      <c r="F531" s="120"/>
      <c r="G531" s="121"/>
      <c r="H531" s="121"/>
      <c r="I531" s="121"/>
      <c r="M531" s="121"/>
    </row>
    <row r="532" ht="15.75" customHeight="1">
      <c r="F532" s="120"/>
      <c r="G532" s="121"/>
      <c r="H532" s="121"/>
      <c r="I532" s="121"/>
      <c r="M532" s="121"/>
    </row>
    <row r="533" ht="15.75" customHeight="1">
      <c r="F533" s="120"/>
      <c r="G533" s="121"/>
      <c r="H533" s="121"/>
      <c r="I533" s="121"/>
      <c r="M533" s="121"/>
    </row>
    <row r="534" ht="15.75" customHeight="1">
      <c r="F534" s="120"/>
      <c r="G534" s="121"/>
      <c r="H534" s="121"/>
      <c r="I534" s="121"/>
      <c r="M534" s="121"/>
    </row>
    <row r="535" ht="15.75" customHeight="1">
      <c r="F535" s="120"/>
      <c r="G535" s="121"/>
      <c r="H535" s="121"/>
      <c r="I535" s="121"/>
      <c r="M535" s="121"/>
    </row>
    <row r="536" ht="15.75" customHeight="1">
      <c r="F536" s="120"/>
      <c r="G536" s="121"/>
      <c r="H536" s="121"/>
      <c r="I536" s="121"/>
      <c r="M536" s="121"/>
    </row>
    <row r="537" ht="15.75" customHeight="1">
      <c r="F537" s="120"/>
      <c r="G537" s="121"/>
      <c r="H537" s="121"/>
      <c r="I537" s="121"/>
      <c r="M537" s="121"/>
    </row>
    <row r="538" ht="15.75" customHeight="1">
      <c r="F538" s="120"/>
      <c r="G538" s="121"/>
      <c r="H538" s="121"/>
      <c r="I538" s="121"/>
      <c r="M538" s="121"/>
    </row>
    <row r="539" ht="15.75" customHeight="1">
      <c r="F539" s="120"/>
      <c r="G539" s="121"/>
      <c r="H539" s="121"/>
      <c r="I539" s="121"/>
      <c r="M539" s="121"/>
    </row>
    <row r="540" ht="15.75" customHeight="1">
      <c r="F540" s="120"/>
      <c r="G540" s="121"/>
      <c r="H540" s="121"/>
      <c r="I540" s="121"/>
      <c r="M540" s="121"/>
    </row>
    <row r="541" ht="15.75" customHeight="1">
      <c r="F541" s="120"/>
      <c r="G541" s="121"/>
      <c r="H541" s="121"/>
      <c r="I541" s="121"/>
      <c r="M541" s="121"/>
    </row>
    <row r="542" ht="15.75" customHeight="1">
      <c r="F542" s="120"/>
      <c r="G542" s="121"/>
      <c r="H542" s="121"/>
      <c r="I542" s="121"/>
      <c r="M542" s="121"/>
    </row>
    <row r="543" ht="15.75" customHeight="1">
      <c r="F543" s="120"/>
      <c r="G543" s="121"/>
      <c r="H543" s="121"/>
      <c r="I543" s="121"/>
      <c r="M543" s="121"/>
    </row>
    <row r="544" ht="15.75" customHeight="1">
      <c r="F544" s="120"/>
      <c r="G544" s="121"/>
      <c r="H544" s="121"/>
      <c r="I544" s="121"/>
      <c r="M544" s="121"/>
    </row>
    <row r="545" ht="15.75" customHeight="1">
      <c r="F545" s="120"/>
      <c r="G545" s="121"/>
      <c r="H545" s="121"/>
      <c r="I545" s="121"/>
      <c r="M545" s="121"/>
    </row>
    <row r="546" ht="15.75" customHeight="1">
      <c r="F546" s="120"/>
      <c r="G546" s="121"/>
      <c r="H546" s="121"/>
      <c r="I546" s="121"/>
      <c r="M546" s="121"/>
    </row>
    <row r="547" ht="15.75" customHeight="1">
      <c r="F547" s="120"/>
      <c r="G547" s="121"/>
      <c r="H547" s="121"/>
      <c r="I547" s="121"/>
      <c r="M547" s="121"/>
    </row>
    <row r="548" ht="15.75" customHeight="1">
      <c r="F548" s="120"/>
      <c r="G548" s="121"/>
      <c r="H548" s="121"/>
      <c r="I548" s="121"/>
      <c r="M548" s="121"/>
    </row>
    <row r="549" ht="15.75" customHeight="1">
      <c r="F549" s="120"/>
      <c r="G549" s="121"/>
      <c r="H549" s="121"/>
      <c r="I549" s="121"/>
      <c r="M549" s="121"/>
    </row>
    <row r="550" ht="15.75" customHeight="1">
      <c r="F550" s="120"/>
      <c r="G550" s="121"/>
      <c r="H550" s="121"/>
      <c r="I550" s="121"/>
      <c r="M550" s="121"/>
    </row>
    <row r="551" ht="15.75" customHeight="1">
      <c r="F551" s="120"/>
      <c r="G551" s="121"/>
      <c r="H551" s="121"/>
      <c r="I551" s="121"/>
      <c r="M551" s="121"/>
    </row>
    <row r="552" ht="15.75" customHeight="1">
      <c r="F552" s="120"/>
      <c r="G552" s="121"/>
      <c r="H552" s="121"/>
      <c r="I552" s="121"/>
      <c r="M552" s="121"/>
    </row>
    <row r="553" ht="15.75" customHeight="1">
      <c r="F553" s="120"/>
      <c r="G553" s="121"/>
      <c r="H553" s="121"/>
      <c r="I553" s="121"/>
      <c r="M553" s="121"/>
    </row>
    <row r="554" ht="15.75" customHeight="1">
      <c r="F554" s="120"/>
      <c r="G554" s="121"/>
      <c r="H554" s="121"/>
      <c r="I554" s="121"/>
      <c r="M554" s="121"/>
    </row>
    <row r="555" ht="15.75" customHeight="1">
      <c r="F555" s="120"/>
      <c r="G555" s="121"/>
      <c r="H555" s="121"/>
      <c r="I555" s="121"/>
      <c r="M555" s="121"/>
    </row>
    <row r="556" ht="15.75" customHeight="1">
      <c r="F556" s="120"/>
      <c r="G556" s="121"/>
      <c r="H556" s="121"/>
      <c r="I556" s="121"/>
      <c r="M556" s="121"/>
    </row>
    <row r="557" ht="15.75" customHeight="1">
      <c r="F557" s="120"/>
      <c r="G557" s="121"/>
      <c r="H557" s="121"/>
      <c r="I557" s="121"/>
      <c r="M557" s="121"/>
    </row>
    <row r="558" ht="15.75" customHeight="1">
      <c r="F558" s="120"/>
      <c r="G558" s="121"/>
      <c r="H558" s="121"/>
      <c r="I558" s="121"/>
      <c r="M558" s="121"/>
    </row>
    <row r="559" ht="15.75" customHeight="1">
      <c r="F559" s="120"/>
      <c r="G559" s="121"/>
      <c r="H559" s="121"/>
      <c r="I559" s="121"/>
      <c r="M559" s="121"/>
    </row>
    <row r="560" ht="15.75" customHeight="1">
      <c r="F560" s="120"/>
      <c r="G560" s="121"/>
      <c r="H560" s="121"/>
      <c r="I560" s="121"/>
      <c r="M560" s="121"/>
    </row>
    <row r="561" ht="15.75" customHeight="1">
      <c r="F561" s="120"/>
      <c r="G561" s="121"/>
      <c r="H561" s="121"/>
      <c r="I561" s="121"/>
      <c r="M561" s="121"/>
    </row>
    <row r="562" ht="15.75" customHeight="1">
      <c r="F562" s="120"/>
      <c r="G562" s="121"/>
      <c r="H562" s="121"/>
      <c r="I562" s="121"/>
      <c r="M562" s="121"/>
    </row>
    <row r="563" ht="15.75" customHeight="1">
      <c r="F563" s="120"/>
      <c r="G563" s="121"/>
      <c r="H563" s="121"/>
      <c r="I563" s="121"/>
      <c r="M563" s="121"/>
    </row>
    <row r="564" ht="15.75" customHeight="1">
      <c r="F564" s="120"/>
      <c r="G564" s="121"/>
      <c r="H564" s="121"/>
      <c r="I564" s="121"/>
      <c r="M564" s="121"/>
    </row>
    <row r="565" ht="15.75" customHeight="1">
      <c r="F565" s="120"/>
      <c r="G565" s="121"/>
      <c r="H565" s="121"/>
      <c r="I565" s="121"/>
      <c r="M565" s="121"/>
    </row>
    <row r="566" ht="15.75" customHeight="1">
      <c r="F566" s="120"/>
      <c r="G566" s="121"/>
      <c r="H566" s="121"/>
      <c r="I566" s="121"/>
      <c r="M566" s="121"/>
    </row>
    <row r="567" ht="15.75" customHeight="1">
      <c r="F567" s="120"/>
      <c r="G567" s="121"/>
      <c r="H567" s="121"/>
      <c r="I567" s="121"/>
      <c r="M567" s="121"/>
    </row>
    <row r="568" ht="15.75" customHeight="1">
      <c r="F568" s="120"/>
      <c r="G568" s="121"/>
      <c r="H568" s="121"/>
      <c r="I568" s="121"/>
      <c r="M568" s="121"/>
    </row>
    <row r="569" ht="15.75" customHeight="1">
      <c r="F569" s="120"/>
      <c r="G569" s="121"/>
      <c r="H569" s="121"/>
      <c r="I569" s="121"/>
      <c r="M569" s="121"/>
    </row>
    <row r="570" ht="15.75" customHeight="1">
      <c r="F570" s="120"/>
      <c r="G570" s="121"/>
      <c r="H570" s="121"/>
      <c r="I570" s="121"/>
      <c r="M570" s="121"/>
    </row>
    <row r="571" ht="15.75" customHeight="1">
      <c r="F571" s="120"/>
      <c r="G571" s="121"/>
      <c r="H571" s="121"/>
      <c r="I571" s="121"/>
      <c r="M571" s="121"/>
    </row>
    <row r="572" ht="15.75" customHeight="1">
      <c r="F572" s="120"/>
      <c r="G572" s="121"/>
      <c r="H572" s="121"/>
      <c r="I572" s="121"/>
      <c r="M572" s="121"/>
    </row>
    <row r="573" ht="15.75" customHeight="1">
      <c r="F573" s="120"/>
      <c r="G573" s="121"/>
      <c r="H573" s="121"/>
      <c r="I573" s="121"/>
      <c r="M573" s="121"/>
    </row>
    <row r="574" ht="15.75" customHeight="1">
      <c r="F574" s="120"/>
      <c r="G574" s="121"/>
      <c r="H574" s="121"/>
      <c r="I574" s="121"/>
      <c r="M574" s="121"/>
    </row>
    <row r="575" ht="15.75" customHeight="1">
      <c r="F575" s="120"/>
      <c r="G575" s="121"/>
      <c r="H575" s="121"/>
      <c r="I575" s="121"/>
      <c r="M575" s="121"/>
    </row>
    <row r="576" ht="15.75" customHeight="1">
      <c r="F576" s="120"/>
      <c r="G576" s="121"/>
      <c r="H576" s="121"/>
      <c r="I576" s="121"/>
      <c r="M576" s="121"/>
    </row>
    <row r="577" ht="15.75" customHeight="1">
      <c r="F577" s="120"/>
      <c r="G577" s="121"/>
      <c r="H577" s="121"/>
      <c r="I577" s="121"/>
      <c r="M577" s="121"/>
    </row>
    <row r="578" ht="15.75" customHeight="1">
      <c r="F578" s="120"/>
      <c r="G578" s="121"/>
      <c r="H578" s="121"/>
      <c r="I578" s="121"/>
      <c r="M578" s="121"/>
    </row>
    <row r="579" ht="15.75" customHeight="1">
      <c r="F579" s="120"/>
      <c r="G579" s="121"/>
      <c r="H579" s="121"/>
      <c r="I579" s="121"/>
      <c r="M579" s="121"/>
    </row>
    <row r="580" ht="15.75" customHeight="1">
      <c r="F580" s="120"/>
      <c r="G580" s="121"/>
      <c r="H580" s="121"/>
      <c r="I580" s="121"/>
      <c r="M580" s="121"/>
    </row>
    <row r="581" ht="15.75" customHeight="1">
      <c r="F581" s="120"/>
      <c r="G581" s="121"/>
      <c r="H581" s="121"/>
      <c r="I581" s="121"/>
      <c r="M581" s="121"/>
    </row>
    <row r="582" ht="15.75" customHeight="1">
      <c r="F582" s="120"/>
      <c r="G582" s="121"/>
      <c r="H582" s="121"/>
      <c r="I582" s="121"/>
      <c r="M582" s="121"/>
    </row>
    <row r="583" ht="15.75" customHeight="1">
      <c r="F583" s="120"/>
      <c r="G583" s="121"/>
      <c r="H583" s="121"/>
      <c r="I583" s="121"/>
      <c r="M583" s="121"/>
    </row>
    <row r="584" ht="15.75" customHeight="1">
      <c r="F584" s="120"/>
      <c r="G584" s="121"/>
      <c r="H584" s="121"/>
      <c r="I584" s="121"/>
      <c r="M584" s="121"/>
    </row>
    <row r="585" ht="15.75" customHeight="1">
      <c r="F585" s="120"/>
      <c r="G585" s="121"/>
      <c r="H585" s="121"/>
      <c r="I585" s="121"/>
      <c r="M585" s="121"/>
    </row>
    <row r="586" ht="15.75" customHeight="1">
      <c r="F586" s="120"/>
      <c r="G586" s="121"/>
      <c r="H586" s="121"/>
      <c r="I586" s="121"/>
      <c r="M586" s="121"/>
    </row>
    <row r="587" ht="15.75" customHeight="1">
      <c r="F587" s="120"/>
      <c r="G587" s="121"/>
      <c r="H587" s="121"/>
      <c r="I587" s="121"/>
      <c r="M587" s="121"/>
    </row>
    <row r="588" ht="15.75" customHeight="1">
      <c r="F588" s="120"/>
      <c r="G588" s="121"/>
      <c r="H588" s="121"/>
      <c r="I588" s="121"/>
      <c r="M588" s="121"/>
    </row>
    <row r="589" ht="15.75" customHeight="1">
      <c r="F589" s="120"/>
      <c r="G589" s="121"/>
      <c r="H589" s="121"/>
      <c r="I589" s="121"/>
      <c r="M589" s="121"/>
    </row>
    <row r="590" ht="15.75" customHeight="1">
      <c r="F590" s="120"/>
      <c r="G590" s="121"/>
      <c r="H590" s="121"/>
      <c r="I590" s="121"/>
      <c r="M590" s="121"/>
    </row>
    <row r="591" ht="15.75" customHeight="1">
      <c r="F591" s="120"/>
      <c r="G591" s="121"/>
      <c r="H591" s="121"/>
      <c r="I591" s="121"/>
      <c r="M591" s="121"/>
    </row>
    <row r="592" ht="15.75" customHeight="1">
      <c r="F592" s="120"/>
      <c r="G592" s="121"/>
      <c r="H592" s="121"/>
      <c r="I592" s="121"/>
      <c r="M592" s="121"/>
    </row>
    <row r="593" ht="15.75" customHeight="1">
      <c r="F593" s="120"/>
      <c r="G593" s="121"/>
      <c r="H593" s="121"/>
      <c r="I593" s="121"/>
      <c r="M593" s="121"/>
    </row>
    <row r="594" ht="15.75" customHeight="1">
      <c r="F594" s="120"/>
      <c r="G594" s="121"/>
      <c r="H594" s="121"/>
      <c r="I594" s="121"/>
      <c r="M594" s="121"/>
    </row>
    <row r="595" ht="15.75" customHeight="1">
      <c r="F595" s="120"/>
      <c r="G595" s="121"/>
      <c r="H595" s="121"/>
      <c r="I595" s="121"/>
      <c r="M595" s="121"/>
    </row>
    <row r="596" ht="15.75" customHeight="1">
      <c r="F596" s="120"/>
      <c r="G596" s="121"/>
      <c r="H596" s="121"/>
      <c r="I596" s="121"/>
      <c r="M596" s="121"/>
    </row>
    <row r="597" ht="15.75" customHeight="1">
      <c r="F597" s="120"/>
      <c r="G597" s="121"/>
      <c r="H597" s="121"/>
      <c r="I597" s="121"/>
      <c r="M597" s="121"/>
    </row>
    <row r="598" ht="15.75" customHeight="1">
      <c r="F598" s="120"/>
      <c r="G598" s="121"/>
      <c r="H598" s="121"/>
      <c r="I598" s="121"/>
      <c r="M598" s="121"/>
    </row>
    <row r="599" ht="15.75" customHeight="1">
      <c r="F599" s="120"/>
      <c r="G599" s="121"/>
      <c r="H599" s="121"/>
      <c r="I599" s="121"/>
      <c r="M599" s="121"/>
    </row>
    <row r="600" ht="15.75" customHeight="1">
      <c r="F600" s="120"/>
      <c r="G600" s="121"/>
      <c r="H600" s="121"/>
      <c r="I600" s="121"/>
      <c r="M600" s="121"/>
    </row>
    <row r="601" ht="15.75" customHeight="1">
      <c r="F601" s="120"/>
      <c r="G601" s="121"/>
      <c r="H601" s="121"/>
      <c r="I601" s="121"/>
      <c r="M601" s="121"/>
    </row>
    <row r="602" ht="15.75" customHeight="1">
      <c r="F602" s="120"/>
      <c r="G602" s="121"/>
      <c r="H602" s="121"/>
      <c r="I602" s="121"/>
      <c r="M602" s="121"/>
    </row>
    <row r="603" ht="15.75" customHeight="1">
      <c r="F603" s="120"/>
      <c r="G603" s="121"/>
      <c r="H603" s="121"/>
      <c r="I603" s="121"/>
      <c r="M603" s="121"/>
    </row>
    <row r="604" ht="15.75" customHeight="1">
      <c r="F604" s="120"/>
      <c r="G604" s="121"/>
      <c r="H604" s="121"/>
      <c r="I604" s="121"/>
      <c r="M604" s="121"/>
    </row>
    <row r="605" ht="15.75" customHeight="1">
      <c r="F605" s="120"/>
      <c r="G605" s="121"/>
      <c r="H605" s="121"/>
      <c r="I605" s="121"/>
      <c r="M605" s="121"/>
    </row>
    <row r="606" ht="15.75" customHeight="1">
      <c r="F606" s="120"/>
      <c r="G606" s="121"/>
      <c r="H606" s="121"/>
      <c r="I606" s="121"/>
      <c r="M606" s="121"/>
    </row>
    <row r="607" ht="15.75" customHeight="1">
      <c r="F607" s="120"/>
      <c r="G607" s="121"/>
      <c r="H607" s="121"/>
      <c r="I607" s="121"/>
      <c r="M607" s="121"/>
    </row>
    <row r="608" ht="15.75" customHeight="1">
      <c r="F608" s="120"/>
      <c r="G608" s="121"/>
      <c r="H608" s="121"/>
      <c r="I608" s="121"/>
      <c r="M608" s="121"/>
    </row>
    <row r="609" ht="15.75" customHeight="1">
      <c r="F609" s="120"/>
      <c r="G609" s="121"/>
      <c r="H609" s="121"/>
      <c r="I609" s="121"/>
      <c r="M609" s="121"/>
    </row>
    <row r="610" ht="15.75" customHeight="1">
      <c r="F610" s="120"/>
      <c r="G610" s="121"/>
      <c r="H610" s="121"/>
      <c r="I610" s="121"/>
      <c r="M610" s="121"/>
    </row>
    <row r="611" ht="15.75" customHeight="1">
      <c r="F611" s="120"/>
      <c r="G611" s="121"/>
      <c r="H611" s="121"/>
      <c r="I611" s="121"/>
      <c r="M611" s="121"/>
    </row>
    <row r="612" ht="15.75" customHeight="1">
      <c r="F612" s="120"/>
      <c r="G612" s="121"/>
      <c r="H612" s="121"/>
      <c r="I612" s="121"/>
      <c r="M612" s="121"/>
    </row>
    <row r="613" ht="15.75" customHeight="1">
      <c r="F613" s="120"/>
      <c r="G613" s="121"/>
      <c r="H613" s="121"/>
      <c r="I613" s="121"/>
      <c r="M613" s="121"/>
    </row>
    <row r="614" ht="15.75" customHeight="1">
      <c r="F614" s="120"/>
      <c r="G614" s="121"/>
      <c r="H614" s="121"/>
      <c r="I614" s="121"/>
      <c r="M614" s="121"/>
    </row>
    <row r="615" ht="15.75" customHeight="1">
      <c r="F615" s="120"/>
      <c r="G615" s="121"/>
      <c r="H615" s="121"/>
      <c r="I615" s="121"/>
      <c r="M615" s="121"/>
    </row>
    <row r="616" ht="15.75" customHeight="1">
      <c r="F616" s="120"/>
      <c r="G616" s="121"/>
      <c r="H616" s="121"/>
      <c r="I616" s="121"/>
      <c r="M616" s="121"/>
    </row>
    <row r="617" ht="15.75" customHeight="1">
      <c r="F617" s="120"/>
      <c r="G617" s="121"/>
      <c r="H617" s="121"/>
      <c r="I617" s="121"/>
      <c r="M617" s="121"/>
    </row>
    <row r="618" ht="15.75" customHeight="1">
      <c r="F618" s="120"/>
      <c r="G618" s="121"/>
      <c r="H618" s="121"/>
      <c r="I618" s="121"/>
      <c r="M618" s="121"/>
    </row>
    <row r="619" ht="15.75" customHeight="1">
      <c r="F619" s="120"/>
      <c r="G619" s="121"/>
      <c r="H619" s="121"/>
      <c r="I619" s="121"/>
      <c r="M619" s="121"/>
    </row>
    <row r="620" ht="15.75" customHeight="1">
      <c r="F620" s="120"/>
      <c r="G620" s="121"/>
      <c r="H620" s="121"/>
      <c r="I620" s="121"/>
      <c r="M620" s="121"/>
    </row>
    <row r="621" ht="15.75" customHeight="1">
      <c r="F621" s="120"/>
      <c r="G621" s="121"/>
      <c r="H621" s="121"/>
      <c r="I621" s="121"/>
      <c r="M621" s="121"/>
    </row>
    <row r="622" ht="15.75" customHeight="1">
      <c r="F622" s="120"/>
      <c r="G622" s="121"/>
      <c r="H622" s="121"/>
      <c r="I622" s="121"/>
      <c r="M622" s="121"/>
    </row>
    <row r="623" ht="15.75" customHeight="1">
      <c r="F623" s="120"/>
      <c r="G623" s="121"/>
      <c r="H623" s="121"/>
      <c r="I623" s="121"/>
      <c r="M623" s="121"/>
    </row>
    <row r="624" ht="15.75" customHeight="1">
      <c r="F624" s="120"/>
      <c r="G624" s="121"/>
      <c r="H624" s="121"/>
      <c r="I624" s="121"/>
      <c r="M624" s="121"/>
    </row>
    <row r="625" ht="15.75" customHeight="1">
      <c r="F625" s="120"/>
      <c r="G625" s="121"/>
      <c r="H625" s="121"/>
      <c r="I625" s="121"/>
      <c r="M625" s="121"/>
    </row>
    <row r="626" ht="15.75" customHeight="1">
      <c r="F626" s="120"/>
      <c r="G626" s="121"/>
      <c r="H626" s="121"/>
      <c r="I626" s="121"/>
      <c r="M626" s="121"/>
    </row>
    <row r="627" ht="15.75" customHeight="1">
      <c r="F627" s="120"/>
      <c r="G627" s="121"/>
      <c r="H627" s="121"/>
      <c r="I627" s="121"/>
      <c r="M627" s="121"/>
    </row>
    <row r="628" ht="15.75" customHeight="1">
      <c r="F628" s="120"/>
      <c r="G628" s="121"/>
      <c r="H628" s="121"/>
      <c r="I628" s="121"/>
      <c r="M628" s="121"/>
    </row>
    <row r="629" ht="15.75" customHeight="1">
      <c r="F629" s="120"/>
      <c r="G629" s="121"/>
      <c r="H629" s="121"/>
      <c r="I629" s="121"/>
      <c r="M629" s="121"/>
    </row>
    <row r="630" ht="15.75" customHeight="1">
      <c r="F630" s="120"/>
      <c r="G630" s="121"/>
      <c r="H630" s="121"/>
      <c r="I630" s="121"/>
      <c r="M630" s="121"/>
    </row>
    <row r="631" ht="15.75" customHeight="1">
      <c r="F631" s="120"/>
      <c r="G631" s="121"/>
      <c r="H631" s="121"/>
      <c r="I631" s="121"/>
      <c r="M631" s="121"/>
    </row>
    <row r="632" ht="15.75" customHeight="1">
      <c r="F632" s="120"/>
      <c r="G632" s="121"/>
      <c r="H632" s="121"/>
      <c r="I632" s="121"/>
      <c r="M632" s="121"/>
    </row>
    <row r="633" ht="15.75" customHeight="1">
      <c r="F633" s="120"/>
      <c r="G633" s="121"/>
      <c r="H633" s="121"/>
      <c r="I633" s="121"/>
      <c r="M633" s="121"/>
    </row>
    <row r="634" ht="15.75" customHeight="1">
      <c r="F634" s="120"/>
      <c r="G634" s="121"/>
      <c r="H634" s="121"/>
      <c r="I634" s="121"/>
      <c r="M634" s="121"/>
    </row>
    <row r="635" ht="15.75" customHeight="1">
      <c r="F635" s="120"/>
      <c r="G635" s="121"/>
      <c r="H635" s="121"/>
      <c r="I635" s="121"/>
      <c r="M635" s="121"/>
    </row>
    <row r="636" ht="15.75" customHeight="1">
      <c r="F636" s="120"/>
      <c r="G636" s="121"/>
      <c r="H636" s="121"/>
      <c r="I636" s="121"/>
      <c r="M636" s="121"/>
    </row>
    <row r="637" ht="15.75" customHeight="1">
      <c r="F637" s="120"/>
      <c r="G637" s="121"/>
      <c r="H637" s="121"/>
      <c r="I637" s="121"/>
      <c r="M637" s="121"/>
    </row>
    <row r="638" ht="15.75" customHeight="1">
      <c r="F638" s="120"/>
      <c r="G638" s="121"/>
      <c r="H638" s="121"/>
      <c r="I638" s="121"/>
      <c r="M638" s="121"/>
    </row>
    <row r="639" ht="15.75" customHeight="1">
      <c r="F639" s="120"/>
      <c r="G639" s="121"/>
      <c r="H639" s="121"/>
      <c r="I639" s="121"/>
      <c r="M639" s="121"/>
    </row>
    <row r="640" ht="15.75" customHeight="1">
      <c r="F640" s="120"/>
      <c r="G640" s="121"/>
      <c r="H640" s="121"/>
      <c r="I640" s="121"/>
      <c r="M640" s="121"/>
    </row>
    <row r="641" ht="15.75" customHeight="1">
      <c r="F641" s="120"/>
      <c r="G641" s="121"/>
      <c r="H641" s="121"/>
      <c r="I641" s="121"/>
      <c r="M641" s="121"/>
    </row>
    <row r="642" ht="15.75" customHeight="1">
      <c r="F642" s="120"/>
      <c r="G642" s="121"/>
      <c r="H642" s="121"/>
      <c r="I642" s="121"/>
      <c r="M642" s="121"/>
    </row>
    <row r="643" ht="15.75" customHeight="1">
      <c r="F643" s="120"/>
      <c r="G643" s="121"/>
      <c r="H643" s="121"/>
      <c r="I643" s="121"/>
      <c r="M643" s="121"/>
    </row>
    <row r="644" ht="15.75" customHeight="1">
      <c r="F644" s="120"/>
      <c r="G644" s="121"/>
      <c r="H644" s="121"/>
      <c r="I644" s="121"/>
      <c r="M644" s="121"/>
    </row>
    <row r="645" ht="15.75" customHeight="1">
      <c r="F645" s="120"/>
      <c r="G645" s="121"/>
      <c r="H645" s="121"/>
      <c r="I645" s="121"/>
      <c r="M645" s="121"/>
    </row>
    <row r="646" ht="15.75" customHeight="1">
      <c r="F646" s="120"/>
      <c r="G646" s="121"/>
      <c r="H646" s="121"/>
      <c r="I646" s="121"/>
      <c r="M646" s="121"/>
    </row>
    <row r="647" ht="15.75" customHeight="1">
      <c r="F647" s="120"/>
      <c r="G647" s="121"/>
      <c r="H647" s="121"/>
      <c r="I647" s="121"/>
      <c r="M647" s="121"/>
    </row>
    <row r="648" ht="15.75" customHeight="1">
      <c r="F648" s="120"/>
      <c r="G648" s="121"/>
      <c r="H648" s="121"/>
      <c r="I648" s="121"/>
      <c r="M648" s="121"/>
    </row>
    <row r="649" ht="15.75" customHeight="1">
      <c r="F649" s="120"/>
      <c r="G649" s="121"/>
      <c r="H649" s="121"/>
      <c r="I649" s="121"/>
      <c r="M649" s="121"/>
    </row>
    <row r="650" ht="15.75" customHeight="1">
      <c r="F650" s="120"/>
      <c r="G650" s="121"/>
      <c r="H650" s="121"/>
      <c r="I650" s="121"/>
      <c r="M650" s="121"/>
    </row>
    <row r="651" ht="15.75" customHeight="1">
      <c r="F651" s="120"/>
      <c r="G651" s="121"/>
      <c r="H651" s="121"/>
      <c r="I651" s="121"/>
      <c r="M651" s="121"/>
    </row>
    <row r="652" ht="15.75" customHeight="1">
      <c r="F652" s="120"/>
      <c r="G652" s="121"/>
      <c r="H652" s="121"/>
      <c r="I652" s="121"/>
      <c r="M652" s="121"/>
    </row>
    <row r="653" ht="15.75" customHeight="1">
      <c r="F653" s="120"/>
      <c r="G653" s="121"/>
      <c r="H653" s="121"/>
      <c r="I653" s="121"/>
      <c r="M653" s="121"/>
    </row>
    <row r="654" ht="15.75" customHeight="1">
      <c r="F654" s="120"/>
      <c r="G654" s="121"/>
      <c r="H654" s="121"/>
      <c r="I654" s="121"/>
      <c r="M654" s="121"/>
    </row>
    <row r="655" ht="15.75" customHeight="1">
      <c r="F655" s="120"/>
      <c r="G655" s="121"/>
      <c r="H655" s="121"/>
      <c r="I655" s="121"/>
      <c r="M655" s="121"/>
    </row>
    <row r="656" ht="15.75" customHeight="1">
      <c r="F656" s="120"/>
      <c r="G656" s="121"/>
      <c r="H656" s="121"/>
      <c r="I656" s="121"/>
      <c r="M656" s="121"/>
    </row>
    <row r="657" ht="15.75" customHeight="1">
      <c r="F657" s="120"/>
      <c r="G657" s="121"/>
      <c r="H657" s="121"/>
      <c r="I657" s="121"/>
      <c r="M657" s="121"/>
    </row>
    <row r="658" ht="15.75" customHeight="1">
      <c r="F658" s="120"/>
      <c r="G658" s="121"/>
      <c r="H658" s="121"/>
      <c r="I658" s="121"/>
      <c r="M658" s="121"/>
    </row>
    <row r="659" ht="15.75" customHeight="1">
      <c r="F659" s="120"/>
      <c r="G659" s="121"/>
      <c r="H659" s="121"/>
      <c r="I659" s="121"/>
      <c r="M659" s="121"/>
    </row>
    <row r="660" ht="15.75" customHeight="1">
      <c r="F660" s="120"/>
      <c r="G660" s="121"/>
      <c r="H660" s="121"/>
      <c r="I660" s="121"/>
      <c r="M660" s="121"/>
    </row>
    <row r="661" ht="15.75" customHeight="1">
      <c r="F661" s="120"/>
      <c r="G661" s="121"/>
      <c r="H661" s="121"/>
      <c r="I661" s="121"/>
      <c r="M661" s="121"/>
    </row>
    <row r="662" ht="15.75" customHeight="1">
      <c r="F662" s="120"/>
      <c r="G662" s="121"/>
      <c r="H662" s="121"/>
      <c r="I662" s="121"/>
      <c r="M662" s="121"/>
    </row>
    <row r="663" ht="15.75" customHeight="1">
      <c r="F663" s="120"/>
      <c r="G663" s="121"/>
      <c r="H663" s="121"/>
      <c r="I663" s="121"/>
      <c r="M663" s="121"/>
    </row>
    <row r="664" ht="15.75" customHeight="1">
      <c r="F664" s="120"/>
      <c r="G664" s="121"/>
      <c r="H664" s="121"/>
      <c r="I664" s="121"/>
      <c r="M664" s="121"/>
    </row>
    <row r="665" ht="15.75" customHeight="1">
      <c r="F665" s="120"/>
      <c r="G665" s="121"/>
      <c r="H665" s="121"/>
      <c r="I665" s="121"/>
      <c r="M665" s="121"/>
    </row>
    <row r="666" ht="15.75" customHeight="1">
      <c r="F666" s="120"/>
      <c r="G666" s="121"/>
      <c r="H666" s="121"/>
      <c r="I666" s="121"/>
      <c r="M666" s="121"/>
    </row>
    <row r="667" ht="15.75" customHeight="1">
      <c r="F667" s="120"/>
      <c r="G667" s="121"/>
      <c r="H667" s="121"/>
      <c r="I667" s="121"/>
      <c r="M667" s="121"/>
    </row>
    <row r="668" ht="15.75" customHeight="1">
      <c r="F668" s="120"/>
      <c r="G668" s="121"/>
      <c r="H668" s="121"/>
      <c r="I668" s="121"/>
      <c r="M668" s="121"/>
    </row>
    <row r="669" ht="15.75" customHeight="1">
      <c r="F669" s="120"/>
      <c r="G669" s="121"/>
      <c r="H669" s="121"/>
      <c r="I669" s="121"/>
      <c r="M669" s="121"/>
    </row>
    <row r="670" ht="15.75" customHeight="1">
      <c r="F670" s="120"/>
      <c r="G670" s="121"/>
      <c r="H670" s="121"/>
      <c r="I670" s="121"/>
      <c r="M670" s="121"/>
    </row>
    <row r="671" ht="15.75" customHeight="1">
      <c r="F671" s="120"/>
      <c r="G671" s="121"/>
      <c r="H671" s="121"/>
      <c r="I671" s="121"/>
      <c r="M671" s="121"/>
    </row>
    <row r="672" ht="15.75" customHeight="1">
      <c r="F672" s="120"/>
      <c r="G672" s="121"/>
      <c r="H672" s="121"/>
      <c r="I672" s="121"/>
      <c r="M672" s="121"/>
    </row>
    <row r="673" ht="15.75" customHeight="1">
      <c r="F673" s="120"/>
      <c r="G673" s="121"/>
      <c r="H673" s="121"/>
      <c r="I673" s="121"/>
      <c r="M673" s="121"/>
    </row>
    <row r="674" ht="15.75" customHeight="1">
      <c r="F674" s="120"/>
      <c r="G674" s="121"/>
      <c r="H674" s="121"/>
      <c r="I674" s="121"/>
      <c r="M674" s="121"/>
    </row>
    <row r="675" ht="15.75" customHeight="1">
      <c r="F675" s="120"/>
      <c r="G675" s="121"/>
      <c r="H675" s="121"/>
      <c r="I675" s="121"/>
      <c r="M675" s="121"/>
    </row>
    <row r="676" ht="15.75" customHeight="1">
      <c r="F676" s="120"/>
      <c r="G676" s="121"/>
      <c r="H676" s="121"/>
      <c r="I676" s="121"/>
      <c r="M676" s="121"/>
    </row>
    <row r="677" ht="15.75" customHeight="1">
      <c r="F677" s="120"/>
      <c r="G677" s="121"/>
      <c r="H677" s="121"/>
      <c r="I677" s="121"/>
      <c r="M677" s="121"/>
    </row>
    <row r="678" ht="15.75" customHeight="1">
      <c r="F678" s="120"/>
      <c r="G678" s="121"/>
      <c r="H678" s="121"/>
      <c r="I678" s="121"/>
      <c r="M678" s="121"/>
    </row>
    <row r="679" ht="15.75" customHeight="1">
      <c r="F679" s="120"/>
      <c r="G679" s="121"/>
      <c r="H679" s="121"/>
      <c r="I679" s="121"/>
      <c r="M679" s="121"/>
    </row>
    <row r="680" ht="15.75" customHeight="1">
      <c r="F680" s="120"/>
      <c r="G680" s="121"/>
      <c r="H680" s="121"/>
      <c r="I680" s="121"/>
      <c r="M680" s="121"/>
    </row>
    <row r="681" ht="15.75" customHeight="1">
      <c r="F681" s="120"/>
      <c r="G681" s="121"/>
      <c r="H681" s="121"/>
      <c r="I681" s="121"/>
      <c r="M681" s="121"/>
    </row>
    <row r="682" ht="15.75" customHeight="1">
      <c r="F682" s="120"/>
      <c r="G682" s="121"/>
      <c r="H682" s="121"/>
      <c r="I682" s="121"/>
      <c r="M682" s="121"/>
    </row>
    <row r="683" ht="15.75" customHeight="1">
      <c r="F683" s="120"/>
      <c r="G683" s="121"/>
      <c r="H683" s="121"/>
      <c r="I683" s="121"/>
      <c r="M683" s="121"/>
    </row>
    <row r="684" ht="15.75" customHeight="1">
      <c r="F684" s="120"/>
      <c r="G684" s="121"/>
      <c r="H684" s="121"/>
      <c r="I684" s="121"/>
      <c r="M684" s="121"/>
    </row>
    <row r="685" ht="15.75" customHeight="1">
      <c r="F685" s="120"/>
      <c r="G685" s="121"/>
      <c r="H685" s="121"/>
      <c r="I685" s="121"/>
      <c r="M685" s="121"/>
    </row>
    <row r="686" ht="15.75" customHeight="1">
      <c r="F686" s="120"/>
      <c r="G686" s="121"/>
      <c r="H686" s="121"/>
      <c r="I686" s="121"/>
      <c r="M686" s="121"/>
    </row>
    <row r="687" ht="15.75" customHeight="1">
      <c r="F687" s="120"/>
      <c r="G687" s="121"/>
      <c r="H687" s="121"/>
      <c r="I687" s="121"/>
      <c r="M687" s="121"/>
    </row>
    <row r="688" ht="15.75" customHeight="1">
      <c r="F688" s="120"/>
      <c r="G688" s="121"/>
      <c r="H688" s="121"/>
      <c r="I688" s="121"/>
      <c r="M688" s="121"/>
    </row>
    <row r="689" ht="15.75" customHeight="1">
      <c r="F689" s="120"/>
      <c r="G689" s="121"/>
      <c r="H689" s="121"/>
      <c r="I689" s="121"/>
      <c r="M689" s="121"/>
    </row>
    <row r="690" ht="15.75" customHeight="1">
      <c r="F690" s="120"/>
      <c r="G690" s="121"/>
      <c r="H690" s="121"/>
      <c r="I690" s="121"/>
      <c r="M690" s="121"/>
    </row>
    <row r="691" ht="15.75" customHeight="1">
      <c r="F691" s="120"/>
      <c r="G691" s="121"/>
      <c r="H691" s="121"/>
      <c r="I691" s="121"/>
      <c r="M691" s="121"/>
    </row>
    <row r="692" ht="15.75" customHeight="1">
      <c r="F692" s="120"/>
      <c r="G692" s="121"/>
      <c r="H692" s="121"/>
      <c r="I692" s="121"/>
      <c r="M692" s="121"/>
    </row>
    <row r="693" ht="15.75" customHeight="1">
      <c r="F693" s="120"/>
      <c r="G693" s="121"/>
      <c r="H693" s="121"/>
      <c r="I693" s="121"/>
      <c r="M693" s="121"/>
    </row>
    <row r="694" ht="15.75" customHeight="1">
      <c r="F694" s="120"/>
      <c r="G694" s="121"/>
      <c r="H694" s="121"/>
      <c r="I694" s="121"/>
      <c r="M694" s="121"/>
    </row>
    <row r="695" ht="15.75" customHeight="1">
      <c r="F695" s="120"/>
      <c r="G695" s="121"/>
      <c r="H695" s="121"/>
      <c r="I695" s="121"/>
      <c r="M695" s="121"/>
    </row>
    <row r="696" ht="15.75" customHeight="1">
      <c r="F696" s="120"/>
      <c r="G696" s="121"/>
      <c r="H696" s="121"/>
      <c r="I696" s="121"/>
      <c r="M696" s="121"/>
    </row>
    <row r="697" ht="15.75" customHeight="1">
      <c r="F697" s="120"/>
      <c r="G697" s="121"/>
      <c r="H697" s="121"/>
      <c r="I697" s="121"/>
      <c r="M697" s="121"/>
    </row>
    <row r="698" ht="15.75" customHeight="1">
      <c r="F698" s="120"/>
      <c r="G698" s="121"/>
      <c r="H698" s="121"/>
      <c r="I698" s="121"/>
      <c r="M698" s="121"/>
    </row>
    <row r="699" ht="15.75" customHeight="1">
      <c r="F699" s="120"/>
      <c r="G699" s="121"/>
      <c r="H699" s="121"/>
      <c r="I699" s="121"/>
      <c r="M699" s="121"/>
    </row>
    <row r="700" ht="15.75" customHeight="1">
      <c r="F700" s="120"/>
      <c r="G700" s="121"/>
      <c r="H700" s="121"/>
      <c r="I700" s="121"/>
      <c r="M700" s="121"/>
    </row>
    <row r="701" ht="15.75" customHeight="1">
      <c r="F701" s="120"/>
      <c r="G701" s="121"/>
      <c r="H701" s="121"/>
      <c r="I701" s="121"/>
      <c r="M701" s="121"/>
    </row>
    <row r="702" ht="15.75" customHeight="1">
      <c r="F702" s="120"/>
      <c r="G702" s="121"/>
      <c r="H702" s="121"/>
      <c r="I702" s="121"/>
      <c r="M702" s="121"/>
    </row>
    <row r="703" ht="15.75" customHeight="1">
      <c r="F703" s="120"/>
      <c r="G703" s="121"/>
      <c r="H703" s="121"/>
      <c r="I703" s="121"/>
      <c r="M703" s="121"/>
    </row>
    <row r="704" ht="15.75" customHeight="1">
      <c r="F704" s="120"/>
      <c r="G704" s="121"/>
      <c r="H704" s="121"/>
      <c r="I704" s="121"/>
      <c r="M704" s="121"/>
    </row>
    <row r="705" ht="15.75" customHeight="1">
      <c r="F705" s="120"/>
      <c r="G705" s="121"/>
      <c r="H705" s="121"/>
      <c r="I705" s="121"/>
      <c r="M705" s="121"/>
    </row>
    <row r="706" ht="15.75" customHeight="1">
      <c r="F706" s="120"/>
      <c r="G706" s="121"/>
      <c r="H706" s="121"/>
      <c r="I706" s="121"/>
      <c r="M706" s="121"/>
    </row>
    <row r="707" ht="15.75" customHeight="1">
      <c r="F707" s="120"/>
      <c r="G707" s="121"/>
      <c r="H707" s="121"/>
      <c r="I707" s="121"/>
      <c r="M707" s="121"/>
    </row>
    <row r="708" ht="15.75" customHeight="1">
      <c r="F708" s="120"/>
      <c r="G708" s="121"/>
      <c r="H708" s="121"/>
      <c r="I708" s="121"/>
      <c r="M708" s="121"/>
    </row>
    <row r="709" ht="15.75" customHeight="1">
      <c r="F709" s="120"/>
      <c r="G709" s="121"/>
      <c r="H709" s="121"/>
      <c r="I709" s="121"/>
      <c r="M709" s="121"/>
    </row>
    <row r="710" ht="15.75" customHeight="1">
      <c r="F710" s="120"/>
      <c r="G710" s="121"/>
      <c r="H710" s="121"/>
      <c r="I710" s="121"/>
      <c r="M710" s="121"/>
    </row>
    <row r="711" ht="15.75" customHeight="1">
      <c r="F711" s="120"/>
      <c r="G711" s="121"/>
      <c r="H711" s="121"/>
      <c r="I711" s="121"/>
      <c r="M711" s="121"/>
    </row>
    <row r="712" ht="15.75" customHeight="1">
      <c r="F712" s="120"/>
      <c r="G712" s="121"/>
      <c r="H712" s="121"/>
      <c r="I712" s="121"/>
      <c r="M712" s="121"/>
    </row>
    <row r="713" ht="15.75" customHeight="1">
      <c r="F713" s="120"/>
      <c r="G713" s="121"/>
      <c r="H713" s="121"/>
      <c r="I713" s="121"/>
      <c r="M713" s="121"/>
    </row>
    <row r="714" ht="15.75" customHeight="1">
      <c r="F714" s="120"/>
      <c r="G714" s="121"/>
      <c r="H714" s="121"/>
      <c r="I714" s="121"/>
      <c r="M714" s="121"/>
    </row>
    <row r="715" ht="15.75" customHeight="1">
      <c r="F715" s="120"/>
      <c r="G715" s="121"/>
      <c r="H715" s="121"/>
      <c r="I715" s="121"/>
      <c r="M715" s="121"/>
    </row>
    <row r="716" ht="15.75" customHeight="1">
      <c r="F716" s="120"/>
      <c r="G716" s="121"/>
      <c r="H716" s="121"/>
      <c r="I716" s="121"/>
      <c r="M716" s="121"/>
    </row>
    <row r="717" ht="15.75" customHeight="1">
      <c r="F717" s="120"/>
      <c r="G717" s="121"/>
      <c r="H717" s="121"/>
      <c r="I717" s="121"/>
      <c r="M717" s="121"/>
    </row>
    <row r="718" ht="15.75" customHeight="1">
      <c r="F718" s="120"/>
      <c r="G718" s="121"/>
      <c r="H718" s="121"/>
      <c r="I718" s="121"/>
      <c r="M718" s="121"/>
    </row>
    <row r="719" ht="15.75" customHeight="1">
      <c r="F719" s="120"/>
      <c r="G719" s="121"/>
      <c r="H719" s="121"/>
      <c r="I719" s="121"/>
      <c r="M719" s="121"/>
    </row>
    <row r="720" ht="15.75" customHeight="1">
      <c r="F720" s="120"/>
      <c r="G720" s="121"/>
      <c r="H720" s="121"/>
      <c r="I720" s="121"/>
      <c r="M720" s="121"/>
    </row>
    <row r="721" ht="15.75" customHeight="1">
      <c r="F721" s="120"/>
      <c r="G721" s="121"/>
      <c r="H721" s="121"/>
      <c r="I721" s="121"/>
      <c r="M721" s="121"/>
    </row>
    <row r="722" ht="15.75" customHeight="1">
      <c r="F722" s="120"/>
      <c r="G722" s="121"/>
      <c r="H722" s="121"/>
      <c r="I722" s="121"/>
      <c r="M722" s="121"/>
    </row>
    <row r="723" ht="15.75" customHeight="1">
      <c r="F723" s="120"/>
      <c r="G723" s="121"/>
      <c r="H723" s="121"/>
      <c r="I723" s="121"/>
      <c r="M723" s="121"/>
    </row>
    <row r="724" ht="15.75" customHeight="1">
      <c r="F724" s="120"/>
      <c r="G724" s="121"/>
      <c r="H724" s="121"/>
      <c r="I724" s="121"/>
      <c r="M724" s="121"/>
    </row>
    <row r="725" ht="15.75" customHeight="1">
      <c r="F725" s="120"/>
      <c r="G725" s="121"/>
      <c r="H725" s="121"/>
      <c r="I725" s="121"/>
      <c r="M725" s="121"/>
    </row>
    <row r="726" ht="15.75" customHeight="1">
      <c r="F726" s="120"/>
      <c r="G726" s="121"/>
      <c r="H726" s="121"/>
      <c r="I726" s="121"/>
      <c r="M726" s="121"/>
    </row>
    <row r="727" ht="15.75" customHeight="1">
      <c r="F727" s="120"/>
      <c r="G727" s="121"/>
      <c r="H727" s="121"/>
      <c r="I727" s="121"/>
      <c r="M727" s="121"/>
    </row>
    <row r="728" ht="15.75" customHeight="1">
      <c r="F728" s="120"/>
      <c r="G728" s="121"/>
      <c r="H728" s="121"/>
      <c r="I728" s="121"/>
      <c r="M728" s="121"/>
    </row>
    <row r="729" ht="15.75" customHeight="1">
      <c r="F729" s="120"/>
      <c r="G729" s="121"/>
      <c r="H729" s="121"/>
      <c r="I729" s="121"/>
      <c r="M729" s="121"/>
    </row>
    <row r="730" ht="15.75" customHeight="1">
      <c r="F730" s="120"/>
      <c r="G730" s="121"/>
      <c r="H730" s="121"/>
      <c r="I730" s="121"/>
      <c r="M730" s="121"/>
    </row>
    <row r="731" ht="15.75" customHeight="1">
      <c r="F731" s="120"/>
      <c r="G731" s="121"/>
      <c r="H731" s="121"/>
      <c r="I731" s="121"/>
      <c r="M731" s="121"/>
    </row>
    <row r="732" ht="15.75" customHeight="1">
      <c r="F732" s="120"/>
      <c r="G732" s="121"/>
      <c r="H732" s="121"/>
      <c r="I732" s="121"/>
      <c r="M732" s="121"/>
    </row>
    <row r="733" ht="15.75" customHeight="1">
      <c r="F733" s="120"/>
      <c r="G733" s="121"/>
      <c r="H733" s="121"/>
      <c r="I733" s="121"/>
      <c r="M733" s="121"/>
    </row>
    <row r="734" ht="15.75" customHeight="1">
      <c r="F734" s="120"/>
      <c r="G734" s="121"/>
      <c r="H734" s="121"/>
      <c r="I734" s="121"/>
      <c r="M734" s="121"/>
    </row>
    <row r="735" ht="15.75" customHeight="1">
      <c r="F735" s="120"/>
      <c r="G735" s="121"/>
      <c r="H735" s="121"/>
      <c r="I735" s="121"/>
      <c r="M735" s="121"/>
    </row>
    <row r="736" ht="15.75" customHeight="1">
      <c r="F736" s="120"/>
      <c r="G736" s="121"/>
      <c r="H736" s="121"/>
      <c r="I736" s="121"/>
      <c r="M736" s="121"/>
    </row>
    <row r="737" ht="15.75" customHeight="1">
      <c r="F737" s="120"/>
      <c r="G737" s="121"/>
      <c r="H737" s="121"/>
      <c r="I737" s="121"/>
      <c r="M737" s="121"/>
    </row>
    <row r="738" ht="15.75" customHeight="1">
      <c r="F738" s="120"/>
      <c r="G738" s="121"/>
      <c r="H738" s="121"/>
      <c r="I738" s="121"/>
      <c r="M738" s="121"/>
    </row>
    <row r="739" ht="15.75" customHeight="1">
      <c r="F739" s="120"/>
      <c r="G739" s="121"/>
      <c r="H739" s="121"/>
      <c r="I739" s="121"/>
      <c r="M739" s="121"/>
    </row>
    <row r="740" ht="15.75" customHeight="1">
      <c r="F740" s="120"/>
      <c r="G740" s="121"/>
      <c r="H740" s="121"/>
      <c r="I740" s="121"/>
      <c r="M740" s="121"/>
    </row>
    <row r="741" ht="15.75" customHeight="1">
      <c r="F741" s="120"/>
      <c r="G741" s="121"/>
      <c r="H741" s="121"/>
      <c r="I741" s="121"/>
      <c r="M741" s="121"/>
    </row>
    <row r="742" ht="15.75" customHeight="1">
      <c r="F742" s="120"/>
      <c r="G742" s="121"/>
      <c r="H742" s="121"/>
      <c r="I742" s="121"/>
      <c r="M742" s="121"/>
    </row>
    <row r="743" ht="15.75" customHeight="1">
      <c r="F743" s="120"/>
      <c r="G743" s="121"/>
      <c r="H743" s="121"/>
      <c r="I743" s="121"/>
      <c r="M743" s="121"/>
    </row>
    <row r="744" ht="15.75" customHeight="1">
      <c r="F744" s="120"/>
      <c r="G744" s="121"/>
      <c r="H744" s="121"/>
      <c r="I744" s="121"/>
      <c r="M744" s="121"/>
    </row>
    <row r="745" ht="15.75" customHeight="1">
      <c r="F745" s="120"/>
      <c r="G745" s="121"/>
      <c r="H745" s="121"/>
      <c r="I745" s="121"/>
      <c r="M745" s="121"/>
    </row>
    <row r="746" ht="15.75" customHeight="1">
      <c r="F746" s="120"/>
      <c r="G746" s="121"/>
      <c r="H746" s="121"/>
      <c r="I746" s="121"/>
      <c r="M746" s="121"/>
    </row>
    <row r="747" ht="15.75" customHeight="1">
      <c r="F747" s="120"/>
      <c r="G747" s="121"/>
      <c r="H747" s="121"/>
      <c r="I747" s="121"/>
      <c r="M747" s="121"/>
    </row>
    <row r="748" ht="15.75" customHeight="1">
      <c r="F748" s="120"/>
      <c r="G748" s="121"/>
      <c r="H748" s="121"/>
      <c r="I748" s="121"/>
      <c r="M748" s="121"/>
    </row>
    <row r="749" ht="15.75" customHeight="1">
      <c r="F749" s="120"/>
      <c r="G749" s="121"/>
      <c r="H749" s="121"/>
      <c r="I749" s="121"/>
      <c r="M749" s="121"/>
    </row>
    <row r="750" ht="15.75" customHeight="1">
      <c r="F750" s="120"/>
      <c r="G750" s="121"/>
      <c r="H750" s="121"/>
      <c r="I750" s="121"/>
      <c r="M750" s="121"/>
    </row>
    <row r="751" ht="15.75" customHeight="1">
      <c r="F751" s="120"/>
      <c r="G751" s="121"/>
      <c r="H751" s="121"/>
      <c r="I751" s="121"/>
      <c r="M751" s="121"/>
    </row>
    <row r="752" ht="15.75" customHeight="1">
      <c r="F752" s="120"/>
      <c r="G752" s="121"/>
      <c r="H752" s="121"/>
      <c r="I752" s="121"/>
      <c r="M752" s="121"/>
    </row>
    <row r="753" ht="15.75" customHeight="1">
      <c r="F753" s="120"/>
      <c r="G753" s="121"/>
      <c r="H753" s="121"/>
      <c r="I753" s="121"/>
      <c r="M753" s="121"/>
    </row>
    <row r="754" ht="15.75" customHeight="1">
      <c r="F754" s="120"/>
      <c r="G754" s="121"/>
      <c r="H754" s="121"/>
      <c r="I754" s="121"/>
      <c r="M754" s="121"/>
    </row>
    <row r="755" ht="15.75" customHeight="1">
      <c r="F755" s="120"/>
      <c r="G755" s="121"/>
      <c r="H755" s="121"/>
      <c r="I755" s="121"/>
      <c r="M755" s="121"/>
    </row>
    <row r="756" ht="15.75" customHeight="1">
      <c r="F756" s="120"/>
      <c r="G756" s="121"/>
      <c r="H756" s="121"/>
      <c r="I756" s="121"/>
      <c r="M756" s="121"/>
    </row>
    <row r="757" ht="15.75" customHeight="1">
      <c r="F757" s="120"/>
      <c r="G757" s="121"/>
      <c r="H757" s="121"/>
      <c r="I757" s="121"/>
      <c r="M757" s="121"/>
    </row>
    <row r="758" ht="15.75" customHeight="1">
      <c r="F758" s="120"/>
      <c r="G758" s="121"/>
      <c r="H758" s="121"/>
      <c r="I758" s="121"/>
      <c r="M758" s="121"/>
    </row>
    <row r="759" ht="15.75" customHeight="1">
      <c r="F759" s="120"/>
      <c r="G759" s="121"/>
      <c r="H759" s="121"/>
      <c r="I759" s="121"/>
      <c r="M759" s="121"/>
    </row>
    <row r="760" ht="15.75" customHeight="1">
      <c r="F760" s="120"/>
      <c r="G760" s="121"/>
      <c r="H760" s="121"/>
      <c r="I760" s="121"/>
      <c r="M760" s="121"/>
    </row>
    <row r="761" ht="15.75" customHeight="1">
      <c r="F761" s="120"/>
      <c r="G761" s="121"/>
      <c r="H761" s="121"/>
      <c r="I761" s="121"/>
      <c r="M761" s="121"/>
    </row>
    <row r="762" ht="15.75" customHeight="1">
      <c r="F762" s="120"/>
      <c r="G762" s="121"/>
      <c r="H762" s="121"/>
      <c r="I762" s="121"/>
      <c r="M762" s="121"/>
    </row>
    <row r="763" ht="15.75" customHeight="1">
      <c r="F763" s="120"/>
      <c r="G763" s="121"/>
      <c r="H763" s="121"/>
      <c r="I763" s="121"/>
      <c r="M763" s="121"/>
    </row>
    <row r="764" ht="15.75" customHeight="1">
      <c r="F764" s="120"/>
      <c r="G764" s="121"/>
      <c r="H764" s="121"/>
      <c r="I764" s="121"/>
      <c r="M764" s="121"/>
    </row>
    <row r="765" ht="15.75" customHeight="1">
      <c r="F765" s="120"/>
      <c r="G765" s="121"/>
      <c r="H765" s="121"/>
      <c r="I765" s="121"/>
      <c r="M765" s="121"/>
    </row>
    <row r="766" ht="15.75" customHeight="1">
      <c r="F766" s="120"/>
      <c r="G766" s="121"/>
      <c r="H766" s="121"/>
      <c r="I766" s="121"/>
      <c r="M766" s="121"/>
    </row>
    <row r="767" ht="15.75" customHeight="1">
      <c r="F767" s="120"/>
      <c r="G767" s="121"/>
      <c r="H767" s="121"/>
      <c r="I767" s="121"/>
      <c r="M767" s="121"/>
    </row>
    <row r="768" ht="15.75" customHeight="1">
      <c r="F768" s="120"/>
      <c r="G768" s="121"/>
      <c r="H768" s="121"/>
      <c r="I768" s="121"/>
      <c r="M768" s="121"/>
    </row>
    <row r="769" ht="15.75" customHeight="1">
      <c r="F769" s="120"/>
      <c r="G769" s="121"/>
      <c r="H769" s="121"/>
      <c r="I769" s="121"/>
      <c r="M769" s="121"/>
    </row>
    <row r="770" ht="15.75" customHeight="1">
      <c r="F770" s="120"/>
      <c r="G770" s="121"/>
      <c r="H770" s="121"/>
      <c r="I770" s="121"/>
      <c r="M770" s="121"/>
    </row>
    <row r="771" ht="15.75" customHeight="1">
      <c r="F771" s="120"/>
      <c r="G771" s="121"/>
      <c r="H771" s="121"/>
      <c r="I771" s="121"/>
      <c r="M771" s="121"/>
    </row>
    <row r="772" ht="15.75" customHeight="1">
      <c r="F772" s="120"/>
      <c r="G772" s="121"/>
      <c r="H772" s="121"/>
      <c r="I772" s="121"/>
      <c r="M772" s="121"/>
    </row>
    <row r="773" ht="15.75" customHeight="1">
      <c r="F773" s="120"/>
      <c r="G773" s="121"/>
      <c r="H773" s="121"/>
      <c r="I773" s="121"/>
      <c r="M773" s="121"/>
    </row>
    <row r="774" ht="15.75" customHeight="1">
      <c r="F774" s="120"/>
      <c r="G774" s="121"/>
      <c r="H774" s="121"/>
      <c r="I774" s="121"/>
      <c r="M774" s="121"/>
    </row>
    <row r="775" ht="15.75" customHeight="1">
      <c r="F775" s="120"/>
      <c r="G775" s="121"/>
      <c r="H775" s="121"/>
      <c r="I775" s="121"/>
      <c r="M775" s="121"/>
    </row>
    <row r="776" ht="15.75" customHeight="1">
      <c r="F776" s="120"/>
      <c r="G776" s="121"/>
      <c r="H776" s="121"/>
      <c r="I776" s="121"/>
      <c r="M776" s="121"/>
    </row>
    <row r="777" ht="15.75" customHeight="1">
      <c r="F777" s="120"/>
      <c r="G777" s="121"/>
      <c r="H777" s="121"/>
      <c r="I777" s="121"/>
      <c r="M777" s="121"/>
    </row>
    <row r="778" ht="15.75" customHeight="1">
      <c r="F778" s="120"/>
      <c r="G778" s="121"/>
      <c r="H778" s="121"/>
      <c r="I778" s="121"/>
      <c r="M778" s="121"/>
    </row>
    <row r="779" ht="15.75" customHeight="1">
      <c r="F779" s="120"/>
      <c r="G779" s="121"/>
      <c r="H779" s="121"/>
      <c r="I779" s="121"/>
      <c r="M779" s="121"/>
    </row>
    <row r="780" ht="15.75" customHeight="1">
      <c r="F780" s="120"/>
      <c r="G780" s="121"/>
      <c r="H780" s="121"/>
      <c r="I780" s="121"/>
      <c r="M780" s="121"/>
    </row>
    <row r="781" ht="15.75" customHeight="1">
      <c r="F781" s="120"/>
      <c r="G781" s="121"/>
      <c r="H781" s="121"/>
      <c r="I781" s="121"/>
      <c r="M781" s="121"/>
    </row>
    <row r="782" ht="15.75" customHeight="1">
      <c r="F782" s="120"/>
      <c r="G782" s="121"/>
      <c r="H782" s="121"/>
      <c r="I782" s="121"/>
      <c r="M782" s="121"/>
    </row>
    <row r="783" ht="15.75" customHeight="1">
      <c r="F783" s="120"/>
      <c r="G783" s="121"/>
      <c r="H783" s="121"/>
      <c r="I783" s="121"/>
      <c r="M783" s="121"/>
    </row>
    <row r="784" ht="15.75" customHeight="1">
      <c r="F784" s="120"/>
      <c r="G784" s="121"/>
      <c r="H784" s="121"/>
      <c r="I784" s="121"/>
      <c r="M784" s="121"/>
    </row>
    <row r="785" ht="15.75" customHeight="1">
      <c r="F785" s="120"/>
      <c r="G785" s="121"/>
      <c r="H785" s="121"/>
      <c r="I785" s="121"/>
      <c r="M785" s="121"/>
    </row>
    <row r="786" ht="15.75" customHeight="1">
      <c r="F786" s="120"/>
      <c r="G786" s="121"/>
      <c r="H786" s="121"/>
      <c r="I786" s="121"/>
      <c r="M786" s="121"/>
    </row>
    <row r="787" ht="15.75" customHeight="1">
      <c r="F787" s="120"/>
      <c r="G787" s="121"/>
      <c r="H787" s="121"/>
      <c r="I787" s="121"/>
      <c r="M787" s="121"/>
    </row>
    <row r="788" ht="15.75" customHeight="1">
      <c r="F788" s="120"/>
      <c r="G788" s="121"/>
      <c r="H788" s="121"/>
      <c r="I788" s="121"/>
      <c r="M788" s="121"/>
    </row>
    <row r="789" ht="15.75" customHeight="1">
      <c r="F789" s="120"/>
      <c r="G789" s="121"/>
      <c r="H789" s="121"/>
      <c r="I789" s="121"/>
      <c r="M789" s="121"/>
    </row>
    <row r="790" ht="15.75" customHeight="1">
      <c r="F790" s="120"/>
      <c r="G790" s="121"/>
      <c r="H790" s="121"/>
      <c r="I790" s="121"/>
      <c r="M790" s="121"/>
    </row>
    <row r="791" ht="15.75" customHeight="1">
      <c r="F791" s="120"/>
      <c r="G791" s="121"/>
      <c r="H791" s="121"/>
      <c r="I791" s="121"/>
      <c r="M791" s="121"/>
    </row>
    <row r="792" ht="15.75" customHeight="1">
      <c r="F792" s="120"/>
      <c r="G792" s="121"/>
      <c r="H792" s="121"/>
      <c r="I792" s="121"/>
      <c r="M792" s="121"/>
    </row>
    <row r="793" ht="15.75" customHeight="1">
      <c r="F793" s="120"/>
      <c r="G793" s="121"/>
      <c r="H793" s="121"/>
      <c r="I793" s="121"/>
      <c r="M793" s="121"/>
    </row>
    <row r="794" ht="15.75" customHeight="1">
      <c r="F794" s="120"/>
      <c r="G794" s="121"/>
      <c r="H794" s="121"/>
      <c r="I794" s="121"/>
      <c r="M794" s="121"/>
    </row>
    <row r="795" ht="15.75" customHeight="1">
      <c r="F795" s="120"/>
      <c r="G795" s="121"/>
      <c r="H795" s="121"/>
      <c r="I795" s="121"/>
      <c r="M795" s="121"/>
    </row>
    <row r="796" ht="15.75" customHeight="1">
      <c r="F796" s="120"/>
      <c r="G796" s="121"/>
      <c r="H796" s="121"/>
      <c r="I796" s="121"/>
      <c r="M796" s="121"/>
    </row>
    <row r="797" ht="15.75" customHeight="1">
      <c r="F797" s="120"/>
      <c r="G797" s="121"/>
      <c r="H797" s="121"/>
      <c r="I797" s="121"/>
      <c r="M797" s="121"/>
    </row>
    <row r="798" ht="15.75" customHeight="1">
      <c r="F798" s="120"/>
      <c r="G798" s="121"/>
      <c r="H798" s="121"/>
      <c r="I798" s="121"/>
      <c r="M798" s="121"/>
    </row>
    <row r="799" ht="15.75" customHeight="1">
      <c r="F799" s="120"/>
      <c r="G799" s="121"/>
      <c r="H799" s="121"/>
      <c r="I799" s="121"/>
      <c r="M799" s="121"/>
    </row>
    <row r="800" ht="15.75" customHeight="1">
      <c r="F800" s="120"/>
      <c r="G800" s="121"/>
      <c r="H800" s="121"/>
      <c r="I800" s="121"/>
      <c r="M800" s="121"/>
    </row>
    <row r="801" ht="15.75" customHeight="1">
      <c r="F801" s="120"/>
      <c r="G801" s="121"/>
      <c r="H801" s="121"/>
      <c r="I801" s="121"/>
      <c r="M801" s="121"/>
    </row>
    <row r="802" ht="15.75" customHeight="1">
      <c r="F802" s="120"/>
      <c r="G802" s="121"/>
      <c r="H802" s="121"/>
      <c r="I802" s="121"/>
      <c r="M802" s="121"/>
    </row>
    <row r="803" ht="15.75" customHeight="1">
      <c r="F803" s="120"/>
      <c r="G803" s="121"/>
      <c r="H803" s="121"/>
      <c r="I803" s="121"/>
      <c r="M803" s="121"/>
    </row>
    <row r="804" ht="15.75" customHeight="1">
      <c r="F804" s="120"/>
      <c r="G804" s="121"/>
      <c r="H804" s="121"/>
      <c r="I804" s="121"/>
      <c r="M804" s="121"/>
    </row>
    <row r="805" ht="15.75" customHeight="1">
      <c r="F805" s="120"/>
      <c r="G805" s="121"/>
      <c r="H805" s="121"/>
      <c r="I805" s="121"/>
      <c r="M805" s="121"/>
    </row>
    <row r="806" ht="15.75" customHeight="1">
      <c r="F806" s="120"/>
      <c r="G806" s="121"/>
      <c r="H806" s="121"/>
      <c r="I806" s="121"/>
      <c r="M806" s="121"/>
    </row>
    <row r="807" ht="15.75" customHeight="1">
      <c r="F807" s="120"/>
      <c r="G807" s="121"/>
      <c r="H807" s="121"/>
      <c r="I807" s="121"/>
      <c r="M807" s="121"/>
    </row>
    <row r="808" ht="15.75" customHeight="1">
      <c r="F808" s="120"/>
      <c r="G808" s="121"/>
      <c r="H808" s="121"/>
      <c r="I808" s="121"/>
      <c r="M808" s="121"/>
    </row>
    <row r="809" ht="15.75" customHeight="1">
      <c r="F809" s="120"/>
      <c r="G809" s="121"/>
      <c r="H809" s="121"/>
      <c r="I809" s="121"/>
      <c r="M809" s="121"/>
    </row>
    <row r="810" ht="15.75" customHeight="1">
      <c r="F810" s="120"/>
      <c r="G810" s="121"/>
      <c r="H810" s="121"/>
      <c r="I810" s="121"/>
      <c r="M810" s="121"/>
    </row>
    <row r="811" ht="15.75" customHeight="1">
      <c r="F811" s="120"/>
      <c r="G811" s="121"/>
      <c r="H811" s="121"/>
      <c r="I811" s="121"/>
      <c r="M811" s="121"/>
    </row>
    <row r="812" ht="15.75" customHeight="1">
      <c r="F812" s="120"/>
      <c r="G812" s="121"/>
      <c r="H812" s="121"/>
      <c r="I812" s="121"/>
      <c r="M812" s="121"/>
    </row>
    <row r="813" ht="15.75" customHeight="1">
      <c r="F813" s="120"/>
      <c r="G813" s="121"/>
      <c r="H813" s="121"/>
      <c r="I813" s="121"/>
      <c r="M813" s="121"/>
    </row>
    <row r="814" ht="15.75" customHeight="1">
      <c r="F814" s="120"/>
      <c r="G814" s="121"/>
      <c r="H814" s="121"/>
      <c r="I814" s="121"/>
      <c r="M814" s="121"/>
    </row>
    <row r="815" ht="15.75" customHeight="1">
      <c r="F815" s="120"/>
      <c r="G815" s="121"/>
      <c r="H815" s="121"/>
      <c r="I815" s="121"/>
      <c r="M815" s="121"/>
    </row>
    <row r="816" ht="15.75" customHeight="1">
      <c r="F816" s="120"/>
      <c r="G816" s="121"/>
      <c r="H816" s="121"/>
      <c r="I816" s="121"/>
      <c r="M816" s="121"/>
    </row>
    <row r="817" ht="15.75" customHeight="1">
      <c r="F817" s="120"/>
      <c r="G817" s="121"/>
      <c r="H817" s="121"/>
      <c r="I817" s="121"/>
      <c r="M817" s="121"/>
    </row>
    <row r="818" ht="15.75" customHeight="1">
      <c r="F818" s="120"/>
      <c r="G818" s="121"/>
      <c r="H818" s="121"/>
      <c r="I818" s="121"/>
      <c r="M818" s="121"/>
    </row>
    <row r="819" ht="15.75" customHeight="1">
      <c r="F819" s="120"/>
      <c r="G819" s="121"/>
      <c r="H819" s="121"/>
      <c r="I819" s="121"/>
      <c r="M819" s="121"/>
    </row>
    <row r="820" ht="15.75" customHeight="1">
      <c r="F820" s="120"/>
      <c r="G820" s="121"/>
      <c r="H820" s="121"/>
      <c r="I820" s="121"/>
      <c r="M820" s="121"/>
    </row>
    <row r="821" ht="15.75" customHeight="1">
      <c r="F821" s="120"/>
      <c r="G821" s="121"/>
      <c r="H821" s="121"/>
      <c r="I821" s="121"/>
      <c r="M821" s="121"/>
    </row>
    <row r="822" ht="15.75" customHeight="1">
      <c r="F822" s="120"/>
      <c r="G822" s="121"/>
      <c r="H822" s="121"/>
      <c r="I822" s="121"/>
      <c r="M822" s="121"/>
    </row>
    <row r="823" ht="15.75" customHeight="1">
      <c r="F823" s="120"/>
      <c r="G823" s="121"/>
      <c r="H823" s="121"/>
      <c r="I823" s="121"/>
      <c r="M823" s="121"/>
    </row>
    <row r="824" ht="15.75" customHeight="1">
      <c r="F824" s="120"/>
      <c r="G824" s="121"/>
      <c r="H824" s="121"/>
      <c r="I824" s="121"/>
      <c r="M824" s="121"/>
    </row>
    <row r="825" ht="15.75" customHeight="1">
      <c r="F825" s="120"/>
      <c r="G825" s="121"/>
      <c r="H825" s="121"/>
      <c r="I825" s="121"/>
      <c r="M825" s="121"/>
    </row>
    <row r="826" ht="15.75" customHeight="1">
      <c r="F826" s="120"/>
      <c r="G826" s="121"/>
      <c r="H826" s="121"/>
      <c r="I826" s="121"/>
      <c r="M826" s="121"/>
    </row>
    <row r="827" ht="15.75" customHeight="1">
      <c r="F827" s="120"/>
      <c r="G827" s="121"/>
      <c r="H827" s="121"/>
      <c r="I827" s="121"/>
      <c r="M827" s="121"/>
    </row>
    <row r="828" ht="15.75" customHeight="1">
      <c r="F828" s="120"/>
      <c r="G828" s="121"/>
      <c r="H828" s="121"/>
      <c r="I828" s="121"/>
      <c r="M828" s="121"/>
    </row>
    <row r="829" ht="15.75" customHeight="1">
      <c r="F829" s="120"/>
      <c r="G829" s="121"/>
      <c r="H829" s="121"/>
      <c r="I829" s="121"/>
      <c r="M829" s="121"/>
    </row>
    <row r="830" ht="15.75" customHeight="1">
      <c r="F830" s="120"/>
      <c r="G830" s="121"/>
      <c r="H830" s="121"/>
      <c r="I830" s="121"/>
      <c r="M830" s="121"/>
    </row>
    <row r="831" ht="15.75" customHeight="1">
      <c r="F831" s="120"/>
      <c r="G831" s="121"/>
      <c r="H831" s="121"/>
      <c r="I831" s="121"/>
      <c r="M831" s="121"/>
    </row>
    <row r="832" ht="15.75" customHeight="1">
      <c r="F832" s="120"/>
      <c r="G832" s="121"/>
      <c r="H832" s="121"/>
      <c r="I832" s="121"/>
      <c r="M832" s="121"/>
    </row>
    <row r="833" ht="15.75" customHeight="1">
      <c r="F833" s="120"/>
      <c r="G833" s="121"/>
      <c r="H833" s="121"/>
      <c r="I833" s="121"/>
      <c r="M833" s="121"/>
    </row>
    <row r="834" ht="15.75" customHeight="1">
      <c r="F834" s="120"/>
      <c r="G834" s="121"/>
      <c r="H834" s="121"/>
      <c r="I834" s="121"/>
      <c r="M834" s="121"/>
    </row>
    <row r="835" ht="15.75" customHeight="1">
      <c r="F835" s="120"/>
      <c r="G835" s="121"/>
      <c r="H835" s="121"/>
      <c r="I835" s="121"/>
      <c r="M835" s="121"/>
    </row>
    <row r="836" ht="15.75" customHeight="1">
      <c r="F836" s="120"/>
      <c r="G836" s="121"/>
      <c r="H836" s="121"/>
      <c r="I836" s="121"/>
      <c r="M836" s="121"/>
    </row>
    <row r="837" ht="15.75" customHeight="1">
      <c r="F837" s="120"/>
      <c r="G837" s="121"/>
      <c r="H837" s="121"/>
      <c r="I837" s="121"/>
      <c r="M837" s="121"/>
    </row>
    <row r="838" ht="15.75" customHeight="1">
      <c r="F838" s="120"/>
      <c r="G838" s="121"/>
      <c r="H838" s="121"/>
      <c r="I838" s="121"/>
      <c r="M838" s="121"/>
    </row>
    <row r="839" ht="15.75" customHeight="1">
      <c r="F839" s="120"/>
      <c r="G839" s="121"/>
      <c r="H839" s="121"/>
      <c r="I839" s="121"/>
      <c r="M839" s="121"/>
    </row>
    <row r="840" ht="15.75" customHeight="1">
      <c r="F840" s="120"/>
      <c r="G840" s="121"/>
      <c r="H840" s="121"/>
      <c r="I840" s="121"/>
      <c r="M840" s="121"/>
    </row>
    <row r="841" ht="15.75" customHeight="1">
      <c r="F841" s="120"/>
      <c r="G841" s="121"/>
      <c r="H841" s="121"/>
      <c r="I841" s="121"/>
      <c r="M841" s="121"/>
    </row>
    <row r="842" ht="15.75" customHeight="1">
      <c r="F842" s="120"/>
      <c r="G842" s="121"/>
      <c r="H842" s="121"/>
      <c r="I842" s="121"/>
      <c r="M842" s="121"/>
    </row>
    <row r="843" ht="15.75" customHeight="1">
      <c r="F843" s="120"/>
      <c r="G843" s="121"/>
      <c r="H843" s="121"/>
      <c r="I843" s="121"/>
      <c r="M843" s="121"/>
    </row>
    <row r="844" ht="15.75" customHeight="1">
      <c r="F844" s="120"/>
      <c r="G844" s="121"/>
      <c r="H844" s="121"/>
      <c r="I844" s="121"/>
      <c r="M844" s="121"/>
    </row>
    <row r="845" ht="15.75" customHeight="1">
      <c r="F845" s="120"/>
      <c r="G845" s="121"/>
      <c r="H845" s="121"/>
      <c r="I845" s="121"/>
      <c r="M845" s="121"/>
    </row>
    <row r="846" ht="15.75" customHeight="1">
      <c r="F846" s="120"/>
      <c r="G846" s="121"/>
      <c r="H846" s="121"/>
      <c r="I846" s="121"/>
      <c r="M846" s="121"/>
    </row>
    <row r="847" ht="15.75" customHeight="1">
      <c r="F847" s="120"/>
      <c r="G847" s="121"/>
      <c r="H847" s="121"/>
      <c r="I847" s="121"/>
      <c r="M847" s="121"/>
    </row>
    <row r="848" ht="15.75" customHeight="1">
      <c r="F848" s="120"/>
      <c r="G848" s="121"/>
      <c r="H848" s="121"/>
      <c r="I848" s="121"/>
      <c r="M848" s="121"/>
    </row>
    <row r="849" ht="15.75" customHeight="1">
      <c r="F849" s="120"/>
      <c r="G849" s="121"/>
      <c r="H849" s="121"/>
      <c r="I849" s="121"/>
      <c r="M849" s="121"/>
    </row>
    <row r="850" ht="15.75" customHeight="1">
      <c r="F850" s="120"/>
      <c r="G850" s="121"/>
      <c r="H850" s="121"/>
      <c r="I850" s="121"/>
      <c r="M850" s="121"/>
    </row>
    <row r="851" ht="15.75" customHeight="1">
      <c r="F851" s="120"/>
      <c r="G851" s="121"/>
      <c r="H851" s="121"/>
      <c r="I851" s="121"/>
      <c r="M851" s="121"/>
    </row>
    <row r="852" ht="15.75" customHeight="1">
      <c r="F852" s="120"/>
      <c r="G852" s="121"/>
      <c r="H852" s="121"/>
      <c r="I852" s="121"/>
      <c r="M852" s="121"/>
    </row>
    <row r="853" ht="15.75" customHeight="1">
      <c r="F853" s="120"/>
      <c r="G853" s="121"/>
      <c r="H853" s="121"/>
      <c r="I853" s="121"/>
      <c r="M853" s="121"/>
    </row>
    <row r="854" ht="15.75" customHeight="1">
      <c r="F854" s="120"/>
      <c r="G854" s="121"/>
      <c r="H854" s="121"/>
      <c r="I854" s="121"/>
      <c r="M854" s="121"/>
    </row>
    <row r="855" ht="15.75" customHeight="1">
      <c r="F855" s="120"/>
      <c r="G855" s="121"/>
      <c r="H855" s="121"/>
      <c r="I855" s="121"/>
      <c r="M855" s="121"/>
    </row>
    <row r="856" ht="15.75" customHeight="1">
      <c r="F856" s="120"/>
      <c r="G856" s="121"/>
      <c r="H856" s="121"/>
      <c r="I856" s="121"/>
      <c r="M856" s="121"/>
    </row>
    <row r="857" ht="15.75" customHeight="1">
      <c r="F857" s="120"/>
      <c r="G857" s="121"/>
      <c r="H857" s="121"/>
      <c r="I857" s="121"/>
      <c r="M857" s="121"/>
    </row>
    <row r="858" ht="15.75" customHeight="1">
      <c r="F858" s="120"/>
      <c r="G858" s="121"/>
      <c r="H858" s="121"/>
      <c r="I858" s="121"/>
      <c r="M858" s="121"/>
    </row>
    <row r="859" ht="15.75" customHeight="1">
      <c r="F859" s="120"/>
      <c r="G859" s="121"/>
      <c r="H859" s="121"/>
      <c r="I859" s="121"/>
      <c r="M859" s="121"/>
    </row>
    <row r="860" ht="15.75" customHeight="1">
      <c r="F860" s="120"/>
      <c r="G860" s="121"/>
      <c r="H860" s="121"/>
      <c r="I860" s="121"/>
      <c r="M860" s="121"/>
    </row>
    <row r="861" ht="15.75" customHeight="1">
      <c r="F861" s="120"/>
      <c r="G861" s="121"/>
      <c r="H861" s="121"/>
      <c r="I861" s="121"/>
      <c r="M861" s="121"/>
    </row>
    <row r="862" ht="15.75" customHeight="1">
      <c r="F862" s="120"/>
      <c r="G862" s="121"/>
      <c r="H862" s="121"/>
      <c r="I862" s="121"/>
      <c r="M862" s="121"/>
    </row>
    <row r="863" ht="15.75" customHeight="1">
      <c r="F863" s="120"/>
      <c r="G863" s="121"/>
      <c r="H863" s="121"/>
      <c r="I863" s="121"/>
      <c r="M863" s="121"/>
    </row>
    <row r="864" ht="15.75" customHeight="1">
      <c r="F864" s="120"/>
      <c r="G864" s="121"/>
      <c r="H864" s="121"/>
      <c r="I864" s="121"/>
      <c r="M864" s="121"/>
    </row>
    <row r="865" ht="15.75" customHeight="1">
      <c r="F865" s="120"/>
      <c r="G865" s="121"/>
      <c r="H865" s="121"/>
      <c r="I865" s="121"/>
      <c r="M865" s="121"/>
    </row>
    <row r="866" ht="15.75" customHeight="1">
      <c r="F866" s="120"/>
      <c r="G866" s="121"/>
      <c r="H866" s="121"/>
      <c r="I866" s="121"/>
      <c r="M866" s="121"/>
    </row>
    <row r="867" ht="15.75" customHeight="1">
      <c r="F867" s="120"/>
      <c r="G867" s="121"/>
      <c r="H867" s="121"/>
      <c r="I867" s="121"/>
      <c r="M867" s="121"/>
    </row>
    <row r="868" ht="15.75" customHeight="1">
      <c r="F868" s="120"/>
      <c r="G868" s="121"/>
      <c r="H868" s="121"/>
      <c r="I868" s="121"/>
      <c r="M868" s="121"/>
    </row>
    <row r="869" ht="15.75" customHeight="1">
      <c r="F869" s="120"/>
      <c r="G869" s="121"/>
      <c r="H869" s="121"/>
      <c r="I869" s="121"/>
      <c r="M869" s="121"/>
    </row>
    <row r="870" ht="15.75" customHeight="1">
      <c r="F870" s="120"/>
      <c r="G870" s="121"/>
      <c r="H870" s="121"/>
      <c r="I870" s="121"/>
      <c r="M870" s="121"/>
    </row>
    <row r="871" ht="15.75" customHeight="1">
      <c r="F871" s="120"/>
      <c r="G871" s="121"/>
      <c r="H871" s="121"/>
      <c r="I871" s="121"/>
      <c r="M871" s="121"/>
    </row>
    <row r="872" ht="15.75" customHeight="1">
      <c r="F872" s="120"/>
      <c r="G872" s="121"/>
      <c r="H872" s="121"/>
      <c r="I872" s="121"/>
      <c r="M872" s="121"/>
    </row>
    <row r="873" ht="15.75" customHeight="1">
      <c r="F873" s="120"/>
      <c r="G873" s="121"/>
      <c r="H873" s="121"/>
      <c r="I873" s="121"/>
      <c r="M873" s="121"/>
    </row>
    <row r="874" ht="15.75" customHeight="1">
      <c r="F874" s="120"/>
      <c r="G874" s="121"/>
      <c r="H874" s="121"/>
      <c r="I874" s="121"/>
      <c r="M874" s="121"/>
    </row>
    <row r="875" ht="15.75" customHeight="1">
      <c r="F875" s="120"/>
      <c r="G875" s="121"/>
      <c r="H875" s="121"/>
      <c r="I875" s="121"/>
      <c r="M875" s="121"/>
    </row>
    <row r="876" ht="15.75" customHeight="1">
      <c r="F876" s="120"/>
      <c r="G876" s="121"/>
      <c r="H876" s="121"/>
      <c r="I876" s="121"/>
      <c r="M876" s="121"/>
    </row>
    <row r="877" ht="15.75" customHeight="1">
      <c r="F877" s="120"/>
      <c r="G877" s="121"/>
      <c r="H877" s="121"/>
      <c r="I877" s="121"/>
      <c r="M877" s="121"/>
    </row>
    <row r="878" ht="15.75" customHeight="1">
      <c r="F878" s="120"/>
      <c r="G878" s="121"/>
      <c r="H878" s="121"/>
      <c r="I878" s="121"/>
      <c r="M878" s="121"/>
    </row>
    <row r="879" ht="15.75" customHeight="1">
      <c r="F879" s="120"/>
      <c r="G879" s="121"/>
      <c r="H879" s="121"/>
      <c r="I879" s="121"/>
      <c r="M879" s="121"/>
    </row>
    <row r="880" ht="15.75" customHeight="1">
      <c r="F880" s="120"/>
      <c r="G880" s="121"/>
      <c r="H880" s="121"/>
      <c r="I880" s="121"/>
      <c r="M880" s="121"/>
    </row>
    <row r="881" ht="15.75" customHeight="1">
      <c r="F881" s="120"/>
      <c r="G881" s="121"/>
      <c r="H881" s="121"/>
      <c r="I881" s="121"/>
      <c r="M881" s="121"/>
    </row>
    <row r="882" ht="15.75" customHeight="1">
      <c r="F882" s="120"/>
      <c r="G882" s="121"/>
      <c r="H882" s="121"/>
      <c r="I882" s="121"/>
      <c r="M882" s="121"/>
    </row>
    <row r="883" ht="15.75" customHeight="1">
      <c r="F883" s="120"/>
      <c r="G883" s="121"/>
      <c r="H883" s="121"/>
      <c r="I883" s="121"/>
      <c r="M883" s="121"/>
    </row>
    <row r="884" ht="15.75" customHeight="1">
      <c r="F884" s="120"/>
      <c r="G884" s="121"/>
      <c r="H884" s="121"/>
      <c r="I884" s="121"/>
      <c r="M884" s="121"/>
    </row>
    <row r="885" ht="15.75" customHeight="1">
      <c r="F885" s="120"/>
      <c r="G885" s="121"/>
      <c r="H885" s="121"/>
      <c r="I885" s="121"/>
      <c r="M885" s="121"/>
    </row>
    <row r="886" ht="15.75" customHeight="1">
      <c r="F886" s="120"/>
      <c r="G886" s="121"/>
      <c r="H886" s="121"/>
      <c r="I886" s="121"/>
      <c r="M886" s="121"/>
    </row>
    <row r="887" ht="15.75" customHeight="1">
      <c r="F887" s="120"/>
      <c r="G887" s="121"/>
      <c r="H887" s="121"/>
      <c r="I887" s="121"/>
      <c r="M887" s="121"/>
    </row>
    <row r="888" ht="15.75" customHeight="1">
      <c r="F888" s="120"/>
      <c r="G888" s="121"/>
      <c r="H888" s="121"/>
      <c r="I888" s="121"/>
      <c r="M888" s="121"/>
    </row>
    <row r="889" ht="15.75" customHeight="1">
      <c r="F889" s="120"/>
      <c r="G889" s="121"/>
      <c r="H889" s="121"/>
      <c r="I889" s="121"/>
      <c r="M889" s="121"/>
    </row>
    <row r="890" ht="15.75" customHeight="1">
      <c r="F890" s="120"/>
      <c r="G890" s="121"/>
      <c r="H890" s="121"/>
      <c r="I890" s="121"/>
      <c r="M890" s="121"/>
    </row>
    <row r="891" ht="15.75" customHeight="1">
      <c r="F891" s="120"/>
      <c r="G891" s="121"/>
      <c r="H891" s="121"/>
      <c r="I891" s="121"/>
      <c r="M891" s="121"/>
    </row>
    <row r="892" ht="15.75" customHeight="1">
      <c r="F892" s="120"/>
      <c r="G892" s="121"/>
      <c r="H892" s="121"/>
      <c r="I892" s="121"/>
      <c r="M892" s="121"/>
    </row>
    <row r="893" ht="15.75" customHeight="1">
      <c r="F893" s="120"/>
      <c r="G893" s="121"/>
      <c r="H893" s="121"/>
      <c r="I893" s="121"/>
      <c r="M893" s="121"/>
    </row>
    <row r="894" ht="15.75" customHeight="1">
      <c r="F894" s="120"/>
      <c r="G894" s="121"/>
      <c r="H894" s="121"/>
      <c r="I894" s="121"/>
      <c r="M894" s="121"/>
    </row>
    <row r="895" ht="15.75" customHeight="1">
      <c r="F895" s="120"/>
      <c r="G895" s="121"/>
      <c r="H895" s="121"/>
      <c r="I895" s="121"/>
      <c r="M895" s="121"/>
    </row>
    <row r="896" ht="15.75" customHeight="1">
      <c r="F896" s="120"/>
      <c r="G896" s="121"/>
      <c r="H896" s="121"/>
      <c r="I896" s="121"/>
      <c r="M896" s="121"/>
    </row>
    <row r="897" ht="15.75" customHeight="1">
      <c r="F897" s="120"/>
      <c r="G897" s="121"/>
      <c r="H897" s="121"/>
      <c r="I897" s="121"/>
      <c r="M897" s="121"/>
    </row>
    <row r="898" ht="15.75" customHeight="1">
      <c r="F898" s="120"/>
      <c r="G898" s="121"/>
      <c r="H898" s="121"/>
      <c r="I898" s="121"/>
      <c r="M898" s="121"/>
    </row>
    <row r="899" ht="15.75" customHeight="1">
      <c r="F899" s="120"/>
      <c r="G899" s="121"/>
      <c r="H899" s="121"/>
      <c r="I899" s="121"/>
      <c r="M899" s="121"/>
    </row>
    <row r="900" ht="15.75" customHeight="1">
      <c r="F900" s="120"/>
      <c r="G900" s="121"/>
      <c r="H900" s="121"/>
      <c r="I900" s="121"/>
      <c r="M900" s="121"/>
    </row>
    <row r="901" ht="15.75" customHeight="1">
      <c r="F901" s="120"/>
      <c r="G901" s="121"/>
      <c r="H901" s="121"/>
      <c r="I901" s="121"/>
      <c r="M901" s="121"/>
    </row>
    <row r="902" ht="15.75" customHeight="1">
      <c r="F902" s="120"/>
      <c r="G902" s="121"/>
      <c r="H902" s="121"/>
      <c r="I902" s="121"/>
      <c r="M902" s="121"/>
    </row>
    <row r="903" ht="15.75" customHeight="1">
      <c r="F903" s="120"/>
      <c r="G903" s="121"/>
      <c r="H903" s="121"/>
      <c r="I903" s="121"/>
      <c r="M903" s="121"/>
    </row>
    <row r="904" ht="15.75" customHeight="1">
      <c r="F904" s="120"/>
      <c r="G904" s="121"/>
      <c r="H904" s="121"/>
      <c r="I904" s="121"/>
      <c r="M904" s="121"/>
    </row>
    <row r="905" ht="15.75" customHeight="1">
      <c r="F905" s="120"/>
      <c r="G905" s="121"/>
      <c r="H905" s="121"/>
      <c r="I905" s="121"/>
      <c r="M905" s="121"/>
    </row>
    <row r="906" ht="15.75" customHeight="1">
      <c r="F906" s="120"/>
      <c r="G906" s="121"/>
      <c r="H906" s="121"/>
      <c r="I906" s="121"/>
      <c r="M906" s="121"/>
    </row>
    <row r="907" ht="15.75" customHeight="1">
      <c r="F907" s="120"/>
      <c r="G907" s="121"/>
      <c r="H907" s="121"/>
      <c r="I907" s="121"/>
      <c r="M907" s="121"/>
    </row>
    <row r="908" ht="15.75" customHeight="1">
      <c r="F908" s="120"/>
      <c r="G908" s="121"/>
      <c r="H908" s="121"/>
      <c r="I908" s="121"/>
      <c r="M908" s="121"/>
    </row>
    <row r="909" ht="15.75" customHeight="1">
      <c r="F909" s="120"/>
      <c r="G909" s="121"/>
      <c r="H909" s="121"/>
      <c r="I909" s="121"/>
      <c r="M909" s="121"/>
    </row>
    <row r="910" ht="15.75" customHeight="1">
      <c r="F910" s="120"/>
      <c r="G910" s="121"/>
      <c r="H910" s="121"/>
      <c r="I910" s="121"/>
      <c r="M910" s="121"/>
    </row>
    <row r="911" ht="15.75" customHeight="1">
      <c r="F911" s="120"/>
      <c r="G911" s="121"/>
      <c r="H911" s="121"/>
      <c r="I911" s="121"/>
      <c r="M911" s="121"/>
    </row>
    <row r="912" ht="15.75" customHeight="1">
      <c r="F912" s="120"/>
      <c r="G912" s="121"/>
      <c r="H912" s="121"/>
      <c r="I912" s="121"/>
      <c r="M912" s="121"/>
    </row>
    <row r="913" ht="15.75" customHeight="1">
      <c r="F913" s="120"/>
      <c r="G913" s="121"/>
      <c r="H913" s="121"/>
      <c r="I913" s="121"/>
      <c r="M913" s="121"/>
    </row>
    <row r="914" ht="15.75" customHeight="1">
      <c r="F914" s="120"/>
      <c r="G914" s="121"/>
      <c r="H914" s="121"/>
      <c r="I914" s="121"/>
      <c r="M914" s="121"/>
    </row>
    <row r="915" ht="15.75" customHeight="1">
      <c r="F915" s="120"/>
      <c r="G915" s="121"/>
      <c r="H915" s="121"/>
      <c r="I915" s="121"/>
      <c r="M915" s="121"/>
    </row>
    <row r="916" ht="15.75" customHeight="1">
      <c r="F916" s="120"/>
      <c r="G916" s="121"/>
      <c r="H916" s="121"/>
      <c r="I916" s="121"/>
      <c r="M916" s="121"/>
    </row>
    <row r="917" ht="15.75" customHeight="1">
      <c r="F917" s="120"/>
      <c r="G917" s="121"/>
      <c r="H917" s="121"/>
      <c r="I917" s="121"/>
      <c r="M917" s="121"/>
    </row>
    <row r="918" ht="15.75" customHeight="1">
      <c r="F918" s="120"/>
      <c r="G918" s="121"/>
      <c r="H918" s="121"/>
      <c r="I918" s="121"/>
      <c r="M918" s="121"/>
    </row>
    <row r="919" ht="15.75" customHeight="1">
      <c r="F919" s="120"/>
      <c r="G919" s="121"/>
      <c r="H919" s="121"/>
      <c r="I919" s="121"/>
      <c r="M919" s="121"/>
    </row>
    <row r="920" ht="15.75" customHeight="1">
      <c r="F920" s="120"/>
      <c r="G920" s="121"/>
      <c r="H920" s="121"/>
      <c r="I920" s="121"/>
      <c r="M920" s="121"/>
    </row>
    <row r="921" ht="15.75" customHeight="1">
      <c r="F921" s="120"/>
      <c r="G921" s="121"/>
      <c r="H921" s="121"/>
      <c r="I921" s="121"/>
      <c r="M921" s="121"/>
    </row>
    <row r="922" ht="15.75" customHeight="1">
      <c r="F922" s="120"/>
      <c r="G922" s="121"/>
      <c r="H922" s="121"/>
      <c r="I922" s="121"/>
      <c r="M922" s="121"/>
    </row>
    <row r="923" ht="15.75" customHeight="1">
      <c r="F923" s="120"/>
      <c r="G923" s="121"/>
      <c r="H923" s="121"/>
      <c r="I923" s="121"/>
      <c r="M923" s="121"/>
    </row>
    <row r="924" ht="15.75" customHeight="1">
      <c r="F924" s="120"/>
      <c r="G924" s="121"/>
      <c r="H924" s="121"/>
      <c r="I924" s="121"/>
      <c r="M924" s="121"/>
    </row>
    <row r="925" ht="15.75" customHeight="1">
      <c r="F925" s="120"/>
      <c r="G925" s="121"/>
      <c r="H925" s="121"/>
      <c r="I925" s="121"/>
      <c r="M925" s="121"/>
    </row>
    <row r="926" ht="15.75" customHeight="1">
      <c r="F926" s="120"/>
      <c r="G926" s="121"/>
      <c r="H926" s="121"/>
      <c r="I926" s="121"/>
      <c r="M926" s="121"/>
    </row>
    <row r="927" ht="15.75" customHeight="1">
      <c r="F927" s="120"/>
      <c r="G927" s="121"/>
      <c r="H927" s="121"/>
      <c r="I927" s="121"/>
      <c r="M927" s="121"/>
    </row>
    <row r="928" ht="15.75" customHeight="1">
      <c r="F928" s="120"/>
      <c r="G928" s="121"/>
      <c r="H928" s="121"/>
      <c r="I928" s="121"/>
      <c r="M928" s="121"/>
    </row>
    <row r="929" ht="15.75" customHeight="1">
      <c r="F929" s="120"/>
      <c r="G929" s="121"/>
      <c r="H929" s="121"/>
      <c r="I929" s="121"/>
      <c r="M929" s="121"/>
    </row>
    <row r="930" ht="15.75" customHeight="1">
      <c r="F930" s="120"/>
      <c r="G930" s="121"/>
      <c r="H930" s="121"/>
      <c r="I930" s="121"/>
      <c r="M930" s="121"/>
    </row>
    <row r="931" ht="15.75" customHeight="1">
      <c r="F931" s="120"/>
      <c r="G931" s="121"/>
      <c r="H931" s="121"/>
      <c r="I931" s="121"/>
      <c r="M931" s="121"/>
    </row>
    <row r="932" ht="15.75" customHeight="1">
      <c r="F932" s="120"/>
      <c r="G932" s="121"/>
      <c r="H932" s="121"/>
      <c r="I932" s="121"/>
      <c r="M932" s="121"/>
    </row>
    <row r="933" ht="15.75" customHeight="1">
      <c r="F933" s="120"/>
      <c r="G933" s="121"/>
      <c r="H933" s="121"/>
      <c r="I933" s="121"/>
      <c r="M933" s="121"/>
    </row>
    <row r="934" ht="15.75" customHeight="1">
      <c r="F934" s="120"/>
      <c r="G934" s="121"/>
      <c r="H934" s="121"/>
      <c r="I934" s="121"/>
      <c r="M934" s="121"/>
    </row>
    <row r="935" ht="15.75" customHeight="1">
      <c r="F935" s="120"/>
      <c r="G935" s="121"/>
      <c r="H935" s="121"/>
      <c r="I935" s="121"/>
      <c r="M935" s="121"/>
    </row>
    <row r="936" ht="15.75" customHeight="1">
      <c r="F936" s="120"/>
      <c r="G936" s="121"/>
      <c r="H936" s="121"/>
      <c r="I936" s="121"/>
      <c r="M936" s="121"/>
    </row>
    <row r="937" ht="15.75" customHeight="1">
      <c r="F937" s="120"/>
      <c r="G937" s="121"/>
      <c r="H937" s="121"/>
      <c r="I937" s="121"/>
      <c r="M937" s="121"/>
    </row>
    <row r="938" ht="15.75" customHeight="1">
      <c r="F938" s="120"/>
      <c r="G938" s="121"/>
      <c r="H938" s="121"/>
      <c r="I938" s="121"/>
      <c r="M938" s="121"/>
    </row>
    <row r="939" ht="15.75" customHeight="1">
      <c r="F939" s="120"/>
      <c r="G939" s="121"/>
      <c r="H939" s="121"/>
      <c r="I939" s="121"/>
      <c r="M939" s="121"/>
    </row>
    <row r="940" ht="15.75" customHeight="1">
      <c r="F940" s="120"/>
      <c r="G940" s="121"/>
      <c r="H940" s="121"/>
      <c r="I940" s="121"/>
      <c r="M940" s="121"/>
    </row>
    <row r="941" ht="15.75" customHeight="1">
      <c r="F941" s="120"/>
      <c r="G941" s="121"/>
      <c r="H941" s="121"/>
      <c r="I941" s="121"/>
      <c r="M941" s="121"/>
    </row>
    <row r="942" ht="15.75" customHeight="1">
      <c r="F942" s="120"/>
      <c r="G942" s="121"/>
      <c r="H942" s="121"/>
      <c r="I942" s="121"/>
      <c r="M942" s="121"/>
    </row>
    <row r="943" ht="15.75" customHeight="1">
      <c r="F943" s="120"/>
      <c r="G943" s="121"/>
      <c r="H943" s="121"/>
      <c r="I943" s="121"/>
      <c r="M943" s="121"/>
    </row>
    <row r="944" ht="15.75" customHeight="1">
      <c r="F944" s="120"/>
      <c r="G944" s="121"/>
      <c r="H944" s="121"/>
      <c r="I944" s="121"/>
      <c r="M944" s="121"/>
    </row>
    <row r="945" ht="15.75" customHeight="1">
      <c r="F945" s="120"/>
      <c r="G945" s="121"/>
      <c r="H945" s="121"/>
      <c r="I945" s="121"/>
      <c r="M945" s="121"/>
    </row>
    <row r="946" ht="15.75" customHeight="1">
      <c r="F946" s="120"/>
      <c r="G946" s="121"/>
      <c r="H946" s="121"/>
      <c r="I946" s="121"/>
      <c r="M946" s="121"/>
    </row>
    <row r="947" ht="15.75" customHeight="1">
      <c r="F947" s="120"/>
      <c r="G947" s="121"/>
      <c r="H947" s="121"/>
      <c r="I947" s="121"/>
      <c r="M947" s="121"/>
    </row>
    <row r="948" ht="15.75" customHeight="1">
      <c r="F948" s="120"/>
      <c r="G948" s="121"/>
      <c r="H948" s="121"/>
      <c r="I948" s="121"/>
      <c r="M948" s="121"/>
    </row>
    <row r="949" ht="15.75" customHeight="1">
      <c r="F949" s="120"/>
      <c r="G949" s="121"/>
      <c r="H949" s="121"/>
      <c r="I949" s="121"/>
      <c r="M949" s="121"/>
    </row>
    <row r="950" ht="15.75" customHeight="1">
      <c r="F950" s="120"/>
      <c r="G950" s="121"/>
      <c r="H950" s="121"/>
      <c r="I950" s="121"/>
      <c r="M950" s="121"/>
    </row>
    <row r="951" ht="15.75" customHeight="1">
      <c r="F951" s="120"/>
      <c r="G951" s="121"/>
      <c r="H951" s="121"/>
      <c r="I951" s="121"/>
      <c r="M951" s="121"/>
    </row>
    <row r="952" ht="15.75" customHeight="1">
      <c r="F952" s="120"/>
      <c r="G952" s="121"/>
      <c r="H952" s="121"/>
      <c r="I952" s="121"/>
      <c r="M952" s="121"/>
    </row>
    <row r="953" ht="15.75" customHeight="1">
      <c r="F953" s="120"/>
      <c r="G953" s="121"/>
      <c r="H953" s="121"/>
      <c r="I953" s="121"/>
      <c r="M953" s="121"/>
    </row>
    <row r="954" ht="15.75" customHeight="1">
      <c r="F954" s="120"/>
      <c r="G954" s="121"/>
      <c r="H954" s="121"/>
      <c r="I954" s="121"/>
      <c r="M954" s="121"/>
    </row>
    <row r="955" ht="15.75" customHeight="1">
      <c r="F955" s="120"/>
      <c r="G955" s="121"/>
      <c r="H955" s="121"/>
      <c r="I955" s="121"/>
      <c r="M955" s="121"/>
    </row>
    <row r="956" ht="15.75" customHeight="1">
      <c r="F956" s="120"/>
      <c r="G956" s="121"/>
      <c r="H956" s="121"/>
      <c r="I956" s="121"/>
      <c r="M956" s="121"/>
    </row>
    <row r="957" ht="15.75" customHeight="1">
      <c r="F957" s="120"/>
      <c r="G957" s="121"/>
      <c r="H957" s="121"/>
      <c r="I957" s="121"/>
      <c r="M957" s="121"/>
    </row>
    <row r="958" ht="15.75" customHeight="1">
      <c r="F958" s="120"/>
      <c r="G958" s="121"/>
      <c r="H958" s="121"/>
      <c r="I958" s="121"/>
      <c r="M958" s="121"/>
    </row>
    <row r="959" ht="15.75" customHeight="1">
      <c r="F959" s="120"/>
      <c r="G959" s="121"/>
      <c r="H959" s="121"/>
      <c r="I959" s="121"/>
      <c r="M959" s="121"/>
    </row>
    <row r="960" ht="15.75" customHeight="1">
      <c r="F960" s="120"/>
      <c r="G960" s="121"/>
      <c r="H960" s="121"/>
      <c r="I960" s="121"/>
      <c r="M960" s="121"/>
    </row>
    <row r="961" ht="15.75" customHeight="1">
      <c r="F961" s="120"/>
      <c r="G961" s="121"/>
      <c r="H961" s="121"/>
      <c r="I961" s="121"/>
      <c r="M961" s="121"/>
    </row>
    <row r="962" ht="15.75" customHeight="1">
      <c r="F962" s="120"/>
      <c r="G962" s="121"/>
      <c r="H962" s="121"/>
      <c r="I962" s="121"/>
      <c r="M962" s="121"/>
    </row>
    <row r="963" ht="15.75" customHeight="1">
      <c r="F963" s="120"/>
      <c r="G963" s="121"/>
      <c r="H963" s="121"/>
      <c r="I963" s="121"/>
      <c r="M963" s="121"/>
    </row>
    <row r="964" ht="15.75" customHeight="1">
      <c r="F964" s="120"/>
      <c r="G964" s="121"/>
      <c r="H964" s="121"/>
      <c r="I964" s="121"/>
      <c r="M964" s="121"/>
    </row>
    <row r="965" ht="15.75" customHeight="1">
      <c r="F965" s="120"/>
      <c r="G965" s="121"/>
      <c r="H965" s="121"/>
      <c r="I965" s="121"/>
      <c r="M965" s="121"/>
    </row>
    <row r="966" ht="15.75" customHeight="1">
      <c r="F966" s="120"/>
      <c r="G966" s="121"/>
      <c r="H966" s="121"/>
      <c r="I966" s="121"/>
      <c r="M966" s="121"/>
    </row>
    <row r="967" ht="15.75" customHeight="1">
      <c r="F967" s="120"/>
      <c r="G967" s="121"/>
      <c r="H967" s="121"/>
      <c r="I967" s="121"/>
      <c r="M967" s="121"/>
    </row>
    <row r="968" ht="15.75" customHeight="1">
      <c r="F968" s="120"/>
      <c r="G968" s="121"/>
      <c r="H968" s="121"/>
      <c r="I968" s="121"/>
      <c r="M968" s="121"/>
    </row>
    <row r="969" ht="15.75" customHeight="1">
      <c r="F969" s="120"/>
      <c r="G969" s="121"/>
      <c r="H969" s="121"/>
      <c r="I969" s="121"/>
      <c r="M969" s="121"/>
    </row>
    <row r="970" ht="15.75" customHeight="1">
      <c r="F970" s="120"/>
      <c r="G970" s="121"/>
      <c r="H970" s="121"/>
      <c r="I970" s="121"/>
      <c r="M970" s="121"/>
    </row>
    <row r="971" ht="15.75" customHeight="1">
      <c r="F971" s="120"/>
      <c r="G971" s="121"/>
      <c r="H971" s="121"/>
      <c r="I971" s="121"/>
      <c r="M971" s="121"/>
    </row>
    <row r="972" ht="15.75" customHeight="1">
      <c r="F972" s="120"/>
      <c r="G972" s="121"/>
      <c r="H972" s="121"/>
      <c r="I972" s="121"/>
      <c r="M972" s="121"/>
    </row>
    <row r="973" ht="15.75" customHeight="1">
      <c r="F973" s="120"/>
      <c r="G973" s="121"/>
      <c r="H973" s="121"/>
      <c r="I973" s="121"/>
      <c r="M973" s="121"/>
    </row>
    <row r="974" ht="15.75" customHeight="1">
      <c r="F974" s="120"/>
      <c r="G974" s="121"/>
      <c r="H974" s="121"/>
      <c r="I974" s="121"/>
      <c r="M974" s="121"/>
    </row>
    <row r="975" ht="15.75" customHeight="1">
      <c r="F975" s="120"/>
      <c r="G975" s="121"/>
      <c r="H975" s="121"/>
      <c r="I975" s="121"/>
      <c r="M975" s="121"/>
    </row>
    <row r="976" ht="15.75" customHeight="1">
      <c r="F976" s="120"/>
      <c r="G976" s="121"/>
      <c r="H976" s="121"/>
      <c r="I976" s="121"/>
      <c r="M976" s="121"/>
    </row>
    <row r="977" ht="15.75" customHeight="1">
      <c r="F977" s="120"/>
      <c r="G977" s="121"/>
      <c r="H977" s="121"/>
      <c r="I977" s="121"/>
      <c r="M977" s="121"/>
    </row>
    <row r="978" ht="15.75" customHeight="1">
      <c r="F978" s="120"/>
      <c r="G978" s="121"/>
      <c r="H978" s="121"/>
      <c r="I978" s="121"/>
      <c r="M978" s="121"/>
    </row>
    <row r="979" ht="15.75" customHeight="1">
      <c r="F979" s="120"/>
      <c r="G979" s="121"/>
      <c r="H979" s="121"/>
      <c r="I979" s="121"/>
      <c r="M979" s="121"/>
    </row>
    <row r="980" ht="15.75" customHeight="1">
      <c r="F980" s="120"/>
      <c r="G980" s="121"/>
      <c r="H980" s="121"/>
      <c r="I980" s="121"/>
      <c r="M980" s="121"/>
    </row>
    <row r="981" ht="15.75" customHeight="1">
      <c r="F981" s="120"/>
      <c r="G981" s="121"/>
      <c r="H981" s="121"/>
      <c r="I981" s="121"/>
      <c r="M981" s="121"/>
    </row>
    <row r="982" ht="15.75" customHeight="1">
      <c r="F982" s="120"/>
      <c r="G982" s="121"/>
      <c r="H982" s="121"/>
      <c r="I982" s="121"/>
      <c r="M982" s="121"/>
    </row>
    <row r="983" ht="15.75" customHeight="1">
      <c r="F983" s="120"/>
      <c r="G983" s="121"/>
      <c r="H983" s="121"/>
      <c r="I983" s="121"/>
      <c r="M983" s="121"/>
    </row>
    <row r="984" ht="15.75" customHeight="1">
      <c r="F984" s="120"/>
      <c r="G984" s="121"/>
      <c r="H984" s="121"/>
      <c r="I984" s="121"/>
      <c r="M984" s="121"/>
    </row>
    <row r="985" ht="15.75" customHeight="1">
      <c r="F985" s="120"/>
      <c r="G985" s="121"/>
      <c r="H985" s="121"/>
      <c r="I985" s="121"/>
      <c r="M985" s="121"/>
    </row>
    <row r="986" ht="15.75" customHeight="1">
      <c r="F986" s="120"/>
      <c r="G986" s="121"/>
      <c r="H986" s="121"/>
      <c r="I986" s="121"/>
      <c r="M986" s="121"/>
    </row>
    <row r="987" ht="15.75" customHeight="1">
      <c r="F987" s="120"/>
      <c r="G987" s="121"/>
      <c r="H987" s="121"/>
      <c r="I987" s="121"/>
      <c r="M987" s="121"/>
    </row>
    <row r="988" ht="15.75" customHeight="1">
      <c r="F988" s="120"/>
      <c r="G988" s="121"/>
      <c r="H988" s="121"/>
      <c r="I988" s="121"/>
      <c r="M988" s="121"/>
    </row>
    <row r="989" ht="15.75" customHeight="1">
      <c r="F989" s="120"/>
      <c r="G989" s="121"/>
      <c r="H989" s="121"/>
      <c r="I989" s="121"/>
      <c r="M989" s="121"/>
    </row>
    <row r="990" ht="15.75" customHeight="1">
      <c r="F990" s="120"/>
      <c r="G990" s="121"/>
      <c r="H990" s="121"/>
      <c r="I990" s="121"/>
      <c r="M990" s="121"/>
    </row>
    <row r="991" ht="15.75" customHeight="1">
      <c r="F991" s="120"/>
      <c r="G991" s="121"/>
      <c r="H991" s="121"/>
      <c r="I991" s="121"/>
      <c r="M991" s="121"/>
    </row>
    <row r="992" ht="15.75" customHeight="1">
      <c r="F992" s="120"/>
      <c r="G992" s="121"/>
      <c r="H992" s="121"/>
      <c r="I992" s="121"/>
      <c r="M992" s="121"/>
    </row>
    <row r="993" ht="15.75" customHeight="1">
      <c r="F993" s="120"/>
      <c r="G993" s="121"/>
      <c r="H993" s="121"/>
      <c r="I993" s="121"/>
      <c r="M993" s="121"/>
    </row>
    <row r="994" ht="15.75" customHeight="1">
      <c r="F994" s="120"/>
      <c r="G994" s="121"/>
      <c r="H994" s="121"/>
      <c r="I994" s="121"/>
      <c r="M994" s="121"/>
    </row>
    <row r="995" ht="15.75" customHeight="1">
      <c r="F995" s="120"/>
      <c r="G995" s="121"/>
      <c r="H995" s="121"/>
      <c r="I995" s="121"/>
      <c r="M995" s="121"/>
    </row>
    <row r="996" ht="15.75" customHeight="1">
      <c r="F996" s="120"/>
      <c r="G996" s="121"/>
      <c r="H996" s="121"/>
      <c r="I996" s="121"/>
      <c r="M996" s="121"/>
    </row>
    <row r="997" ht="15.75" customHeight="1">
      <c r="F997" s="120"/>
      <c r="G997" s="121"/>
      <c r="H997" s="121"/>
      <c r="I997" s="121"/>
      <c r="M997" s="121"/>
    </row>
    <row r="998" ht="15.75" customHeight="1">
      <c r="F998" s="120"/>
      <c r="G998" s="121"/>
      <c r="H998" s="121"/>
      <c r="I998" s="121"/>
      <c r="M998" s="121"/>
    </row>
    <row r="999" ht="15.75" customHeight="1">
      <c r="F999" s="120"/>
      <c r="G999" s="121"/>
      <c r="H999" s="121"/>
      <c r="I999" s="121"/>
      <c r="M999" s="121"/>
    </row>
    <row r="1000" ht="15.75" customHeight="1">
      <c r="F1000" s="120"/>
      <c r="G1000" s="121"/>
      <c r="H1000" s="121"/>
      <c r="I1000" s="121"/>
      <c r="M1000" s="121"/>
    </row>
  </sheetData>
  <mergeCells count="19">
    <mergeCell ref="H14:H15"/>
    <mergeCell ref="I14:I15"/>
    <mergeCell ref="B14:B15"/>
    <mergeCell ref="C14:C15"/>
    <mergeCell ref="D14:D15"/>
    <mergeCell ref="E14:E15"/>
    <mergeCell ref="F14:F15"/>
    <mergeCell ref="G14:G15"/>
    <mergeCell ref="K14:K15"/>
    <mergeCell ref="D11:F11"/>
    <mergeCell ref="D12:F12"/>
    <mergeCell ref="D13:F13"/>
    <mergeCell ref="G2:H2"/>
    <mergeCell ref="G4:H4"/>
    <mergeCell ref="D7:F7"/>
    <mergeCell ref="G7:M7"/>
    <mergeCell ref="D8:F8"/>
    <mergeCell ref="D9:F9"/>
    <mergeCell ref="D10:F10"/>
  </mergeCells>
  <hyperlinks>
    <hyperlink r:id="rId1" ref="G5"/>
  </hyperlinks>
  <printOptions horizontalCentered="1"/>
  <pageMargins bottom="0.7480314960629921" footer="0.0" header="0.0" left="0.2362204724409449" right="0.2362204724409449" top="0.7480314960629921"/>
  <pageSetup paperSize="5"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2017-07-17T13:27:34Z</dcterms:created>
  <dc:creator>Sarah Pasquier</dc:creator>
</cp:coreProperties>
</file>