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se Master" sheetId="1" r:id="rId4"/>
    <sheet state="visible" name="Years Compared" sheetId="2" r:id="rId5"/>
    <sheet state="visible" name="STEM" sheetId="3" r:id="rId6"/>
    <sheet state="visible" name="C&amp;C" sheetId="4" r:id="rId7"/>
    <sheet state="visible" name="Liberal Arts" sheetId="5" r:id="rId8"/>
    <sheet state="visible" name="Fine Arts" sheetId="6" r:id="rId9"/>
  </sheets>
  <definedNames>
    <definedName name="Career">'House Master'!$K:$N</definedName>
    <definedName name="Liberal">'House Master'!$F:$I</definedName>
    <definedName name="STEM">'House Master'!$A:$D</definedName>
    <definedName name="Arts">'House Master'!$P:$S</definedName>
  </definedNames>
  <calcPr/>
</workbook>
</file>

<file path=xl/sharedStrings.xml><?xml version="1.0" encoding="utf-8"?>
<sst xmlns="http://schemas.openxmlformats.org/spreadsheetml/2006/main" count="473" uniqueCount="140">
  <si>
    <t xml:space="preserve">STEM
College Ready House           </t>
  </si>
  <si>
    <t>STEM</t>
  </si>
  <si>
    <t>Liberal Arts
College Ready House</t>
  </si>
  <si>
    <t>Liberal</t>
  </si>
  <si>
    <t>Career and 
College Ready House</t>
  </si>
  <si>
    <t>Career</t>
  </si>
  <si>
    <t xml:space="preserve">Fine Arts
College Ready House           </t>
  </si>
  <si>
    <t>Arts</t>
  </si>
  <si>
    <t>Course</t>
  </si>
  <si>
    <t>Credits</t>
  </si>
  <si>
    <t>Code</t>
  </si>
  <si>
    <t>Year</t>
  </si>
  <si>
    <t>English</t>
  </si>
  <si>
    <t>Composition 9</t>
  </si>
  <si>
    <t>E9</t>
  </si>
  <si>
    <t>Critical Reading 10</t>
  </si>
  <si>
    <t>E10</t>
  </si>
  <si>
    <t>English Literature 10</t>
  </si>
  <si>
    <t>Critical Writing or AP</t>
  </si>
  <si>
    <t>E11</t>
  </si>
  <si>
    <t>Critical Communication or AP</t>
  </si>
  <si>
    <t>E12</t>
  </si>
  <si>
    <t>Mathematics</t>
  </si>
  <si>
    <t>Algebra I</t>
  </si>
  <si>
    <t>MA1</t>
  </si>
  <si>
    <t>Algebra II</t>
  </si>
  <si>
    <t>MA2</t>
  </si>
  <si>
    <t>Design Algebra II</t>
  </si>
  <si>
    <t>Geometry</t>
  </si>
  <si>
    <t>MG</t>
  </si>
  <si>
    <t>Design Geometry</t>
  </si>
  <si>
    <t>Personal Finance</t>
  </si>
  <si>
    <t>PF</t>
  </si>
  <si>
    <t>Trigonometry</t>
  </si>
  <si>
    <t>MT</t>
  </si>
  <si>
    <t>Encouraged: Trigonometry</t>
  </si>
  <si>
    <t>*</t>
  </si>
  <si>
    <t>Pre-Calculus</t>
  </si>
  <si>
    <t>MC</t>
  </si>
  <si>
    <t>Encouraged: Pre-Calculus</t>
  </si>
  <si>
    <t>Lab Sciences</t>
  </si>
  <si>
    <t>Biology</t>
  </si>
  <si>
    <t>SB</t>
  </si>
  <si>
    <t>Science Elective</t>
  </si>
  <si>
    <t>SE</t>
  </si>
  <si>
    <t>Conceptual Physics</t>
  </si>
  <si>
    <t>SP</t>
  </si>
  <si>
    <t>Engineering Physics</t>
  </si>
  <si>
    <t>Chemistry</t>
  </si>
  <si>
    <t>SC</t>
  </si>
  <si>
    <t>Chemistry in the Community</t>
  </si>
  <si>
    <t>SEL</t>
  </si>
  <si>
    <t>Encouraged: AP Sci. Choice</t>
  </si>
  <si>
    <t>SAP</t>
  </si>
  <si>
    <t>AP Sci. Choice</t>
  </si>
  <si>
    <t>History</t>
  </si>
  <si>
    <t>OK History</t>
  </si>
  <si>
    <t>HOK</t>
  </si>
  <si>
    <t>Government</t>
  </si>
  <si>
    <t>HG</t>
  </si>
  <si>
    <t>US History</t>
  </si>
  <si>
    <t>HUS</t>
  </si>
  <si>
    <t>Non-Western or World History</t>
  </si>
  <si>
    <t>HW</t>
  </si>
  <si>
    <t>AP History Choice</t>
  </si>
  <si>
    <t>HAP</t>
  </si>
  <si>
    <t>Art (or Music) History</t>
  </si>
  <si>
    <t>FAH</t>
  </si>
  <si>
    <t>World Language</t>
  </si>
  <si>
    <t>Foreign Language I</t>
  </si>
  <si>
    <t>FL1</t>
  </si>
  <si>
    <t>Foreign Language II</t>
  </si>
  <si>
    <t>FL2</t>
  </si>
  <si>
    <t>Computer Technology</t>
  </si>
  <si>
    <t>Intro to Digital Literacy</t>
  </si>
  <si>
    <t>CA</t>
  </si>
  <si>
    <t>Intro to Computer Science</t>
  </si>
  <si>
    <t>AP Com. Sci. Principles</t>
  </si>
  <si>
    <t>CSAP</t>
  </si>
  <si>
    <t>Fine Arts</t>
  </si>
  <si>
    <t>Visual/Performing Arts</t>
  </si>
  <si>
    <t>FAF</t>
  </si>
  <si>
    <t>(A) Visual Arts</t>
  </si>
  <si>
    <t>Arts Foundations</t>
  </si>
  <si>
    <t>FAS</t>
  </si>
  <si>
    <t>Arts Specializations</t>
  </si>
  <si>
    <t>(B) Performing Arts</t>
  </si>
  <si>
    <t>Instrumental Music (4)</t>
  </si>
  <si>
    <t>Drama, Musical Theater, Choir, Speech &amp; Debate(4)</t>
  </si>
  <si>
    <t>Electives</t>
  </si>
  <si>
    <t>Freshman Seminar</t>
  </si>
  <si>
    <t>FS</t>
  </si>
  <si>
    <t>Elective</t>
  </si>
  <si>
    <t>EL</t>
  </si>
  <si>
    <t>Senior Capstone</t>
  </si>
  <si>
    <t>Senior Capstone Experience</t>
  </si>
  <si>
    <t>CAP</t>
  </si>
  <si>
    <t>Tulsa Tech, Intern., Work Study</t>
  </si>
  <si>
    <t>Total</t>
  </si>
  <si>
    <t>Liberal Arts</t>
  </si>
  <si>
    <t>Career &amp; College</t>
  </si>
  <si>
    <t>Freshman</t>
  </si>
  <si>
    <t>Sophomore</t>
  </si>
  <si>
    <t>Junior</t>
  </si>
  <si>
    <t>Senior</t>
  </si>
  <si>
    <t>STEM GRADUATION CHECKLIST</t>
  </si>
  <si>
    <t>Section</t>
  </si>
  <si>
    <t>GRCode</t>
  </si>
  <si>
    <t>To Make Up</t>
  </si>
  <si>
    <t>Retake</t>
  </si>
  <si>
    <t>Summer School</t>
  </si>
  <si>
    <t>Elective Choices</t>
  </si>
  <si>
    <t>Order of importance</t>
  </si>
  <si>
    <t>Career &amp; College Grad Check</t>
  </si>
  <si>
    <t>Next Year's Classes</t>
  </si>
  <si>
    <t>Elective/Art Choices</t>
  </si>
  <si>
    <t>Foreign Language Choice</t>
  </si>
  <si>
    <t>Spanish I</t>
  </si>
  <si>
    <t>Spanish II</t>
  </si>
  <si>
    <t>French I</t>
  </si>
  <si>
    <t>French II</t>
  </si>
  <si>
    <t>ASL II</t>
  </si>
  <si>
    <t>English Alternatives</t>
  </si>
  <si>
    <t>AP English Lang (11th grade)</t>
  </si>
  <si>
    <t>AP English Lit (12th grade)</t>
  </si>
  <si>
    <t>Capstone Experience</t>
  </si>
  <si>
    <t>Choice</t>
  </si>
  <si>
    <t>Applied?</t>
  </si>
  <si>
    <t>Internship</t>
  </si>
  <si>
    <t>Work/study</t>
  </si>
  <si>
    <t>TulsaTech</t>
  </si>
  <si>
    <t>TCC</t>
  </si>
  <si>
    <t>Research/TA (at TSAS)</t>
  </si>
  <si>
    <t>LIBERAL ARTS GRADUATION CHECKLIST</t>
  </si>
  <si>
    <t>Research</t>
  </si>
  <si>
    <t>FINE ARTS GRADUATION CHECKLIST</t>
  </si>
  <si>
    <t>Fine Arts Freshman</t>
  </si>
  <si>
    <t>Fine Arts Sophomore</t>
  </si>
  <si>
    <t>Fine Arts Junior</t>
  </si>
  <si>
    <t>Fine Arts Senior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</si>
</sst>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name val="Arial"/>
    </font>
    <font>
      <name val="Proxima Nova"/>
    </font>
    <font>
      <b/>
      <sz val="18.0"/>
      <color rgb="FF444444"/>
      <name val="Archivo Black"/>
    </font>
    <font>
      <sz val="18.0"/>
      <name val="Archivo Black"/>
    </font>
    <font>
      <sz val="18.0"/>
      <color rgb="FFFFFFFF"/>
      <name val="Archivo Black"/>
    </font>
    <font>
      <color rgb="FFFFFFFF"/>
      <name val="Proxima Nova"/>
    </font>
    <font>
      <b/>
      <sz val="12.0"/>
      <color rgb="FF000000"/>
      <name val="Proxima Nova"/>
    </font>
    <font>
      <b/>
      <sz val="12.0"/>
      <name val="Proxima Nova"/>
    </font>
    <font>
      <sz val="12.0"/>
      <name val="Proxima Nova"/>
    </font>
    <font>
      <i/>
      <sz val="12.0"/>
      <name val="Proxima Nova"/>
    </font>
    <font>
      <sz val="9.0"/>
      <name val="Montserrat"/>
    </font>
    <font>
      <b/>
      <sz val="18.0"/>
      <name val="Montserrat"/>
    </font>
    <font>
      <b/>
      <sz val="16.0"/>
      <name val="Montserrat"/>
    </font>
    <font>
      <b/>
      <sz val="24.0"/>
      <name val="Hind"/>
    </font>
    <font>
      <b/>
      <sz val="12.0"/>
      <name val="Hind"/>
    </font>
    <font>
      <sz val="11.0"/>
      <color rgb="FFFFFFFF"/>
      <name val="Montserrat"/>
    </font>
    <font>
      <sz val="9.0"/>
      <color rgb="FFFFFFFF"/>
      <name val="Montserrat"/>
    </font>
    <font>
      <sz val="9.0"/>
      <color rgb="FF000000"/>
      <name val="Montserrat"/>
    </font>
    <font>
      <b/>
      <sz val="12.0"/>
      <color rgb="FF000000"/>
      <name val="Hind"/>
    </font>
    <font>
      <sz val="12.0"/>
      <name val="Hind"/>
    </font>
    <font>
      <b/>
      <sz val="18.0"/>
      <color rgb="FF000000"/>
      <name val="Archivo Black"/>
    </font>
    <font>
      <name val="Hind"/>
    </font>
    <font>
      <sz val="12.0"/>
      <color rgb="FFFFFFFF"/>
      <name val="Hind"/>
    </font>
    <font/>
    <font>
      <b/>
      <sz val="18.0"/>
      <name val="Archivo Black"/>
    </font>
  </fonts>
  <fills count="12">
    <fill>
      <patternFill patternType="none"/>
    </fill>
    <fill>
      <patternFill patternType="lightGray"/>
    </fill>
    <fill>
      <patternFill patternType="solid">
        <fgColor rgb="FF576475"/>
        <bgColor rgb="FF576475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E8AF6F"/>
        <bgColor rgb="FFE8AF6F"/>
      </patternFill>
    </fill>
    <fill>
      <patternFill patternType="solid">
        <fgColor rgb="FF6AA84F"/>
        <bgColor rgb="FF6AA84F"/>
      </patternFill>
    </fill>
    <fill>
      <patternFill patternType="solid">
        <fgColor rgb="FFB7E1CD"/>
        <bgColor rgb="FFB7E1CD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</fills>
  <borders count="7">
    <border/>
    <border>
      <bottom style="dotted">
        <color rgb="FFB7B7B7"/>
      </bottom>
    </border>
    <border>
      <bottom style="medium">
        <color rgb="FF434343"/>
      </bottom>
    </border>
    <border>
      <bottom style="dotted">
        <color rgb="FFCCCCCC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dotted">
        <color rgb="FFB7B7B7"/>
      </top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0" fillId="3" fontId="7" numFmtId="0" xfId="0" applyAlignment="1" applyFill="1" applyFont="1">
      <alignment vertical="center"/>
    </xf>
    <xf borderId="0" fillId="4" fontId="7" numFmtId="0" xfId="0" applyAlignment="1" applyFill="1" applyFont="1">
      <alignment horizontal="center" vertical="center"/>
    </xf>
    <xf borderId="0" fillId="5" fontId="2" numFmtId="0" xfId="0" applyAlignment="1" applyFill="1" applyFont="1">
      <alignment vertical="center"/>
    </xf>
    <xf borderId="0" fillId="6" fontId="7" numFmtId="0" xfId="0" applyAlignment="1" applyFill="1" applyFont="1">
      <alignment vertical="center"/>
    </xf>
    <xf borderId="0" fillId="7" fontId="7" numFmtId="0" xfId="0" applyAlignment="1" applyFill="1" applyFont="1">
      <alignment horizontal="center" vertical="center"/>
    </xf>
    <xf borderId="0" fillId="8" fontId="7" numFmtId="0" xfId="0" applyAlignment="1" applyFill="1" applyFont="1">
      <alignment shrinkToFit="0" vertical="center" wrapText="1"/>
    </xf>
    <xf borderId="0" fillId="9" fontId="7" numFmtId="0" xfId="0" applyAlignment="1" applyFill="1" applyFont="1">
      <alignment horizontal="center" shrinkToFit="0" vertical="center" wrapText="1"/>
    </xf>
    <xf borderId="0" fillId="10" fontId="7" numFmtId="0" xfId="0" applyAlignment="1" applyFill="1" applyFont="1">
      <alignment shrinkToFit="0" vertical="center" wrapText="1"/>
    </xf>
    <xf borderId="0" fillId="11" fontId="7" numFmtId="0" xfId="0" applyAlignment="1" applyFill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5" fontId="9" numFmtId="0" xfId="0" applyAlignment="1" applyFont="1">
      <alignment horizontal="right" vertical="center"/>
    </xf>
    <xf borderId="0" fillId="5" fontId="9" numFmtId="0" xfId="0" applyAlignment="1" applyFont="1">
      <alignment horizontal="center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center" shrinkToFit="0" vertical="center" wrapText="1"/>
    </xf>
    <xf borderId="0" fillId="5" fontId="9" numFmtId="0" xfId="0" applyAlignment="1" applyFont="1">
      <alignment horizontal="right"/>
    </xf>
    <xf borderId="0" fillId="5" fontId="9" numFmtId="0" xfId="0" applyAlignment="1" applyFont="1">
      <alignment horizontal="center" readingOrder="0" vertical="center"/>
    </xf>
    <xf borderId="1" fillId="5" fontId="9" numFmtId="0" xfId="0" applyAlignment="1" applyBorder="1" applyFont="1">
      <alignment horizontal="right" vertical="center"/>
    </xf>
    <xf borderId="1" fillId="5" fontId="9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readingOrder="0" shrinkToFit="0" vertical="center" wrapText="1"/>
    </xf>
    <xf borderId="1" fillId="5" fontId="9" numFmtId="0" xfId="0" applyAlignment="1" applyBorder="1" applyFont="1">
      <alignment horizontal="center" shrinkToFit="0" vertical="center" wrapText="1"/>
    </xf>
    <xf borderId="1" fillId="5" fontId="9" numFmtId="0" xfId="0" applyAlignment="1" applyBorder="1" applyFont="1">
      <alignment horizontal="right"/>
    </xf>
    <xf borderId="1" fillId="5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right" readingOrder="0" shrinkToFit="0" vertical="center" wrapText="1"/>
    </xf>
    <xf borderId="0" fillId="0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1"/>
    </xf>
    <xf borderId="0" fillId="0" fontId="2" numFmtId="0" xfId="0" applyAlignment="1" applyFont="1">
      <alignment vertical="center"/>
    </xf>
    <xf borderId="1" fillId="0" fontId="9" numFmtId="0" xfId="0" applyAlignment="1" applyBorder="1" applyFont="1">
      <alignment horizontal="right" readingOrder="0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right" readingOrder="0" shrinkToFit="0" vertical="center" wrapText="1"/>
    </xf>
    <xf borderId="1" fillId="0" fontId="2" numFmtId="0" xfId="0" applyAlignment="1" applyBorder="1" applyFont="1">
      <alignment vertical="center"/>
    </xf>
    <xf borderId="0" fillId="5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readingOrder="0" vertical="center"/>
    </xf>
    <xf borderId="1" fillId="0" fontId="9" numFmtId="0" xfId="0" applyAlignment="1" applyBorder="1" applyFont="1">
      <alignment horizontal="right" shrinkToFit="0" vertical="center" wrapText="1"/>
    </xf>
    <xf borderId="1" fillId="5" fontId="2" numFmtId="0" xfId="0" applyAlignment="1" applyBorder="1" applyFont="1">
      <alignment vertical="center"/>
    </xf>
    <xf borderId="1" fillId="0" fontId="9" numFmtId="0" xfId="0" applyAlignment="1" applyBorder="1" applyFont="1">
      <alignment horizontal="right" vertical="center"/>
    </xf>
    <xf borderId="0" fillId="0" fontId="8" numFmtId="0" xfId="0" applyAlignment="1" applyFont="1">
      <alignment horizontal="center" shrinkToFit="0" vertical="center" wrapText="1"/>
    </xf>
    <xf borderId="0" fillId="5" fontId="8" numFmtId="0" xfId="0" applyAlignment="1" applyFont="1">
      <alignment horizontal="center" vertical="center"/>
    </xf>
    <xf borderId="0" fillId="5" fontId="8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0" fillId="0" fontId="8" numFmtId="0" xfId="0" applyAlignment="1" applyFont="1">
      <alignment horizontal="right" shrinkToFit="0" vertical="center" wrapText="1"/>
    </xf>
    <xf borderId="0" fillId="5" fontId="9" numFmtId="0" xfId="0" applyAlignment="1" applyFont="1">
      <alignment horizontal="right" readingOrder="0" shrinkToFit="0" vertical="center" wrapText="1"/>
    </xf>
    <xf borderId="1" fillId="5" fontId="9" numFmtId="0" xfId="0" applyAlignment="1" applyBorder="1" applyFont="1">
      <alignment horizontal="right" shrinkToFit="0" vertical="center" wrapText="1"/>
    </xf>
    <xf borderId="0" fillId="5" fontId="8" numFmtId="0" xfId="0" applyAlignment="1" applyFont="1">
      <alignment readingOrder="0" shrinkToFit="0" vertical="center" wrapText="1"/>
    </xf>
    <xf borderId="0" fillId="5" fontId="10" numFmtId="0" xfId="0" applyAlignment="1" applyFont="1">
      <alignment horizontal="right" shrinkToFit="0" vertical="center" wrapText="1"/>
    </xf>
    <xf borderId="1" fillId="5" fontId="9" numFmtId="0" xfId="0" applyAlignment="1" applyBorder="1" applyFont="1">
      <alignment horizontal="right" readingOrder="0" shrinkToFit="0" vertical="center" wrapText="1"/>
    </xf>
    <xf borderId="1" fillId="0" fontId="10" numFmtId="0" xfId="0" applyAlignment="1" applyBorder="1" applyFont="1">
      <alignment horizontal="right" shrinkToFit="0" vertical="center" wrapText="1"/>
    </xf>
    <xf borderId="1" fillId="5" fontId="10" numFmtId="0" xfId="0" applyAlignment="1" applyBorder="1" applyFont="1">
      <alignment horizontal="right" shrinkToFit="0" vertical="center" wrapText="1"/>
    </xf>
    <xf borderId="0" fillId="5" fontId="8" numFmtId="0" xfId="0" applyAlignment="1" applyFont="1">
      <alignment shrinkToFit="0" vertical="center" wrapText="1"/>
    </xf>
    <xf borderId="2" fillId="5" fontId="2" numFmtId="0" xfId="0" applyAlignment="1" applyBorder="1" applyFont="1">
      <alignment vertical="center"/>
    </xf>
    <xf borderId="2" fillId="0" fontId="9" numFmtId="0" xfId="0" applyAlignment="1" applyBorder="1" applyFont="1">
      <alignment horizontal="right" readingOrder="0" shrinkToFit="0" vertical="center" wrapText="1"/>
    </xf>
    <xf borderId="2" fillId="5" fontId="9" numFmtId="0" xfId="0" applyAlignment="1" applyBorder="1" applyFont="1">
      <alignment horizontal="center" shrinkToFit="0" vertical="center" wrapText="1"/>
    </xf>
    <xf borderId="2" fillId="5" fontId="9" numFmtId="0" xfId="0" applyAlignment="1" applyBorder="1" applyFont="1">
      <alignment horizontal="center" vertical="center"/>
    </xf>
    <xf borderId="0" fillId="3" fontId="8" numFmtId="0" xfId="0" applyAlignment="1" applyFont="1">
      <alignment vertical="center"/>
    </xf>
    <xf borderId="0" fillId="4" fontId="8" numFmtId="0" xfId="0" applyAlignment="1" applyFont="1">
      <alignment horizontal="center" vertical="center"/>
    </xf>
    <xf borderId="0" fillId="6" fontId="8" numFmtId="0" xfId="0" applyAlignment="1" applyFont="1">
      <alignment shrinkToFit="0" vertical="center" wrapText="1"/>
    </xf>
    <xf borderId="0" fillId="7" fontId="8" numFmtId="0" xfId="0" applyAlignment="1" applyFont="1">
      <alignment horizontal="center" vertical="center"/>
    </xf>
    <xf borderId="0" fillId="7" fontId="2" numFmtId="0" xfId="0" applyAlignment="1" applyFont="1">
      <alignment vertical="center"/>
    </xf>
    <xf borderId="0" fillId="8" fontId="8" numFmtId="0" xfId="0" applyAlignment="1" applyFont="1">
      <alignment shrinkToFit="0" vertical="center" wrapText="1"/>
    </xf>
    <xf borderId="0" fillId="9" fontId="8" numFmtId="0" xfId="0" applyAlignment="1" applyFont="1">
      <alignment horizontal="center" vertical="center"/>
    </xf>
    <xf borderId="0" fillId="9" fontId="2" numFmtId="0" xfId="0" applyAlignment="1" applyFont="1">
      <alignment vertical="center"/>
    </xf>
    <xf borderId="0" fillId="10" fontId="8" numFmtId="0" xfId="0" applyAlignment="1" applyFont="1">
      <alignment shrinkToFit="0" vertical="center" wrapText="1"/>
    </xf>
    <xf borderId="0" fillId="11" fontId="8" numFmtId="0" xfId="0" applyAlignment="1" applyFont="1">
      <alignment horizontal="center" vertical="center"/>
    </xf>
    <xf borderId="0" fillId="11" fontId="2" numFmtId="0" xfId="0" applyAlignment="1" applyFont="1">
      <alignment vertical="center"/>
    </xf>
    <xf borderId="3" fillId="5" fontId="1" numFmtId="0" xfId="0" applyAlignment="1" applyBorder="1" applyFont="1">
      <alignment vertical="center"/>
    </xf>
    <xf borderId="3" fillId="5" fontId="2" numFmtId="0" xfId="0" applyAlignment="1" applyBorder="1" applyFont="1">
      <alignment vertical="center"/>
    </xf>
    <xf borderId="0" fillId="0" fontId="11" numFmtId="0" xfId="0" applyFont="1"/>
    <xf borderId="0" fillId="0" fontId="12" numFmtId="0" xfId="0" applyAlignment="1" applyFont="1">
      <alignment horizontal="center" readingOrder="0" shrinkToFit="0" wrapText="1"/>
    </xf>
    <xf borderId="0" fillId="0" fontId="12" numFmtId="0" xfId="0" applyAlignment="1" applyFont="1">
      <alignment shrinkToFit="0" wrapText="1"/>
    </xf>
    <xf borderId="0" fillId="0" fontId="13" numFmtId="0" xfId="0" applyAlignment="1" applyFont="1">
      <alignment horizontal="center" readingOrder="0" shrinkToFit="0" wrapText="1"/>
    </xf>
    <xf borderId="0" fillId="0" fontId="14" numFmtId="0" xfId="0" applyAlignment="1" applyFont="1">
      <alignment horizontal="center" readingOrder="0"/>
    </xf>
    <xf borderId="0" fillId="0" fontId="15" numFmtId="0" xfId="0" applyAlignment="1" applyFont="1">
      <alignment horizontal="center"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3" fontId="18" numFmtId="0" xfId="0" applyAlignment="1" applyFont="1">
      <alignment horizontal="left" readingOrder="0" shrinkToFit="0" vertical="center" wrapText="1"/>
    </xf>
    <xf borderId="0" fillId="4" fontId="18" numFmtId="0" xfId="0" applyAlignment="1" applyFont="1">
      <alignment horizontal="center" readingOrder="0" shrinkToFit="0" vertical="center" wrapText="1"/>
    </xf>
    <xf borderId="0" fillId="6" fontId="18" numFmtId="0" xfId="0" applyAlignment="1" applyFont="1">
      <alignment horizontal="left" readingOrder="0" shrinkToFit="0" vertical="center" wrapText="1"/>
    </xf>
    <xf borderId="0" fillId="7" fontId="18" numFmtId="0" xfId="0" applyAlignment="1" applyFont="1">
      <alignment horizontal="center" readingOrder="0" shrinkToFit="0" vertical="center" wrapText="1"/>
    </xf>
    <xf borderId="0" fillId="8" fontId="18" numFmtId="0" xfId="0" applyAlignment="1" applyFont="1">
      <alignment horizontal="left" readingOrder="0" shrinkToFit="0" vertical="center" wrapText="1"/>
    </xf>
    <xf borderId="0" fillId="9" fontId="18" numFmtId="0" xfId="0" applyAlignment="1" applyFont="1">
      <alignment horizontal="center" readingOrder="0" shrinkToFit="0" vertical="center" wrapText="1"/>
    </xf>
    <xf borderId="0" fillId="10" fontId="18" numFmtId="0" xfId="0" applyAlignment="1" applyFont="1">
      <alignment horizontal="left" readingOrder="0" shrinkToFit="0" vertical="center" wrapText="1"/>
    </xf>
    <xf borderId="0" fillId="11" fontId="18" numFmtId="0" xfId="0" applyAlignment="1" applyFont="1">
      <alignment horizontal="center" readingOrder="0" shrinkToFit="0" vertical="center" wrapText="1"/>
    </xf>
    <xf borderId="0" fillId="11" fontId="19" numFmtId="0" xfId="0" applyAlignment="1" applyFont="1">
      <alignment horizontal="center" readingOrder="0" shrinkToFit="0" vertical="center" wrapText="1"/>
    </xf>
    <xf borderId="0" fillId="0" fontId="11" numFmtId="0" xfId="0" applyFont="1"/>
    <xf borderId="0" fillId="0" fontId="11" numFmtId="0" xfId="0" applyAlignment="1" applyFont="1">
      <alignment horizontal="center" readingOrder="0" shrinkToFit="0" vertical="center" wrapText="1"/>
    </xf>
    <xf borderId="0" fillId="0" fontId="20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5" fontId="11" numFmtId="0" xfId="0" applyAlignment="1" applyFont="1">
      <alignment horizontal="center" readingOrder="0" shrinkToFit="0" vertical="center" wrapText="1"/>
    </xf>
    <xf borderId="0" fillId="5" fontId="11" numFmtId="0" xfId="0" applyAlignment="1" applyFont="1">
      <alignment horizontal="left" readingOrder="0" shrinkToFit="0" vertical="center" wrapText="0"/>
    </xf>
    <xf borderId="0" fillId="5" fontId="20" numFmtId="0" xfId="0" applyAlignment="1" applyFont="1">
      <alignment horizontal="center" readingOrder="0" shrinkToFit="0" vertical="center" wrapText="1"/>
    </xf>
    <xf borderId="0" fillId="5" fontId="11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5" fontId="22" numFmtId="0" xfId="0" applyAlignment="1" applyFont="1">
      <alignment shrinkToFit="0" vertical="center" wrapText="1"/>
    </xf>
    <xf borderId="0" fillId="0" fontId="23" numFmtId="0" xfId="0" applyAlignment="1" applyFont="1">
      <alignment horizontal="center" vertical="center"/>
    </xf>
    <xf borderId="0" fillId="5" fontId="20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center" readingOrder="0" shrinkToFit="0" vertical="center" wrapText="1"/>
    </xf>
    <xf borderId="0" fillId="5" fontId="20" numFmtId="0" xfId="0" applyAlignment="1" applyFont="1">
      <alignment horizontal="center" readingOrder="0" shrinkToFit="0" vertical="center" wrapText="0"/>
    </xf>
    <xf borderId="0" fillId="3" fontId="7" numFmtId="0" xfId="0" applyAlignment="1" applyFont="1">
      <alignment horizontal="left" readingOrder="0" shrinkToFit="0" vertical="center" wrapText="1"/>
    </xf>
    <xf borderId="0" fillId="4" fontId="7" numFmtId="0" xfId="0" applyAlignment="1" applyFont="1">
      <alignment horizontal="center" readingOrder="0" shrinkToFit="0" vertical="center" wrapText="0"/>
    </xf>
    <xf borderId="0" fillId="4" fontId="7" numFmtId="0" xfId="0" applyAlignment="1" applyFont="1">
      <alignment horizontal="center" readingOrder="0" shrinkToFit="0" vertical="center" wrapText="1"/>
    </xf>
    <xf borderId="0" fillId="0" fontId="24" numFmtId="0" xfId="0" applyAlignment="1" applyFont="1">
      <alignment horizontal="center"/>
    </xf>
    <xf borderId="0" fillId="5" fontId="20" numFmtId="0" xfId="0" applyAlignment="1" applyFont="1">
      <alignment horizontal="center" readingOrder="0" shrinkToFit="0" vertical="center" wrapText="0"/>
    </xf>
    <xf borderId="0" fillId="4" fontId="15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left" readingOrder="0" shrinkToFit="0" vertical="center" wrapText="1"/>
    </xf>
    <xf borderId="0" fillId="5" fontId="8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left" readingOrder="0" shrinkToFit="0" vertical="center" wrapText="0"/>
    </xf>
    <xf borderId="0" fillId="0" fontId="2" numFmtId="0" xfId="0" applyFont="1"/>
    <xf borderId="0" fillId="5" fontId="9" numFmtId="0" xfId="0" applyAlignment="1" applyFont="1">
      <alignment horizontal="center" readingOrder="0" shrinkToFit="0" vertical="center" wrapText="0"/>
    </xf>
    <xf borderId="0" fillId="5" fontId="9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center" readingOrder="0" shrinkToFit="0" vertical="center" wrapText="0"/>
    </xf>
    <xf borderId="4" fillId="0" fontId="2" numFmtId="0" xfId="0" applyBorder="1" applyFont="1"/>
    <xf borderId="0" fillId="0" fontId="9" numFmtId="0" xfId="0" applyAlignment="1" applyFont="1">
      <alignment readingOrder="0"/>
    </xf>
    <xf borderId="0" fillId="5" fontId="9" numFmtId="0" xfId="0" applyAlignment="1" applyFont="1">
      <alignment horizontal="center" readingOrder="0" shrinkToFit="0" vertical="center" wrapText="0"/>
    </xf>
    <xf borderId="5" fillId="0" fontId="2" numFmtId="0" xfId="0" applyBorder="1" applyFont="1"/>
    <xf borderId="6" fillId="5" fontId="8" numFmtId="0" xfId="0" applyAlignment="1" applyBorder="1" applyFont="1">
      <alignment horizontal="left" readingOrder="0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6" fillId="5" fontId="8" numFmtId="0" xfId="0" applyAlignment="1" applyBorder="1" applyFont="1">
      <alignment horizontal="center" readingOrder="0" shrinkToFit="0" vertical="center" wrapText="1"/>
    </xf>
    <xf borderId="0" fillId="5" fontId="9" numFmtId="0" xfId="0" applyAlignment="1" applyFont="1">
      <alignment horizontal="right" readingOrder="0" shrinkToFit="0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3" fontId="8" numFmtId="0" xfId="0" applyAlignment="1" applyFont="1">
      <alignment horizontal="left" readingOrder="0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bottom" wrapText="1"/>
    </xf>
    <xf borderId="0" fillId="5" fontId="25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wrapText="0"/>
    </xf>
    <xf borderId="0" fillId="9" fontId="7" numFmtId="0" xfId="0" applyAlignment="1" applyFont="1">
      <alignment horizontal="center" readingOrder="0" vertical="center"/>
    </xf>
    <xf borderId="0" fillId="8" fontId="7" numFmtId="0" xfId="0" applyAlignment="1" applyFont="1">
      <alignment readingOrder="0" shrinkToFit="0" vertical="center" wrapText="1"/>
    </xf>
    <xf borderId="0" fillId="9" fontId="7" numFmtId="0" xfId="0" applyAlignment="1" applyFont="1">
      <alignment horizontal="center" readingOrder="0" shrinkToFit="0" vertical="center" wrapText="0"/>
    </xf>
    <xf borderId="0" fillId="9" fontId="7" numFmtId="0" xfId="0" applyAlignment="1" applyFont="1">
      <alignment horizontal="center" readingOrder="0" shrinkToFit="0" vertical="center" wrapText="1"/>
    </xf>
    <xf borderId="0" fillId="0" fontId="9" numFmtId="0" xfId="0" applyFont="1"/>
    <xf borderId="0" fillId="0" fontId="24" numFmtId="0" xfId="0" applyFont="1"/>
    <xf borderId="0" fillId="0" fontId="2" numFmtId="0" xfId="0" applyAlignment="1" applyFont="1">
      <alignment shrinkToFit="0" wrapText="0"/>
    </xf>
    <xf borderId="0" fillId="5" fontId="4" numFmtId="0" xfId="0" applyAlignment="1" applyFont="1">
      <alignment shrinkToFit="0" vertical="center" wrapText="1"/>
    </xf>
    <xf borderId="0" fillId="0" fontId="4" numFmtId="0" xfId="0" applyFont="1"/>
    <xf borderId="0" fillId="0" fontId="5" numFmtId="0" xfId="0" applyAlignment="1" applyFont="1">
      <alignment horizontal="center" vertical="center"/>
    </xf>
    <xf borderId="0" fillId="6" fontId="7" numFmtId="0" xfId="0" applyAlignment="1" applyFont="1">
      <alignment readingOrder="0" vertical="center"/>
    </xf>
    <xf borderId="0" fillId="7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25" numFmtId="0" xfId="0" applyAlignment="1" applyFont="1">
      <alignment horizontal="center" shrinkToFit="0" vertical="bottom" wrapText="1"/>
    </xf>
    <xf borderId="0" fillId="5" fontId="4" numFmtId="0" xfId="0" applyAlignment="1" applyFont="1">
      <alignment horizontal="left" readingOrder="0" shrinkToFit="0" vertical="center" wrapText="0"/>
    </xf>
    <xf borderId="0" fillId="5" fontId="25" numFmtId="0" xfId="0" applyAlignment="1" applyFont="1">
      <alignment horizontal="center" readingOrder="0" shrinkToFit="0" vertical="center" wrapText="0"/>
    </xf>
    <xf borderId="0" fillId="10" fontId="7" numFmtId="0" xfId="0" applyAlignment="1" applyFont="1">
      <alignment horizontal="left" readingOrder="0" shrinkToFit="0" vertical="center" wrapText="1"/>
    </xf>
    <xf borderId="0" fillId="11" fontId="7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left" readingOrder="0" shrinkToFit="0" wrapText="1"/>
    </xf>
    <xf borderId="0" fillId="0" fontId="7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>
        <strike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52425" cy="2857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285750" cy="2857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247650" cy="2857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7.63"/>
    <col customWidth="1" hidden="1" min="3" max="3" width="7.63"/>
    <col customWidth="1" min="4" max="4" width="7.63"/>
    <col customWidth="1" min="5" max="5" width="3.25"/>
    <col customWidth="1" min="6" max="6" width="27.63"/>
    <col customWidth="1" min="7" max="7" width="7.63"/>
    <col customWidth="1" hidden="1" min="8" max="8" width="8.25"/>
    <col customWidth="1" min="9" max="9" width="7.63"/>
    <col customWidth="1" min="10" max="10" width="3.25"/>
    <col customWidth="1" min="11" max="11" width="27.63"/>
    <col customWidth="1" min="12" max="12" width="8.25"/>
    <col customWidth="1" hidden="1" min="13" max="13" width="7.63"/>
    <col customWidth="1" min="14" max="14" width="7.63"/>
    <col customWidth="1" min="15" max="15" width="3.25"/>
    <col customWidth="1" min="16" max="16" width="27.63"/>
    <col customWidth="1" min="17" max="17" width="8.25"/>
    <col customWidth="1" hidden="1" min="18" max="18" width="7.63"/>
    <col customWidth="1" min="19" max="19" width="7.63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22.5" customHeight="1">
      <c r="A2" s="3" t="s">
        <v>0</v>
      </c>
      <c r="B2" s="4"/>
      <c r="C2" s="4"/>
      <c r="D2" s="5" t="s">
        <v>1</v>
      </c>
      <c r="E2" s="4"/>
      <c r="F2" s="3" t="s">
        <v>2</v>
      </c>
      <c r="G2" s="4"/>
      <c r="H2" s="4"/>
      <c r="I2" s="5" t="s">
        <v>3</v>
      </c>
      <c r="J2" s="4"/>
      <c r="K2" s="3" t="s">
        <v>4</v>
      </c>
      <c r="L2" s="4"/>
      <c r="M2" s="4"/>
      <c r="N2" s="5" t="s">
        <v>5</v>
      </c>
      <c r="O2" s="4"/>
      <c r="P2" s="3" t="s">
        <v>6</v>
      </c>
      <c r="Q2" s="6"/>
      <c r="R2" s="7"/>
      <c r="S2" s="8" t="s">
        <v>7</v>
      </c>
    </row>
    <row r="3" ht="22.5" customHeight="1">
      <c r="A3" s="9" t="s">
        <v>8</v>
      </c>
      <c r="B3" s="10" t="s">
        <v>9</v>
      </c>
      <c r="C3" s="10" t="s">
        <v>10</v>
      </c>
      <c r="D3" s="10" t="s">
        <v>11</v>
      </c>
      <c r="E3" s="11"/>
      <c r="F3" s="12" t="s">
        <v>8</v>
      </c>
      <c r="G3" s="13" t="s">
        <v>9</v>
      </c>
      <c r="H3" s="13" t="s">
        <v>10</v>
      </c>
      <c r="I3" s="13" t="s">
        <v>11</v>
      </c>
      <c r="J3" s="11"/>
      <c r="K3" s="14" t="s">
        <v>8</v>
      </c>
      <c r="L3" s="15" t="s">
        <v>9</v>
      </c>
      <c r="M3" s="15" t="s">
        <v>10</v>
      </c>
      <c r="N3" s="15" t="s">
        <v>11</v>
      </c>
      <c r="O3" s="11"/>
      <c r="P3" s="16" t="s">
        <v>8</v>
      </c>
      <c r="Q3" s="17" t="s">
        <v>9</v>
      </c>
      <c r="R3" s="17" t="s">
        <v>10</v>
      </c>
      <c r="S3" s="17" t="s">
        <v>11</v>
      </c>
    </row>
    <row r="4" ht="22.5" customHeight="1">
      <c r="A4" s="18" t="s">
        <v>12</v>
      </c>
      <c r="B4" s="19">
        <f>sum(B5:B8)</f>
        <v>4</v>
      </c>
      <c r="C4" s="7"/>
      <c r="D4" s="7"/>
      <c r="E4" s="7"/>
      <c r="F4" s="20" t="s">
        <v>12</v>
      </c>
      <c r="G4" s="21">
        <f>SUM(G5:G8)</f>
        <v>4</v>
      </c>
      <c r="H4" s="7"/>
      <c r="I4" s="7"/>
      <c r="J4" s="7"/>
      <c r="K4" s="20" t="s">
        <v>12</v>
      </c>
      <c r="L4" s="21">
        <f>sum(L5:L8)</f>
        <v>4</v>
      </c>
      <c r="M4" s="7"/>
      <c r="N4" s="7"/>
      <c r="O4" s="7"/>
      <c r="P4" s="18" t="s">
        <v>12</v>
      </c>
      <c r="Q4" s="19">
        <f>sum(Q5:Q8)</f>
        <v>4</v>
      </c>
      <c r="R4" s="7"/>
      <c r="S4" s="7"/>
    </row>
    <row r="5" ht="22.5" customHeight="1">
      <c r="A5" s="22" t="s">
        <v>13</v>
      </c>
      <c r="B5" s="23">
        <v>1.0</v>
      </c>
      <c r="C5" s="23" t="s">
        <v>14</v>
      </c>
      <c r="D5" s="23">
        <v>9.0</v>
      </c>
      <c r="E5" s="7"/>
      <c r="F5" s="24" t="s">
        <v>13</v>
      </c>
      <c r="G5" s="25">
        <v>1.0</v>
      </c>
      <c r="H5" s="23" t="s">
        <v>14</v>
      </c>
      <c r="I5" s="25">
        <v>9.0</v>
      </c>
      <c r="J5" s="7"/>
      <c r="K5" s="24" t="s">
        <v>13</v>
      </c>
      <c r="L5" s="25">
        <v>1.0</v>
      </c>
      <c r="M5" s="23" t="s">
        <v>14</v>
      </c>
      <c r="N5" s="25">
        <v>9.0</v>
      </c>
      <c r="O5" s="7"/>
      <c r="P5" s="22" t="s">
        <v>13</v>
      </c>
      <c r="Q5" s="23">
        <v>1.0</v>
      </c>
      <c r="R5" s="23" t="s">
        <v>14</v>
      </c>
      <c r="S5" s="23">
        <v>9.0</v>
      </c>
    </row>
    <row r="6" ht="22.5" customHeight="1">
      <c r="A6" s="22" t="s">
        <v>15</v>
      </c>
      <c r="B6" s="23">
        <v>1.0</v>
      </c>
      <c r="C6" s="23" t="s">
        <v>16</v>
      </c>
      <c r="D6" s="23">
        <v>10.0</v>
      </c>
      <c r="E6" s="7"/>
      <c r="F6" s="24" t="s">
        <v>17</v>
      </c>
      <c r="G6" s="25">
        <v>1.0</v>
      </c>
      <c r="H6" s="23" t="s">
        <v>16</v>
      </c>
      <c r="I6" s="25">
        <v>10.0</v>
      </c>
      <c r="J6" s="7"/>
      <c r="K6" s="24" t="s">
        <v>15</v>
      </c>
      <c r="L6" s="25">
        <v>1.0</v>
      </c>
      <c r="M6" s="23" t="s">
        <v>16</v>
      </c>
      <c r="N6" s="25">
        <v>10.0</v>
      </c>
      <c r="O6" s="7"/>
      <c r="P6" s="24" t="s">
        <v>17</v>
      </c>
      <c r="Q6" s="23">
        <v>1.0</v>
      </c>
      <c r="R6" s="23" t="s">
        <v>16</v>
      </c>
      <c r="S6" s="23">
        <v>10.0</v>
      </c>
    </row>
    <row r="7" ht="22.5" customHeight="1">
      <c r="A7" s="26" t="s">
        <v>18</v>
      </c>
      <c r="B7" s="27">
        <v>1.0</v>
      </c>
      <c r="C7" s="27" t="s">
        <v>19</v>
      </c>
      <c r="D7" s="27">
        <v>11.0</v>
      </c>
      <c r="E7" s="11"/>
      <c r="F7" s="26" t="s">
        <v>18</v>
      </c>
      <c r="G7" s="28">
        <v>1.0</v>
      </c>
      <c r="H7" s="27" t="s">
        <v>19</v>
      </c>
      <c r="I7" s="25">
        <v>11.0</v>
      </c>
      <c r="J7" s="11"/>
      <c r="K7" s="26" t="s">
        <v>18</v>
      </c>
      <c r="L7" s="29">
        <v>1.0</v>
      </c>
      <c r="M7" s="27" t="s">
        <v>19</v>
      </c>
      <c r="N7" s="29">
        <v>11.0</v>
      </c>
      <c r="O7" s="11"/>
      <c r="P7" s="30" t="s">
        <v>18</v>
      </c>
      <c r="Q7" s="31">
        <v>1.0</v>
      </c>
      <c r="R7" s="27" t="s">
        <v>19</v>
      </c>
      <c r="S7" s="27">
        <v>11.0</v>
      </c>
    </row>
    <row r="8" ht="22.5" customHeight="1">
      <c r="A8" s="32" t="s">
        <v>20</v>
      </c>
      <c r="B8" s="33">
        <v>1.0</v>
      </c>
      <c r="C8" s="33" t="s">
        <v>21</v>
      </c>
      <c r="D8" s="33">
        <v>12.0</v>
      </c>
      <c r="E8" s="11"/>
      <c r="F8" s="32" t="s">
        <v>20</v>
      </c>
      <c r="G8" s="34">
        <v>1.0</v>
      </c>
      <c r="H8" s="33" t="s">
        <v>21</v>
      </c>
      <c r="I8" s="35">
        <v>12.0</v>
      </c>
      <c r="J8" s="11"/>
      <c r="K8" s="32" t="s">
        <v>20</v>
      </c>
      <c r="L8" s="35">
        <v>1.0</v>
      </c>
      <c r="M8" s="33" t="s">
        <v>21</v>
      </c>
      <c r="N8" s="35">
        <v>12.0</v>
      </c>
      <c r="O8" s="11"/>
      <c r="P8" s="36" t="s">
        <v>20</v>
      </c>
      <c r="Q8" s="37">
        <v>1.0</v>
      </c>
      <c r="R8" s="33" t="s">
        <v>21</v>
      </c>
      <c r="S8" s="33">
        <v>12.0</v>
      </c>
    </row>
    <row r="9" ht="22.5" customHeight="1">
      <c r="A9" s="20" t="s">
        <v>22</v>
      </c>
      <c r="B9" s="21">
        <f>sum(B10:B15)</f>
        <v>4.5</v>
      </c>
      <c r="C9" s="21"/>
      <c r="D9" s="21"/>
      <c r="E9" s="7"/>
      <c r="F9" s="20" t="s">
        <v>22</v>
      </c>
      <c r="G9" s="21">
        <f>SUM(G10:G15)</f>
        <v>3.5</v>
      </c>
      <c r="H9" s="21"/>
      <c r="I9" s="21"/>
      <c r="J9" s="7"/>
      <c r="K9" s="20" t="s">
        <v>22</v>
      </c>
      <c r="L9" s="21">
        <f>sum(L10:L14)</f>
        <v>3.5</v>
      </c>
      <c r="M9" s="21"/>
      <c r="N9" s="21"/>
      <c r="O9" s="7"/>
      <c r="P9" s="20" t="s">
        <v>22</v>
      </c>
      <c r="Q9" s="21">
        <f>sum(Q10:Q15)</f>
        <v>3.5</v>
      </c>
      <c r="R9" s="21"/>
      <c r="S9" s="21"/>
    </row>
    <row r="10" ht="22.5" customHeight="1">
      <c r="A10" s="24" t="s">
        <v>23</v>
      </c>
      <c r="B10" s="38">
        <v>1.0</v>
      </c>
      <c r="C10" s="25" t="s">
        <v>24</v>
      </c>
      <c r="D10" s="25">
        <v>9.0</v>
      </c>
      <c r="E10" s="7"/>
      <c r="F10" s="24" t="s">
        <v>23</v>
      </c>
      <c r="G10" s="38">
        <v>1.0</v>
      </c>
      <c r="H10" s="25" t="s">
        <v>24</v>
      </c>
      <c r="I10" s="25">
        <v>9.0</v>
      </c>
      <c r="J10" s="7"/>
      <c r="K10" s="39" t="s">
        <v>23</v>
      </c>
      <c r="L10" s="38">
        <v>1.0</v>
      </c>
      <c r="M10" s="25" t="s">
        <v>24</v>
      </c>
      <c r="N10" s="25">
        <v>9.0</v>
      </c>
      <c r="O10" s="7"/>
      <c r="P10" s="39" t="s">
        <v>23</v>
      </c>
      <c r="Q10" s="40">
        <v>1.0</v>
      </c>
      <c r="R10" s="25" t="s">
        <v>24</v>
      </c>
      <c r="S10" s="25">
        <v>9.0</v>
      </c>
    </row>
    <row r="11" ht="22.5" customHeight="1">
      <c r="A11" s="24" t="s">
        <v>25</v>
      </c>
      <c r="B11" s="25">
        <v>1.0</v>
      </c>
      <c r="C11" s="25" t="s">
        <v>26</v>
      </c>
      <c r="D11" s="38">
        <v>11.0</v>
      </c>
      <c r="E11" s="7"/>
      <c r="F11" s="24" t="s">
        <v>25</v>
      </c>
      <c r="G11" s="25">
        <v>1.0</v>
      </c>
      <c r="H11" s="25" t="s">
        <v>26</v>
      </c>
      <c r="I11" s="38">
        <v>11.0</v>
      </c>
      <c r="J11" s="7"/>
      <c r="K11" s="39" t="s">
        <v>27</v>
      </c>
      <c r="L11" s="25">
        <v>1.0</v>
      </c>
      <c r="M11" s="25" t="s">
        <v>26</v>
      </c>
      <c r="N11" s="38">
        <v>11.0</v>
      </c>
      <c r="O11" s="7"/>
      <c r="P11" s="39" t="s">
        <v>27</v>
      </c>
      <c r="Q11" s="23">
        <v>1.0</v>
      </c>
      <c r="R11" s="25" t="s">
        <v>26</v>
      </c>
      <c r="S11" s="38">
        <v>11.0</v>
      </c>
    </row>
    <row r="12" ht="22.5" customHeight="1">
      <c r="A12" s="41" t="s">
        <v>28</v>
      </c>
      <c r="B12" s="25">
        <v>1.0</v>
      </c>
      <c r="C12" s="25" t="s">
        <v>29</v>
      </c>
      <c r="D12" s="38">
        <v>10.0</v>
      </c>
      <c r="E12" s="7"/>
      <c r="F12" s="24" t="s">
        <v>28</v>
      </c>
      <c r="G12" s="25">
        <v>1.0</v>
      </c>
      <c r="H12" s="25" t="s">
        <v>29</v>
      </c>
      <c r="I12" s="38">
        <v>10.0</v>
      </c>
      <c r="J12" s="7"/>
      <c r="K12" s="24" t="s">
        <v>30</v>
      </c>
      <c r="L12" s="25">
        <v>1.0</v>
      </c>
      <c r="M12" s="25" t="s">
        <v>29</v>
      </c>
      <c r="N12" s="38">
        <v>10.0</v>
      </c>
      <c r="O12" s="7"/>
      <c r="P12" s="24" t="s">
        <v>30</v>
      </c>
      <c r="Q12" s="23">
        <v>1.0</v>
      </c>
      <c r="R12" s="25" t="s">
        <v>29</v>
      </c>
      <c r="S12" s="38">
        <v>10.0</v>
      </c>
    </row>
    <row r="13" ht="22.5" customHeight="1">
      <c r="A13" s="24" t="s">
        <v>31</v>
      </c>
      <c r="B13" s="38">
        <v>0.5</v>
      </c>
      <c r="C13" s="38" t="s">
        <v>32</v>
      </c>
      <c r="D13" s="38">
        <v>11.0</v>
      </c>
      <c r="E13" s="7"/>
      <c r="F13" s="39" t="s">
        <v>31</v>
      </c>
      <c r="G13" s="38">
        <v>0.5</v>
      </c>
      <c r="H13" s="38" t="s">
        <v>32</v>
      </c>
      <c r="I13" s="38">
        <v>11.0</v>
      </c>
      <c r="J13" s="7"/>
      <c r="K13" s="39" t="s">
        <v>31</v>
      </c>
      <c r="L13" s="38">
        <v>0.5</v>
      </c>
      <c r="M13" s="38" t="s">
        <v>32</v>
      </c>
      <c r="N13" s="38">
        <v>11.0</v>
      </c>
      <c r="O13" s="7"/>
      <c r="P13" s="39" t="s">
        <v>31</v>
      </c>
      <c r="Q13" s="38">
        <v>0.5</v>
      </c>
      <c r="R13" s="38" t="s">
        <v>32</v>
      </c>
      <c r="S13" s="38">
        <v>11.0</v>
      </c>
    </row>
    <row r="14" ht="22.5" customHeight="1">
      <c r="A14" s="24" t="s">
        <v>33</v>
      </c>
      <c r="B14" s="25">
        <v>0.5</v>
      </c>
      <c r="C14" s="25" t="s">
        <v>34</v>
      </c>
      <c r="D14" s="25">
        <v>12.0</v>
      </c>
      <c r="E14" s="7"/>
      <c r="F14" s="42" t="s">
        <v>35</v>
      </c>
      <c r="G14" s="25" t="s">
        <v>36</v>
      </c>
      <c r="H14" s="25" t="s">
        <v>34</v>
      </c>
      <c r="I14" s="25">
        <v>12.0</v>
      </c>
      <c r="J14" s="7"/>
      <c r="K14" s="24"/>
      <c r="L14" s="43"/>
      <c r="M14" s="7"/>
      <c r="N14" s="7"/>
      <c r="O14" s="7"/>
      <c r="P14" s="24"/>
      <c r="Q14" s="43"/>
      <c r="R14" s="43"/>
      <c r="S14" s="43"/>
    </row>
    <row r="15" ht="22.5" customHeight="1">
      <c r="A15" s="44" t="s">
        <v>37</v>
      </c>
      <c r="B15" s="45">
        <v>0.5</v>
      </c>
      <c r="C15" s="46" t="s">
        <v>38</v>
      </c>
      <c r="D15" s="45">
        <v>12.0</v>
      </c>
      <c r="E15" s="7"/>
      <c r="F15" s="47" t="s">
        <v>39</v>
      </c>
      <c r="G15" s="45" t="s">
        <v>36</v>
      </c>
      <c r="H15" s="46" t="s">
        <v>38</v>
      </c>
      <c r="I15" s="45">
        <v>12.0</v>
      </c>
      <c r="J15" s="7"/>
      <c r="K15" s="48"/>
      <c r="L15" s="48"/>
      <c r="M15" s="48"/>
      <c r="N15" s="48"/>
      <c r="O15" s="7"/>
      <c r="P15" s="48"/>
      <c r="Q15" s="48"/>
      <c r="R15" s="48"/>
      <c r="S15" s="48"/>
    </row>
    <row r="16" ht="22.5" customHeight="1">
      <c r="A16" s="20" t="s">
        <v>40</v>
      </c>
      <c r="B16" s="21">
        <f>SUM(B17:B22)</f>
        <v>5</v>
      </c>
      <c r="C16" s="21"/>
      <c r="D16" s="21"/>
      <c r="E16" s="7"/>
      <c r="F16" s="20" t="s">
        <v>40</v>
      </c>
      <c r="G16" s="21">
        <f>SUM(G17:G22)</f>
        <v>3</v>
      </c>
      <c r="H16" s="21"/>
      <c r="I16" s="21"/>
      <c r="J16" s="7"/>
      <c r="K16" s="20" t="s">
        <v>40</v>
      </c>
      <c r="L16" s="21">
        <f>SUM(L17:L22)</f>
        <v>4</v>
      </c>
      <c r="M16" s="21"/>
      <c r="N16" s="21"/>
      <c r="O16" s="7"/>
      <c r="P16" s="20" t="s">
        <v>40</v>
      </c>
      <c r="Q16" s="49">
        <f>SUM(Q17:Q22)</f>
        <v>3</v>
      </c>
      <c r="R16" s="49"/>
      <c r="S16" s="49"/>
    </row>
    <row r="17" ht="22.5" customHeight="1">
      <c r="A17" s="24" t="s">
        <v>41</v>
      </c>
      <c r="B17" s="25">
        <v>1.0</v>
      </c>
      <c r="C17" s="25" t="s">
        <v>42</v>
      </c>
      <c r="D17" s="25">
        <v>9.0</v>
      </c>
      <c r="E17" s="24"/>
      <c r="F17" s="24" t="s">
        <v>41</v>
      </c>
      <c r="G17" s="25">
        <v>1.0</v>
      </c>
      <c r="H17" s="25" t="s">
        <v>42</v>
      </c>
      <c r="I17" s="25">
        <v>9.0</v>
      </c>
      <c r="J17" s="24"/>
      <c r="K17" s="24" t="s">
        <v>41</v>
      </c>
      <c r="L17" s="25">
        <v>1.0</v>
      </c>
      <c r="M17" s="25" t="s">
        <v>42</v>
      </c>
      <c r="N17" s="25">
        <v>9.0</v>
      </c>
      <c r="O17" s="24"/>
      <c r="P17" s="24" t="s">
        <v>41</v>
      </c>
      <c r="Q17" s="29">
        <v>1.0</v>
      </c>
      <c r="R17" s="29" t="s">
        <v>42</v>
      </c>
      <c r="S17" s="29">
        <v>9.0</v>
      </c>
    </row>
    <row r="18" ht="22.5" customHeight="1">
      <c r="A18" s="39" t="s">
        <v>43</v>
      </c>
      <c r="B18" s="25">
        <v>0.5</v>
      </c>
      <c r="C18" s="38" t="s">
        <v>44</v>
      </c>
      <c r="D18" s="38">
        <v>10.0</v>
      </c>
      <c r="E18" s="24"/>
      <c r="F18" s="24" t="s">
        <v>45</v>
      </c>
      <c r="G18" s="25">
        <v>1.0</v>
      </c>
      <c r="H18" s="25" t="s">
        <v>46</v>
      </c>
      <c r="I18" s="25">
        <v>10.0</v>
      </c>
      <c r="J18" s="24"/>
      <c r="K18" s="39" t="s">
        <v>43</v>
      </c>
      <c r="L18" s="25">
        <v>0.5</v>
      </c>
      <c r="M18" s="38" t="s">
        <v>44</v>
      </c>
      <c r="N18" s="38">
        <v>10.0</v>
      </c>
      <c r="O18" s="24"/>
      <c r="P18" s="50" t="s">
        <v>47</v>
      </c>
      <c r="Q18" s="29">
        <v>1.0</v>
      </c>
      <c r="R18" s="28" t="s">
        <v>46</v>
      </c>
      <c r="S18" s="28">
        <v>10.0</v>
      </c>
    </row>
    <row r="19" ht="22.5" customHeight="1">
      <c r="A19" s="24" t="s">
        <v>45</v>
      </c>
      <c r="B19" s="25">
        <v>1.0</v>
      </c>
      <c r="C19" s="25" t="s">
        <v>46</v>
      </c>
      <c r="D19" s="25">
        <v>10.0</v>
      </c>
      <c r="E19" s="24"/>
      <c r="F19" s="24" t="s">
        <v>48</v>
      </c>
      <c r="G19" s="25">
        <v>1.0</v>
      </c>
      <c r="H19" s="25" t="s">
        <v>49</v>
      </c>
      <c r="I19" s="25">
        <v>11.0</v>
      </c>
      <c r="J19" s="24"/>
      <c r="K19" s="50" t="s">
        <v>47</v>
      </c>
      <c r="L19" s="25">
        <v>1.0</v>
      </c>
      <c r="M19" s="38" t="s">
        <v>46</v>
      </c>
      <c r="N19" s="25">
        <v>10.0</v>
      </c>
      <c r="O19" s="24"/>
      <c r="P19" s="50" t="s">
        <v>50</v>
      </c>
      <c r="Q19" s="29">
        <v>1.0</v>
      </c>
      <c r="R19" s="25" t="s">
        <v>51</v>
      </c>
      <c r="S19" s="25">
        <v>11.0</v>
      </c>
    </row>
    <row r="20" ht="22.5" customHeight="1">
      <c r="A20" s="39" t="s">
        <v>43</v>
      </c>
      <c r="B20" s="25">
        <v>0.5</v>
      </c>
      <c r="C20" s="38" t="s">
        <v>44</v>
      </c>
      <c r="D20" s="38">
        <v>12.0</v>
      </c>
      <c r="E20" s="24"/>
      <c r="F20" s="42" t="s">
        <v>52</v>
      </c>
      <c r="G20" s="25" t="s">
        <v>36</v>
      </c>
      <c r="H20" s="38" t="s">
        <v>53</v>
      </c>
      <c r="I20" s="25">
        <v>12.0</v>
      </c>
      <c r="J20" s="24"/>
      <c r="K20" s="39" t="s">
        <v>43</v>
      </c>
      <c r="L20" s="25">
        <v>0.5</v>
      </c>
      <c r="M20" s="38" t="s">
        <v>44</v>
      </c>
      <c r="N20" s="38">
        <v>12.0</v>
      </c>
      <c r="O20" s="24"/>
    </row>
    <row r="21" ht="22.5" customHeight="1">
      <c r="A21" s="24" t="s">
        <v>48</v>
      </c>
      <c r="B21" s="25">
        <v>1.0</v>
      </c>
      <c r="C21" s="25" t="s">
        <v>49</v>
      </c>
      <c r="D21" s="25">
        <v>11.0</v>
      </c>
      <c r="E21" s="7"/>
      <c r="F21" s="24"/>
      <c r="G21" s="7"/>
      <c r="H21" s="7"/>
      <c r="I21" s="7"/>
      <c r="J21" s="7"/>
      <c r="K21" s="50" t="s">
        <v>50</v>
      </c>
      <c r="L21" s="25">
        <v>1.0</v>
      </c>
      <c r="M21" s="25" t="s">
        <v>51</v>
      </c>
      <c r="N21" s="25">
        <v>11.0</v>
      </c>
      <c r="O21" s="7"/>
    </row>
    <row r="22" ht="22.5" customHeight="1">
      <c r="A22" s="39" t="s">
        <v>54</v>
      </c>
      <c r="B22" s="45">
        <v>1.0</v>
      </c>
      <c r="C22" s="45" t="s">
        <v>53</v>
      </c>
      <c r="D22" s="45">
        <v>12.0</v>
      </c>
      <c r="E22" s="24"/>
      <c r="F22" s="44"/>
      <c r="G22" s="45"/>
      <c r="H22" s="45"/>
      <c r="I22" s="45"/>
      <c r="J22" s="24"/>
      <c r="K22" s="44"/>
      <c r="L22" s="45"/>
      <c r="M22" s="44"/>
      <c r="N22" s="51"/>
      <c r="O22" s="24"/>
      <c r="P22" s="51"/>
      <c r="Q22" s="52"/>
      <c r="R22" s="52"/>
      <c r="S22" s="52"/>
    </row>
    <row r="23" ht="22.5" customHeight="1">
      <c r="A23" s="20" t="s">
        <v>55</v>
      </c>
      <c r="B23" s="21">
        <f>sum(B24:B28)</f>
        <v>3</v>
      </c>
      <c r="C23" s="20"/>
      <c r="D23" s="20"/>
      <c r="E23" s="7"/>
      <c r="F23" s="20" t="s">
        <v>55</v>
      </c>
      <c r="G23" s="21">
        <f>sum(G24:G28)</f>
        <v>4</v>
      </c>
      <c r="H23" s="21"/>
      <c r="I23" s="21"/>
      <c r="J23" s="7"/>
      <c r="K23" s="20" t="s">
        <v>55</v>
      </c>
      <c r="L23" s="21">
        <f>sum(L24:L28)</f>
        <v>3</v>
      </c>
      <c r="M23" s="21"/>
      <c r="N23" s="21"/>
      <c r="O23" s="7"/>
      <c r="P23" s="20" t="s">
        <v>55</v>
      </c>
      <c r="Q23" s="21">
        <f>sum(Q24:Q28)</f>
        <v>3.5</v>
      </c>
      <c r="R23" s="21"/>
      <c r="S23" s="21"/>
    </row>
    <row r="24" ht="22.5" customHeight="1">
      <c r="A24" s="24" t="s">
        <v>56</v>
      </c>
      <c r="B24" s="25">
        <v>0.5</v>
      </c>
      <c r="C24" s="25" t="s">
        <v>57</v>
      </c>
      <c r="D24" s="38">
        <v>9.0</v>
      </c>
      <c r="E24" s="24"/>
      <c r="F24" s="24" t="s">
        <v>56</v>
      </c>
      <c r="G24" s="25">
        <v>0.5</v>
      </c>
      <c r="H24" s="25" t="s">
        <v>57</v>
      </c>
      <c r="I24" s="25">
        <v>9.0</v>
      </c>
      <c r="J24" s="24"/>
      <c r="K24" s="24" t="s">
        <v>56</v>
      </c>
      <c r="L24" s="25">
        <v>0.5</v>
      </c>
      <c r="M24" s="25" t="s">
        <v>57</v>
      </c>
      <c r="N24" s="25">
        <v>9.0</v>
      </c>
      <c r="O24" s="24"/>
      <c r="P24" s="24" t="s">
        <v>56</v>
      </c>
      <c r="Q24" s="29">
        <v>0.5</v>
      </c>
      <c r="R24" s="29" t="s">
        <v>57</v>
      </c>
      <c r="S24" s="38">
        <v>9.0</v>
      </c>
    </row>
    <row r="25" ht="22.5" customHeight="1">
      <c r="A25" s="24" t="s">
        <v>58</v>
      </c>
      <c r="B25" s="25">
        <v>0.5</v>
      </c>
      <c r="C25" s="25" t="s">
        <v>59</v>
      </c>
      <c r="D25" s="25">
        <v>9.0</v>
      </c>
      <c r="E25" s="24"/>
      <c r="F25" s="24" t="s">
        <v>58</v>
      </c>
      <c r="G25" s="25">
        <v>0.5</v>
      </c>
      <c r="H25" s="25" t="s">
        <v>59</v>
      </c>
      <c r="I25" s="25">
        <v>9.0</v>
      </c>
      <c r="J25" s="24"/>
      <c r="K25" s="24" t="s">
        <v>58</v>
      </c>
      <c r="L25" s="25">
        <v>0.5</v>
      </c>
      <c r="M25" s="25" t="s">
        <v>59</v>
      </c>
      <c r="N25" s="25">
        <v>9.0</v>
      </c>
      <c r="O25" s="24"/>
      <c r="P25" s="24" t="s">
        <v>58</v>
      </c>
      <c r="Q25" s="29">
        <v>0.5</v>
      </c>
      <c r="R25" s="29" t="s">
        <v>59</v>
      </c>
      <c r="S25" s="28">
        <v>9.0</v>
      </c>
    </row>
    <row r="26" ht="22.5" customHeight="1">
      <c r="A26" s="24" t="s">
        <v>60</v>
      </c>
      <c r="B26" s="25">
        <v>1.0</v>
      </c>
      <c r="C26" s="25" t="s">
        <v>61</v>
      </c>
      <c r="D26" s="25">
        <v>10.0</v>
      </c>
      <c r="E26" s="24"/>
      <c r="F26" s="24" t="s">
        <v>60</v>
      </c>
      <c r="G26" s="25">
        <v>1.0</v>
      </c>
      <c r="H26" s="25" t="s">
        <v>61</v>
      </c>
      <c r="I26" s="38">
        <v>10.0</v>
      </c>
      <c r="J26" s="24"/>
      <c r="K26" s="24" t="s">
        <v>60</v>
      </c>
      <c r="L26" s="25">
        <v>1.0</v>
      </c>
      <c r="M26" s="25" t="s">
        <v>61</v>
      </c>
      <c r="N26" s="25">
        <v>10.0</v>
      </c>
      <c r="O26" s="24"/>
      <c r="P26" s="24" t="s">
        <v>60</v>
      </c>
      <c r="Q26" s="29">
        <v>1.0</v>
      </c>
      <c r="R26" s="29" t="s">
        <v>61</v>
      </c>
      <c r="S26" s="28">
        <v>10.0</v>
      </c>
    </row>
    <row r="27" ht="22.5" customHeight="1">
      <c r="A27" s="24" t="s">
        <v>62</v>
      </c>
      <c r="B27" s="25">
        <v>1.0</v>
      </c>
      <c r="C27" s="25" t="s">
        <v>63</v>
      </c>
      <c r="D27" s="25">
        <v>11.0</v>
      </c>
      <c r="E27" s="24"/>
      <c r="F27" s="24" t="s">
        <v>62</v>
      </c>
      <c r="G27" s="25">
        <v>1.0</v>
      </c>
      <c r="H27" s="25" t="s">
        <v>63</v>
      </c>
      <c r="I27" s="25">
        <v>11.0</v>
      </c>
      <c r="J27" s="24"/>
      <c r="K27" s="24" t="s">
        <v>62</v>
      </c>
      <c r="L27" s="25">
        <v>1.0</v>
      </c>
      <c r="M27" s="25" t="s">
        <v>63</v>
      </c>
      <c r="N27" s="25">
        <v>11.0</v>
      </c>
      <c r="O27" s="24"/>
      <c r="P27" s="24" t="s">
        <v>62</v>
      </c>
      <c r="Q27" s="29">
        <v>1.0</v>
      </c>
      <c r="R27" s="25" t="s">
        <v>63</v>
      </c>
      <c r="S27" s="28">
        <v>11.0</v>
      </c>
    </row>
    <row r="28" ht="22.5" customHeight="1">
      <c r="A28" s="53"/>
      <c r="B28" s="53"/>
      <c r="C28" s="53"/>
      <c r="D28" s="53"/>
      <c r="E28" s="24"/>
      <c r="F28" s="51" t="s">
        <v>64</v>
      </c>
      <c r="G28" s="45">
        <v>1.0</v>
      </c>
      <c r="H28" s="46" t="s">
        <v>65</v>
      </c>
      <c r="I28" s="45">
        <v>12.0</v>
      </c>
      <c r="J28" s="24"/>
      <c r="K28" s="51"/>
      <c r="L28" s="51"/>
      <c r="M28" s="51"/>
      <c r="N28" s="51"/>
      <c r="O28" s="24"/>
      <c r="P28" s="51" t="s">
        <v>66</v>
      </c>
      <c r="Q28" s="35">
        <v>0.5</v>
      </c>
      <c r="R28" s="34" t="s">
        <v>67</v>
      </c>
      <c r="S28" s="35">
        <v>12.0</v>
      </c>
    </row>
    <row r="29" ht="22.5" customHeight="1">
      <c r="A29" s="18" t="s">
        <v>68</v>
      </c>
      <c r="B29" s="19">
        <f>sum(B30:B31)</f>
        <v>2</v>
      </c>
      <c r="C29" s="19"/>
      <c r="D29" s="19"/>
      <c r="E29" s="7"/>
      <c r="F29" s="20" t="s">
        <v>68</v>
      </c>
      <c r="G29" s="54">
        <f>SUM(G30:G31)</f>
        <v>2</v>
      </c>
      <c r="H29" s="54"/>
      <c r="I29" s="54"/>
      <c r="J29" s="7"/>
      <c r="K29" s="20" t="s">
        <v>68</v>
      </c>
      <c r="L29" s="21">
        <f>SUM(L30:L31)</f>
        <v>2</v>
      </c>
      <c r="M29" s="54"/>
      <c r="N29" s="54"/>
      <c r="O29" s="7"/>
      <c r="P29" s="18" t="s">
        <v>68</v>
      </c>
      <c r="Q29" s="55">
        <f>SUM(Q30:Q31)</f>
        <v>2</v>
      </c>
      <c r="R29" s="56"/>
      <c r="S29" s="56"/>
    </row>
    <row r="30" ht="22.5" customHeight="1">
      <c r="A30" s="24" t="s">
        <v>69</v>
      </c>
      <c r="B30" s="25">
        <v>1.0</v>
      </c>
      <c r="C30" s="25" t="s">
        <v>70</v>
      </c>
      <c r="D30" s="25">
        <v>9.0</v>
      </c>
      <c r="E30" s="7"/>
      <c r="F30" s="24" t="s">
        <v>69</v>
      </c>
      <c r="G30" s="25">
        <v>1.0</v>
      </c>
      <c r="H30" s="25" t="s">
        <v>70</v>
      </c>
      <c r="I30" s="25">
        <v>9.0</v>
      </c>
      <c r="J30" s="7"/>
      <c r="K30" s="24" t="s">
        <v>69</v>
      </c>
      <c r="L30" s="25">
        <v>1.0</v>
      </c>
      <c r="M30" s="25" t="s">
        <v>70</v>
      </c>
      <c r="N30" s="25">
        <v>9.0</v>
      </c>
      <c r="O30" s="7"/>
      <c r="P30" s="24" t="s">
        <v>69</v>
      </c>
      <c r="Q30" s="29">
        <v>1.0</v>
      </c>
      <c r="R30" s="29" t="s">
        <v>70</v>
      </c>
      <c r="S30" s="29">
        <v>9.0</v>
      </c>
    </row>
    <row r="31" ht="22.5" customHeight="1">
      <c r="A31" s="44" t="s">
        <v>71</v>
      </c>
      <c r="B31" s="45">
        <v>1.0</v>
      </c>
      <c r="C31" s="46" t="s">
        <v>72</v>
      </c>
      <c r="D31" s="45">
        <v>10.0</v>
      </c>
      <c r="E31" s="24"/>
      <c r="F31" s="44" t="s">
        <v>71</v>
      </c>
      <c r="G31" s="45">
        <v>1.0</v>
      </c>
      <c r="H31" s="45" t="s">
        <v>72</v>
      </c>
      <c r="I31" s="45">
        <v>10.0</v>
      </c>
      <c r="J31" s="24"/>
      <c r="K31" s="44" t="s">
        <v>71</v>
      </c>
      <c r="L31" s="45">
        <v>1.0</v>
      </c>
      <c r="M31" s="45" t="s">
        <v>72</v>
      </c>
      <c r="N31" s="45">
        <v>10.0</v>
      </c>
      <c r="O31" s="24"/>
      <c r="P31" s="51" t="s">
        <v>71</v>
      </c>
      <c r="Q31" s="45">
        <v>1.0</v>
      </c>
      <c r="R31" s="45" t="s">
        <v>72</v>
      </c>
      <c r="S31" s="35">
        <v>10.0</v>
      </c>
    </row>
    <row r="32" ht="22.5" customHeight="1">
      <c r="A32" s="20" t="s">
        <v>73</v>
      </c>
      <c r="B32" s="21">
        <f>sum(B33:B35)</f>
        <v>2.5</v>
      </c>
      <c r="C32" s="54"/>
      <c r="D32" s="54"/>
      <c r="E32" s="7"/>
      <c r="F32" s="18" t="s">
        <v>73</v>
      </c>
      <c r="G32" s="19">
        <f>SUM(G33:G34)</f>
        <v>1</v>
      </c>
      <c r="H32" s="54"/>
      <c r="I32" s="54"/>
      <c r="J32" s="7"/>
      <c r="K32" s="18" t="s">
        <v>73</v>
      </c>
      <c r="L32" s="19">
        <f>sum(L33:L34)</f>
        <v>1</v>
      </c>
      <c r="M32" s="54"/>
      <c r="N32" s="54"/>
      <c r="O32" s="7"/>
      <c r="P32" s="20" t="s">
        <v>73</v>
      </c>
      <c r="Q32" s="54">
        <v>1.0</v>
      </c>
      <c r="R32" s="54"/>
      <c r="S32" s="56"/>
    </row>
    <row r="33" ht="22.5" customHeight="1">
      <c r="A33" s="39" t="s">
        <v>74</v>
      </c>
      <c r="B33" s="25">
        <v>0.5</v>
      </c>
      <c r="C33" s="25" t="s">
        <v>75</v>
      </c>
      <c r="D33" s="25">
        <v>9.0</v>
      </c>
      <c r="E33" s="7"/>
      <c r="F33" s="39" t="s">
        <v>74</v>
      </c>
      <c r="G33" s="25">
        <v>0.5</v>
      </c>
      <c r="H33" s="25" t="s">
        <v>75</v>
      </c>
      <c r="I33" s="25">
        <v>9.0</v>
      </c>
      <c r="J33" s="7"/>
      <c r="K33" s="39" t="s">
        <v>74</v>
      </c>
      <c r="L33" s="25">
        <v>0.5</v>
      </c>
      <c r="M33" s="25" t="s">
        <v>75</v>
      </c>
      <c r="N33" s="25">
        <v>9.0</v>
      </c>
      <c r="O33" s="7"/>
      <c r="P33" s="39" t="s">
        <v>74</v>
      </c>
      <c r="Q33" s="25">
        <v>0.5</v>
      </c>
      <c r="R33" s="25" t="s">
        <v>75</v>
      </c>
      <c r="S33" s="29">
        <v>9.0</v>
      </c>
    </row>
    <row r="34" ht="22.5" customHeight="1">
      <c r="A34" s="39" t="s">
        <v>76</v>
      </c>
      <c r="B34" s="25">
        <v>0.5</v>
      </c>
      <c r="C34" s="25" t="s">
        <v>75</v>
      </c>
      <c r="D34" s="38">
        <v>10.0</v>
      </c>
      <c r="E34" s="7"/>
      <c r="F34" s="39" t="s">
        <v>76</v>
      </c>
      <c r="G34" s="25">
        <v>0.5</v>
      </c>
      <c r="H34" s="25" t="s">
        <v>75</v>
      </c>
      <c r="I34" s="38">
        <v>10.0</v>
      </c>
      <c r="J34" s="7"/>
      <c r="K34" s="39" t="s">
        <v>76</v>
      </c>
      <c r="L34" s="25">
        <v>0.5</v>
      </c>
      <c r="M34" s="25" t="s">
        <v>75</v>
      </c>
      <c r="N34" s="38">
        <v>10.0</v>
      </c>
      <c r="O34" s="7"/>
      <c r="P34" s="39" t="s">
        <v>76</v>
      </c>
      <c r="Q34" s="25">
        <v>0.5</v>
      </c>
      <c r="R34" s="25" t="s">
        <v>75</v>
      </c>
      <c r="S34" s="28">
        <v>10.0</v>
      </c>
    </row>
    <row r="35" ht="22.5" customHeight="1">
      <c r="A35" s="51" t="s">
        <v>77</v>
      </c>
      <c r="B35" s="46">
        <v>1.5</v>
      </c>
      <c r="C35" s="45" t="s">
        <v>78</v>
      </c>
      <c r="D35" s="45">
        <v>11.0</v>
      </c>
      <c r="E35" s="7"/>
      <c r="F35" s="48"/>
      <c r="G35" s="48"/>
      <c r="H35" s="48"/>
      <c r="I35" s="48"/>
      <c r="J35" s="7"/>
      <c r="K35" s="51"/>
      <c r="L35" s="45"/>
      <c r="M35" s="48"/>
      <c r="N35" s="48"/>
      <c r="O35" s="7"/>
      <c r="P35" s="57"/>
      <c r="Q35" s="48"/>
      <c r="R35" s="48"/>
      <c r="S35" s="52"/>
    </row>
    <row r="36" ht="22.5" customHeight="1">
      <c r="A36" s="20" t="s">
        <v>79</v>
      </c>
      <c r="B36" s="21">
        <f>SUM(B37:B38)</f>
        <v>1</v>
      </c>
      <c r="C36" s="21"/>
      <c r="D36" s="21"/>
      <c r="E36" s="7"/>
      <c r="F36" s="20" t="s">
        <v>79</v>
      </c>
      <c r="G36" s="21">
        <f>SUM(G37:G42)</f>
        <v>3</v>
      </c>
      <c r="H36" s="21"/>
      <c r="I36" s="21"/>
      <c r="J36" s="7"/>
      <c r="K36" s="20" t="s">
        <v>79</v>
      </c>
      <c r="L36" s="21">
        <f>sum(L37:L38)</f>
        <v>1</v>
      </c>
      <c r="M36" s="21"/>
      <c r="N36" s="21"/>
      <c r="O36" s="7"/>
      <c r="P36" s="20" t="s">
        <v>79</v>
      </c>
      <c r="Q36" s="21">
        <f>SUM(Q37:Q48)</f>
        <v>4</v>
      </c>
      <c r="R36" s="21"/>
      <c r="S36" s="21"/>
    </row>
    <row r="37" ht="22.5" customHeight="1">
      <c r="A37" s="24" t="s">
        <v>80</v>
      </c>
      <c r="B37" s="25">
        <v>0.5</v>
      </c>
      <c r="C37" s="38" t="s">
        <v>81</v>
      </c>
      <c r="D37" s="25">
        <v>9.0</v>
      </c>
      <c r="E37" s="7"/>
      <c r="F37" s="24" t="s">
        <v>80</v>
      </c>
      <c r="G37" s="25">
        <v>0.5</v>
      </c>
      <c r="H37" s="38" t="s">
        <v>81</v>
      </c>
      <c r="I37" s="25">
        <v>9.0</v>
      </c>
      <c r="J37" s="7"/>
      <c r="K37" s="24" t="s">
        <v>80</v>
      </c>
      <c r="L37" s="25">
        <v>0.5</v>
      </c>
      <c r="M37" s="38" t="s">
        <v>81</v>
      </c>
      <c r="N37" s="25">
        <v>9.0</v>
      </c>
      <c r="O37" s="7"/>
      <c r="P37" s="58" t="s">
        <v>82</v>
      </c>
      <c r="Q37" s="25"/>
      <c r="R37" s="25"/>
      <c r="S37" s="29"/>
    </row>
    <row r="38" ht="22.5" customHeight="1">
      <c r="A38" s="24" t="s">
        <v>80</v>
      </c>
      <c r="B38" s="25">
        <v>0.5</v>
      </c>
      <c r="C38" s="38" t="s">
        <v>81</v>
      </c>
      <c r="D38" s="25">
        <v>9.0</v>
      </c>
      <c r="E38" s="7"/>
      <c r="F38" s="24" t="s">
        <v>80</v>
      </c>
      <c r="G38" s="25">
        <v>0.5</v>
      </c>
      <c r="H38" s="38" t="s">
        <v>81</v>
      </c>
      <c r="I38" s="25">
        <v>9.0</v>
      </c>
      <c r="J38" s="7"/>
      <c r="K38" s="24" t="s">
        <v>80</v>
      </c>
      <c r="L38" s="25">
        <v>0.5</v>
      </c>
      <c r="M38" s="38" t="s">
        <v>81</v>
      </c>
      <c r="N38" s="25">
        <v>9.0</v>
      </c>
      <c r="O38" s="7"/>
      <c r="P38" s="24" t="s">
        <v>83</v>
      </c>
      <c r="Q38" s="25">
        <v>0.5</v>
      </c>
      <c r="R38" s="38" t="s">
        <v>81</v>
      </c>
      <c r="S38" s="29">
        <v>9.0</v>
      </c>
    </row>
    <row r="39" ht="22.5" customHeight="1">
      <c r="A39" s="22"/>
      <c r="B39" s="22"/>
      <c r="C39" s="7"/>
      <c r="D39" s="7"/>
      <c r="E39" s="7"/>
      <c r="F39" s="24" t="s">
        <v>80</v>
      </c>
      <c r="G39" s="25">
        <v>0.5</v>
      </c>
      <c r="H39" s="38" t="s">
        <v>84</v>
      </c>
      <c r="I39" s="25">
        <v>10.0</v>
      </c>
      <c r="J39" s="7"/>
      <c r="K39" s="24"/>
      <c r="L39" s="25"/>
      <c r="M39" s="7"/>
      <c r="N39" s="7"/>
      <c r="O39" s="7"/>
      <c r="P39" s="24" t="s">
        <v>85</v>
      </c>
      <c r="Q39" s="25">
        <v>0.5</v>
      </c>
      <c r="R39" s="38" t="s">
        <v>84</v>
      </c>
      <c r="S39" s="29">
        <v>9.0</v>
      </c>
    </row>
    <row r="40" ht="22.5" customHeight="1">
      <c r="A40" s="7"/>
      <c r="B40" s="23"/>
      <c r="C40" s="7"/>
      <c r="D40" s="7"/>
      <c r="E40" s="7"/>
      <c r="F40" s="24" t="s">
        <v>80</v>
      </c>
      <c r="G40" s="25">
        <v>0.5</v>
      </c>
      <c r="H40" s="38" t="s">
        <v>84</v>
      </c>
      <c r="I40" s="25">
        <v>10.0</v>
      </c>
      <c r="J40" s="7"/>
      <c r="K40" s="7"/>
      <c r="L40" s="25"/>
      <c r="M40" s="7"/>
      <c r="N40" s="7"/>
      <c r="O40" s="7"/>
      <c r="P40" s="24" t="s">
        <v>85</v>
      </c>
      <c r="Q40" s="25">
        <v>0.5</v>
      </c>
      <c r="R40" s="38" t="s">
        <v>84</v>
      </c>
      <c r="S40" s="25">
        <v>10.0</v>
      </c>
    </row>
    <row r="41" ht="22.5" customHeight="1">
      <c r="A41" s="22"/>
      <c r="B41" s="23"/>
      <c r="C41" s="7"/>
      <c r="D41" s="7"/>
      <c r="E41" s="7"/>
      <c r="F41" s="24" t="s">
        <v>80</v>
      </c>
      <c r="G41" s="25">
        <v>0.5</v>
      </c>
      <c r="H41" s="38" t="s">
        <v>84</v>
      </c>
      <c r="I41" s="25">
        <v>11.0</v>
      </c>
      <c r="J41" s="7"/>
      <c r="K41" s="24"/>
      <c r="L41" s="25"/>
      <c r="M41" s="7"/>
      <c r="N41" s="7"/>
      <c r="O41" s="7"/>
      <c r="P41" s="24" t="s">
        <v>85</v>
      </c>
      <c r="Q41" s="25">
        <v>0.5</v>
      </c>
      <c r="R41" s="38" t="s">
        <v>84</v>
      </c>
      <c r="S41" s="25">
        <v>10.0</v>
      </c>
    </row>
    <row r="42" ht="22.5" customHeight="1">
      <c r="A42" s="22"/>
      <c r="B42" s="23"/>
      <c r="C42" s="7"/>
      <c r="D42" s="7"/>
      <c r="E42" s="7"/>
      <c r="F42" s="24" t="s">
        <v>80</v>
      </c>
      <c r="G42" s="25">
        <v>0.5</v>
      </c>
      <c r="H42" s="38" t="s">
        <v>84</v>
      </c>
      <c r="I42" s="25">
        <v>11.0</v>
      </c>
      <c r="J42" s="7"/>
      <c r="K42" s="24"/>
      <c r="L42" s="25"/>
      <c r="M42" s="7"/>
      <c r="N42" s="7"/>
      <c r="O42" s="7"/>
      <c r="P42" s="24" t="s">
        <v>85</v>
      </c>
      <c r="Q42" s="25">
        <v>0.5</v>
      </c>
      <c r="R42" s="38" t="s">
        <v>84</v>
      </c>
      <c r="S42" s="25">
        <v>11.0</v>
      </c>
    </row>
    <row r="43" ht="22.5" customHeight="1">
      <c r="A43" s="22"/>
      <c r="B43" s="23"/>
      <c r="C43" s="7"/>
      <c r="D43" s="7"/>
      <c r="E43" s="7"/>
      <c r="F43" s="24"/>
      <c r="G43" s="25"/>
      <c r="H43" s="25"/>
      <c r="I43" s="25"/>
      <c r="J43" s="7"/>
      <c r="K43" s="24"/>
      <c r="L43" s="25"/>
      <c r="M43" s="7"/>
      <c r="N43" s="7"/>
      <c r="O43" s="7"/>
      <c r="P43" s="24" t="s">
        <v>85</v>
      </c>
      <c r="Q43" s="25">
        <v>0.5</v>
      </c>
      <c r="R43" s="38" t="s">
        <v>84</v>
      </c>
      <c r="S43" s="25">
        <v>11.0</v>
      </c>
    </row>
    <row r="44" ht="22.5" customHeight="1">
      <c r="A44" s="22"/>
      <c r="B44" s="23"/>
      <c r="C44" s="7"/>
      <c r="D44" s="7"/>
      <c r="E44" s="7"/>
      <c r="F44" s="24"/>
      <c r="G44" s="25"/>
      <c r="H44" s="25"/>
      <c r="I44" s="25"/>
      <c r="J44" s="7"/>
      <c r="K44" s="24"/>
      <c r="L44" s="25"/>
      <c r="M44" s="7"/>
      <c r="N44" s="7"/>
      <c r="O44" s="7"/>
      <c r="P44" s="24" t="s">
        <v>85</v>
      </c>
      <c r="Q44" s="25">
        <v>0.5</v>
      </c>
      <c r="R44" s="38" t="s">
        <v>84</v>
      </c>
      <c r="S44" s="25">
        <v>12.0</v>
      </c>
    </row>
    <row r="45" ht="22.5" customHeight="1">
      <c r="A45" s="22"/>
      <c r="B45" s="23"/>
      <c r="C45" s="7"/>
      <c r="D45" s="7"/>
      <c r="E45" s="7"/>
      <c r="F45" s="24"/>
      <c r="G45" s="25"/>
      <c r="H45" s="25"/>
      <c r="I45" s="25"/>
      <c r="J45" s="7"/>
      <c r="K45" s="24"/>
      <c r="L45" s="25"/>
      <c r="M45" s="7"/>
      <c r="N45" s="7"/>
      <c r="O45" s="7"/>
      <c r="P45" s="24" t="s">
        <v>85</v>
      </c>
      <c r="Q45" s="25">
        <v>0.5</v>
      </c>
      <c r="R45" s="38" t="s">
        <v>84</v>
      </c>
      <c r="S45" s="25">
        <v>12.0</v>
      </c>
    </row>
    <row r="46" ht="22.5" customHeight="1">
      <c r="A46" s="22"/>
      <c r="B46" s="23"/>
      <c r="C46" s="7"/>
      <c r="D46" s="7"/>
      <c r="E46" s="7"/>
      <c r="F46" s="24"/>
      <c r="G46" s="25"/>
      <c r="H46" s="25"/>
      <c r="I46" s="25"/>
      <c r="J46" s="7"/>
      <c r="K46" s="24"/>
      <c r="L46" s="25"/>
      <c r="M46" s="7"/>
      <c r="N46" s="7"/>
      <c r="O46" s="7"/>
      <c r="P46" s="58" t="s">
        <v>86</v>
      </c>
      <c r="Q46" s="25"/>
      <c r="R46" s="25"/>
      <c r="S46" s="29"/>
    </row>
    <row r="47" ht="22.5" customHeight="1">
      <c r="A47" s="26"/>
      <c r="B47" s="27"/>
      <c r="C47" s="11"/>
      <c r="D47" s="11"/>
      <c r="E47" s="11"/>
      <c r="F47" s="24"/>
      <c r="G47" s="25"/>
      <c r="H47" s="25"/>
      <c r="I47" s="25"/>
      <c r="J47" s="11"/>
      <c r="K47" s="41"/>
      <c r="L47" s="29"/>
      <c r="M47" s="11"/>
      <c r="N47" s="11"/>
      <c r="O47" s="11"/>
      <c r="P47" s="59" t="s">
        <v>87</v>
      </c>
      <c r="Q47" s="29" t="s">
        <v>36</v>
      </c>
      <c r="R47" s="28" t="s">
        <v>84</v>
      </c>
      <c r="S47" s="29"/>
    </row>
    <row r="48" ht="22.5" customHeight="1">
      <c r="A48" s="32"/>
      <c r="B48" s="33"/>
      <c r="C48" s="52"/>
      <c r="D48" s="52"/>
      <c r="E48" s="11"/>
      <c r="F48" s="51"/>
      <c r="G48" s="45"/>
      <c r="H48" s="45"/>
      <c r="I48" s="45"/>
      <c r="J48" s="11"/>
      <c r="K48" s="60"/>
      <c r="L48" s="35"/>
      <c r="M48" s="52"/>
      <c r="N48" s="52"/>
      <c r="O48" s="11"/>
      <c r="P48" s="60" t="s">
        <v>88</v>
      </c>
      <c r="Q48" s="35" t="s">
        <v>36</v>
      </c>
      <c r="R48" s="34" t="s">
        <v>84</v>
      </c>
      <c r="S48" s="35"/>
    </row>
    <row r="49" ht="22.5" customHeight="1">
      <c r="A49" s="61" t="s">
        <v>89</v>
      </c>
      <c r="B49" s="49">
        <f>sum(B50:B53)</f>
        <v>1.5</v>
      </c>
      <c r="C49" s="49"/>
      <c r="D49" s="49"/>
      <c r="E49" s="11"/>
      <c r="F49" s="61" t="s">
        <v>89</v>
      </c>
      <c r="G49" s="49">
        <f>SUM(G50:G55)</f>
        <v>3</v>
      </c>
      <c r="H49" s="49"/>
      <c r="I49" s="49"/>
      <c r="J49" s="11"/>
      <c r="K49" s="61" t="s">
        <v>89</v>
      </c>
      <c r="L49" s="49">
        <f>SUM(L50:L53)</f>
        <v>2</v>
      </c>
      <c r="M49" s="49"/>
      <c r="N49" s="49"/>
      <c r="O49" s="11"/>
      <c r="P49" s="61" t="s">
        <v>89</v>
      </c>
      <c r="Q49" s="49">
        <f>sum(Q50:Q54)</f>
        <v>2.5</v>
      </c>
      <c r="R49" s="49"/>
      <c r="S49" s="49"/>
    </row>
    <row r="50" ht="22.5" customHeight="1">
      <c r="A50" s="59" t="s">
        <v>90</v>
      </c>
      <c r="B50" s="29">
        <v>0.5</v>
      </c>
      <c r="C50" s="29" t="s">
        <v>91</v>
      </c>
      <c r="D50" s="29">
        <v>9.0</v>
      </c>
      <c r="E50" s="11"/>
      <c r="F50" s="59" t="s">
        <v>90</v>
      </c>
      <c r="G50" s="29">
        <v>0.5</v>
      </c>
      <c r="H50" s="29" t="s">
        <v>91</v>
      </c>
      <c r="I50" s="29">
        <v>9.0</v>
      </c>
      <c r="J50" s="11"/>
      <c r="K50" s="59" t="s">
        <v>90</v>
      </c>
      <c r="L50" s="29">
        <v>0.5</v>
      </c>
      <c r="M50" s="29" t="s">
        <v>91</v>
      </c>
      <c r="N50" s="29">
        <v>9.0</v>
      </c>
      <c r="O50" s="11"/>
      <c r="P50" s="59" t="s">
        <v>90</v>
      </c>
      <c r="Q50" s="29">
        <v>0.5</v>
      </c>
      <c r="R50" s="29" t="s">
        <v>91</v>
      </c>
      <c r="S50" s="29">
        <v>9.0</v>
      </c>
    </row>
    <row r="51" ht="22.5" customHeight="1">
      <c r="A51" s="41" t="s">
        <v>92</v>
      </c>
      <c r="B51" s="29">
        <v>0.5</v>
      </c>
      <c r="C51" s="29" t="s">
        <v>93</v>
      </c>
      <c r="D51" s="29">
        <v>10.0</v>
      </c>
      <c r="E51" s="11"/>
      <c r="F51" s="41" t="s">
        <v>92</v>
      </c>
      <c r="G51" s="29">
        <v>0.5</v>
      </c>
      <c r="H51" s="29" t="s">
        <v>93</v>
      </c>
      <c r="I51" s="29">
        <v>10.0</v>
      </c>
      <c r="J51" s="11"/>
      <c r="K51" s="41" t="s">
        <v>92</v>
      </c>
      <c r="L51" s="29">
        <v>0.5</v>
      </c>
      <c r="M51" s="29" t="s">
        <v>93</v>
      </c>
      <c r="N51" s="29">
        <v>10.0</v>
      </c>
      <c r="O51" s="11"/>
      <c r="P51" s="41" t="s">
        <v>92</v>
      </c>
      <c r="Q51" s="29">
        <v>0.5</v>
      </c>
      <c r="R51" s="29" t="s">
        <v>93</v>
      </c>
      <c r="S51" s="28">
        <v>10.0</v>
      </c>
    </row>
    <row r="52" ht="22.5" customHeight="1">
      <c r="A52" s="41" t="s">
        <v>92</v>
      </c>
      <c r="B52" s="29">
        <v>0.5</v>
      </c>
      <c r="C52" s="29" t="s">
        <v>93</v>
      </c>
      <c r="D52" s="29">
        <v>10.0</v>
      </c>
      <c r="E52" s="11"/>
      <c r="F52" s="41" t="s">
        <v>92</v>
      </c>
      <c r="G52" s="29">
        <v>0.5</v>
      </c>
      <c r="H52" s="29" t="s">
        <v>93</v>
      </c>
      <c r="I52" s="29">
        <v>10.0</v>
      </c>
      <c r="J52" s="11"/>
      <c r="K52" s="41" t="s">
        <v>92</v>
      </c>
      <c r="L52" s="29">
        <v>0.5</v>
      </c>
      <c r="M52" s="29" t="s">
        <v>93</v>
      </c>
      <c r="N52" s="29">
        <v>10.0</v>
      </c>
      <c r="O52" s="11"/>
      <c r="P52" s="41" t="s">
        <v>92</v>
      </c>
      <c r="Q52" s="29">
        <v>0.5</v>
      </c>
      <c r="R52" s="29" t="s">
        <v>93</v>
      </c>
      <c r="S52" s="28">
        <v>10.0</v>
      </c>
    </row>
    <row r="53" ht="22.5" customHeight="1">
      <c r="A53" s="59"/>
      <c r="B53" s="29"/>
      <c r="C53" s="29"/>
      <c r="D53" s="28"/>
      <c r="E53" s="11"/>
      <c r="F53" s="41" t="s">
        <v>92</v>
      </c>
      <c r="G53" s="29">
        <v>0.5</v>
      </c>
      <c r="H53" s="29" t="s">
        <v>93</v>
      </c>
      <c r="I53" s="29">
        <v>11.0</v>
      </c>
      <c r="J53" s="11"/>
      <c r="K53" s="59" t="s">
        <v>92</v>
      </c>
      <c r="L53" s="29">
        <v>0.5</v>
      </c>
      <c r="M53" s="29" t="s">
        <v>93</v>
      </c>
      <c r="N53" s="28">
        <v>12.0</v>
      </c>
      <c r="O53" s="11"/>
      <c r="P53" s="41" t="s">
        <v>92</v>
      </c>
      <c r="Q53" s="29">
        <v>0.5</v>
      </c>
      <c r="R53" s="29" t="s">
        <v>93</v>
      </c>
      <c r="S53" s="28">
        <v>11.0</v>
      </c>
    </row>
    <row r="54" ht="22.5" customHeight="1">
      <c r="A54" s="41"/>
      <c r="B54" s="29"/>
      <c r="C54" s="29"/>
      <c r="D54" s="29"/>
      <c r="E54" s="11"/>
      <c r="F54" s="41" t="s">
        <v>92</v>
      </c>
      <c r="G54" s="29">
        <v>0.5</v>
      </c>
      <c r="H54" s="28" t="s">
        <v>93</v>
      </c>
      <c r="I54" s="28">
        <v>12.0</v>
      </c>
      <c r="J54" s="11"/>
      <c r="K54" s="62"/>
      <c r="L54" s="29"/>
      <c r="M54" s="29"/>
      <c r="N54" s="11"/>
      <c r="O54" s="11"/>
      <c r="P54" s="59" t="s">
        <v>92</v>
      </c>
      <c r="Q54" s="29">
        <v>0.5</v>
      </c>
      <c r="R54" s="29" t="s">
        <v>93</v>
      </c>
      <c r="S54" s="28">
        <v>11.0</v>
      </c>
    </row>
    <row r="55" ht="22.5" customHeight="1">
      <c r="A55" s="60"/>
      <c r="B55" s="35"/>
      <c r="C55" s="35"/>
      <c r="D55" s="35"/>
      <c r="E55" s="11"/>
      <c r="F55" s="63" t="s">
        <v>92</v>
      </c>
      <c r="G55" s="35">
        <v>0.5</v>
      </c>
      <c r="H55" s="34" t="s">
        <v>93</v>
      </c>
      <c r="I55" s="34">
        <v>12.0</v>
      </c>
      <c r="J55" s="11"/>
      <c r="K55" s="64"/>
      <c r="L55" s="35"/>
      <c r="M55" s="35"/>
      <c r="N55" s="52"/>
      <c r="O55" s="11"/>
      <c r="P55" s="65"/>
      <c r="Q55" s="35"/>
      <c r="R55" s="35"/>
      <c r="S55" s="35"/>
    </row>
    <row r="56" ht="22.5" customHeight="1">
      <c r="A56" s="66" t="s">
        <v>94</v>
      </c>
      <c r="B56" s="49">
        <f>SUM(B57)</f>
        <v>3</v>
      </c>
      <c r="C56" s="49"/>
      <c r="D56" s="49"/>
      <c r="E56" s="11"/>
      <c r="F56" s="66" t="s">
        <v>94</v>
      </c>
      <c r="G56" s="49">
        <v>3.0</v>
      </c>
      <c r="H56" s="49"/>
      <c r="I56" s="49"/>
      <c r="J56" s="11"/>
      <c r="K56" s="20" t="s">
        <v>94</v>
      </c>
      <c r="L56" s="49">
        <f>SUM(L57:L58)</f>
        <v>6</v>
      </c>
      <c r="M56" s="49"/>
      <c r="N56" s="49"/>
      <c r="O56" s="11"/>
      <c r="P56" s="66" t="s">
        <v>94</v>
      </c>
      <c r="Q56" s="49">
        <f>sum(Q57)</f>
        <v>3</v>
      </c>
      <c r="R56" s="49"/>
      <c r="S56" s="49"/>
    </row>
    <row r="57" ht="22.5" customHeight="1">
      <c r="A57" s="59" t="s">
        <v>95</v>
      </c>
      <c r="B57" s="29">
        <v>3.0</v>
      </c>
      <c r="C57" s="29" t="s">
        <v>96</v>
      </c>
      <c r="D57" s="29">
        <v>12.0</v>
      </c>
      <c r="E57" s="11"/>
      <c r="F57" s="59" t="s">
        <v>95</v>
      </c>
      <c r="G57" s="29">
        <v>3.0</v>
      </c>
      <c r="H57" s="29" t="s">
        <v>96</v>
      </c>
      <c r="I57" s="29">
        <v>12.0</v>
      </c>
      <c r="J57" s="11"/>
      <c r="K57" s="39" t="s">
        <v>97</v>
      </c>
      <c r="L57" s="29">
        <v>3.0</v>
      </c>
      <c r="M57" s="29" t="s">
        <v>96</v>
      </c>
      <c r="N57" s="29">
        <v>11.0</v>
      </c>
      <c r="O57" s="11"/>
      <c r="P57" s="59" t="s">
        <v>95</v>
      </c>
      <c r="Q57" s="29">
        <v>3.0</v>
      </c>
      <c r="R57" s="29" t="s">
        <v>96</v>
      </c>
      <c r="S57" s="29">
        <v>12.0</v>
      </c>
    </row>
    <row r="58" ht="22.5" customHeight="1">
      <c r="A58" s="67"/>
      <c r="B58" s="67"/>
      <c r="C58" s="67"/>
      <c r="D58" s="67"/>
      <c r="E58" s="11"/>
      <c r="F58" s="67"/>
      <c r="G58" s="67"/>
      <c r="H58" s="67"/>
      <c r="I58" s="67"/>
      <c r="J58" s="11"/>
      <c r="K58" s="68" t="s">
        <v>97</v>
      </c>
      <c r="L58" s="69">
        <v>3.0</v>
      </c>
      <c r="M58" s="70" t="s">
        <v>96</v>
      </c>
      <c r="N58" s="70">
        <v>12.0</v>
      </c>
      <c r="O58" s="11"/>
      <c r="P58" s="67"/>
      <c r="Q58" s="69"/>
      <c r="R58" s="67"/>
      <c r="S58" s="67"/>
    </row>
    <row r="59" ht="45.0" customHeight="1">
      <c r="A59" s="71" t="s">
        <v>98</v>
      </c>
      <c r="B59" s="72">
        <f>SUMIF(C4:C58,"",B4:B58)</f>
        <v>26.5</v>
      </c>
      <c r="C59" s="72"/>
      <c r="D59" s="72"/>
      <c r="E59" s="11"/>
      <c r="F59" s="73" t="s">
        <v>98</v>
      </c>
      <c r="G59" s="74">
        <f>SUMIF(H4:H58,"",G4:G58)</f>
        <v>26.5</v>
      </c>
      <c r="H59" s="75"/>
      <c r="I59" s="75"/>
      <c r="J59" s="11"/>
      <c r="K59" s="76" t="s">
        <v>98</v>
      </c>
      <c r="L59" s="77">
        <f>SUMIF(M4:M58,"",L4:L58)</f>
        <v>26.5</v>
      </c>
      <c r="M59" s="78"/>
      <c r="N59" s="78"/>
      <c r="O59" s="11"/>
      <c r="P59" s="79" t="s">
        <v>98</v>
      </c>
      <c r="Q59" s="80">
        <f>SUMIF(R4:R58,"",Q4:Q58)</f>
        <v>26.5</v>
      </c>
      <c r="R59" s="81"/>
      <c r="S59" s="81"/>
    </row>
    <row r="60" ht="7.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3"/>
      <c r="S60" s="83"/>
    </row>
  </sheetData>
  <conditionalFormatting sqref="A2 K2 P2">
    <cfRule type="expression" dxfId="0" priority="1">
      <formula>(#REF!)=max(#REF!)</formula>
    </cfRule>
  </conditionalFormatting>
  <printOptions gridLines="1" horizontalCentered="1"/>
  <pageMargins bottom="0.25" footer="0.0" header="0.0" left="0.25" right="0.25" top="0.2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3.63"/>
    <col customWidth="1" min="2" max="2" width="4.13"/>
    <col hidden="1" min="3" max="4" width="12.63"/>
    <col customWidth="1" min="5" max="5" width="2.63"/>
    <col customWidth="1" min="6" max="6" width="23.63"/>
    <col customWidth="1" min="7" max="7" width="4.13"/>
    <col hidden="1" min="8" max="9" width="12.63"/>
    <col customWidth="1" min="10" max="10" width="2.63"/>
    <col customWidth="1" min="11" max="11" width="24.13"/>
    <col customWidth="1" min="12" max="12" width="4.13"/>
    <col hidden="1" min="13" max="13" width="12.63"/>
    <col customWidth="1" hidden="1" min="14" max="14" width="4.13"/>
    <col customWidth="1" min="15" max="15" width="2.63"/>
    <col customWidth="1" min="16" max="16" width="23.63"/>
    <col customWidth="1" min="17" max="17" width="4.13"/>
    <col hidden="1" min="18" max="19" width="12.63"/>
  </cols>
  <sheetData>
    <row r="1" ht="1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4.5" customHeight="1">
      <c r="A2" s="85" t="s">
        <v>1</v>
      </c>
      <c r="C2" s="85"/>
      <c r="D2" s="85"/>
      <c r="E2" s="86"/>
      <c r="F2" s="85" t="s">
        <v>99</v>
      </c>
      <c r="H2" s="85"/>
      <c r="I2" s="85"/>
      <c r="J2" s="86"/>
      <c r="K2" s="87" t="s">
        <v>100</v>
      </c>
      <c r="M2" s="85"/>
      <c r="N2" s="85"/>
      <c r="O2" s="86"/>
      <c r="P2" s="85" t="s">
        <v>79</v>
      </c>
      <c r="R2" s="88"/>
      <c r="S2" s="88"/>
    </row>
    <row r="3" ht="28.5" customHeight="1">
      <c r="C3" s="85"/>
      <c r="D3" s="85"/>
      <c r="E3" s="86"/>
      <c r="H3" s="85"/>
      <c r="I3" s="85"/>
      <c r="J3" s="86"/>
      <c r="M3" s="85"/>
      <c r="N3" s="85"/>
      <c r="O3" s="86"/>
      <c r="R3" s="89"/>
      <c r="S3" s="89"/>
    </row>
    <row r="4" ht="1.5" customHeight="1">
      <c r="A4" s="90" t="s">
        <v>1</v>
      </c>
      <c r="B4" s="84"/>
      <c r="C4" s="84"/>
      <c r="D4" s="84"/>
      <c r="E4" s="84"/>
      <c r="F4" s="91" t="s">
        <v>3</v>
      </c>
      <c r="G4" s="84"/>
      <c r="H4" s="84"/>
      <c r="I4" s="84"/>
      <c r="J4" s="84"/>
      <c r="K4" s="91" t="s">
        <v>5</v>
      </c>
      <c r="L4" s="84"/>
      <c r="M4" s="84"/>
      <c r="N4" s="84"/>
      <c r="O4" s="84"/>
      <c r="P4" s="91" t="s">
        <v>7</v>
      </c>
      <c r="Q4" s="84"/>
    </row>
    <row r="5" ht="1.5" customHeight="1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ht="1.5" customHeight="1">
      <c r="A6" s="92" t="s">
        <v>101</v>
      </c>
      <c r="B6" s="93">
        <f>sum(B7:B19)</f>
        <v>7</v>
      </c>
      <c r="C6" s="93"/>
      <c r="D6" s="93"/>
      <c r="E6" s="84"/>
      <c r="F6" s="94" t="s">
        <v>101</v>
      </c>
      <c r="G6" s="95">
        <f>sum(G7:G19)</f>
        <v>7</v>
      </c>
      <c r="H6" s="95"/>
      <c r="I6" s="95"/>
      <c r="J6" s="84"/>
      <c r="K6" s="96" t="s">
        <v>101</v>
      </c>
      <c r="L6" s="97">
        <f>sum(L7:L19)</f>
        <v>7</v>
      </c>
      <c r="M6" s="97"/>
      <c r="N6" s="97"/>
      <c r="O6" s="84"/>
      <c r="P6" s="98" t="s">
        <v>101</v>
      </c>
      <c r="Q6" s="99">
        <f>sum(Q7:Q19)</f>
        <v>7</v>
      </c>
      <c r="R6" s="100"/>
      <c r="S6" s="100"/>
    </row>
    <row r="7" ht="1.5" customHeight="1">
      <c r="A7" s="101" t="str">
        <f>IFERROR(__xludf.DUMMYFUNCTION("Filter(INDIRECT(A$4),INDEX(INDIRECT(A$4),,4)=9)"),"Composition 9")</f>
        <v>Composition 9</v>
      </c>
      <c r="B7" s="102">
        <f>IFERROR(__xludf.DUMMYFUNCTION("""COMPUTED_VALUE"""),1.0)</f>
        <v>1</v>
      </c>
      <c r="C7" s="102" t="str">
        <f>IFERROR(__xludf.DUMMYFUNCTION("""COMPUTED_VALUE"""),"E9")</f>
        <v>E9</v>
      </c>
      <c r="D7" s="102">
        <f>IFERROR(__xludf.DUMMYFUNCTION("""COMPUTED_VALUE"""),9.0)</f>
        <v>9</v>
      </c>
      <c r="E7" s="84"/>
      <c r="F7" s="101" t="str">
        <f>IFERROR(__xludf.DUMMYFUNCTION("Filter(INDIRECT(F$4),INDEX(INDIRECT(F$4),,4)=9)"),"Composition 9")</f>
        <v>Composition 9</v>
      </c>
      <c r="G7" s="102">
        <f>IFERROR(__xludf.DUMMYFUNCTION("""COMPUTED_VALUE"""),1.0)</f>
        <v>1</v>
      </c>
      <c r="H7" s="102" t="str">
        <f>IFERROR(__xludf.DUMMYFUNCTION("""COMPUTED_VALUE"""),"E9")</f>
        <v>E9</v>
      </c>
      <c r="I7" s="102">
        <f>IFERROR(__xludf.DUMMYFUNCTION("""COMPUTED_VALUE"""),9.0)</f>
        <v>9</v>
      </c>
      <c r="J7" s="84"/>
      <c r="K7" s="101" t="str">
        <f>IFERROR(__xludf.DUMMYFUNCTION("Filter(INDIRECT(K$4),INDEX(INDIRECT(K$4),,4)=9)"),"Composition 9")</f>
        <v>Composition 9</v>
      </c>
      <c r="L7" s="102">
        <f>IFERROR(__xludf.DUMMYFUNCTION("""COMPUTED_VALUE"""),1.0)</f>
        <v>1</v>
      </c>
      <c r="M7" s="102" t="str">
        <f>IFERROR(__xludf.DUMMYFUNCTION("""COMPUTED_VALUE"""),"E9")</f>
        <v>E9</v>
      </c>
      <c r="N7" s="102">
        <f>IFERROR(__xludf.DUMMYFUNCTION("""COMPUTED_VALUE"""),9.0)</f>
        <v>9</v>
      </c>
      <c r="O7" s="84"/>
      <c r="P7" s="101" t="str">
        <f>IFERROR(__xludf.DUMMYFUNCTION("Filter(INDIRECT(P$4),INDEX(INDIRECT(P$4),,4)=9)"),"Composition 9")</f>
        <v>Composition 9</v>
      </c>
      <c r="Q7" s="102">
        <f>IFERROR(__xludf.DUMMYFUNCTION("""COMPUTED_VALUE"""),1.0)</f>
        <v>1</v>
      </c>
      <c r="R7" s="103" t="str">
        <f>IFERROR(__xludf.DUMMYFUNCTION("""COMPUTED_VALUE"""),"E9")</f>
        <v>E9</v>
      </c>
      <c r="S7" s="103">
        <f>IFERROR(__xludf.DUMMYFUNCTION("""COMPUTED_VALUE"""),9.0)</f>
        <v>9</v>
      </c>
    </row>
    <row r="8" ht="1.5" customHeight="1">
      <c r="A8" s="104" t="str">
        <f>IFERROR(__xludf.DUMMYFUNCTION("""COMPUTED_VALUE"""),"Algebra I")</f>
        <v>Algebra I</v>
      </c>
      <c r="B8" s="105">
        <f>IFERROR(__xludf.DUMMYFUNCTION("""COMPUTED_VALUE"""),1.0)</f>
        <v>1</v>
      </c>
      <c r="C8" s="105" t="str">
        <f>IFERROR(__xludf.DUMMYFUNCTION("""COMPUTED_VALUE"""),"MA1")</f>
        <v>MA1</v>
      </c>
      <c r="D8" s="105">
        <f>IFERROR(__xludf.DUMMYFUNCTION("""COMPUTED_VALUE"""),9.0)</f>
        <v>9</v>
      </c>
      <c r="E8" s="84"/>
      <c r="F8" s="106" t="str">
        <f>IFERROR(__xludf.DUMMYFUNCTION("""COMPUTED_VALUE"""),"Algebra I")</f>
        <v>Algebra I</v>
      </c>
      <c r="G8" s="105">
        <f>IFERROR(__xludf.DUMMYFUNCTION("""COMPUTED_VALUE"""),1.0)</f>
        <v>1</v>
      </c>
      <c r="H8" s="105" t="str">
        <f>IFERROR(__xludf.DUMMYFUNCTION("""COMPUTED_VALUE"""),"MA1")</f>
        <v>MA1</v>
      </c>
      <c r="I8" s="105">
        <f>IFERROR(__xludf.DUMMYFUNCTION("""COMPUTED_VALUE"""),9.0)</f>
        <v>9</v>
      </c>
      <c r="J8" s="84"/>
      <c r="K8" s="106" t="str">
        <f>IFERROR(__xludf.DUMMYFUNCTION("""COMPUTED_VALUE"""),"Algebra I")</f>
        <v>Algebra I</v>
      </c>
      <c r="L8" s="105">
        <f>IFERROR(__xludf.DUMMYFUNCTION("""COMPUTED_VALUE"""),1.0)</f>
        <v>1</v>
      </c>
      <c r="M8" s="105" t="str">
        <f>IFERROR(__xludf.DUMMYFUNCTION("""COMPUTED_VALUE"""),"MA1")</f>
        <v>MA1</v>
      </c>
      <c r="N8" s="105">
        <f>IFERROR(__xludf.DUMMYFUNCTION("""COMPUTED_VALUE"""),9.0)</f>
        <v>9</v>
      </c>
      <c r="O8" s="84"/>
      <c r="P8" s="106" t="str">
        <f>IFERROR(__xludf.DUMMYFUNCTION("""COMPUTED_VALUE"""),"Algebra I")</f>
        <v>Algebra I</v>
      </c>
      <c r="Q8" s="105">
        <f>IFERROR(__xludf.DUMMYFUNCTION("""COMPUTED_VALUE"""),1.0)</f>
        <v>1</v>
      </c>
      <c r="R8" s="107" t="str">
        <f>IFERROR(__xludf.DUMMYFUNCTION("""COMPUTED_VALUE"""),"MA1")</f>
        <v>MA1</v>
      </c>
      <c r="S8" s="107">
        <f>IFERROR(__xludf.DUMMYFUNCTION("""COMPUTED_VALUE"""),9.0)</f>
        <v>9</v>
      </c>
    </row>
    <row r="9" ht="1.5" customHeight="1">
      <c r="A9" s="104" t="str">
        <f>IFERROR(__xludf.DUMMYFUNCTION("""COMPUTED_VALUE"""),"Biology")</f>
        <v>Biology</v>
      </c>
      <c r="B9" s="105">
        <f>IFERROR(__xludf.DUMMYFUNCTION("""COMPUTED_VALUE"""),1.0)</f>
        <v>1</v>
      </c>
      <c r="C9" s="105" t="str">
        <f>IFERROR(__xludf.DUMMYFUNCTION("""COMPUTED_VALUE"""),"SB")</f>
        <v>SB</v>
      </c>
      <c r="D9" s="105">
        <f>IFERROR(__xludf.DUMMYFUNCTION("""COMPUTED_VALUE"""),9.0)</f>
        <v>9</v>
      </c>
      <c r="E9" s="84"/>
      <c r="F9" s="106" t="str">
        <f>IFERROR(__xludf.DUMMYFUNCTION("""COMPUTED_VALUE"""),"Biology")</f>
        <v>Biology</v>
      </c>
      <c r="G9" s="105">
        <f>IFERROR(__xludf.DUMMYFUNCTION("""COMPUTED_VALUE"""),1.0)</f>
        <v>1</v>
      </c>
      <c r="H9" s="105" t="str">
        <f>IFERROR(__xludf.DUMMYFUNCTION("""COMPUTED_VALUE"""),"SB")</f>
        <v>SB</v>
      </c>
      <c r="I9" s="105">
        <f>IFERROR(__xludf.DUMMYFUNCTION("""COMPUTED_VALUE"""),9.0)</f>
        <v>9</v>
      </c>
      <c r="J9" s="84"/>
      <c r="K9" s="106" t="str">
        <f>IFERROR(__xludf.DUMMYFUNCTION("""COMPUTED_VALUE"""),"Biology")</f>
        <v>Biology</v>
      </c>
      <c r="L9" s="105">
        <f>IFERROR(__xludf.DUMMYFUNCTION("""COMPUTED_VALUE"""),1.0)</f>
        <v>1</v>
      </c>
      <c r="M9" s="105" t="str">
        <f>IFERROR(__xludf.DUMMYFUNCTION("""COMPUTED_VALUE"""),"SB")</f>
        <v>SB</v>
      </c>
      <c r="N9" s="105">
        <f>IFERROR(__xludf.DUMMYFUNCTION("""COMPUTED_VALUE"""),9.0)</f>
        <v>9</v>
      </c>
      <c r="O9" s="84"/>
      <c r="P9" s="106" t="str">
        <f>IFERROR(__xludf.DUMMYFUNCTION("""COMPUTED_VALUE"""),"Biology")</f>
        <v>Biology</v>
      </c>
      <c r="Q9" s="105">
        <f>IFERROR(__xludf.DUMMYFUNCTION("""COMPUTED_VALUE"""),1.0)</f>
        <v>1</v>
      </c>
      <c r="R9" s="107" t="str">
        <f>IFERROR(__xludf.DUMMYFUNCTION("""COMPUTED_VALUE"""),"SB")</f>
        <v>SB</v>
      </c>
      <c r="S9" s="107">
        <f>IFERROR(__xludf.DUMMYFUNCTION("""COMPUTED_VALUE"""),9.0)</f>
        <v>9</v>
      </c>
    </row>
    <row r="10" ht="1.5" customHeight="1">
      <c r="A10" s="104" t="str">
        <f>IFERROR(__xludf.DUMMYFUNCTION("""COMPUTED_VALUE"""),"OK History")</f>
        <v>OK History</v>
      </c>
      <c r="B10" s="105">
        <f>IFERROR(__xludf.DUMMYFUNCTION("""COMPUTED_VALUE"""),0.5)</f>
        <v>0.5</v>
      </c>
      <c r="C10" s="105" t="str">
        <f>IFERROR(__xludf.DUMMYFUNCTION("""COMPUTED_VALUE"""),"HOK")</f>
        <v>HOK</v>
      </c>
      <c r="D10" s="105">
        <f>IFERROR(__xludf.DUMMYFUNCTION("""COMPUTED_VALUE"""),9.0)</f>
        <v>9</v>
      </c>
      <c r="E10" s="84"/>
      <c r="F10" s="106" t="str">
        <f>IFERROR(__xludf.DUMMYFUNCTION("""COMPUTED_VALUE"""),"OK History")</f>
        <v>OK History</v>
      </c>
      <c r="G10" s="105">
        <f>IFERROR(__xludf.DUMMYFUNCTION("""COMPUTED_VALUE"""),0.5)</f>
        <v>0.5</v>
      </c>
      <c r="H10" s="105" t="str">
        <f>IFERROR(__xludf.DUMMYFUNCTION("""COMPUTED_VALUE"""),"HOK")</f>
        <v>HOK</v>
      </c>
      <c r="I10" s="105">
        <f>IFERROR(__xludf.DUMMYFUNCTION("""COMPUTED_VALUE"""),9.0)</f>
        <v>9</v>
      </c>
      <c r="J10" s="84"/>
      <c r="K10" s="106" t="str">
        <f>IFERROR(__xludf.DUMMYFUNCTION("""COMPUTED_VALUE"""),"OK History")</f>
        <v>OK History</v>
      </c>
      <c r="L10" s="105">
        <f>IFERROR(__xludf.DUMMYFUNCTION("""COMPUTED_VALUE"""),0.5)</f>
        <v>0.5</v>
      </c>
      <c r="M10" s="105" t="str">
        <f>IFERROR(__xludf.DUMMYFUNCTION("""COMPUTED_VALUE"""),"HOK")</f>
        <v>HOK</v>
      </c>
      <c r="N10" s="105">
        <f>IFERROR(__xludf.DUMMYFUNCTION("""COMPUTED_VALUE"""),9.0)</f>
        <v>9</v>
      </c>
      <c r="O10" s="84"/>
      <c r="P10" s="106" t="str">
        <f>IFERROR(__xludf.DUMMYFUNCTION("""COMPUTED_VALUE"""),"OK History")</f>
        <v>OK History</v>
      </c>
      <c r="Q10" s="105">
        <f>IFERROR(__xludf.DUMMYFUNCTION("""COMPUTED_VALUE"""),0.5)</f>
        <v>0.5</v>
      </c>
      <c r="R10" s="107" t="str">
        <f>IFERROR(__xludf.DUMMYFUNCTION("""COMPUTED_VALUE"""),"HOK")</f>
        <v>HOK</v>
      </c>
      <c r="S10" s="107">
        <f>IFERROR(__xludf.DUMMYFUNCTION("""COMPUTED_VALUE"""),9.0)</f>
        <v>9</v>
      </c>
    </row>
    <row r="11" ht="1.5" customHeight="1">
      <c r="A11" s="104" t="str">
        <f>IFERROR(__xludf.DUMMYFUNCTION("""COMPUTED_VALUE"""),"Government")</f>
        <v>Government</v>
      </c>
      <c r="B11" s="102">
        <f>IFERROR(__xludf.DUMMYFUNCTION("""COMPUTED_VALUE"""),0.5)</f>
        <v>0.5</v>
      </c>
      <c r="C11" s="102" t="str">
        <f>IFERROR(__xludf.DUMMYFUNCTION("""COMPUTED_VALUE"""),"HG")</f>
        <v>HG</v>
      </c>
      <c r="D11" s="102">
        <f>IFERROR(__xludf.DUMMYFUNCTION("""COMPUTED_VALUE"""),9.0)</f>
        <v>9</v>
      </c>
      <c r="E11" s="84"/>
      <c r="F11" s="104" t="str">
        <f>IFERROR(__xludf.DUMMYFUNCTION("""COMPUTED_VALUE"""),"Government")</f>
        <v>Government</v>
      </c>
      <c r="G11" s="102">
        <f>IFERROR(__xludf.DUMMYFUNCTION("""COMPUTED_VALUE"""),0.5)</f>
        <v>0.5</v>
      </c>
      <c r="H11" s="102" t="str">
        <f>IFERROR(__xludf.DUMMYFUNCTION("""COMPUTED_VALUE"""),"HG")</f>
        <v>HG</v>
      </c>
      <c r="I11" s="102">
        <f>IFERROR(__xludf.DUMMYFUNCTION("""COMPUTED_VALUE"""),9.0)</f>
        <v>9</v>
      </c>
      <c r="J11" s="84"/>
      <c r="K11" s="104" t="str">
        <f>IFERROR(__xludf.DUMMYFUNCTION("""COMPUTED_VALUE"""),"Government")</f>
        <v>Government</v>
      </c>
      <c r="L11" s="102">
        <f>IFERROR(__xludf.DUMMYFUNCTION("""COMPUTED_VALUE"""),0.5)</f>
        <v>0.5</v>
      </c>
      <c r="M11" s="102" t="str">
        <f>IFERROR(__xludf.DUMMYFUNCTION("""COMPUTED_VALUE"""),"HG")</f>
        <v>HG</v>
      </c>
      <c r="N11" s="102">
        <f>IFERROR(__xludf.DUMMYFUNCTION("""COMPUTED_VALUE"""),9.0)</f>
        <v>9</v>
      </c>
      <c r="O11" s="84"/>
      <c r="P11" s="104" t="str">
        <f>IFERROR(__xludf.DUMMYFUNCTION("""COMPUTED_VALUE"""),"Government")</f>
        <v>Government</v>
      </c>
      <c r="Q11" s="105">
        <f>IFERROR(__xludf.DUMMYFUNCTION("""COMPUTED_VALUE"""),0.5)</f>
        <v>0.5</v>
      </c>
      <c r="R11" s="107" t="str">
        <f>IFERROR(__xludf.DUMMYFUNCTION("""COMPUTED_VALUE"""),"HG")</f>
        <v>HG</v>
      </c>
      <c r="S11" s="107">
        <f>IFERROR(__xludf.DUMMYFUNCTION("""COMPUTED_VALUE"""),9.0)</f>
        <v>9</v>
      </c>
    </row>
    <row r="12" ht="1.5" customHeight="1">
      <c r="A12" s="104" t="str">
        <f>IFERROR(__xludf.DUMMYFUNCTION("""COMPUTED_VALUE"""),"Foreign Language I")</f>
        <v>Foreign Language I</v>
      </c>
      <c r="B12" s="102">
        <f>IFERROR(__xludf.DUMMYFUNCTION("""COMPUTED_VALUE"""),1.0)</f>
        <v>1</v>
      </c>
      <c r="C12" s="102" t="str">
        <f>IFERROR(__xludf.DUMMYFUNCTION("""COMPUTED_VALUE"""),"FL1")</f>
        <v>FL1</v>
      </c>
      <c r="D12" s="102">
        <f>IFERROR(__xludf.DUMMYFUNCTION("""COMPUTED_VALUE"""),9.0)</f>
        <v>9</v>
      </c>
      <c r="E12" s="84"/>
      <c r="F12" s="104" t="str">
        <f>IFERROR(__xludf.DUMMYFUNCTION("""COMPUTED_VALUE"""),"Foreign Language I")</f>
        <v>Foreign Language I</v>
      </c>
      <c r="G12" s="102">
        <f>IFERROR(__xludf.DUMMYFUNCTION("""COMPUTED_VALUE"""),1.0)</f>
        <v>1</v>
      </c>
      <c r="H12" s="102" t="str">
        <f>IFERROR(__xludf.DUMMYFUNCTION("""COMPUTED_VALUE"""),"FL1")</f>
        <v>FL1</v>
      </c>
      <c r="I12" s="102">
        <f>IFERROR(__xludf.DUMMYFUNCTION("""COMPUTED_VALUE"""),9.0)</f>
        <v>9</v>
      </c>
      <c r="J12" s="84"/>
      <c r="K12" s="104" t="str">
        <f>IFERROR(__xludf.DUMMYFUNCTION("""COMPUTED_VALUE"""),"Foreign Language I")</f>
        <v>Foreign Language I</v>
      </c>
      <c r="L12" s="102">
        <f>IFERROR(__xludf.DUMMYFUNCTION("""COMPUTED_VALUE"""),1.0)</f>
        <v>1</v>
      </c>
      <c r="M12" s="102" t="str">
        <f>IFERROR(__xludf.DUMMYFUNCTION("""COMPUTED_VALUE"""),"FL1")</f>
        <v>FL1</v>
      </c>
      <c r="N12" s="102">
        <f>IFERROR(__xludf.DUMMYFUNCTION("""COMPUTED_VALUE"""),9.0)</f>
        <v>9</v>
      </c>
      <c r="O12" s="84"/>
      <c r="P12" s="104" t="str">
        <f>IFERROR(__xludf.DUMMYFUNCTION("""COMPUTED_VALUE"""),"Foreign Language I")</f>
        <v>Foreign Language I</v>
      </c>
      <c r="Q12" s="105">
        <f>IFERROR(__xludf.DUMMYFUNCTION("""COMPUTED_VALUE"""),1.0)</f>
        <v>1</v>
      </c>
      <c r="R12" s="107" t="str">
        <f>IFERROR(__xludf.DUMMYFUNCTION("""COMPUTED_VALUE"""),"FL1")</f>
        <v>FL1</v>
      </c>
      <c r="S12" s="107">
        <f>IFERROR(__xludf.DUMMYFUNCTION("""COMPUTED_VALUE"""),9.0)</f>
        <v>9</v>
      </c>
    </row>
    <row r="13" ht="1.5" customHeight="1">
      <c r="A13" s="104" t="str">
        <f>IFERROR(__xludf.DUMMYFUNCTION("""COMPUTED_VALUE"""),"Intro to Digital Literacy")</f>
        <v>Intro to Digital Literacy</v>
      </c>
      <c r="B13" s="102">
        <f>IFERROR(__xludf.DUMMYFUNCTION("""COMPUTED_VALUE"""),0.5)</f>
        <v>0.5</v>
      </c>
      <c r="C13" s="102" t="str">
        <f>IFERROR(__xludf.DUMMYFUNCTION("""COMPUTED_VALUE"""),"CA")</f>
        <v>CA</v>
      </c>
      <c r="D13" s="102">
        <f>IFERROR(__xludf.DUMMYFUNCTION("""COMPUTED_VALUE"""),9.0)</f>
        <v>9</v>
      </c>
      <c r="E13" s="84"/>
      <c r="F13" s="104" t="str">
        <f>IFERROR(__xludf.DUMMYFUNCTION("""COMPUTED_VALUE"""),"Intro to Digital Literacy")</f>
        <v>Intro to Digital Literacy</v>
      </c>
      <c r="G13" s="102">
        <f>IFERROR(__xludf.DUMMYFUNCTION("""COMPUTED_VALUE"""),0.5)</f>
        <v>0.5</v>
      </c>
      <c r="H13" s="102" t="str">
        <f>IFERROR(__xludf.DUMMYFUNCTION("""COMPUTED_VALUE"""),"CA")</f>
        <v>CA</v>
      </c>
      <c r="I13" s="102">
        <f>IFERROR(__xludf.DUMMYFUNCTION("""COMPUTED_VALUE"""),9.0)</f>
        <v>9</v>
      </c>
      <c r="J13" s="84"/>
      <c r="K13" s="104" t="str">
        <f>IFERROR(__xludf.DUMMYFUNCTION("""COMPUTED_VALUE"""),"Intro to Digital Literacy")</f>
        <v>Intro to Digital Literacy</v>
      </c>
      <c r="L13" s="102">
        <f>IFERROR(__xludf.DUMMYFUNCTION("""COMPUTED_VALUE"""),0.5)</f>
        <v>0.5</v>
      </c>
      <c r="M13" s="102" t="str">
        <f>IFERROR(__xludf.DUMMYFUNCTION("""COMPUTED_VALUE"""),"CA")</f>
        <v>CA</v>
      </c>
      <c r="N13" s="102">
        <f>IFERROR(__xludf.DUMMYFUNCTION("""COMPUTED_VALUE"""),9.0)</f>
        <v>9</v>
      </c>
      <c r="O13" s="84"/>
      <c r="P13" s="104" t="str">
        <f>IFERROR(__xludf.DUMMYFUNCTION("""COMPUTED_VALUE"""),"Intro to Digital Literacy")</f>
        <v>Intro to Digital Literacy</v>
      </c>
      <c r="Q13" s="105">
        <f>IFERROR(__xludf.DUMMYFUNCTION("""COMPUTED_VALUE"""),0.5)</f>
        <v>0.5</v>
      </c>
      <c r="R13" s="107" t="str">
        <f>IFERROR(__xludf.DUMMYFUNCTION("""COMPUTED_VALUE"""),"CA")</f>
        <v>CA</v>
      </c>
      <c r="S13" s="107">
        <f>IFERROR(__xludf.DUMMYFUNCTION("""COMPUTED_VALUE"""),9.0)</f>
        <v>9</v>
      </c>
    </row>
    <row r="14" ht="1.5" customHeight="1">
      <c r="A14" s="104" t="str">
        <f>IFERROR(__xludf.DUMMYFUNCTION("""COMPUTED_VALUE"""),"Visual/Performing Arts")</f>
        <v>Visual/Performing Arts</v>
      </c>
      <c r="B14" s="102">
        <f>IFERROR(__xludf.DUMMYFUNCTION("""COMPUTED_VALUE"""),0.5)</f>
        <v>0.5</v>
      </c>
      <c r="C14" s="102" t="str">
        <f>IFERROR(__xludf.DUMMYFUNCTION("""COMPUTED_VALUE"""),"FAF")</f>
        <v>FAF</v>
      </c>
      <c r="D14" s="102">
        <f>IFERROR(__xludf.DUMMYFUNCTION("""COMPUTED_VALUE"""),9.0)</f>
        <v>9</v>
      </c>
      <c r="E14" s="84"/>
      <c r="F14" s="104" t="str">
        <f>IFERROR(__xludf.DUMMYFUNCTION("""COMPUTED_VALUE"""),"Visual/Performing Arts")</f>
        <v>Visual/Performing Arts</v>
      </c>
      <c r="G14" s="102">
        <f>IFERROR(__xludf.DUMMYFUNCTION("""COMPUTED_VALUE"""),0.5)</f>
        <v>0.5</v>
      </c>
      <c r="H14" s="102" t="str">
        <f>IFERROR(__xludf.DUMMYFUNCTION("""COMPUTED_VALUE"""),"FAF")</f>
        <v>FAF</v>
      </c>
      <c r="I14" s="102">
        <f>IFERROR(__xludf.DUMMYFUNCTION("""COMPUTED_VALUE"""),9.0)</f>
        <v>9</v>
      </c>
      <c r="J14" s="84"/>
      <c r="K14" s="104" t="str">
        <f>IFERROR(__xludf.DUMMYFUNCTION("""COMPUTED_VALUE"""),"Visual/Performing Arts")</f>
        <v>Visual/Performing Arts</v>
      </c>
      <c r="L14" s="102">
        <f>IFERROR(__xludf.DUMMYFUNCTION("""COMPUTED_VALUE"""),0.5)</f>
        <v>0.5</v>
      </c>
      <c r="M14" s="102" t="str">
        <f>IFERROR(__xludf.DUMMYFUNCTION("""COMPUTED_VALUE"""),"FAF")</f>
        <v>FAF</v>
      </c>
      <c r="N14" s="102">
        <f>IFERROR(__xludf.DUMMYFUNCTION("""COMPUTED_VALUE"""),9.0)</f>
        <v>9</v>
      </c>
      <c r="O14" s="84"/>
      <c r="P14" s="104" t="str">
        <f>IFERROR(__xludf.DUMMYFUNCTION("""COMPUTED_VALUE"""),"Arts Foundations")</f>
        <v>Arts Foundations</v>
      </c>
      <c r="Q14" s="105">
        <f>IFERROR(__xludf.DUMMYFUNCTION("""COMPUTED_VALUE"""),0.5)</f>
        <v>0.5</v>
      </c>
      <c r="R14" s="107" t="str">
        <f>IFERROR(__xludf.DUMMYFUNCTION("""COMPUTED_VALUE"""),"FAF")</f>
        <v>FAF</v>
      </c>
      <c r="S14" s="107">
        <f>IFERROR(__xludf.DUMMYFUNCTION("""COMPUTED_VALUE"""),9.0)</f>
        <v>9</v>
      </c>
    </row>
    <row r="15" ht="1.5" customHeight="1">
      <c r="A15" s="104" t="str">
        <f>IFERROR(__xludf.DUMMYFUNCTION("""COMPUTED_VALUE"""),"Visual/Performing Arts")</f>
        <v>Visual/Performing Arts</v>
      </c>
      <c r="B15" s="102">
        <f>IFERROR(__xludf.DUMMYFUNCTION("""COMPUTED_VALUE"""),0.5)</f>
        <v>0.5</v>
      </c>
      <c r="C15" s="102" t="str">
        <f>IFERROR(__xludf.DUMMYFUNCTION("""COMPUTED_VALUE"""),"FAF")</f>
        <v>FAF</v>
      </c>
      <c r="D15" s="102">
        <f>IFERROR(__xludf.DUMMYFUNCTION("""COMPUTED_VALUE"""),9.0)</f>
        <v>9</v>
      </c>
      <c r="E15" s="84"/>
      <c r="F15" s="104" t="str">
        <f>IFERROR(__xludf.DUMMYFUNCTION("""COMPUTED_VALUE"""),"Visual/Performing Arts")</f>
        <v>Visual/Performing Arts</v>
      </c>
      <c r="G15" s="102">
        <f>IFERROR(__xludf.DUMMYFUNCTION("""COMPUTED_VALUE"""),0.5)</f>
        <v>0.5</v>
      </c>
      <c r="H15" s="102" t="str">
        <f>IFERROR(__xludf.DUMMYFUNCTION("""COMPUTED_VALUE"""),"FAF")</f>
        <v>FAF</v>
      </c>
      <c r="I15" s="102">
        <f>IFERROR(__xludf.DUMMYFUNCTION("""COMPUTED_VALUE"""),9.0)</f>
        <v>9</v>
      </c>
      <c r="J15" s="84"/>
      <c r="K15" s="104" t="str">
        <f>IFERROR(__xludf.DUMMYFUNCTION("""COMPUTED_VALUE"""),"Visual/Performing Arts")</f>
        <v>Visual/Performing Arts</v>
      </c>
      <c r="L15" s="102">
        <f>IFERROR(__xludf.DUMMYFUNCTION("""COMPUTED_VALUE"""),0.5)</f>
        <v>0.5</v>
      </c>
      <c r="M15" s="102" t="str">
        <f>IFERROR(__xludf.DUMMYFUNCTION("""COMPUTED_VALUE"""),"FAF")</f>
        <v>FAF</v>
      </c>
      <c r="N15" s="102">
        <f>IFERROR(__xludf.DUMMYFUNCTION("""COMPUTED_VALUE"""),9.0)</f>
        <v>9</v>
      </c>
      <c r="O15" s="84"/>
      <c r="P15" s="104" t="str">
        <f>IFERROR(__xludf.DUMMYFUNCTION("""COMPUTED_VALUE"""),"Arts Specializations")</f>
        <v>Arts Specializations</v>
      </c>
      <c r="Q15" s="105">
        <f>IFERROR(__xludf.DUMMYFUNCTION("""COMPUTED_VALUE"""),0.5)</f>
        <v>0.5</v>
      </c>
      <c r="R15" s="107" t="str">
        <f>IFERROR(__xludf.DUMMYFUNCTION("""COMPUTED_VALUE"""),"FAS")</f>
        <v>FAS</v>
      </c>
      <c r="S15" s="107">
        <f>IFERROR(__xludf.DUMMYFUNCTION("""COMPUTED_VALUE"""),9.0)</f>
        <v>9</v>
      </c>
    </row>
    <row r="16" ht="1.5" customHeight="1">
      <c r="A16" s="104" t="str">
        <f>IFERROR(__xludf.DUMMYFUNCTION("""COMPUTED_VALUE"""),"Freshman Seminar")</f>
        <v>Freshman Seminar</v>
      </c>
      <c r="B16" s="102">
        <f>IFERROR(__xludf.DUMMYFUNCTION("""COMPUTED_VALUE"""),0.5)</f>
        <v>0.5</v>
      </c>
      <c r="C16" s="102" t="str">
        <f>IFERROR(__xludf.DUMMYFUNCTION("""COMPUTED_VALUE"""),"FS")</f>
        <v>FS</v>
      </c>
      <c r="D16" s="102">
        <f>IFERROR(__xludf.DUMMYFUNCTION("""COMPUTED_VALUE"""),9.0)</f>
        <v>9</v>
      </c>
      <c r="E16" s="84"/>
      <c r="F16" s="104" t="str">
        <f>IFERROR(__xludf.DUMMYFUNCTION("""COMPUTED_VALUE"""),"Freshman Seminar")</f>
        <v>Freshman Seminar</v>
      </c>
      <c r="G16" s="102">
        <f>IFERROR(__xludf.DUMMYFUNCTION("""COMPUTED_VALUE"""),0.5)</f>
        <v>0.5</v>
      </c>
      <c r="H16" s="102" t="str">
        <f>IFERROR(__xludf.DUMMYFUNCTION("""COMPUTED_VALUE"""),"FS")</f>
        <v>FS</v>
      </c>
      <c r="I16" s="102">
        <f>IFERROR(__xludf.DUMMYFUNCTION("""COMPUTED_VALUE"""),9.0)</f>
        <v>9</v>
      </c>
      <c r="J16" s="84"/>
      <c r="K16" s="104" t="str">
        <f>IFERROR(__xludf.DUMMYFUNCTION("""COMPUTED_VALUE"""),"Freshman Seminar")</f>
        <v>Freshman Seminar</v>
      </c>
      <c r="L16" s="102">
        <f>IFERROR(__xludf.DUMMYFUNCTION("""COMPUTED_VALUE"""),0.5)</f>
        <v>0.5</v>
      </c>
      <c r="M16" s="102" t="str">
        <f>IFERROR(__xludf.DUMMYFUNCTION("""COMPUTED_VALUE"""),"FS")</f>
        <v>FS</v>
      </c>
      <c r="N16" s="102">
        <f>IFERROR(__xludf.DUMMYFUNCTION("""COMPUTED_VALUE"""),9.0)</f>
        <v>9</v>
      </c>
      <c r="O16" s="84"/>
      <c r="P16" s="104" t="str">
        <f>IFERROR(__xludf.DUMMYFUNCTION("""COMPUTED_VALUE"""),"Freshman Seminar")</f>
        <v>Freshman Seminar</v>
      </c>
      <c r="Q16" s="105">
        <f>IFERROR(__xludf.DUMMYFUNCTION("""COMPUTED_VALUE"""),0.5)</f>
        <v>0.5</v>
      </c>
      <c r="R16" s="107" t="str">
        <f>IFERROR(__xludf.DUMMYFUNCTION("""COMPUTED_VALUE"""),"FS")</f>
        <v>FS</v>
      </c>
      <c r="S16" s="107">
        <f>IFERROR(__xludf.DUMMYFUNCTION("""COMPUTED_VALUE"""),9.0)</f>
        <v>9</v>
      </c>
    </row>
    <row r="17">
      <c r="A17" s="104"/>
      <c r="B17" s="105"/>
      <c r="C17" s="105"/>
      <c r="D17" s="105"/>
      <c r="E17" s="84"/>
      <c r="F17" s="106"/>
      <c r="G17" s="105"/>
      <c r="H17" s="105"/>
      <c r="I17" s="105"/>
      <c r="J17" s="84"/>
      <c r="K17" s="106"/>
      <c r="L17" s="105"/>
      <c r="M17" s="105"/>
      <c r="N17" s="105"/>
      <c r="O17" s="84"/>
      <c r="P17" s="106"/>
      <c r="Q17" s="105"/>
      <c r="R17" s="107"/>
      <c r="S17" s="107"/>
    </row>
    <row r="18" ht="1.5" customHeight="1">
      <c r="A18" s="104"/>
      <c r="B18" s="105"/>
      <c r="C18" s="105"/>
      <c r="D18" s="105"/>
      <c r="E18" s="84"/>
      <c r="F18" s="106"/>
      <c r="G18" s="105"/>
      <c r="H18" s="105"/>
      <c r="I18" s="105"/>
      <c r="J18" s="84"/>
      <c r="K18" s="106"/>
      <c r="L18" s="105"/>
      <c r="M18" s="105"/>
      <c r="N18" s="105"/>
      <c r="O18" s="84"/>
      <c r="P18" s="106"/>
      <c r="Q18" s="105"/>
      <c r="R18" s="107"/>
      <c r="S18" s="107"/>
    </row>
    <row r="19" ht="1.5" customHeight="1">
      <c r="A19" s="106"/>
      <c r="B19" s="105"/>
      <c r="C19" s="105"/>
      <c r="D19" s="105"/>
      <c r="E19" s="84"/>
      <c r="F19" s="106"/>
      <c r="G19" s="105"/>
      <c r="H19" s="105"/>
      <c r="I19" s="105"/>
      <c r="J19" s="84"/>
      <c r="K19" s="106"/>
      <c r="L19" s="105"/>
      <c r="M19" s="105"/>
      <c r="N19" s="105"/>
      <c r="O19" s="84"/>
      <c r="P19" s="106"/>
      <c r="Q19" s="105"/>
      <c r="R19" s="107"/>
      <c r="S19" s="107"/>
    </row>
    <row r="20">
      <c r="A20" s="92" t="s">
        <v>102</v>
      </c>
      <c r="B20" s="93">
        <f>sum(B21:B33)</f>
        <v>7</v>
      </c>
      <c r="C20" s="93"/>
      <c r="D20" s="93"/>
      <c r="E20" s="84"/>
      <c r="F20" s="94" t="s">
        <v>102</v>
      </c>
      <c r="G20" s="95">
        <f>sum(G21:G33)</f>
        <v>7.5</v>
      </c>
      <c r="H20" s="95"/>
      <c r="I20" s="95"/>
      <c r="J20" s="84"/>
      <c r="K20" s="96" t="s">
        <v>102</v>
      </c>
      <c r="L20" s="97">
        <f>sum(L21:L33)</f>
        <v>7</v>
      </c>
      <c r="M20" s="97"/>
      <c r="N20" s="97"/>
      <c r="O20" s="84"/>
      <c r="P20" s="98" t="s">
        <v>102</v>
      </c>
      <c r="Q20" s="99">
        <f>sum(Q21:Q33)</f>
        <v>7.5</v>
      </c>
      <c r="R20" s="100"/>
      <c r="S20" s="100"/>
    </row>
    <row r="21" ht="1.5" customHeight="1">
      <c r="A21" s="101" t="str">
        <f>IFERROR(__xludf.DUMMYFUNCTION("Filter(INDIRECT(A$4),INDEX(INDIRECT(A$4),,4)=10)"),"Critical Reading 10")</f>
        <v>Critical Reading 10</v>
      </c>
      <c r="B21" s="102">
        <f>IFERROR(__xludf.DUMMYFUNCTION("""COMPUTED_VALUE"""),1.0)</f>
        <v>1</v>
      </c>
      <c r="C21" s="102" t="str">
        <f>IFERROR(__xludf.DUMMYFUNCTION("""COMPUTED_VALUE"""),"E10")</f>
        <v>E10</v>
      </c>
      <c r="D21" s="102">
        <f>IFERROR(__xludf.DUMMYFUNCTION("""COMPUTED_VALUE"""),10.0)</f>
        <v>10</v>
      </c>
      <c r="E21" s="84"/>
      <c r="F21" s="101" t="str">
        <f>IFERROR(__xludf.DUMMYFUNCTION("Filter(INDIRECT(F$4),INDEX(INDIRECT(F$4),,4)=10)"),"English Literature 10")</f>
        <v>English Literature 10</v>
      </c>
      <c r="G21" s="102">
        <f>IFERROR(__xludf.DUMMYFUNCTION("""COMPUTED_VALUE"""),1.0)</f>
        <v>1</v>
      </c>
      <c r="H21" s="102" t="str">
        <f>IFERROR(__xludf.DUMMYFUNCTION("""COMPUTED_VALUE"""),"E10")</f>
        <v>E10</v>
      </c>
      <c r="I21" s="102">
        <f>IFERROR(__xludf.DUMMYFUNCTION("""COMPUTED_VALUE"""),10.0)</f>
        <v>10</v>
      </c>
      <c r="J21" s="84"/>
      <c r="K21" s="101" t="str">
        <f>IFERROR(__xludf.DUMMYFUNCTION("Filter(INDIRECT(K$4),INDEX(INDIRECT(K$4),,4)=10)"),"Critical Reading 10")</f>
        <v>Critical Reading 10</v>
      </c>
      <c r="L21" s="102">
        <f>IFERROR(__xludf.DUMMYFUNCTION("""COMPUTED_VALUE"""),1.0)</f>
        <v>1</v>
      </c>
      <c r="M21" s="102" t="str">
        <f>IFERROR(__xludf.DUMMYFUNCTION("""COMPUTED_VALUE"""),"E10")</f>
        <v>E10</v>
      </c>
      <c r="N21" s="102">
        <f>IFERROR(__xludf.DUMMYFUNCTION("""COMPUTED_VALUE"""),10.0)</f>
        <v>10</v>
      </c>
      <c r="O21" s="84"/>
      <c r="P21" s="101" t="str">
        <f>IFERROR(__xludf.DUMMYFUNCTION("Filter(INDIRECT(P$4),INDEX(INDIRECT(P$4),,4)=10)"),"English Literature 10")</f>
        <v>English Literature 10</v>
      </c>
      <c r="Q21" s="102">
        <f>IFERROR(__xludf.DUMMYFUNCTION("""COMPUTED_VALUE"""),1.0)</f>
        <v>1</v>
      </c>
      <c r="R21" s="103" t="str">
        <f>IFERROR(__xludf.DUMMYFUNCTION("""COMPUTED_VALUE"""),"E10")</f>
        <v>E10</v>
      </c>
      <c r="S21" s="103">
        <f>IFERROR(__xludf.DUMMYFUNCTION("""COMPUTED_VALUE"""),10.0)</f>
        <v>10</v>
      </c>
    </row>
    <row r="22" ht="1.5" customHeight="1">
      <c r="A22" s="104" t="str">
        <f>IFERROR(__xludf.DUMMYFUNCTION("""COMPUTED_VALUE"""),"Geometry")</f>
        <v>Geometry</v>
      </c>
      <c r="B22" s="105">
        <f>IFERROR(__xludf.DUMMYFUNCTION("""COMPUTED_VALUE"""),1.0)</f>
        <v>1</v>
      </c>
      <c r="C22" s="105" t="str">
        <f>IFERROR(__xludf.DUMMYFUNCTION("""COMPUTED_VALUE"""),"MG")</f>
        <v>MG</v>
      </c>
      <c r="D22" s="105">
        <f>IFERROR(__xludf.DUMMYFUNCTION("""COMPUTED_VALUE"""),10.0)</f>
        <v>10</v>
      </c>
      <c r="E22" s="84"/>
      <c r="F22" s="106" t="str">
        <f>IFERROR(__xludf.DUMMYFUNCTION("""COMPUTED_VALUE"""),"Geometry")</f>
        <v>Geometry</v>
      </c>
      <c r="G22" s="105">
        <f>IFERROR(__xludf.DUMMYFUNCTION("""COMPUTED_VALUE"""),1.0)</f>
        <v>1</v>
      </c>
      <c r="H22" s="105" t="str">
        <f>IFERROR(__xludf.DUMMYFUNCTION("""COMPUTED_VALUE"""),"MG")</f>
        <v>MG</v>
      </c>
      <c r="I22" s="105">
        <f>IFERROR(__xludf.DUMMYFUNCTION("""COMPUTED_VALUE"""),10.0)</f>
        <v>10</v>
      </c>
      <c r="J22" s="84"/>
      <c r="K22" s="106" t="str">
        <f>IFERROR(__xludf.DUMMYFUNCTION("""COMPUTED_VALUE"""),"Design Geometry")</f>
        <v>Design Geometry</v>
      </c>
      <c r="L22" s="105">
        <f>IFERROR(__xludf.DUMMYFUNCTION("""COMPUTED_VALUE"""),1.0)</f>
        <v>1</v>
      </c>
      <c r="M22" s="105" t="str">
        <f>IFERROR(__xludf.DUMMYFUNCTION("""COMPUTED_VALUE"""),"MG")</f>
        <v>MG</v>
      </c>
      <c r="N22" s="105">
        <f>IFERROR(__xludf.DUMMYFUNCTION("""COMPUTED_VALUE"""),10.0)</f>
        <v>10</v>
      </c>
      <c r="O22" s="84"/>
      <c r="P22" s="106" t="str">
        <f>IFERROR(__xludf.DUMMYFUNCTION("""COMPUTED_VALUE"""),"Design Geometry")</f>
        <v>Design Geometry</v>
      </c>
      <c r="Q22" s="105">
        <f>IFERROR(__xludf.DUMMYFUNCTION("""COMPUTED_VALUE"""),1.0)</f>
        <v>1</v>
      </c>
      <c r="R22" s="107" t="str">
        <f>IFERROR(__xludf.DUMMYFUNCTION("""COMPUTED_VALUE"""),"MG")</f>
        <v>MG</v>
      </c>
      <c r="S22" s="107">
        <f>IFERROR(__xludf.DUMMYFUNCTION("""COMPUTED_VALUE"""),10.0)</f>
        <v>10</v>
      </c>
    </row>
    <row r="23" ht="1.5" customHeight="1">
      <c r="A23" s="104" t="str">
        <f>IFERROR(__xludf.DUMMYFUNCTION("""COMPUTED_VALUE"""),"Science Elective")</f>
        <v>Science Elective</v>
      </c>
      <c r="B23" s="105">
        <f>IFERROR(__xludf.DUMMYFUNCTION("""COMPUTED_VALUE"""),0.5)</f>
        <v>0.5</v>
      </c>
      <c r="C23" s="105" t="str">
        <f>IFERROR(__xludf.DUMMYFUNCTION("""COMPUTED_VALUE"""),"SE")</f>
        <v>SE</v>
      </c>
      <c r="D23" s="105">
        <f>IFERROR(__xludf.DUMMYFUNCTION("""COMPUTED_VALUE"""),10.0)</f>
        <v>10</v>
      </c>
      <c r="E23" s="84"/>
      <c r="F23" s="106" t="str">
        <f>IFERROR(__xludf.DUMMYFUNCTION("""COMPUTED_VALUE"""),"Conceptual Physics")</f>
        <v>Conceptual Physics</v>
      </c>
      <c r="G23" s="105">
        <f>IFERROR(__xludf.DUMMYFUNCTION("""COMPUTED_VALUE"""),1.0)</f>
        <v>1</v>
      </c>
      <c r="H23" s="105" t="str">
        <f>IFERROR(__xludf.DUMMYFUNCTION("""COMPUTED_VALUE"""),"SP")</f>
        <v>SP</v>
      </c>
      <c r="I23" s="105">
        <f>IFERROR(__xludf.DUMMYFUNCTION("""COMPUTED_VALUE"""),10.0)</f>
        <v>10</v>
      </c>
      <c r="J23" s="84"/>
      <c r="K23" s="106" t="str">
        <f>IFERROR(__xludf.DUMMYFUNCTION("""COMPUTED_VALUE"""),"Science Elective")</f>
        <v>Science Elective</v>
      </c>
      <c r="L23" s="105">
        <f>IFERROR(__xludf.DUMMYFUNCTION("""COMPUTED_VALUE"""),0.5)</f>
        <v>0.5</v>
      </c>
      <c r="M23" s="105" t="str">
        <f>IFERROR(__xludf.DUMMYFUNCTION("""COMPUTED_VALUE"""),"SE")</f>
        <v>SE</v>
      </c>
      <c r="N23" s="105">
        <f>IFERROR(__xludf.DUMMYFUNCTION("""COMPUTED_VALUE"""),10.0)</f>
        <v>10</v>
      </c>
      <c r="O23" s="84"/>
      <c r="P23" s="106" t="str">
        <f>IFERROR(__xludf.DUMMYFUNCTION("""COMPUTED_VALUE"""),"Engineering Physics")</f>
        <v>Engineering Physics</v>
      </c>
      <c r="Q23" s="105">
        <f>IFERROR(__xludf.DUMMYFUNCTION("""COMPUTED_VALUE"""),1.0)</f>
        <v>1</v>
      </c>
      <c r="R23" s="107" t="str">
        <f>IFERROR(__xludf.DUMMYFUNCTION("""COMPUTED_VALUE"""),"SP")</f>
        <v>SP</v>
      </c>
      <c r="S23" s="107">
        <f>IFERROR(__xludf.DUMMYFUNCTION("""COMPUTED_VALUE"""),10.0)</f>
        <v>10</v>
      </c>
    </row>
    <row r="24" ht="1.5" customHeight="1">
      <c r="A24" s="104" t="str">
        <f>IFERROR(__xludf.DUMMYFUNCTION("""COMPUTED_VALUE"""),"Conceptual Physics")</f>
        <v>Conceptual Physics</v>
      </c>
      <c r="B24" s="102">
        <f>IFERROR(__xludf.DUMMYFUNCTION("""COMPUTED_VALUE"""),1.0)</f>
        <v>1</v>
      </c>
      <c r="C24" s="102" t="str">
        <f>IFERROR(__xludf.DUMMYFUNCTION("""COMPUTED_VALUE"""),"SP")</f>
        <v>SP</v>
      </c>
      <c r="D24" s="102">
        <f>IFERROR(__xludf.DUMMYFUNCTION("""COMPUTED_VALUE"""),10.0)</f>
        <v>10</v>
      </c>
      <c r="E24" s="84"/>
      <c r="F24" s="104" t="str">
        <f>IFERROR(__xludf.DUMMYFUNCTION("""COMPUTED_VALUE"""),"US History")</f>
        <v>US History</v>
      </c>
      <c r="G24" s="102">
        <f>IFERROR(__xludf.DUMMYFUNCTION("""COMPUTED_VALUE"""),1.0)</f>
        <v>1</v>
      </c>
      <c r="H24" s="102" t="str">
        <f>IFERROR(__xludf.DUMMYFUNCTION("""COMPUTED_VALUE"""),"HUS")</f>
        <v>HUS</v>
      </c>
      <c r="I24" s="102">
        <f>IFERROR(__xludf.DUMMYFUNCTION("""COMPUTED_VALUE"""),10.0)</f>
        <v>10</v>
      </c>
      <c r="J24" s="84"/>
      <c r="K24" s="104" t="str">
        <f>IFERROR(__xludf.DUMMYFUNCTION("""COMPUTED_VALUE"""),"Engineering Physics")</f>
        <v>Engineering Physics</v>
      </c>
      <c r="L24" s="102">
        <f>IFERROR(__xludf.DUMMYFUNCTION("""COMPUTED_VALUE"""),1.0)</f>
        <v>1</v>
      </c>
      <c r="M24" s="102" t="str">
        <f>IFERROR(__xludf.DUMMYFUNCTION("""COMPUTED_VALUE"""),"SP")</f>
        <v>SP</v>
      </c>
      <c r="N24" s="102">
        <f>IFERROR(__xludf.DUMMYFUNCTION("""COMPUTED_VALUE"""),10.0)</f>
        <v>10</v>
      </c>
      <c r="O24" s="84"/>
      <c r="P24" s="104" t="str">
        <f>IFERROR(__xludf.DUMMYFUNCTION("""COMPUTED_VALUE"""),"US History")</f>
        <v>US History</v>
      </c>
      <c r="Q24" s="102">
        <f>IFERROR(__xludf.DUMMYFUNCTION("""COMPUTED_VALUE"""),1.0)</f>
        <v>1</v>
      </c>
      <c r="R24" s="107" t="str">
        <f>IFERROR(__xludf.DUMMYFUNCTION("""COMPUTED_VALUE"""),"HUS")</f>
        <v>HUS</v>
      </c>
      <c r="S24" s="107">
        <f>IFERROR(__xludf.DUMMYFUNCTION("""COMPUTED_VALUE"""),10.0)</f>
        <v>10</v>
      </c>
    </row>
    <row r="25" ht="1.5" customHeight="1">
      <c r="A25" s="104" t="str">
        <f>IFERROR(__xludf.DUMMYFUNCTION("""COMPUTED_VALUE"""),"US History")</f>
        <v>US History</v>
      </c>
      <c r="B25" s="102">
        <f>IFERROR(__xludf.DUMMYFUNCTION("""COMPUTED_VALUE"""),1.0)</f>
        <v>1</v>
      </c>
      <c r="C25" s="102" t="str">
        <f>IFERROR(__xludf.DUMMYFUNCTION("""COMPUTED_VALUE"""),"HUS")</f>
        <v>HUS</v>
      </c>
      <c r="D25" s="102">
        <f>IFERROR(__xludf.DUMMYFUNCTION("""COMPUTED_VALUE"""),10.0)</f>
        <v>10</v>
      </c>
      <c r="E25" s="84"/>
      <c r="F25" s="104" t="str">
        <f>IFERROR(__xludf.DUMMYFUNCTION("""COMPUTED_VALUE"""),"Foreign Language II")</f>
        <v>Foreign Language II</v>
      </c>
      <c r="G25" s="102">
        <f>IFERROR(__xludf.DUMMYFUNCTION("""COMPUTED_VALUE"""),1.0)</f>
        <v>1</v>
      </c>
      <c r="H25" s="102" t="str">
        <f>IFERROR(__xludf.DUMMYFUNCTION("""COMPUTED_VALUE"""),"FL2")</f>
        <v>FL2</v>
      </c>
      <c r="I25" s="102">
        <f>IFERROR(__xludf.DUMMYFUNCTION("""COMPUTED_VALUE"""),10.0)</f>
        <v>10</v>
      </c>
      <c r="J25" s="84"/>
      <c r="K25" s="104" t="str">
        <f>IFERROR(__xludf.DUMMYFUNCTION("""COMPUTED_VALUE"""),"US History")</f>
        <v>US History</v>
      </c>
      <c r="L25" s="102">
        <f>IFERROR(__xludf.DUMMYFUNCTION("""COMPUTED_VALUE"""),1.0)</f>
        <v>1</v>
      </c>
      <c r="M25" s="102" t="str">
        <f>IFERROR(__xludf.DUMMYFUNCTION("""COMPUTED_VALUE"""),"HUS")</f>
        <v>HUS</v>
      </c>
      <c r="N25" s="102">
        <f>IFERROR(__xludf.DUMMYFUNCTION("""COMPUTED_VALUE"""),10.0)</f>
        <v>10</v>
      </c>
      <c r="O25" s="84"/>
      <c r="P25" s="104" t="str">
        <f>IFERROR(__xludf.DUMMYFUNCTION("""COMPUTED_VALUE"""),"Foreign Language II")</f>
        <v>Foreign Language II</v>
      </c>
      <c r="Q25" s="102">
        <f>IFERROR(__xludf.DUMMYFUNCTION("""COMPUTED_VALUE"""),1.0)</f>
        <v>1</v>
      </c>
      <c r="R25" s="107" t="str">
        <f>IFERROR(__xludf.DUMMYFUNCTION("""COMPUTED_VALUE"""),"FL2")</f>
        <v>FL2</v>
      </c>
      <c r="S25" s="107">
        <f>IFERROR(__xludf.DUMMYFUNCTION("""COMPUTED_VALUE"""),10.0)</f>
        <v>10</v>
      </c>
    </row>
    <row r="26" ht="1.5" customHeight="1">
      <c r="A26" s="104" t="str">
        <f>IFERROR(__xludf.DUMMYFUNCTION("""COMPUTED_VALUE"""),"Foreign Language II")</f>
        <v>Foreign Language II</v>
      </c>
      <c r="B26" s="102">
        <f>IFERROR(__xludf.DUMMYFUNCTION("""COMPUTED_VALUE"""),1.0)</f>
        <v>1</v>
      </c>
      <c r="C26" s="102" t="str">
        <f>IFERROR(__xludf.DUMMYFUNCTION("""COMPUTED_VALUE"""),"FL2")</f>
        <v>FL2</v>
      </c>
      <c r="D26" s="102">
        <f>IFERROR(__xludf.DUMMYFUNCTION("""COMPUTED_VALUE"""),10.0)</f>
        <v>10</v>
      </c>
      <c r="E26" s="84"/>
      <c r="F26" s="104" t="str">
        <f>IFERROR(__xludf.DUMMYFUNCTION("""COMPUTED_VALUE"""),"Intro to Computer Science")</f>
        <v>Intro to Computer Science</v>
      </c>
      <c r="G26" s="102">
        <f>IFERROR(__xludf.DUMMYFUNCTION("""COMPUTED_VALUE"""),0.5)</f>
        <v>0.5</v>
      </c>
      <c r="H26" s="102" t="str">
        <f>IFERROR(__xludf.DUMMYFUNCTION("""COMPUTED_VALUE"""),"CA")</f>
        <v>CA</v>
      </c>
      <c r="I26" s="102">
        <f>IFERROR(__xludf.DUMMYFUNCTION("""COMPUTED_VALUE"""),10.0)</f>
        <v>10</v>
      </c>
      <c r="J26" s="84"/>
      <c r="K26" s="104" t="str">
        <f>IFERROR(__xludf.DUMMYFUNCTION("""COMPUTED_VALUE"""),"Foreign Language II")</f>
        <v>Foreign Language II</v>
      </c>
      <c r="L26" s="102">
        <f>IFERROR(__xludf.DUMMYFUNCTION("""COMPUTED_VALUE"""),1.0)</f>
        <v>1</v>
      </c>
      <c r="M26" s="102" t="str">
        <f>IFERROR(__xludf.DUMMYFUNCTION("""COMPUTED_VALUE"""),"FL2")</f>
        <v>FL2</v>
      </c>
      <c r="N26" s="102">
        <f>IFERROR(__xludf.DUMMYFUNCTION("""COMPUTED_VALUE"""),10.0)</f>
        <v>10</v>
      </c>
      <c r="O26" s="84"/>
      <c r="P26" s="104" t="str">
        <f>IFERROR(__xludf.DUMMYFUNCTION("""COMPUTED_VALUE"""),"Intro to Computer Science")</f>
        <v>Intro to Computer Science</v>
      </c>
      <c r="Q26" s="102">
        <f>IFERROR(__xludf.DUMMYFUNCTION("""COMPUTED_VALUE"""),0.5)</f>
        <v>0.5</v>
      </c>
      <c r="R26" s="107" t="str">
        <f>IFERROR(__xludf.DUMMYFUNCTION("""COMPUTED_VALUE"""),"CA")</f>
        <v>CA</v>
      </c>
      <c r="S26" s="107">
        <f>IFERROR(__xludf.DUMMYFUNCTION("""COMPUTED_VALUE"""),10.0)</f>
        <v>10</v>
      </c>
    </row>
    <row r="27" ht="1.5" customHeight="1">
      <c r="A27" s="104" t="str">
        <f>IFERROR(__xludf.DUMMYFUNCTION("""COMPUTED_VALUE"""),"Intro to Computer Science")</f>
        <v>Intro to Computer Science</v>
      </c>
      <c r="B27" s="102">
        <f>IFERROR(__xludf.DUMMYFUNCTION("""COMPUTED_VALUE"""),0.5)</f>
        <v>0.5</v>
      </c>
      <c r="C27" s="102" t="str">
        <f>IFERROR(__xludf.DUMMYFUNCTION("""COMPUTED_VALUE"""),"CA")</f>
        <v>CA</v>
      </c>
      <c r="D27" s="102">
        <f>IFERROR(__xludf.DUMMYFUNCTION("""COMPUTED_VALUE"""),10.0)</f>
        <v>10</v>
      </c>
      <c r="E27" s="84"/>
      <c r="F27" s="104" t="str">
        <f>IFERROR(__xludf.DUMMYFUNCTION("""COMPUTED_VALUE"""),"Visual/Performing Arts")</f>
        <v>Visual/Performing Arts</v>
      </c>
      <c r="G27" s="102">
        <f>IFERROR(__xludf.DUMMYFUNCTION("""COMPUTED_VALUE"""),0.5)</f>
        <v>0.5</v>
      </c>
      <c r="H27" s="102" t="str">
        <f>IFERROR(__xludf.DUMMYFUNCTION("""COMPUTED_VALUE"""),"FAS")</f>
        <v>FAS</v>
      </c>
      <c r="I27" s="102">
        <f>IFERROR(__xludf.DUMMYFUNCTION("""COMPUTED_VALUE"""),10.0)</f>
        <v>10</v>
      </c>
      <c r="J27" s="84"/>
      <c r="K27" s="104" t="str">
        <f>IFERROR(__xludf.DUMMYFUNCTION("""COMPUTED_VALUE"""),"Intro to Computer Science")</f>
        <v>Intro to Computer Science</v>
      </c>
      <c r="L27" s="102">
        <f>IFERROR(__xludf.DUMMYFUNCTION("""COMPUTED_VALUE"""),0.5)</f>
        <v>0.5</v>
      </c>
      <c r="M27" s="102" t="str">
        <f>IFERROR(__xludf.DUMMYFUNCTION("""COMPUTED_VALUE"""),"CA")</f>
        <v>CA</v>
      </c>
      <c r="N27" s="102">
        <f>IFERROR(__xludf.DUMMYFUNCTION("""COMPUTED_VALUE"""),10.0)</f>
        <v>10</v>
      </c>
      <c r="O27" s="84"/>
      <c r="P27" s="104" t="str">
        <f>IFERROR(__xludf.DUMMYFUNCTION("""COMPUTED_VALUE"""),"Arts Specializations")</f>
        <v>Arts Specializations</v>
      </c>
      <c r="Q27" s="102">
        <f>IFERROR(__xludf.DUMMYFUNCTION("""COMPUTED_VALUE"""),0.5)</f>
        <v>0.5</v>
      </c>
      <c r="R27" s="107" t="str">
        <f>IFERROR(__xludf.DUMMYFUNCTION("""COMPUTED_VALUE"""),"FAS")</f>
        <v>FAS</v>
      </c>
      <c r="S27" s="107">
        <f>IFERROR(__xludf.DUMMYFUNCTION("""COMPUTED_VALUE"""),10.0)</f>
        <v>10</v>
      </c>
    </row>
    <row r="28" ht="1.5" customHeight="1">
      <c r="A28" s="104" t="str">
        <f>IFERROR(__xludf.DUMMYFUNCTION("""COMPUTED_VALUE"""),"Elective")</f>
        <v>Elective</v>
      </c>
      <c r="B28" s="102">
        <f>IFERROR(__xludf.DUMMYFUNCTION("""COMPUTED_VALUE"""),0.5)</f>
        <v>0.5</v>
      </c>
      <c r="C28" s="102" t="str">
        <f>IFERROR(__xludf.DUMMYFUNCTION("""COMPUTED_VALUE"""),"EL")</f>
        <v>EL</v>
      </c>
      <c r="D28" s="102">
        <f>IFERROR(__xludf.DUMMYFUNCTION("""COMPUTED_VALUE"""),10.0)</f>
        <v>10</v>
      </c>
      <c r="E28" s="84"/>
      <c r="F28" s="104" t="str">
        <f>IFERROR(__xludf.DUMMYFUNCTION("""COMPUTED_VALUE"""),"Visual/Performing Arts")</f>
        <v>Visual/Performing Arts</v>
      </c>
      <c r="G28" s="102">
        <f>IFERROR(__xludf.DUMMYFUNCTION("""COMPUTED_VALUE"""),0.5)</f>
        <v>0.5</v>
      </c>
      <c r="H28" s="102" t="str">
        <f>IFERROR(__xludf.DUMMYFUNCTION("""COMPUTED_VALUE"""),"FAS")</f>
        <v>FAS</v>
      </c>
      <c r="I28" s="102">
        <f>IFERROR(__xludf.DUMMYFUNCTION("""COMPUTED_VALUE"""),10.0)</f>
        <v>10</v>
      </c>
      <c r="J28" s="84"/>
      <c r="K28" s="104" t="str">
        <f>IFERROR(__xludf.DUMMYFUNCTION("""COMPUTED_VALUE"""),"Elective")</f>
        <v>Elective</v>
      </c>
      <c r="L28" s="102">
        <f>IFERROR(__xludf.DUMMYFUNCTION("""COMPUTED_VALUE"""),0.5)</f>
        <v>0.5</v>
      </c>
      <c r="M28" s="102" t="str">
        <f>IFERROR(__xludf.DUMMYFUNCTION("""COMPUTED_VALUE"""),"EL")</f>
        <v>EL</v>
      </c>
      <c r="N28" s="102">
        <f>IFERROR(__xludf.DUMMYFUNCTION("""COMPUTED_VALUE"""),10.0)</f>
        <v>10</v>
      </c>
      <c r="O28" s="84"/>
      <c r="P28" s="104" t="str">
        <f>IFERROR(__xludf.DUMMYFUNCTION("""COMPUTED_VALUE"""),"Arts Specializations")</f>
        <v>Arts Specializations</v>
      </c>
      <c r="Q28" s="102">
        <f>IFERROR(__xludf.DUMMYFUNCTION("""COMPUTED_VALUE"""),0.5)</f>
        <v>0.5</v>
      </c>
      <c r="R28" s="107" t="str">
        <f>IFERROR(__xludf.DUMMYFUNCTION("""COMPUTED_VALUE"""),"FAS")</f>
        <v>FAS</v>
      </c>
      <c r="S28" s="107">
        <f>IFERROR(__xludf.DUMMYFUNCTION("""COMPUTED_VALUE"""),10.0)</f>
        <v>10</v>
      </c>
    </row>
    <row r="29" ht="1.5" customHeight="1">
      <c r="A29" s="104" t="str">
        <f>IFERROR(__xludf.DUMMYFUNCTION("""COMPUTED_VALUE"""),"Elective")</f>
        <v>Elective</v>
      </c>
      <c r="B29" s="105">
        <f>IFERROR(__xludf.DUMMYFUNCTION("""COMPUTED_VALUE"""),0.5)</f>
        <v>0.5</v>
      </c>
      <c r="C29" s="105" t="str">
        <f>IFERROR(__xludf.DUMMYFUNCTION("""COMPUTED_VALUE"""),"EL")</f>
        <v>EL</v>
      </c>
      <c r="D29" s="105">
        <f>IFERROR(__xludf.DUMMYFUNCTION("""COMPUTED_VALUE"""),10.0)</f>
        <v>10</v>
      </c>
      <c r="E29" s="84"/>
      <c r="F29" s="106" t="str">
        <f>IFERROR(__xludf.DUMMYFUNCTION("""COMPUTED_VALUE"""),"Elective")</f>
        <v>Elective</v>
      </c>
      <c r="G29" s="105">
        <f>IFERROR(__xludf.DUMMYFUNCTION("""COMPUTED_VALUE"""),0.5)</f>
        <v>0.5</v>
      </c>
      <c r="H29" s="105" t="str">
        <f>IFERROR(__xludf.DUMMYFUNCTION("""COMPUTED_VALUE"""),"EL")</f>
        <v>EL</v>
      </c>
      <c r="I29" s="105">
        <f>IFERROR(__xludf.DUMMYFUNCTION("""COMPUTED_VALUE"""),10.0)</f>
        <v>10</v>
      </c>
      <c r="J29" s="84"/>
      <c r="K29" s="106" t="str">
        <f>IFERROR(__xludf.DUMMYFUNCTION("""COMPUTED_VALUE"""),"Elective")</f>
        <v>Elective</v>
      </c>
      <c r="L29" s="105">
        <f>IFERROR(__xludf.DUMMYFUNCTION("""COMPUTED_VALUE"""),0.5)</f>
        <v>0.5</v>
      </c>
      <c r="M29" s="105" t="str">
        <f>IFERROR(__xludf.DUMMYFUNCTION("""COMPUTED_VALUE"""),"EL")</f>
        <v>EL</v>
      </c>
      <c r="N29" s="105">
        <f>IFERROR(__xludf.DUMMYFUNCTION("""COMPUTED_VALUE"""),10.0)</f>
        <v>10</v>
      </c>
      <c r="O29" s="84"/>
      <c r="P29" s="106" t="str">
        <f>IFERROR(__xludf.DUMMYFUNCTION("""COMPUTED_VALUE"""),"Elective")</f>
        <v>Elective</v>
      </c>
      <c r="Q29" s="105">
        <f>IFERROR(__xludf.DUMMYFUNCTION("""COMPUTED_VALUE"""),0.5)</f>
        <v>0.5</v>
      </c>
      <c r="R29" s="107" t="str">
        <f>IFERROR(__xludf.DUMMYFUNCTION("""COMPUTED_VALUE"""),"EL")</f>
        <v>EL</v>
      </c>
      <c r="S29" s="107">
        <f>IFERROR(__xludf.DUMMYFUNCTION("""COMPUTED_VALUE"""),10.0)</f>
        <v>10</v>
      </c>
    </row>
    <row r="30" ht="1.5" customHeight="1">
      <c r="A30" s="106"/>
      <c r="B30" s="105"/>
      <c r="C30" s="105"/>
      <c r="D30" s="105"/>
      <c r="E30" s="84"/>
      <c r="F30" s="106" t="str">
        <f>IFERROR(__xludf.DUMMYFUNCTION("""COMPUTED_VALUE"""),"Elective")</f>
        <v>Elective</v>
      </c>
      <c r="G30" s="105">
        <f>IFERROR(__xludf.DUMMYFUNCTION("""COMPUTED_VALUE"""),0.5)</f>
        <v>0.5</v>
      </c>
      <c r="H30" s="105" t="str">
        <f>IFERROR(__xludf.DUMMYFUNCTION("""COMPUTED_VALUE"""),"EL")</f>
        <v>EL</v>
      </c>
      <c r="I30" s="105">
        <f>IFERROR(__xludf.DUMMYFUNCTION("""COMPUTED_VALUE"""),10.0)</f>
        <v>10</v>
      </c>
      <c r="J30" s="84"/>
      <c r="K30" s="106"/>
      <c r="L30" s="105"/>
      <c r="M30" s="105"/>
      <c r="N30" s="105"/>
      <c r="O30" s="84"/>
      <c r="P30" s="106" t="str">
        <f>IFERROR(__xludf.DUMMYFUNCTION("""COMPUTED_VALUE"""),"Elective")</f>
        <v>Elective</v>
      </c>
      <c r="Q30" s="105">
        <f>IFERROR(__xludf.DUMMYFUNCTION("""COMPUTED_VALUE"""),0.5)</f>
        <v>0.5</v>
      </c>
      <c r="R30" s="107" t="str">
        <f>IFERROR(__xludf.DUMMYFUNCTION("""COMPUTED_VALUE"""),"EL")</f>
        <v>EL</v>
      </c>
      <c r="S30" s="107">
        <f>IFERROR(__xludf.DUMMYFUNCTION("""COMPUTED_VALUE"""),10.0)</f>
        <v>10</v>
      </c>
    </row>
    <row r="31" ht="1.5" customHeight="1">
      <c r="A31" s="106"/>
      <c r="B31" s="105"/>
      <c r="C31" s="105"/>
      <c r="D31" s="105"/>
      <c r="E31" s="84"/>
      <c r="F31" s="106"/>
      <c r="G31" s="105"/>
      <c r="H31" s="105"/>
      <c r="I31" s="105"/>
      <c r="J31" s="84"/>
      <c r="K31" s="106"/>
      <c r="L31" s="105"/>
      <c r="M31" s="105"/>
      <c r="N31" s="105"/>
      <c r="O31" s="84"/>
      <c r="P31" s="106"/>
      <c r="Q31" s="105"/>
      <c r="R31" s="107"/>
      <c r="S31" s="107"/>
    </row>
    <row r="32" ht="1.5" customHeight="1">
      <c r="A32" s="106"/>
      <c r="B32" s="105"/>
      <c r="C32" s="105"/>
      <c r="D32" s="105"/>
      <c r="E32" s="84"/>
      <c r="F32" s="106"/>
      <c r="G32" s="105"/>
      <c r="H32" s="105"/>
      <c r="I32" s="105"/>
      <c r="J32" s="84"/>
      <c r="K32" s="106"/>
      <c r="L32" s="105"/>
      <c r="M32" s="105"/>
      <c r="N32" s="105"/>
      <c r="O32" s="84"/>
      <c r="P32" s="106"/>
      <c r="Q32" s="105"/>
      <c r="R32" s="107"/>
      <c r="S32" s="107"/>
    </row>
    <row r="33" ht="1.5" customHeight="1">
      <c r="A33" s="106"/>
      <c r="B33" s="105"/>
      <c r="C33" s="105"/>
      <c r="D33" s="105"/>
      <c r="E33" s="84"/>
      <c r="F33" s="106"/>
      <c r="G33" s="105"/>
      <c r="H33" s="105"/>
      <c r="I33" s="105"/>
      <c r="J33" s="84"/>
      <c r="K33" s="106"/>
      <c r="L33" s="105"/>
      <c r="M33" s="105"/>
      <c r="N33" s="105"/>
      <c r="O33" s="84"/>
      <c r="P33" s="106"/>
      <c r="Q33" s="105"/>
      <c r="R33" s="107"/>
      <c r="S33" s="107"/>
    </row>
    <row r="34" ht="1.5" customHeight="1">
      <c r="A34" s="92" t="s">
        <v>103</v>
      </c>
      <c r="B34" s="93">
        <f>sum(B35:B47)</f>
        <v>6</v>
      </c>
      <c r="C34" s="93"/>
      <c r="D34" s="93"/>
      <c r="E34" s="84"/>
      <c r="F34" s="94" t="s">
        <v>103</v>
      </c>
      <c r="G34" s="95">
        <f>sum(G35:G47)</f>
        <v>6</v>
      </c>
      <c r="H34" s="95"/>
      <c r="I34" s="95"/>
      <c r="J34" s="84"/>
      <c r="K34" s="96" t="s">
        <v>103</v>
      </c>
      <c r="L34" s="97">
        <f>sum(L35:L47)</f>
        <v>7.5</v>
      </c>
      <c r="M34" s="97"/>
      <c r="N34" s="97"/>
      <c r="O34" s="84"/>
      <c r="P34" s="98" t="s">
        <v>103</v>
      </c>
      <c r="Q34" s="99">
        <f>sum(Q35:Q47)</f>
        <v>6.5</v>
      </c>
      <c r="R34" s="100"/>
      <c r="S34" s="100"/>
    </row>
    <row r="35" ht="1.5" customHeight="1">
      <c r="A35" s="101" t="str">
        <f>IFERROR(__xludf.DUMMYFUNCTION("Filter(INDIRECT(A$4),INDEX(INDIRECT(A$4),,4)=11)"),"Critical Writing or AP")</f>
        <v>Critical Writing or AP</v>
      </c>
      <c r="B35" s="102">
        <f>IFERROR(__xludf.DUMMYFUNCTION("""COMPUTED_VALUE"""),1.0)</f>
        <v>1</v>
      </c>
      <c r="C35" s="102" t="str">
        <f>IFERROR(__xludf.DUMMYFUNCTION("""COMPUTED_VALUE"""),"E11")</f>
        <v>E11</v>
      </c>
      <c r="D35" s="102">
        <f>IFERROR(__xludf.DUMMYFUNCTION("""COMPUTED_VALUE"""),11.0)</f>
        <v>11</v>
      </c>
      <c r="E35" s="84"/>
      <c r="F35" s="101" t="str">
        <f>IFERROR(__xludf.DUMMYFUNCTION("Filter(INDIRECT(F$4),INDEX(INDIRECT(F$4),,4)=11)"),"Critical Writing or AP")</f>
        <v>Critical Writing or AP</v>
      </c>
      <c r="G35" s="102">
        <f>IFERROR(__xludf.DUMMYFUNCTION("""COMPUTED_VALUE"""),1.0)</f>
        <v>1</v>
      </c>
      <c r="H35" s="102" t="str">
        <f>IFERROR(__xludf.DUMMYFUNCTION("""COMPUTED_VALUE"""),"E11")</f>
        <v>E11</v>
      </c>
      <c r="I35" s="102">
        <f>IFERROR(__xludf.DUMMYFUNCTION("""COMPUTED_VALUE"""),11.0)</f>
        <v>11</v>
      </c>
      <c r="J35" s="84"/>
      <c r="K35" s="101" t="str">
        <f>IFERROR(__xludf.DUMMYFUNCTION("Filter(INDIRECT(K$4),INDEX(INDIRECT(K$4),,4)=11)"),"Critical Writing or AP")</f>
        <v>Critical Writing or AP</v>
      </c>
      <c r="L35" s="102">
        <f>IFERROR(__xludf.DUMMYFUNCTION("""COMPUTED_VALUE"""),1.0)</f>
        <v>1</v>
      </c>
      <c r="M35" s="102" t="str">
        <f>IFERROR(__xludf.DUMMYFUNCTION("""COMPUTED_VALUE"""),"E11")</f>
        <v>E11</v>
      </c>
      <c r="N35" s="102">
        <f>IFERROR(__xludf.DUMMYFUNCTION("""COMPUTED_VALUE"""),11.0)</f>
        <v>11</v>
      </c>
      <c r="O35" s="84"/>
      <c r="P35" s="101" t="str">
        <f>IFERROR(__xludf.DUMMYFUNCTION("Filter(INDIRECT(P$4),INDEX(INDIRECT(P$4),,4)=11)"),"Critical Writing or AP")</f>
        <v>Critical Writing or AP</v>
      </c>
      <c r="Q35" s="102">
        <f>IFERROR(__xludf.DUMMYFUNCTION("""COMPUTED_VALUE"""),1.0)</f>
        <v>1</v>
      </c>
      <c r="R35" s="103" t="str">
        <f>IFERROR(__xludf.DUMMYFUNCTION("""COMPUTED_VALUE"""),"E11")</f>
        <v>E11</v>
      </c>
      <c r="S35" s="103">
        <f>IFERROR(__xludf.DUMMYFUNCTION("""COMPUTED_VALUE"""),11.0)</f>
        <v>11</v>
      </c>
    </row>
    <row r="36" ht="1.5" customHeight="1">
      <c r="A36" s="104" t="str">
        <f>IFERROR(__xludf.DUMMYFUNCTION("""COMPUTED_VALUE"""),"Algebra II")</f>
        <v>Algebra II</v>
      </c>
      <c r="B36" s="102">
        <f>IFERROR(__xludf.DUMMYFUNCTION("""COMPUTED_VALUE"""),1.0)</f>
        <v>1</v>
      </c>
      <c r="C36" s="102" t="str">
        <f>IFERROR(__xludf.DUMMYFUNCTION("""COMPUTED_VALUE"""),"MA2")</f>
        <v>MA2</v>
      </c>
      <c r="D36" s="102">
        <f>IFERROR(__xludf.DUMMYFUNCTION("""COMPUTED_VALUE"""),11.0)</f>
        <v>11</v>
      </c>
      <c r="E36" s="84"/>
      <c r="F36" s="104" t="str">
        <f>IFERROR(__xludf.DUMMYFUNCTION("""COMPUTED_VALUE"""),"Algebra II")</f>
        <v>Algebra II</v>
      </c>
      <c r="G36" s="102">
        <f>IFERROR(__xludf.DUMMYFUNCTION("""COMPUTED_VALUE"""),1.0)</f>
        <v>1</v>
      </c>
      <c r="H36" s="102" t="str">
        <f>IFERROR(__xludf.DUMMYFUNCTION("""COMPUTED_VALUE"""),"MA2")</f>
        <v>MA2</v>
      </c>
      <c r="I36" s="102">
        <f>IFERROR(__xludf.DUMMYFUNCTION("""COMPUTED_VALUE"""),11.0)</f>
        <v>11</v>
      </c>
      <c r="J36" s="84"/>
      <c r="K36" s="104" t="str">
        <f>IFERROR(__xludf.DUMMYFUNCTION("""COMPUTED_VALUE"""),"Design Algebra II")</f>
        <v>Design Algebra II</v>
      </c>
      <c r="L36" s="102">
        <f>IFERROR(__xludf.DUMMYFUNCTION("""COMPUTED_VALUE"""),1.0)</f>
        <v>1</v>
      </c>
      <c r="M36" s="102" t="str">
        <f>IFERROR(__xludf.DUMMYFUNCTION("""COMPUTED_VALUE"""),"MA2")</f>
        <v>MA2</v>
      </c>
      <c r="N36" s="102">
        <f>IFERROR(__xludf.DUMMYFUNCTION("""COMPUTED_VALUE"""),11.0)</f>
        <v>11</v>
      </c>
      <c r="O36" s="84"/>
      <c r="P36" s="104" t="str">
        <f>IFERROR(__xludf.DUMMYFUNCTION("""COMPUTED_VALUE"""),"Design Algebra II")</f>
        <v>Design Algebra II</v>
      </c>
      <c r="Q36" s="105">
        <f>IFERROR(__xludf.DUMMYFUNCTION("""COMPUTED_VALUE"""),1.0)</f>
        <v>1</v>
      </c>
      <c r="R36" s="107" t="str">
        <f>IFERROR(__xludf.DUMMYFUNCTION("""COMPUTED_VALUE"""),"MA2")</f>
        <v>MA2</v>
      </c>
      <c r="S36" s="107">
        <f>IFERROR(__xludf.DUMMYFUNCTION("""COMPUTED_VALUE"""),11.0)</f>
        <v>11</v>
      </c>
    </row>
    <row r="37" ht="1.5" customHeight="1">
      <c r="A37" s="104" t="str">
        <f>IFERROR(__xludf.DUMMYFUNCTION("""COMPUTED_VALUE"""),"Personal Finance")</f>
        <v>Personal Finance</v>
      </c>
      <c r="B37" s="102">
        <f>IFERROR(__xludf.DUMMYFUNCTION("""COMPUTED_VALUE"""),0.5)</f>
        <v>0.5</v>
      </c>
      <c r="C37" s="102" t="str">
        <f>IFERROR(__xludf.DUMMYFUNCTION("""COMPUTED_VALUE"""),"PF")</f>
        <v>PF</v>
      </c>
      <c r="D37" s="102">
        <f>IFERROR(__xludf.DUMMYFUNCTION("""COMPUTED_VALUE"""),11.0)</f>
        <v>11</v>
      </c>
      <c r="E37" s="84"/>
      <c r="F37" s="104" t="str">
        <f>IFERROR(__xludf.DUMMYFUNCTION("""COMPUTED_VALUE"""),"Personal Finance")</f>
        <v>Personal Finance</v>
      </c>
      <c r="G37" s="102">
        <f>IFERROR(__xludf.DUMMYFUNCTION("""COMPUTED_VALUE"""),0.5)</f>
        <v>0.5</v>
      </c>
      <c r="H37" s="102" t="str">
        <f>IFERROR(__xludf.DUMMYFUNCTION("""COMPUTED_VALUE"""),"PF")</f>
        <v>PF</v>
      </c>
      <c r="I37" s="102">
        <f>IFERROR(__xludf.DUMMYFUNCTION("""COMPUTED_VALUE"""),11.0)</f>
        <v>11</v>
      </c>
      <c r="J37" s="84"/>
      <c r="K37" s="104" t="str">
        <f>IFERROR(__xludf.DUMMYFUNCTION("""COMPUTED_VALUE"""),"Personal Finance")</f>
        <v>Personal Finance</v>
      </c>
      <c r="L37" s="102">
        <f>IFERROR(__xludf.DUMMYFUNCTION("""COMPUTED_VALUE"""),0.5)</f>
        <v>0.5</v>
      </c>
      <c r="M37" s="102" t="str">
        <f>IFERROR(__xludf.DUMMYFUNCTION("""COMPUTED_VALUE"""),"PF")</f>
        <v>PF</v>
      </c>
      <c r="N37" s="102">
        <f>IFERROR(__xludf.DUMMYFUNCTION("""COMPUTED_VALUE"""),11.0)</f>
        <v>11</v>
      </c>
      <c r="O37" s="84"/>
      <c r="P37" s="104" t="str">
        <f>IFERROR(__xludf.DUMMYFUNCTION("""COMPUTED_VALUE"""),"Personal Finance")</f>
        <v>Personal Finance</v>
      </c>
      <c r="Q37" s="105">
        <f>IFERROR(__xludf.DUMMYFUNCTION("""COMPUTED_VALUE"""),0.5)</f>
        <v>0.5</v>
      </c>
      <c r="R37" s="107" t="str">
        <f>IFERROR(__xludf.DUMMYFUNCTION("""COMPUTED_VALUE"""),"PF")</f>
        <v>PF</v>
      </c>
      <c r="S37" s="107">
        <f>IFERROR(__xludf.DUMMYFUNCTION("""COMPUTED_VALUE"""),11.0)</f>
        <v>11</v>
      </c>
    </row>
    <row r="38" ht="1.5" customHeight="1">
      <c r="A38" s="104" t="str">
        <f>IFERROR(__xludf.DUMMYFUNCTION("""COMPUTED_VALUE"""),"Chemistry")</f>
        <v>Chemistry</v>
      </c>
      <c r="B38" s="102">
        <f>IFERROR(__xludf.DUMMYFUNCTION("""COMPUTED_VALUE"""),1.0)</f>
        <v>1</v>
      </c>
      <c r="C38" s="102" t="str">
        <f>IFERROR(__xludf.DUMMYFUNCTION("""COMPUTED_VALUE"""),"SC")</f>
        <v>SC</v>
      </c>
      <c r="D38" s="102">
        <f>IFERROR(__xludf.DUMMYFUNCTION("""COMPUTED_VALUE"""),11.0)</f>
        <v>11</v>
      </c>
      <c r="E38" s="84"/>
      <c r="F38" s="104" t="str">
        <f>IFERROR(__xludf.DUMMYFUNCTION("""COMPUTED_VALUE"""),"Chemistry")</f>
        <v>Chemistry</v>
      </c>
      <c r="G38" s="102">
        <f>IFERROR(__xludf.DUMMYFUNCTION("""COMPUTED_VALUE"""),1.0)</f>
        <v>1</v>
      </c>
      <c r="H38" s="102" t="str">
        <f>IFERROR(__xludf.DUMMYFUNCTION("""COMPUTED_VALUE"""),"SC")</f>
        <v>SC</v>
      </c>
      <c r="I38" s="102">
        <f>IFERROR(__xludf.DUMMYFUNCTION("""COMPUTED_VALUE"""),11.0)</f>
        <v>11</v>
      </c>
      <c r="J38" s="84"/>
      <c r="K38" s="104" t="str">
        <f>IFERROR(__xludf.DUMMYFUNCTION("""COMPUTED_VALUE"""),"Chemistry in the Community")</f>
        <v>Chemistry in the Community</v>
      </c>
      <c r="L38" s="102">
        <f>IFERROR(__xludf.DUMMYFUNCTION("""COMPUTED_VALUE"""),1.0)</f>
        <v>1</v>
      </c>
      <c r="M38" s="102" t="str">
        <f>IFERROR(__xludf.DUMMYFUNCTION("""COMPUTED_VALUE"""),"SEL")</f>
        <v>SEL</v>
      </c>
      <c r="N38" s="102">
        <f>IFERROR(__xludf.DUMMYFUNCTION("""COMPUTED_VALUE"""),11.0)</f>
        <v>11</v>
      </c>
      <c r="O38" s="84"/>
      <c r="P38" s="104" t="str">
        <f>IFERROR(__xludf.DUMMYFUNCTION("""COMPUTED_VALUE"""),"Chemistry in the Community")</f>
        <v>Chemistry in the Community</v>
      </c>
      <c r="Q38" s="105">
        <f>IFERROR(__xludf.DUMMYFUNCTION("""COMPUTED_VALUE"""),1.0)</f>
        <v>1</v>
      </c>
      <c r="R38" s="107" t="str">
        <f>IFERROR(__xludf.DUMMYFUNCTION("""COMPUTED_VALUE"""),"SEL")</f>
        <v>SEL</v>
      </c>
      <c r="S38" s="107">
        <f>IFERROR(__xludf.DUMMYFUNCTION("""COMPUTED_VALUE"""),11.0)</f>
        <v>11</v>
      </c>
    </row>
    <row r="39" ht="1.5" customHeight="1">
      <c r="A39" s="104" t="str">
        <f>IFERROR(__xludf.DUMMYFUNCTION("""COMPUTED_VALUE"""),"Non-Western or World History")</f>
        <v>Non-Western or World History</v>
      </c>
      <c r="B39" s="102">
        <f>IFERROR(__xludf.DUMMYFUNCTION("""COMPUTED_VALUE"""),1.0)</f>
        <v>1</v>
      </c>
      <c r="C39" s="102" t="str">
        <f>IFERROR(__xludf.DUMMYFUNCTION("""COMPUTED_VALUE"""),"HW")</f>
        <v>HW</v>
      </c>
      <c r="D39" s="102">
        <f>IFERROR(__xludf.DUMMYFUNCTION("""COMPUTED_VALUE"""),11.0)</f>
        <v>11</v>
      </c>
      <c r="E39" s="84"/>
      <c r="F39" s="104" t="str">
        <f>IFERROR(__xludf.DUMMYFUNCTION("""COMPUTED_VALUE"""),"Non-Western or World History")</f>
        <v>Non-Western or World History</v>
      </c>
      <c r="G39" s="102">
        <f>IFERROR(__xludf.DUMMYFUNCTION("""COMPUTED_VALUE"""),1.0)</f>
        <v>1</v>
      </c>
      <c r="H39" s="102" t="str">
        <f>IFERROR(__xludf.DUMMYFUNCTION("""COMPUTED_VALUE"""),"HW")</f>
        <v>HW</v>
      </c>
      <c r="I39" s="102">
        <f>IFERROR(__xludf.DUMMYFUNCTION("""COMPUTED_VALUE"""),11.0)</f>
        <v>11</v>
      </c>
      <c r="J39" s="84"/>
      <c r="K39" s="104" t="str">
        <f>IFERROR(__xludf.DUMMYFUNCTION("""COMPUTED_VALUE"""),"Non-Western or World History")</f>
        <v>Non-Western or World History</v>
      </c>
      <c r="L39" s="102">
        <f>IFERROR(__xludf.DUMMYFUNCTION("""COMPUTED_VALUE"""),1.0)</f>
        <v>1</v>
      </c>
      <c r="M39" s="102" t="str">
        <f>IFERROR(__xludf.DUMMYFUNCTION("""COMPUTED_VALUE"""),"HW")</f>
        <v>HW</v>
      </c>
      <c r="N39" s="102">
        <f>IFERROR(__xludf.DUMMYFUNCTION("""COMPUTED_VALUE"""),11.0)</f>
        <v>11</v>
      </c>
      <c r="O39" s="84"/>
      <c r="P39" s="104" t="str">
        <f>IFERROR(__xludf.DUMMYFUNCTION("""COMPUTED_VALUE"""),"Non-Western or World History")</f>
        <v>Non-Western or World History</v>
      </c>
      <c r="Q39" s="105">
        <f>IFERROR(__xludf.DUMMYFUNCTION("""COMPUTED_VALUE"""),1.0)</f>
        <v>1</v>
      </c>
      <c r="R39" s="107" t="str">
        <f>IFERROR(__xludf.DUMMYFUNCTION("""COMPUTED_VALUE"""),"HW")</f>
        <v>HW</v>
      </c>
      <c r="S39" s="107">
        <f>IFERROR(__xludf.DUMMYFUNCTION("""COMPUTED_VALUE"""),11.0)</f>
        <v>11</v>
      </c>
    </row>
    <row r="40" ht="1.5" customHeight="1">
      <c r="A40" s="104" t="str">
        <f>IFERROR(__xludf.DUMMYFUNCTION("""COMPUTED_VALUE"""),"AP Com. Sci. Principles")</f>
        <v>AP Com. Sci. Principles</v>
      </c>
      <c r="B40" s="102">
        <f>IFERROR(__xludf.DUMMYFUNCTION("""COMPUTED_VALUE"""),1.5)</f>
        <v>1.5</v>
      </c>
      <c r="C40" s="102" t="str">
        <f>IFERROR(__xludf.DUMMYFUNCTION("""COMPUTED_VALUE"""),"CSAP")</f>
        <v>CSAP</v>
      </c>
      <c r="D40" s="102">
        <f>IFERROR(__xludf.DUMMYFUNCTION("""COMPUTED_VALUE"""),11.0)</f>
        <v>11</v>
      </c>
      <c r="E40" s="84"/>
      <c r="F40" s="104" t="str">
        <f>IFERROR(__xludf.DUMMYFUNCTION("""COMPUTED_VALUE"""),"Visual/Performing Arts")</f>
        <v>Visual/Performing Arts</v>
      </c>
      <c r="G40" s="102">
        <f>IFERROR(__xludf.DUMMYFUNCTION("""COMPUTED_VALUE"""),0.5)</f>
        <v>0.5</v>
      </c>
      <c r="H40" s="102" t="str">
        <f>IFERROR(__xludf.DUMMYFUNCTION("""COMPUTED_VALUE"""),"FAS")</f>
        <v>FAS</v>
      </c>
      <c r="I40" s="102">
        <f>IFERROR(__xludf.DUMMYFUNCTION("""COMPUTED_VALUE"""),11.0)</f>
        <v>11</v>
      </c>
      <c r="J40" s="84"/>
      <c r="K40" s="104" t="str">
        <f>IFERROR(__xludf.DUMMYFUNCTION("""COMPUTED_VALUE"""),"Tulsa Tech, Intern., Work Study")</f>
        <v>Tulsa Tech, Intern., Work Study</v>
      </c>
      <c r="L40" s="102">
        <f>IFERROR(__xludf.DUMMYFUNCTION("""COMPUTED_VALUE"""),3.0)</f>
        <v>3</v>
      </c>
      <c r="M40" s="102" t="str">
        <f>IFERROR(__xludf.DUMMYFUNCTION("""COMPUTED_VALUE"""),"CAP")</f>
        <v>CAP</v>
      </c>
      <c r="N40" s="102">
        <f>IFERROR(__xludf.DUMMYFUNCTION("""COMPUTED_VALUE"""),11.0)</f>
        <v>11</v>
      </c>
      <c r="O40" s="84"/>
      <c r="P40" s="104" t="str">
        <f>IFERROR(__xludf.DUMMYFUNCTION("""COMPUTED_VALUE"""),"Arts Specializations")</f>
        <v>Arts Specializations</v>
      </c>
      <c r="Q40" s="105">
        <f>IFERROR(__xludf.DUMMYFUNCTION("""COMPUTED_VALUE"""),0.5)</f>
        <v>0.5</v>
      </c>
      <c r="R40" s="107" t="str">
        <f>IFERROR(__xludf.DUMMYFUNCTION("""COMPUTED_VALUE"""),"FAS")</f>
        <v>FAS</v>
      </c>
      <c r="S40" s="107">
        <f>IFERROR(__xludf.DUMMYFUNCTION("""COMPUTED_VALUE"""),11.0)</f>
        <v>11</v>
      </c>
    </row>
    <row r="41" ht="1.5" customHeight="1">
      <c r="A41" s="104"/>
      <c r="B41" s="102"/>
      <c r="C41" s="102"/>
      <c r="D41" s="102"/>
      <c r="E41" s="84"/>
      <c r="F41" s="104" t="str">
        <f>IFERROR(__xludf.DUMMYFUNCTION("""COMPUTED_VALUE"""),"Visual/Performing Arts")</f>
        <v>Visual/Performing Arts</v>
      </c>
      <c r="G41" s="102">
        <f>IFERROR(__xludf.DUMMYFUNCTION("""COMPUTED_VALUE"""),0.5)</f>
        <v>0.5</v>
      </c>
      <c r="H41" s="102" t="str">
        <f>IFERROR(__xludf.DUMMYFUNCTION("""COMPUTED_VALUE"""),"FAS")</f>
        <v>FAS</v>
      </c>
      <c r="I41" s="102">
        <f>IFERROR(__xludf.DUMMYFUNCTION("""COMPUTED_VALUE"""),11.0)</f>
        <v>11</v>
      </c>
      <c r="J41" s="84"/>
      <c r="K41" s="104"/>
      <c r="L41" s="102"/>
      <c r="M41" s="102"/>
      <c r="N41" s="102"/>
      <c r="O41" s="84"/>
      <c r="P41" s="104" t="str">
        <f>IFERROR(__xludf.DUMMYFUNCTION("""COMPUTED_VALUE"""),"Arts Specializations")</f>
        <v>Arts Specializations</v>
      </c>
      <c r="Q41" s="105">
        <f>IFERROR(__xludf.DUMMYFUNCTION("""COMPUTED_VALUE"""),0.5)</f>
        <v>0.5</v>
      </c>
      <c r="R41" s="107" t="str">
        <f>IFERROR(__xludf.DUMMYFUNCTION("""COMPUTED_VALUE"""),"FAS")</f>
        <v>FAS</v>
      </c>
      <c r="S41" s="107">
        <f>IFERROR(__xludf.DUMMYFUNCTION("""COMPUTED_VALUE"""),11.0)</f>
        <v>11</v>
      </c>
    </row>
    <row r="42" ht="1.5" customHeight="1">
      <c r="A42" s="106"/>
      <c r="B42" s="105"/>
      <c r="C42" s="105"/>
      <c r="D42" s="105"/>
      <c r="E42" s="84"/>
      <c r="F42" s="106" t="str">
        <f>IFERROR(__xludf.DUMMYFUNCTION("""COMPUTED_VALUE"""),"Elective")</f>
        <v>Elective</v>
      </c>
      <c r="G42" s="105">
        <f>IFERROR(__xludf.DUMMYFUNCTION("""COMPUTED_VALUE"""),0.5)</f>
        <v>0.5</v>
      </c>
      <c r="H42" s="105" t="str">
        <f>IFERROR(__xludf.DUMMYFUNCTION("""COMPUTED_VALUE"""),"EL")</f>
        <v>EL</v>
      </c>
      <c r="I42" s="105">
        <f>IFERROR(__xludf.DUMMYFUNCTION("""COMPUTED_VALUE"""),11.0)</f>
        <v>11</v>
      </c>
      <c r="J42" s="84"/>
      <c r="K42" s="106"/>
      <c r="L42" s="105"/>
      <c r="M42" s="105"/>
      <c r="N42" s="105"/>
      <c r="O42" s="84"/>
      <c r="P42" s="106" t="str">
        <f>IFERROR(__xludf.DUMMYFUNCTION("""COMPUTED_VALUE"""),"Elective")</f>
        <v>Elective</v>
      </c>
      <c r="Q42" s="105">
        <f>IFERROR(__xludf.DUMMYFUNCTION("""COMPUTED_VALUE"""),0.5)</f>
        <v>0.5</v>
      </c>
      <c r="R42" s="107" t="str">
        <f>IFERROR(__xludf.DUMMYFUNCTION("""COMPUTED_VALUE"""),"EL")</f>
        <v>EL</v>
      </c>
      <c r="S42" s="107">
        <f>IFERROR(__xludf.DUMMYFUNCTION("""COMPUTED_VALUE"""),11.0)</f>
        <v>11</v>
      </c>
    </row>
    <row r="43" ht="1.5" customHeight="1">
      <c r="A43" s="106"/>
      <c r="B43" s="105"/>
      <c r="C43" s="105"/>
      <c r="D43" s="105"/>
      <c r="E43" s="84"/>
      <c r="F43" s="106"/>
      <c r="G43" s="105"/>
      <c r="H43" s="105"/>
      <c r="I43" s="105"/>
      <c r="J43" s="84"/>
      <c r="K43" s="106"/>
      <c r="L43" s="105"/>
      <c r="M43" s="105"/>
      <c r="N43" s="105"/>
      <c r="O43" s="84"/>
      <c r="P43" s="106" t="str">
        <f>IFERROR(__xludf.DUMMYFUNCTION("""COMPUTED_VALUE"""),"Elective")</f>
        <v>Elective</v>
      </c>
      <c r="Q43" s="105">
        <f>IFERROR(__xludf.DUMMYFUNCTION("""COMPUTED_VALUE"""),0.5)</f>
        <v>0.5</v>
      </c>
      <c r="R43" s="107" t="str">
        <f>IFERROR(__xludf.DUMMYFUNCTION("""COMPUTED_VALUE"""),"EL")</f>
        <v>EL</v>
      </c>
      <c r="S43" s="107">
        <f>IFERROR(__xludf.DUMMYFUNCTION("""COMPUTED_VALUE"""),11.0)</f>
        <v>11</v>
      </c>
    </row>
    <row r="44" ht="1.5" customHeight="1">
      <c r="A44" s="106"/>
      <c r="B44" s="105"/>
      <c r="C44" s="105"/>
      <c r="D44" s="105"/>
      <c r="E44" s="84"/>
      <c r="F44" s="106"/>
      <c r="G44" s="105"/>
      <c r="H44" s="105"/>
      <c r="I44" s="105"/>
      <c r="J44" s="84"/>
      <c r="K44" s="106"/>
      <c r="L44" s="105"/>
      <c r="M44" s="105"/>
      <c r="N44" s="105"/>
      <c r="O44" s="84"/>
      <c r="P44" s="106"/>
      <c r="Q44" s="105"/>
      <c r="R44" s="107"/>
      <c r="S44" s="107"/>
    </row>
    <row r="45" ht="1.5" customHeight="1">
      <c r="A45" s="106"/>
      <c r="B45" s="105"/>
      <c r="C45" s="105"/>
      <c r="D45" s="105"/>
      <c r="E45" s="84"/>
      <c r="F45" s="106"/>
      <c r="G45" s="105"/>
      <c r="H45" s="105"/>
      <c r="I45" s="105"/>
      <c r="J45" s="84"/>
      <c r="K45" s="106"/>
      <c r="L45" s="105"/>
      <c r="M45" s="105"/>
      <c r="N45" s="105"/>
      <c r="O45" s="84"/>
      <c r="P45" s="106"/>
      <c r="Q45" s="105"/>
      <c r="R45" s="107"/>
      <c r="S45" s="107"/>
    </row>
    <row r="46" ht="1.5" customHeight="1">
      <c r="A46" s="106"/>
      <c r="B46" s="105"/>
      <c r="C46" s="105"/>
      <c r="D46" s="105"/>
      <c r="E46" s="84"/>
      <c r="F46" s="106"/>
      <c r="G46" s="105"/>
      <c r="H46" s="105"/>
      <c r="I46" s="105"/>
      <c r="J46" s="84"/>
      <c r="K46" s="106"/>
      <c r="L46" s="105"/>
      <c r="M46" s="105"/>
      <c r="N46" s="105"/>
      <c r="O46" s="84"/>
      <c r="P46" s="106"/>
      <c r="Q46" s="105"/>
      <c r="R46" s="107"/>
      <c r="S46" s="107"/>
    </row>
    <row r="47" ht="1.5" customHeight="1">
      <c r="A47" s="106"/>
      <c r="B47" s="105"/>
      <c r="C47" s="105"/>
      <c r="D47" s="105"/>
      <c r="E47" s="84"/>
      <c r="F47" s="106"/>
      <c r="G47" s="105"/>
      <c r="H47" s="105"/>
      <c r="I47" s="105"/>
      <c r="J47" s="84"/>
      <c r="K47" s="106"/>
      <c r="L47" s="105"/>
      <c r="M47" s="105"/>
      <c r="N47" s="105"/>
      <c r="O47" s="84"/>
      <c r="P47" s="106"/>
      <c r="Q47" s="105"/>
      <c r="R47" s="107"/>
      <c r="S47" s="107"/>
    </row>
    <row r="48" ht="1.5" customHeight="1">
      <c r="A48" s="92" t="s">
        <v>104</v>
      </c>
      <c r="B48" s="93">
        <f>sum(B49:B57)</f>
        <v>6.5</v>
      </c>
      <c r="C48" s="93"/>
      <c r="D48" s="93"/>
      <c r="E48" s="84"/>
      <c r="F48" s="94" t="s">
        <v>104</v>
      </c>
      <c r="G48" s="95">
        <f>sum(G49:G57)</f>
        <v>6</v>
      </c>
      <c r="H48" s="95"/>
      <c r="I48" s="95"/>
      <c r="J48" s="84"/>
      <c r="K48" s="96" t="s">
        <v>104</v>
      </c>
      <c r="L48" s="97">
        <f>sum(L49:L57)</f>
        <v>5</v>
      </c>
      <c r="M48" s="97"/>
      <c r="N48" s="97"/>
      <c r="O48" s="84"/>
      <c r="P48" s="98" t="s">
        <v>104</v>
      </c>
      <c r="Q48" s="99">
        <f>sum(Q49:Q57)</f>
        <v>5.5</v>
      </c>
      <c r="R48" s="100"/>
      <c r="S48" s="100"/>
    </row>
    <row r="49" ht="1.5" customHeight="1">
      <c r="A49" s="101" t="str">
        <f>IFERROR(__xludf.DUMMYFUNCTION("Filter(INDIRECT(A$4),INDEX(INDIRECT(A$4),,4)=12)"),"Critical Communication or AP")</f>
        <v>Critical Communication or AP</v>
      </c>
      <c r="B49" s="102">
        <f>IFERROR(__xludf.DUMMYFUNCTION("""COMPUTED_VALUE"""),1.0)</f>
        <v>1</v>
      </c>
      <c r="C49" s="102" t="str">
        <f>IFERROR(__xludf.DUMMYFUNCTION("""COMPUTED_VALUE"""),"E12")</f>
        <v>E12</v>
      </c>
      <c r="D49" s="102">
        <f>IFERROR(__xludf.DUMMYFUNCTION("""COMPUTED_VALUE"""),12.0)</f>
        <v>12</v>
      </c>
      <c r="E49" s="84"/>
      <c r="F49" s="101" t="str">
        <f>IFERROR(__xludf.DUMMYFUNCTION("Filter(INDIRECT(F$4),INDEX(INDIRECT(F$4),,4)=12)"),"Critical Communication or AP")</f>
        <v>Critical Communication or AP</v>
      </c>
      <c r="G49" s="102">
        <f>IFERROR(__xludf.DUMMYFUNCTION("""COMPUTED_VALUE"""),1.0)</f>
        <v>1</v>
      </c>
      <c r="H49" s="102" t="str">
        <f>IFERROR(__xludf.DUMMYFUNCTION("""COMPUTED_VALUE"""),"E12")</f>
        <v>E12</v>
      </c>
      <c r="I49" s="102">
        <f>IFERROR(__xludf.DUMMYFUNCTION("""COMPUTED_VALUE"""),12.0)</f>
        <v>12</v>
      </c>
      <c r="J49" s="84"/>
      <c r="K49" s="101" t="str">
        <f>IFERROR(__xludf.DUMMYFUNCTION("Filter(INDIRECT(K$4),INDEX(INDIRECT(K$4),,4)=12)"),"Critical Communication or AP")</f>
        <v>Critical Communication or AP</v>
      </c>
      <c r="L49" s="102">
        <f>IFERROR(__xludf.DUMMYFUNCTION("""COMPUTED_VALUE"""),1.0)</f>
        <v>1</v>
      </c>
      <c r="M49" s="102" t="str">
        <f>IFERROR(__xludf.DUMMYFUNCTION("""COMPUTED_VALUE"""),"E12")</f>
        <v>E12</v>
      </c>
      <c r="N49" s="102">
        <f>IFERROR(__xludf.DUMMYFUNCTION("""COMPUTED_VALUE"""),12.0)</f>
        <v>12</v>
      </c>
      <c r="O49" s="84"/>
      <c r="P49" s="101" t="str">
        <f>IFERROR(__xludf.DUMMYFUNCTION("Filter(INDIRECT(P$4),INDEX(INDIRECT(P$4),,4)=12)"),"Critical Communication or AP")</f>
        <v>Critical Communication or AP</v>
      </c>
      <c r="Q49" s="102">
        <f>IFERROR(__xludf.DUMMYFUNCTION("""COMPUTED_VALUE"""),1.0)</f>
        <v>1</v>
      </c>
      <c r="R49" s="103" t="str">
        <f>IFERROR(__xludf.DUMMYFUNCTION("""COMPUTED_VALUE"""),"E12")</f>
        <v>E12</v>
      </c>
      <c r="S49" s="103">
        <f>IFERROR(__xludf.DUMMYFUNCTION("""COMPUTED_VALUE"""),12.0)</f>
        <v>12</v>
      </c>
    </row>
    <row r="50" ht="1.5" customHeight="1">
      <c r="A50" s="104" t="str">
        <f>IFERROR(__xludf.DUMMYFUNCTION("""COMPUTED_VALUE"""),"Trigonometry")</f>
        <v>Trigonometry</v>
      </c>
      <c r="B50" s="102">
        <f>IFERROR(__xludf.DUMMYFUNCTION("""COMPUTED_VALUE"""),0.5)</f>
        <v>0.5</v>
      </c>
      <c r="C50" s="102" t="str">
        <f>IFERROR(__xludf.DUMMYFUNCTION("""COMPUTED_VALUE"""),"MT")</f>
        <v>MT</v>
      </c>
      <c r="D50" s="102">
        <f>IFERROR(__xludf.DUMMYFUNCTION("""COMPUTED_VALUE"""),12.0)</f>
        <v>12</v>
      </c>
      <c r="E50" s="84"/>
      <c r="F50" s="104" t="str">
        <f>IFERROR(__xludf.DUMMYFUNCTION("""COMPUTED_VALUE"""),"Encouraged: Trigonometry")</f>
        <v>Encouraged: Trigonometry</v>
      </c>
      <c r="G50" s="102" t="str">
        <f>IFERROR(__xludf.DUMMYFUNCTION("""COMPUTED_VALUE"""),"*")</f>
        <v>*</v>
      </c>
      <c r="H50" s="102" t="str">
        <f>IFERROR(__xludf.DUMMYFUNCTION("""COMPUTED_VALUE"""),"MT")</f>
        <v>MT</v>
      </c>
      <c r="I50" s="102">
        <f>IFERROR(__xludf.DUMMYFUNCTION("""COMPUTED_VALUE"""),12.0)</f>
        <v>12</v>
      </c>
      <c r="J50" s="84"/>
      <c r="K50" s="104" t="str">
        <f>IFERROR(__xludf.DUMMYFUNCTION("""COMPUTED_VALUE"""),"Science Elective")</f>
        <v>Science Elective</v>
      </c>
      <c r="L50" s="102">
        <f>IFERROR(__xludf.DUMMYFUNCTION("""COMPUTED_VALUE"""),0.5)</f>
        <v>0.5</v>
      </c>
      <c r="M50" s="102" t="str">
        <f>IFERROR(__xludf.DUMMYFUNCTION("""COMPUTED_VALUE"""),"SE")</f>
        <v>SE</v>
      </c>
      <c r="N50" s="102">
        <f>IFERROR(__xludf.DUMMYFUNCTION("""COMPUTED_VALUE"""),12.0)</f>
        <v>12</v>
      </c>
      <c r="O50" s="84"/>
      <c r="P50" s="104" t="str">
        <f>IFERROR(__xludf.DUMMYFUNCTION("""COMPUTED_VALUE"""),"Art (or Music) History")</f>
        <v>Art (or Music) History</v>
      </c>
      <c r="Q50" s="105">
        <f>IFERROR(__xludf.DUMMYFUNCTION("""COMPUTED_VALUE"""),0.5)</f>
        <v>0.5</v>
      </c>
      <c r="R50" s="107" t="str">
        <f>IFERROR(__xludf.DUMMYFUNCTION("""COMPUTED_VALUE"""),"FAH")</f>
        <v>FAH</v>
      </c>
      <c r="S50" s="107">
        <f>IFERROR(__xludf.DUMMYFUNCTION("""COMPUTED_VALUE"""),12.0)</f>
        <v>12</v>
      </c>
    </row>
    <row r="51" ht="1.5" customHeight="1">
      <c r="A51" s="104" t="str">
        <f>IFERROR(__xludf.DUMMYFUNCTION("""COMPUTED_VALUE"""),"Pre-Calculus")</f>
        <v>Pre-Calculus</v>
      </c>
      <c r="B51" s="102">
        <f>IFERROR(__xludf.DUMMYFUNCTION("""COMPUTED_VALUE"""),0.5)</f>
        <v>0.5</v>
      </c>
      <c r="C51" s="102" t="str">
        <f>IFERROR(__xludf.DUMMYFUNCTION("""COMPUTED_VALUE"""),"MC")</f>
        <v>MC</v>
      </c>
      <c r="D51" s="102">
        <f>IFERROR(__xludf.DUMMYFUNCTION("""COMPUTED_VALUE"""),12.0)</f>
        <v>12</v>
      </c>
      <c r="E51" s="84"/>
      <c r="F51" s="104" t="str">
        <f>IFERROR(__xludf.DUMMYFUNCTION("""COMPUTED_VALUE"""),"Encouraged: Pre-Calculus")</f>
        <v>Encouraged: Pre-Calculus</v>
      </c>
      <c r="G51" s="102" t="str">
        <f>IFERROR(__xludf.DUMMYFUNCTION("""COMPUTED_VALUE"""),"*")</f>
        <v>*</v>
      </c>
      <c r="H51" s="102" t="str">
        <f>IFERROR(__xludf.DUMMYFUNCTION("""COMPUTED_VALUE"""),"MC")</f>
        <v>MC</v>
      </c>
      <c r="I51" s="102">
        <f>IFERROR(__xludf.DUMMYFUNCTION("""COMPUTED_VALUE"""),12.0)</f>
        <v>12</v>
      </c>
      <c r="J51" s="84"/>
      <c r="K51" s="104" t="str">
        <f>IFERROR(__xludf.DUMMYFUNCTION("""COMPUTED_VALUE"""),"Elective")</f>
        <v>Elective</v>
      </c>
      <c r="L51" s="102">
        <f>IFERROR(__xludf.DUMMYFUNCTION("""COMPUTED_VALUE"""),0.5)</f>
        <v>0.5</v>
      </c>
      <c r="M51" s="102" t="str">
        <f>IFERROR(__xludf.DUMMYFUNCTION("""COMPUTED_VALUE"""),"EL")</f>
        <v>EL</v>
      </c>
      <c r="N51" s="102">
        <f>IFERROR(__xludf.DUMMYFUNCTION("""COMPUTED_VALUE"""),12.0)</f>
        <v>12</v>
      </c>
      <c r="O51" s="84"/>
      <c r="P51" s="104" t="str">
        <f>IFERROR(__xludf.DUMMYFUNCTION("""COMPUTED_VALUE"""),"Arts Specializations")</f>
        <v>Arts Specializations</v>
      </c>
      <c r="Q51" s="105">
        <f>IFERROR(__xludf.DUMMYFUNCTION("""COMPUTED_VALUE"""),0.5)</f>
        <v>0.5</v>
      </c>
      <c r="R51" s="107" t="str">
        <f>IFERROR(__xludf.DUMMYFUNCTION("""COMPUTED_VALUE"""),"FAS")</f>
        <v>FAS</v>
      </c>
      <c r="S51" s="107">
        <f>IFERROR(__xludf.DUMMYFUNCTION("""COMPUTED_VALUE"""),12.0)</f>
        <v>12</v>
      </c>
    </row>
    <row r="52" ht="1.5" customHeight="1">
      <c r="A52" s="106" t="str">
        <f>IFERROR(__xludf.DUMMYFUNCTION("""COMPUTED_VALUE"""),"Science Elective")</f>
        <v>Science Elective</v>
      </c>
      <c r="B52" s="105">
        <f>IFERROR(__xludf.DUMMYFUNCTION("""COMPUTED_VALUE"""),0.5)</f>
        <v>0.5</v>
      </c>
      <c r="C52" s="105" t="str">
        <f>IFERROR(__xludf.DUMMYFUNCTION("""COMPUTED_VALUE"""),"SE")</f>
        <v>SE</v>
      </c>
      <c r="D52" s="105">
        <f>IFERROR(__xludf.DUMMYFUNCTION("""COMPUTED_VALUE"""),12.0)</f>
        <v>12</v>
      </c>
      <c r="E52" s="84"/>
      <c r="F52" s="106" t="str">
        <f>IFERROR(__xludf.DUMMYFUNCTION("""COMPUTED_VALUE"""),"Encouraged: AP Sci. Choice")</f>
        <v>Encouraged: AP Sci. Choice</v>
      </c>
      <c r="G52" s="105" t="str">
        <f>IFERROR(__xludf.DUMMYFUNCTION("""COMPUTED_VALUE"""),"*")</f>
        <v>*</v>
      </c>
      <c r="H52" s="105" t="str">
        <f>IFERROR(__xludf.DUMMYFUNCTION("""COMPUTED_VALUE"""),"SAP")</f>
        <v>SAP</v>
      </c>
      <c r="I52" s="105">
        <f>IFERROR(__xludf.DUMMYFUNCTION("""COMPUTED_VALUE"""),12.0)</f>
        <v>12</v>
      </c>
      <c r="J52" s="84"/>
      <c r="K52" s="106" t="str">
        <f>IFERROR(__xludf.DUMMYFUNCTION("""COMPUTED_VALUE"""),"Tulsa Tech, Intern., Work Study")</f>
        <v>Tulsa Tech, Intern., Work Study</v>
      </c>
      <c r="L52" s="105">
        <f>IFERROR(__xludf.DUMMYFUNCTION("""COMPUTED_VALUE"""),3.0)</f>
        <v>3</v>
      </c>
      <c r="M52" s="105" t="str">
        <f>IFERROR(__xludf.DUMMYFUNCTION("""COMPUTED_VALUE"""),"CAP")</f>
        <v>CAP</v>
      </c>
      <c r="N52" s="105">
        <f>IFERROR(__xludf.DUMMYFUNCTION("""COMPUTED_VALUE"""),12.0)</f>
        <v>12</v>
      </c>
      <c r="O52" s="84"/>
      <c r="P52" s="106" t="str">
        <f>IFERROR(__xludf.DUMMYFUNCTION("""COMPUTED_VALUE"""),"Arts Specializations")</f>
        <v>Arts Specializations</v>
      </c>
      <c r="Q52" s="105">
        <f>IFERROR(__xludf.DUMMYFUNCTION("""COMPUTED_VALUE"""),0.5)</f>
        <v>0.5</v>
      </c>
      <c r="R52" s="107" t="str">
        <f>IFERROR(__xludf.DUMMYFUNCTION("""COMPUTED_VALUE"""),"FAS")</f>
        <v>FAS</v>
      </c>
      <c r="S52" s="107">
        <f>IFERROR(__xludf.DUMMYFUNCTION("""COMPUTED_VALUE"""),12.0)</f>
        <v>12</v>
      </c>
    </row>
    <row r="53" ht="1.5" customHeight="1">
      <c r="A53" s="108" t="str">
        <f>IFERROR(__xludf.DUMMYFUNCTION("""COMPUTED_VALUE"""),"AP Sci. Choice")</f>
        <v>AP Sci. Choice</v>
      </c>
      <c r="B53" s="105">
        <f>IFERROR(__xludf.DUMMYFUNCTION("""COMPUTED_VALUE"""),1.0)</f>
        <v>1</v>
      </c>
      <c r="C53" s="105" t="str">
        <f>IFERROR(__xludf.DUMMYFUNCTION("""COMPUTED_VALUE"""),"SAP")</f>
        <v>SAP</v>
      </c>
      <c r="D53" s="105">
        <f>IFERROR(__xludf.DUMMYFUNCTION("""COMPUTED_VALUE"""),12.0)</f>
        <v>12</v>
      </c>
      <c r="E53" s="84"/>
      <c r="F53" s="106" t="str">
        <f>IFERROR(__xludf.DUMMYFUNCTION("""COMPUTED_VALUE"""),"AP History Choice")</f>
        <v>AP History Choice</v>
      </c>
      <c r="G53" s="105">
        <f>IFERROR(__xludf.DUMMYFUNCTION("""COMPUTED_VALUE"""),1.0)</f>
        <v>1</v>
      </c>
      <c r="H53" s="105" t="str">
        <f>IFERROR(__xludf.DUMMYFUNCTION("""COMPUTED_VALUE"""),"HAP")</f>
        <v>HAP</v>
      </c>
      <c r="I53" s="105">
        <f>IFERROR(__xludf.DUMMYFUNCTION("""COMPUTED_VALUE"""),12.0)</f>
        <v>12</v>
      </c>
      <c r="J53" s="84"/>
      <c r="K53" s="106"/>
      <c r="L53" s="105"/>
      <c r="M53" s="105"/>
      <c r="N53" s="105"/>
      <c r="O53" s="84"/>
      <c r="P53" s="108" t="str">
        <f>IFERROR(__xludf.DUMMYFUNCTION("""COMPUTED_VALUE"""),"Senior Capstone Experience")</f>
        <v>Senior Capstone Experience</v>
      </c>
      <c r="Q53" s="105">
        <f>IFERROR(__xludf.DUMMYFUNCTION("""COMPUTED_VALUE"""),3.0)</f>
        <v>3</v>
      </c>
      <c r="R53" s="107" t="str">
        <f>IFERROR(__xludf.DUMMYFUNCTION("""COMPUTED_VALUE"""),"CAP")</f>
        <v>CAP</v>
      </c>
      <c r="S53" s="107">
        <f>IFERROR(__xludf.DUMMYFUNCTION("""COMPUTED_VALUE"""),12.0)</f>
        <v>12</v>
      </c>
    </row>
    <row r="54" ht="1.5" customHeight="1">
      <c r="A54" s="106" t="str">
        <f>IFERROR(__xludf.DUMMYFUNCTION("""COMPUTED_VALUE"""),"Senior Capstone Experience")</f>
        <v>Senior Capstone Experience</v>
      </c>
      <c r="B54" s="105">
        <f>IFERROR(__xludf.DUMMYFUNCTION("""COMPUTED_VALUE"""),3.0)</f>
        <v>3</v>
      </c>
      <c r="C54" s="105" t="str">
        <f>IFERROR(__xludf.DUMMYFUNCTION("""COMPUTED_VALUE"""),"CAP")</f>
        <v>CAP</v>
      </c>
      <c r="D54" s="105">
        <f>IFERROR(__xludf.DUMMYFUNCTION("""COMPUTED_VALUE"""),12.0)</f>
        <v>12</v>
      </c>
      <c r="E54" s="84"/>
      <c r="F54" s="106" t="str">
        <f>IFERROR(__xludf.DUMMYFUNCTION("""COMPUTED_VALUE"""),"Elective")</f>
        <v>Elective</v>
      </c>
      <c r="G54" s="105">
        <f>IFERROR(__xludf.DUMMYFUNCTION("""COMPUTED_VALUE"""),0.5)</f>
        <v>0.5</v>
      </c>
      <c r="H54" s="105" t="str">
        <f>IFERROR(__xludf.DUMMYFUNCTION("""COMPUTED_VALUE"""),"EL")</f>
        <v>EL</v>
      </c>
      <c r="I54" s="105">
        <f>IFERROR(__xludf.DUMMYFUNCTION("""COMPUTED_VALUE"""),12.0)</f>
        <v>12</v>
      </c>
      <c r="J54" s="84"/>
      <c r="K54" s="106"/>
      <c r="L54" s="105"/>
      <c r="M54" s="105"/>
      <c r="N54" s="105"/>
      <c r="O54" s="84"/>
      <c r="P54" s="106"/>
      <c r="Q54" s="105"/>
      <c r="R54" s="107"/>
      <c r="S54" s="107"/>
    </row>
    <row r="55" ht="1.5" customHeight="1">
      <c r="A55" s="106"/>
      <c r="B55" s="105"/>
      <c r="C55" s="105"/>
      <c r="D55" s="105"/>
      <c r="E55" s="84"/>
      <c r="F55" s="106" t="str">
        <f>IFERROR(__xludf.DUMMYFUNCTION("""COMPUTED_VALUE"""),"Elective")</f>
        <v>Elective</v>
      </c>
      <c r="G55" s="105">
        <f>IFERROR(__xludf.DUMMYFUNCTION("""COMPUTED_VALUE"""),0.5)</f>
        <v>0.5</v>
      </c>
      <c r="H55" s="105" t="str">
        <f>IFERROR(__xludf.DUMMYFUNCTION("""COMPUTED_VALUE"""),"EL")</f>
        <v>EL</v>
      </c>
      <c r="I55" s="105">
        <f>IFERROR(__xludf.DUMMYFUNCTION("""COMPUTED_VALUE"""),12.0)</f>
        <v>12</v>
      </c>
      <c r="J55" s="84"/>
      <c r="K55" s="106"/>
      <c r="L55" s="105"/>
      <c r="M55" s="105"/>
      <c r="N55" s="105"/>
      <c r="O55" s="84"/>
      <c r="P55" s="106"/>
      <c r="Q55" s="105"/>
      <c r="R55" s="107"/>
      <c r="S55" s="107"/>
    </row>
    <row r="56" ht="1.5" customHeight="1">
      <c r="A56" s="106"/>
      <c r="B56" s="105"/>
      <c r="C56" s="105"/>
      <c r="D56" s="105"/>
      <c r="E56" s="84"/>
      <c r="F56" s="106" t="str">
        <f>IFERROR(__xludf.DUMMYFUNCTION("""COMPUTED_VALUE"""),"Senior Capstone Experience")</f>
        <v>Senior Capstone Experience</v>
      </c>
      <c r="G56" s="105">
        <f>IFERROR(__xludf.DUMMYFUNCTION("""COMPUTED_VALUE"""),3.0)</f>
        <v>3</v>
      </c>
      <c r="H56" s="105" t="str">
        <f>IFERROR(__xludf.DUMMYFUNCTION("""COMPUTED_VALUE"""),"CAP")</f>
        <v>CAP</v>
      </c>
      <c r="I56" s="105">
        <f>IFERROR(__xludf.DUMMYFUNCTION("""COMPUTED_VALUE"""),12.0)</f>
        <v>12</v>
      </c>
      <c r="J56" s="84"/>
      <c r="K56" s="106"/>
      <c r="L56" s="105"/>
      <c r="M56" s="105"/>
      <c r="N56" s="105"/>
      <c r="O56" s="84"/>
      <c r="P56" s="106"/>
      <c r="Q56" s="105"/>
      <c r="R56" s="107"/>
      <c r="S56" s="107"/>
    </row>
    <row r="57">
      <c r="A57" s="106"/>
      <c r="B57" s="105"/>
      <c r="C57" s="105"/>
      <c r="D57" s="105"/>
      <c r="E57" s="84"/>
      <c r="F57" s="106"/>
      <c r="G57" s="105"/>
      <c r="H57" s="105"/>
      <c r="I57" s="105"/>
      <c r="J57" s="84"/>
      <c r="K57" s="106"/>
      <c r="L57" s="105"/>
      <c r="M57" s="105"/>
      <c r="N57" s="105"/>
      <c r="O57" s="84"/>
      <c r="P57" s="106"/>
      <c r="Q57" s="105"/>
      <c r="R57" s="107"/>
      <c r="S57" s="107"/>
    </row>
  </sheetData>
  <mergeCells count="4">
    <mergeCell ref="A2:B3"/>
    <mergeCell ref="F2:G3"/>
    <mergeCell ref="K2:L3"/>
    <mergeCell ref="P2:Q3"/>
  </mergeCells>
  <printOptions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5"/>
    <col customWidth="1" min="3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8.13"/>
    <col customWidth="1" min="15" max="15" width="14.5"/>
  </cols>
  <sheetData>
    <row r="1" ht="71.25" customHeight="1">
      <c r="A1" s="109" t="str">
        <f>IFERROR(__xludf.DUMMYFUNCTION("filter(STEM,(INDEX(STEM,,1)&lt;&gt;""""))"),"STEM
College Ready House           ")</f>
        <v>STEM
College Ready House           </v>
      </c>
      <c r="B1" s="110" t="str">
        <f>IFERROR(__xludf.DUMMYFUNCTION("""COMPUTED_VALUE"""),"")</f>
        <v/>
      </c>
      <c r="D1" s="111" t="str">
        <f>IFERROR(__xludf.DUMMYFUNCTION("""COMPUTED_VALUE"""),"STEM")</f>
        <v>STEM</v>
      </c>
      <c r="E1" s="112"/>
      <c r="F1" s="113" t="s">
        <v>105</v>
      </c>
      <c r="L1" s="113"/>
      <c r="M1" s="113"/>
      <c r="N1" s="113"/>
      <c r="O1" s="113"/>
      <c r="P1" s="114"/>
    </row>
    <row r="2">
      <c r="A2" s="115" t="str">
        <f>IFERROR(__xludf.DUMMYFUNCTION("""COMPUTED_VALUE"""),"Course")</f>
        <v>Course</v>
      </c>
      <c r="B2" s="116" t="str">
        <f>IFERROR(__xludf.DUMMYFUNCTION("""COMPUTED_VALUE"""),"Credits")</f>
        <v>Credits</v>
      </c>
      <c r="C2" s="117" t="str">
        <f>IFERROR(__xludf.DUMMYFUNCTION("""COMPUTED_VALUE"""),"Code")</f>
        <v>Code</v>
      </c>
      <c r="D2" s="117" t="str">
        <f>IFERROR(__xludf.DUMMYFUNCTION("""COMPUTED_VALUE"""),"Year")</f>
        <v>Year</v>
      </c>
      <c r="E2" s="112"/>
      <c r="F2" s="112"/>
      <c r="G2" s="107"/>
      <c r="H2" s="118"/>
      <c r="I2" s="119"/>
      <c r="J2" s="120" t="s">
        <v>106</v>
      </c>
      <c r="M2" s="112"/>
      <c r="N2" s="107"/>
      <c r="O2" s="119"/>
      <c r="P2" s="114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3"/>
      <c r="F3" s="115" t="s">
        <v>101</v>
      </c>
      <c r="G3" s="117">
        <f>sum(G4:G14)</f>
        <v>7</v>
      </c>
      <c r="H3" s="116" t="s">
        <v>107</v>
      </c>
      <c r="I3" s="117"/>
      <c r="J3" s="117">
        <v>1.0</v>
      </c>
      <c r="K3" s="117">
        <v>2.0</v>
      </c>
      <c r="L3" s="124"/>
      <c r="M3" s="115" t="s">
        <v>108</v>
      </c>
      <c r="N3" s="117" t="s">
        <v>109</v>
      </c>
      <c r="O3" s="116" t="s">
        <v>110</v>
      </c>
      <c r="P3" s="125"/>
    </row>
    <row r="4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7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  <c r="P4" s="125"/>
    </row>
    <row r="5">
      <c r="A5" s="59" t="str">
        <f>IFERROR(__xludf.DUMMYFUNCTION("""COMPUTED_VALUE"""),"Critical Reading 10")</f>
        <v>Critical Reading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3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29" t="b">
        <v>0</v>
      </c>
      <c r="L5" s="124"/>
      <c r="M5" s="133"/>
      <c r="N5" s="131" t="b">
        <v>0</v>
      </c>
      <c r="O5" s="131" t="b">
        <v>0</v>
      </c>
      <c r="P5" s="125"/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3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32"/>
      <c r="L6" s="124"/>
      <c r="M6" s="133"/>
      <c r="N6" s="131" t="b">
        <v>0</v>
      </c>
      <c r="O6" s="131" t="b">
        <v>0</v>
      </c>
      <c r="P6" s="125"/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3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32"/>
      <c r="L7" s="124"/>
      <c r="M7" s="133"/>
      <c r="N7" s="131" t="b">
        <v>0</v>
      </c>
      <c r="O7" s="131" t="b">
        <v>0</v>
      </c>
      <c r="P7" s="125"/>
    </row>
    <row r="8">
      <c r="A8" s="134" t="str">
        <f>IFERROR(__xludf.DUMMYFUNCTION("""COMPUTED_VALUE"""),"Mathematics")</f>
        <v>Mathematics</v>
      </c>
      <c r="B8" s="135">
        <f>IFERROR(__xludf.DUMMYFUNCTION("""COMPUTED_VALUE"""),4.5)</f>
        <v>4.5</v>
      </c>
      <c r="C8" s="136"/>
      <c r="D8" s="136"/>
      <c r="E8" s="123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P8" s="125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3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32" t="b">
        <v>0</v>
      </c>
      <c r="L9" s="124"/>
      <c r="M9" s="115" t="s">
        <v>111</v>
      </c>
      <c r="N9" s="117" t="s">
        <v>112</v>
      </c>
      <c r="P9" s="125"/>
    </row>
    <row r="10">
      <c r="A10" s="137" t="str">
        <f>IFERROR(__xludf.DUMMYFUNCTION("""COMPUTED_VALUE"""),"Algebra II")</f>
        <v>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3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32"/>
      <c r="L10" s="124"/>
      <c r="M10" s="130"/>
      <c r="N10" s="139">
        <v>1.0</v>
      </c>
      <c r="P10" s="125"/>
    </row>
    <row r="11">
      <c r="A11" s="137" t="str">
        <f>IFERROR(__xludf.DUMMYFUNCTION("""COMPUTED_VALUE"""),"Geometry")</f>
        <v>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3"/>
      <c r="F11" s="123" t="str">
        <f>IFERROR(__xludf.DUMMYFUNCTION("""COMPUTED_VALUE"""),"Visual/Performing Arts")</f>
        <v>Visual/Performing Arts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32"/>
      <c r="L11" s="124"/>
      <c r="M11" s="133"/>
      <c r="N11" s="139">
        <v>2.0</v>
      </c>
      <c r="P11" s="125"/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3"/>
      <c r="F12" s="123" t="str">
        <f>IFERROR(__xludf.DUMMYFUNCTION("""COMPUTED_VALUE"""),"Visual/Performing Arts")</f>
        <v>Visual/Performing Arts</v>
      </c>
      <c r="G12" s="132">
        <f>IFERROR(__xludf.DUMMYFUNCTION("""COMPUTED_VALUE"""),0.5)</f>
        <v>0.5</v>
      </c>
      <c r="H12" s="132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  <c r="P12" s="125"/>
    </row>
    <row r="13">
      <c r="A13" s="137" t="str">
        <f>IFERROR(__xludf.DUMMYFUNCTION("""COMPUTED_VALUE"""),"Trigonometry")</f>
        <v>Trigonometry</v>
      </c>
      <c r="B13" s="38">
        <f>IFERROR(__xludf.DUMMYFUNCTION("""COMPUTED_VALUE"""),0.5)</f>
        <v>0.5</v>
      </c>
      <c r="C13" s="28" t="str">
        <f>IFERROR(__xludf.DUMMYFUNCTION("""COMPUTED_VALUE"""),"MT")</f>
        <v>MT</v>
      </c>
      <c r="D13" s="138">
        <f>IFERROR(__xludf.DUMMYFUNCTION("""COMPUTED_VALUE"""),12.0)</f>
        <v>12</v>
      </c>
      <c r="E13" s="123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  <c r="P13" s="125"/>
    </row>
    <row r="14">
      <c r="A14" s="137" t="str">
        <f>IFERROR(__xludf.DUMMYFUNCTION("""COMPUTED_VALUE"""),"Pre-Calculus")</f>
        <v>Pre-Calculus</v>
      </c>
      <c r="B14" s="38">
        <f>IFERROR(__xludf.DUMMYFUNCTION("""COMPUTED_VALUE"""),0.5)</f>
        <v>0.5</v>
      </c>
      <c r="C14" s="28" t="str">
        <f>IFERROR(__xludf.DUMMYFUNCTION("""COMPUTED_VALUE"""),"MC")</f>
        <v>MC</v>
      </c>
      <c r="D14" s="138">
        <f>IFERROR(__xludf.DUMMYFUNCTION("""COMPUTED_VALUE"""),12.0)</f>
        <v>12</v>
      </c>
      <c r="E14" s="123"/>
      <c r="F14" s="123"/>
      <c r="G14" s="132"/>
      <c r="H14" s="132"/>
      <c r="I14" s="132"/>
      <c r="J14" s="132"/>
      <c r="K14" s="132"/>
      <c r="L14" s="124"/>
      <c r="M14" s="133"/>
      <c r="N14" s="139">
        <v>5.0</v>
      </c>
      <c r="P14" s="125"/>
    </row>
    <row r="15">
      <c r="A15" s="134" t="str">
        <f>IFERROR(__xludf.DUMMYFUNCTION("""COMPUTED_VALUE"""),"Lab Sciences")</f>
        <v>Lab Sciences</v>
      </c>
      <c r="B15" s="135">
        <f>IFERROR(__xludf.DUMMYFUNCTION("""COMPUTED_VALUE"""),5.0)</f>
        <v>5</v>
      </c>
      <c r="C15" s="136"/>
      <c r="D15" s="136"/>
      <c r="E15" s="123"/>
      <c r="F15" s="115" t="s">
        <v>102</v>
      </c>
      <c r="G15" s="117">
        <f>sum(G16:G25)</f>
        <v>7</v>
      </c>
      <c r="H15" s="116" t="s">
        <v>107</v>
      </c>
      <c r="I15" s="117"/>
      <c r="J15" s="117"/>
      <c r="K15" s="117"/>
      <c r="L15" s="124"/>
      <c r="M15" s="133"/>
      <c r="N15" s="139">
        <v>6.0</v>
      </c>
      <c r="P15" s="125"/>
    </row>
    <row r="16">
      <c r="A16" s="59" t="str">
        <f>IFERROR(__xludf.DUMMYFUNCTION("""COMPUTED_VALUE"""),"Biology")</f>
        <v>Biology</v>
      </c>
      <c r="B16" s="28">
        <f>IFERROR(__xludf.DUMMYFUNCTION("""COMPUTED_VALUE"""),1.0)</f>
        <v>1</v>
      </c>
      <c r="C16" s="28" t="str">
        <f>IFERROR(__xludf.DUMMYFUNCTION("""COMPUTED_VALUE"""),"SB")</f>
        <v>SB</v>
      </c>
      <c r="D16" s="138">
        <f>IFERROR(__xludf.DUMMYFUNCTION("""COMPUTED_VALUE"""),9.0)</f>
        <v>9</v>
      </c>
      <c r="E16" s="123"/>
      <c r="F16" s="128" t="str">
        <f>IFERROR(__xludf.DUMMYFUNCTION("Filter(indirect($D$1),INDEX(INDIRECT($D$1),,4)=10)"),"Critical Reading 10")</f>
        <v>Critical Reading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  <c r="P16" s="125"/>
    </row>
    <row r="17">
      <c r="A17" s="59" t="str">
        <f>IFERROR(__xludf.DUMMYFUNCTION("""COMPUTED_VALUE"""),"Science Elective")</f>
        <v>Science Elective</v>
      </c>
      <c r="B17" s="28">
        <f>IFERROR(__xludf.DUMMYFUNCTION("""COMPUTED_VALUE"""),0.5)</f>
        <v>0.5</v>
      </c>
      <c r="C17" s="28" t="str">
        <f>IFERROR(__xludf.DUMMYFUNCTION("""COMPUTED_VALUE"""),"SE")</f>
        <v>SE</v>
      </c>
      <c r="D17" s="138">
        <f>IFERROR(__xludf.DUMMYFUNCTION("""COMPUTED_VALUE"""),10.0)</f>
        <v>10</v>
      </c>
      <c r="E17" s="123"/>
      <c r="F17" s="123" t="str">
        <f>IFERROR(__xludf.DUMMYFUNCTION("""COMPUTED_VALUE"""),"Geometry")</f>
        <v>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32" t="b">
        <v>0</v>
      </c>
      <c r="K17" s="132" t="b">
        <v>0</v>
      </c>
      <c r="L17" s="124"/>
      <c r="M17" s="133"/>
      <c r="N17" s="139">
        <v>8.0</v>
      </c>
      <c r="P17" s="125"/>
    </row>
    <row r="18">
      <c r="A18" s="59" t="str">
        <f>IFERROR(__xludf.DUMMYFUNCTION("""COMPUTED_VALUE"""),"Conceptual Physics")</f>
        <v>Conceptual Physics</v>
      </c>
      <c r="B18" s="28">
        <f>IFERROR(__xludf.DUMMYFUNCTION("""COMPUTED_VALUE"""),1.0)</f>
        <v>1</v>
      </c>
      <c r="C18" s="28" t="str">
        <f>IFERROR(__xludf.DUMMYFUNCTION("""COMPUTED_VALUE"""),"SP")</f>
        <v>SP</v>
      </c>
      <c r="D18" s="138">
        <f>IFERROR(__xludf.DUMMYFUNCTION("""COMPUTED_VALUE"""),10.0)</f>
        <v>10</v>
      </c>
      <c r="E18" s="123"/>
      <c r="F18" s="123" t="str">
        <f>IFERROR(__xludf.DUMMYFUNCTION("""COMPUTED_VALUE"""),"Science Elective")</f>
        <v>Science Elective</v>
      </c>
      <c r="G18" s="28">
        <f>IFERROR(__xludf.DUMMYFUNCTION("""COMPUTED_VALUE"""),0.5)</f>
        <v>0.5</v>
      </c>
      <c r="H18" s="132" t="str">
        <f>IFERROR(__xludf.DUMMYFUNCTION("""COMPUTED_VALUE"""),"SE")</f>
        <v>SE</v>
      </c>
      <c r="I18" s="132">
        <f>IFERROR(__xludf.DUMMYFUNCTION("""COMPUTED_VALUE"""),10.0)</f>
        <v>10</v>
      </c>
      <c r="J18" s="132" t="b">
        <v>0</v>
      </c>
      <c r="K18" s="132"/>
      <c r="L18" s="124"/>
      <c r="M18" s="123"/>
      <c r="N18" s="28"/>
      <c r="O18" s="132"/>
      <c r="P18" s="125"/>
    </row>
    <row r="19">
      <c r="A19" s="59" t="str">
        <f>IFERROR(__xludf.DUMMYFUNCTION("""COMPUTED_VALUE"""),"Science Elective")</f>
        <v>Science Elective</v>
      </c>
      <c r="B19" s="28">
        <f>IFERROR(__xludf.DUMMYFUNCTION("""COMPUTED_VALUE"""),0.5)</f>
        <v>0.5</v>
      </c>
      <c r="C19" s="28" t="str">
        <f>IFERROR(__xludf.DUMMYFUNCTION("""COMPUTED_VALUE"""),"SE")</f>
        <v>SE</v>
      </c>
      <c r="D19" s="138">
        <f>IFERROR(__xludf.DUMMYFUNCTION("""COMPUTED_VALUE"""),12.0)</f>
        <v>12</v>
      </c>
      <c r="E19" s="123"/>
      <c r="F19" s="123" t="str">
        <f>IFERROR(__xludf.DUMMYFUNCTION("""COMPUTED_VALUE"""),"Conceptual Physics")</f>
        <v>Conceptual Physics</v>
      </c>
      <c r="G19" s="28">
        <f>IFERROR(__xludf.DUMMYFUNCTION("""COMPUTED_VALUE"""),1.0)</f>
        <v>1</v>
      </c>
      <c r="H19" s="132" t="str">
        <f>IFERROR(__xludf.DUMMYFUNCTION("""COMPUTED_VALUE"""),"SP")</f>
        <v>SP</v>
      </c>
      <c r="I19" s="132">
        <f>IFERROR(__xludf.DUMMYFUNCTION("""COMPUTED_VALUE"""),10.0)</f>
        <v>10</v>
      </c>
      <c r="J19" s="132" t="b">
        <v>0</v>
      </c>
      <c r="K19" s="132" t="b">
        <v>0</v>
      </c>
      <c r="L19" s="124"/>
      <c r="P19" s="125"/>
    </row>
    <row r="20">
      <c r="A20" s="59" t="str">
        <f>IFERROR(__xludf.DUMMYFUNCTION("""COMPUTED_VALUE"""),"Chemistry")</f>
        <v>Chemistry</v>
      </c>
      <c r="B20" s="28">
        <f>IFERROR(__xludf.DUMMYFUNCTION("""COMPUTED_VALUE"""),1.0)</f>
        <v>1</v>
      </c>
      <c r="C20" s="28" t="str">
        <f>IFERROR(__xludf.DUMMYFUNCTION("""COMPUTED_VALUE"""),"SC")</f>
        <v>SC</v>
      </c>
      <c r="D20" s="138">
        <f>IFERROR(__xludf.DUMMYFUNCTION("""COMPUTED_VALUE"""),11.0)</f>
        <v>11</v>
      </c>
      <c r="E20" s="123"/>
      <c r="F20" s="123" t="str">
        <f>IFERROR(__xludf.DUMMYFUNCTION("""COMPUTED_VALUE"""),"US History")</f>
        <v>US History</v>
      </c>
      <c r="G20" s="28">
        <f>IFERROR(__xludf.DUMMYFUNCTION("""COMPUTED_VALUE"""),1.0)</f>
        <v>1</v>
      </c>
      <c r="H20" s="132" t="str">
        <f>IFERROR(__xludf.DUMMYFUNCTION("""COMPUTED_VALUE"""),"HUS")</f>
        <v>HUS</v>
      </c>
      <c r="I20" s="132">
        <f>IFERROR(__xludf.DUMMYFUNCTION("""COMPUTED_VALUE"""),10.0)</f>
        <v>10</v>
      </c>
      <c r="J20" s="132" t="b">
        <v>0</v>
      </c>
      <c r="K20" s="132" t="b">
        <v>0</v>
      </c>
      <c r="L20" s="124"/>
      <c r="P20" s="125"/>
    </row>
    <row r="21">
      <c r="A21" s="137" t="str">
        <f>IFERROR(__xludf.DUMMYFUNCTION("""COMPUTED_VALUE"""),"AP Sci. Choice")</f>
        <v>AP Sci. Choice</v>
      </c>
      <c r="B21" s="38">
        <f>IFERROR(__xludf.DUMMYFUNCTION("""COMPUTED_VALUE"""),1.0)</f>
        <v>1</v>
      </c>
      <c r="C21" s="28" t="str">
        <f>IFERROR(__xludf.DUMMYFUNCTION("""COMPUTED_VALUE"""),"SAP")</f>
        <v>SAP</v>
      </c>
      <c r="D21" s="138">
        <f>IFERROR(__xludf.DUMMYFUNCTION("""COMPUTED_VALUE"""),12.0)</f>
        <v>12</v>
      </c>
      <c r="E21" s="123"/>
      <c r="F21" s="123" t="str">
        <f>IFERROR(__xludf.DUMMYFUNCTION("""COMPUTED_VALUE"""),"Foreign Language II")</f>
        <v>Foreign Language II</v>
      </c>
      <c r="G21" s="28">
        <f>IFERROR(__xludf.DUMMYFUNCTION("""COMPUTED_VALUE"""),1.0)</f>
        <v>1</v>
      </c>
      <c r="H21" s="132" t="str">
        <f>IFERROR(__xludf.DUMMYFUNCTION("""COMPUTED_VALUE"""),"FL2")</f>
        <v>FL2</v>
      </c>
      <c r="I21" s="132">
        <f>IFERROR(__xludf.DUMMYFUNCTION("""COMPUTED_VALUE"""),10.0)</f>
        <v>10</v>
      </c>
      <c r="J21" s="132" t="b">
        <v>0</v>
      </c>
      <c r="K21" s="132" t="b">
        <v>0</v>
      </c>
      <c r="L21" s="124"/>
      <c r="P21" s="125"/>
    </row>
    <row r="22">
      <c r="A22" s="134" t="str">
        <f>IFERROR(__xludf.DUMMYFUNCTION("""COMPUTED_VALUE"""),"History")</f>
        <v>History</v>
      </c>
      <c r="B22" s="135">
        <f>IFERROR(__xludf.DUMMYFUNCTION("""COMPUTED_VALUE"""),3.0)</f>
        <v>3</v>
      </c>
      <c r="C22" s="136"/>
      <c r="D22" s="136"/>
      <c r="E22" s="123"/>
      <c r="F22" s="123" t="str">
        <f>IFERROR(__xludf.DUMMYFUNCTION("""COMPUTED_VALUE"""),"Intro to Computer Science")</f>
        <v>Intro to Computer Science</v>
      </c>
      <c r="G22" s="28">
        <f>IFERROR(__xludf.DUMMYFUNCTION("""COMPUTED_VALUE"""),0.5)</f>
        <v>0.5</v>
      </c>
      <c r="H22" s="132" t="str">
        <f>IFERROR(__xludf.DUMMYFUNCTION("""COMPUTED_VALUE"""),"CA")</f>
        <v>CA</v>
      </c>
      <c r="I22" s="132">
        <f>IFERROR(__xludf.DUMMYFUNCTION("""COMPUTED_VALUE"""),10.0)</f>
        <v>10</v>
      </c>
      <c r="J22" s="132" t="b">
        <v>0</v>
      </c>
      <c r="K22" s="28"/>
      <c r="L22" s="124"/>
      <c r="P22" s="125"/>
    </row>
    <row r="23">
      <c r="A23" s="59" t="str">
        <f>IFERROR(__xludf.DUMMYFUNCTION("""COMPUTED_VALUE"""),"OK History")</f>
        <v>OK History</v>
      </c>
      <c r="B23" s="28">
        <f>IFERROR(__xludf.DUMMYFUNCTION("""COMPUTED_VALUE"""),0.5)</f>
        <v>0.5</v>
      </c>
      <c r="C23" s="28" t="str">
        <f>IFERROR(__xludf.DUMMYFUNCTION("""COMPUTED_VALUE"""),"HOK")</f>
        <v>HOK</v>
      </c>
      <c r="D23" s="138">
        <f>IFERROR(__xludf.DUMMYFUNCTION("""COMPUTED_VALUE"""),9.0)</f>
        <v>9</v>
      </c>
      <c r="E23" s="123"/>
      <c r="F23" s="123" t="str">
        <f>IFERROR(__xludf.DUMMYFUNCTION("""COMPUTED_VALUE"""),"Elective")</f>
        <v>Elective</v>
      </c>
      <c r="G23" s="28">
        <f>IFERROR(__xludf.DUMMYFUNCTION("""COMPUTED_VALUE"""),0.5)</f>
        <v>0.5</v>
      </c>
      <c r="H23" s="132" t="str">
        <f>IFERROR(__xludf.DUMMYFUNCTION("""COMPUTED_VALUE"""),"EL")</f>
        <v>EL</v>
      </c>
      <c r="I23" s="132">
        <f>IFERROR(__xludf.DUMMYFUNCTION("""COMPUTED_VALUE"""),10.0)</f>
        <v>10</v>
      </c>
      <c r="J23" s="132" t="b">
        <v>0</v>
      </c>
      <c r="K23" s="28"/>
      <c r="L23" s="124"/>
      <c r="P23" s="125"/>
    </row>
    <row r="24">
      <c r="A24" s="59" t="str">
        <f>IFERROR(__xludf.DUMMYFUNCTION("""COMPUTED_VALUE"""),"Government")</f>
        <v>Government</v>
      </c>
      <c r="B24" s="38">
        <f>IFERROR(__xludf.DUMMYFUNCTION("""COMPUTED_VALUE"""),0.5)</f>
        <v>0.5</v>
      </c>
      <c r="C24" s="28" t="str">
        <f>IFERROR(__xludf.DUMMYFUNCTION("""COMPUTED_VALUE"""),"HG")</f>
        <v>HG</v>
      </c>
      <c r="D24" s="138">
        <f>IFERROR(__xludf.DUMMYFUNCTION("""COMPUTED_VALUE"""),9.0)</f>
        <v>9</v>
      </c>
      <c r="E24" s="123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32" t="b">
        <v>0</v>
      </c>
      <c r="K24" s="28"/>
      <c r="L24" s="124"/>
      <c r="P24" s="125"/>
    </row>
    <row r="25">
      <c r="A25" s="59" t="str">
        <f>IFERROR(__xludf.DUMMYFUNCTION("""COMPUTED_VALUE"""),"US History")</f>
        <v>US History</v>
      </c>
      <c r="B25" s="28">
        <f>IFERROR(__xludf.DUMMYFUNCTION("""COMPUTED_VALUE"""),1.0)</f>
        <v>1</v>
      </c>
      <c r="C25" s="28" t="str">
        <f>IFERROR(__xludf.DUMMYFUNCTION("""COMPUTED_VALUE"""),"HUS")</f>
        <v>HUS</v>
      </c>
      <c r="D25" s="138">
        <f>IFERROR(__xludf.DUMMYFUNCTION("""COMPUTED_VALUE"""),10.0)</f>
        <v>10</v>
      </c>
      <c r="E25" s="123"/>
      <c r="F25" s="123"/>
      <c r="G25" s="28"/>
      <c r="H25" s="132"/>
      <c r="I25" s="132"/>
      <c r="J25" s="132"/>
      <c r="K25" s="28"/>
      <c r="L25" s="124"/>
      <c r="P25" s="125"/>
    </row>
    <row r="26">
      <c r="A26" s="137" t="str">
        <f>IFERROR(__xludf.DUMMYFUNCTION("""COMPUTED_VALUE"""),"Non-Western or World History")</f>
        <v>Non-Western or World History</v>
      </c>
      <c r="B26" s="38">
        <f>IFERROR(__xludf.DUMMYFUNCTION("""COMPUTED_VALUE"""),1.0)</f>
        <v>1</v>
      </c>
      <c r="C26" s="28" t="str">
        <f>IFERROR(__xludf.DUMMYFUNCTION("""COMPUTED_VALUE"""),"HW")</f>
        <v>HW</v>
      </c>
      <c r="D26" s="138">
        <f>IFERROR(__xludf.DUMMYFUNCTION("""COMPUTED_VALUE"""),11.0)</f>
        <v>11</v>
      </c>
      <c r="E26" s="123"/>
      <c r="F26" s="128"/>
      <c r="G26" s="38"/>
      <c r="H26" s="140"/>
      <c r="I26" s="129"/>
      <c r="J26" s="132"/>
      <c r="K26" s="124"/>
      <c r="L26" s="124"/>
      <c r="P26" s="125"/>
    </row>
    <row r="27">
      <c r="A27" s="134" t="str">
        <f>IFERROR(__xludf.DUMMYFUNCTION("""COMPUTED_VALUE"""),"World Language")</f>
        <v>World Language</v>
      </c>
      <c r="B27" s="135">
        <f>IFERROR(__xludf.DUMMYFUNCTION("""COMPUTED_VALUE"""),2.0)</f>
        <v>2</v>
      </c>
      <c r="C27" s="136"/>
      <c r="D27" s="136"/>
      <c r="E27" s="123"/>
      <c r="F27" s="115" t="s">
        <v>103</v>
      </c>
      <c r="G27" s="117">
        <f>sum(G28:G35)</f>
        <v>6</v>
      </c>
      <c r="H27" s="116" t="s">
        <v>107</v>
      </c>
      <c r="I27" s="117"/>
      <c r="J27" s="117"/>
      <c r="K27" s="117"/>
      <c r="L27" s="124"/>
      <c r="P27" s="125"/>
    </row>
    <row r="28">
      <c r="A28" s="59" t="str">
        <f>IFERROR(__xludf.DUMMYFUNCTION("""COMPUTED_VALUE"""),"Foreign Language I")</f>
        <v>Foreign Language I</v>
      </c>
      <c r="B28" s="28">
        <f>IFERROR(__xludf.DUMMYFUNCTION("""COMPUTED_VALUE"""),1.0)</f>
        <v>1</v>
      </c>
      <c r="C28" s="28" t="str">
        <f>IFERROR(__xludf.DUMMYFUNCTION("""COMPUTED_VALUE"""),"FL1")</f>
        <v>FL1</v>
      </c>
      <c r="D28" s="138">
        <f>IFERROR(__xludf.DUMMYFUNCTION("""COMPUTED_VALUE"""),9.0)</f>
        <v>9</v>
      </c>
      <c r="E28" s="128"/>
      <c r="F28" s="128" t="str">
        <f>IFERROR(__xludf.DUMMYFUNCTION("Filter(indirect($D$1),INDEX(INDIRECT($D$1),,4)=11)"),"Critical Writing or AP")</f>
        <v>Critical Writing or AP</v>
      </c>
      <c r="G28" s="129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24"/>
      <c r="N28" s="131"/>
      <c r="O28" s="131"/>
      <c r="P28" s="125"/>
    </row>
    <row r="29">
      <c r="A29" s="137" t="str">
        <f>IFERROR(__xludf.DUMMYFUNCTION("""COMPUTED_VALUE"""),"Foreign Language II")</f>
        <v>Foreign Language II</v>
      </c>
      <c r="B29" s="38">
        <f>IFERROR(__xludf.DUMMYFUNCTION("""COMPUTED_VALUE"""),1.0)</f>
        <v>1</v>
      </c>
      <c r="C29" s="28" t="str">
        <f>IFERROR(__xludf.DUMMYFUNCTION("""COMPUTED_VALUE"""),"FL2")</f>
        <v>FL2</v>
      </c>
      <c r="D29" s="138">
        <f>IFERROR(__xludf.DUMMYFUNCTION("""COMPUTED_VALUE"""),10.0)</f>
        <v>10</v>
      </c>
      <c r="E29" s="128"/>
      <c r="F29" s="128" t="str">
        <f>IFERROR(__xludf.DUMMYFUNCTION("""COMPUTED_VALUE"""),"Algebra II")</f>
        <v>Algebra II</v>
      </c>
      <c r="G29" s="132">
        <f>IFERROR(__xludf.DUMMYFUNCTION("""COMPUTED_VALUE"""),1.0)</f>
        <v>1</v>
      </c>
      <c r="H29" s="132" t="str">
        <f>IFERROR(__xludf.DUMMYFUNCTION("""COMPUTED_VALUE"""),"MA2")</f>
        <v>MA2</v>
      </c>
      <c r="I29" s="132">
        <f>IFERROR(__xludf.DUMMYFUNCTION("""COMPUTED_VALUE"""),11.0)</f>
        <v>11</v>
      </c>
      <c r="J29" s="132" t="b">
        <v>0</v>
      </c>
      <c r="K29" s="132" t="b">
        <v>0</v>
      </c>
      <c r="L29" s="124"/>
      <c r="M29" s="124"/>
      <c r="N29" s="131"/>
      <c r="O29" s="131"/>
      <c r="P29" s="125"/>
    </row>
    <row r="30">
      <c r="A30" s="134" t="str">
        <f>IFERROR(__xludf.DUMMYFUNCTION("""COMPUTED_VALUE"""),"Computer Technology")</f>
        <v>Computer Technology</v>
      </c>
      <c r="B30" s="135">
        <f>IFERROR(__xludf.DUMMYFUNCTION("""COMPUTED_VALUE"""),2.5)</f>
        <v>2.5</v>
      </c>
      <c r="C30" s="136"/>
      <c r="D30" s="136"/>
      <c r="E30" s="128"/>
      <c r="F30" s="128" t="str">
        <f>IFERROR(__xludf.DUMMYFUNCTION("""COMPUTED_VALUE"""),"Personal Finance")</f>
        <v>Personal Finance</v>
      </c>
      <c r="G30" s="132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32" t="b">
        <v>0</v>
      </c>
      <c r="K30" s="132" t="b">
        <v>0</v>
      </c>
      <c r="L30" s="124"/>
      <c r="M30" s="124"/>
      <c r="N30" s="131"/>
      <c r="O30" s="131"/>
      <c r="P30" s="125"/>
    </row>
    <row r="31">
      <c r="A31" s="59" t="str">
        <f>IFERROR(__xludf.DUMMYFUNCTION("""COMPUTED_VALUE"""),"Intro to Digital Literacy")</f>
        <v>Intro to Digital Literacy</v>
      </c>
      <c r="B31" s="28">
        <f>IFERROR(__xludf.DUMMYFUNCTION("""COMPUTED_VALUE"""),0.5)</f>
        <v>0.5</v>
      </c>
      <c r="C31" s="28" t="str">
        <f>IFERROR(__xludf.DUMMYFUNCTION("""COMPUTED_VALUE"""),"CA")</f>
        <v>CA</v>
      </c>
      <c r="D31" s="138">
        <f>IFERROR(__xludf.DUMMYFUNCTION("""COMPUTED_VALUE"""),9.0)</f>
        <v>9</v>
      </c>
      <c r="E31" s="128"/>
      <c r="F31" s="128" t="str">
        <f>IFERROR(__xludf.DUMMYFUNCTION("""COMPUTED_VALUE"""),"Chemistry")</f>
        <v>Chemistry</v>
      </c>
      <c r="G31" s="132">
        <f>IFERROR(__xludf.DUMMYFUNCTION("""COMPUTED_VALUE"""),1.0)</f>
        <v>1</v>
      </c>
      <c r="H31" s="132" t="str">
        <f>IFERROR(__xludf.DUMMYFUNCTION("""COMPUTED_VALUE"""),"SC")</f>
        <v>SC</v>
      </c>
      <c r="I31" s="132">
        <f>IFERROR(__xludf.DUMMYFUNCTION("""COMPUTED_VALUE"""),11.0)</f>
        <v>11</v>
      </c>
      <c r="J31" s="132" t="b">
        <v>0</v>
      </c>
      <c r="K31" s="132" t="b">
        <v>0</v>
      </c>
      <c r="L31" s="124"/>
      <c r="M31" s="124"/>
      <c r="N31" s="131"/>
      <c r="O31" s="131"/>
      <c r="P31" s="125"/>
    </row>
    <row r="32">
      <c r="A32" s="59" t="str">
        <f>IFERROR(__xludf.DUMMYFUNCTION("""COMPUTED_VALUE"""),"Intro to Computer Science")</f>
        <v>Intro to Computer Science</v>
      </c>
      <c r="B32" s="28">
        <f>IFERROR(__xludf.DUMMYFUNCTION("""COMPUTED_VALUE"""),0.5)</f>
        <v>0.5</v>
      </c>
      <c r="C32" s="28" t="str">
        <f>IFERROR(__xludf.DUMMYFUNCTION("""COMPUTED_VALUE"""),"CA")</f>
        <v>CA</v>
      </c>
      <c r="D32" s="138">
        <f>IFERROR(__xludf.DUMMYFUNCTION("""COMPUTED_VALUE"""),10.0)</f>
        <v>10</v>
      </c>
      <c r="E32" s="124"/>
      <c r="F32" s="128" t="str">
        <f>IFERROR(__xludf.DUMMYFUNCTION("""COMPUTED_VALUE"""),"Non-Western or World History")</f>
        <v>Non-Western or World History</v>
      </c>
      <c r="G32" s="132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32" t="b">
        <v>0</v>
      </c>
      <c r="K32" s="132" t="b">
        <v>0</v>
      </c>
      <c r="L32" s="124"/>
      <c r="M32" s="124"/>
      <c r="N32" s="131"/>
      <c r="O32" s="131"/>
      <c r="P32" s="125"/>
    </row>
    <row r="33">
      <c r="A33" s="137" t="str">
        <f>IFERROR(__xludf.DUMMYFUNCTION("""COMPUTED_VALUE"""),"AP Com. Sci. Principles")</f>
        <v>AP Com. Sci. Principles</v>
      </c>
      <c r="B33" s="38">
        <f>IFERROR(__xludf.DUMMYFUNCTION("""COMPUTED_VALUE"""),1.5)</f>
        <v>1.5</v>
      </c>
      <c r="C33" s="28" t="str">
        <f>IFERROR(__xludf.DUMMYFUNCTION("""COMPUTED_VALUE"""),"CSAP")</f>
        <v>CSAP</v>
      </c>
      <c r="D33" s="138">
        <f>IFERROR(__xludf.DUMMYFUNCTION("""COMPUTED_VALUE"""),11.0)</f>
        <v>11</v>
      </c>
      <c r="E33" s="124"/>
      <c r="F33" s="128" t="str">
        <f>IFERROR(__xludf.DUMMYFUNCTION("""COMPUTED_VALUE"""),"AP Com. Sci. Principles")</f>
        <v>AP Com. Sci. Principles</v>
      </c>
      <c r="G33" s="132">
        <f>IFERROR(__xludf.DUMMYFUNCTION("""COMPUTED_VALUE"""),1.5)</f>
        <v>1.5</v>
      </c>
      <c r="H33" s="132" t="str">
        <f>IFERROR(__xludf.DUMMYFUNCTION("""COMPUTED_VALUE"""),"CSAP")</f>
        <v>CSAP</v>
      </c>
      <c r="I33" s="132">
        <f>IFERROR(__xludf.DUMMYFUNCTION("""COMPUTED_VALUE"""),11.0)</f>
        <v>11</v>
      </c>
      <c r="J33" s="132" t="b">
        <v>0</v>
      </c>
      <c r="K33" s="132"/>
      <c r="L33" s="124"/>
      <c r="M33" s="124"/>
      <c r="N33" s="131"/>
      <c r="O33" s="131"/>
      <c r="P33" s="125"/>
    </row>
    <row r="34">
      <c r="A34" s="134" t="str">
        <f>IFERROR(__xludf.DUMMYFUNCTION("""COMPUTED_VALUE"""),"Fine Arts")</f>
        <v>Fine Arts</v>
      </c>
      <c r="B34" s="135">
        <f>IFERROR(__xludf.DUMMYFUNCTION("""COMPUTED_VALUE"""),1.0)</f>
        <v>1</v>
      </c>
      <c r="C34" s="136"/>
      <c r="D34" s="136"/>
      <c r="E34" s="123"/>
      <c r="F34" s="128"/>
      <c r="G34" s="132"/>
      <c r="H34" s="132"/>
      <c r="I34" s="132"/>
      <c r="J34" s="132"/>
      <c r="K34" s="132"/>
      <c r="L34" s="124"/>
      <c r="M34" s="123"/>
      <c r="N34" s="28"/>
      <c r="O34" s="132"/>
      <c r="P34" s="125"/>
    </row>
    <row r="35">
      <c r="A35" s="59" t="str">
        <f>IFERROR(__xludf.DUMMYFUNCTION("""COMPUTED_VALUE"""),"Visual/Performing Arts")</f>
        <v>Visual/Performing Arts</v>
      </c>
      <c r="B35" s="28">
        <f>IFERROR(__xludf.DUMMYFUNCTION("""COMPUTED_VALUE"""),0.5)</f>
        <v>0.5</v>
      </c>
      <c r="C35" s="28" t="str">
        <f>IFERROR(__xludf.DUMMYFUNCTION("""COMPUTED_VALUE"""),"FAF")</f>
        <v>FAF</v>
      </c>
      <c r="D35" s="138">
        <f>IFERROR(__xludf.DUMMYFUNCTION("""COMPUTED_VALUE"""),9.0)</f>
        <v>9</v>
      </c>
      <c r="E35" s="123"/>
      <c r="F35" s="128"/>
      <c r="G35" s="132"/>
      <c r="H35" s="132"/>
      <c r="I35" s="132"/>
      <c r="J35" s="132"/>
      <c r="K35" s="132"/>
      <c r="L35" s="124"/>
      <c r="M35" s="123"/>
      <c r="N35" s="28"/>
      <c r="O35" s="132"/>
      <c r="P35" s="125"/>
    </row>
    <row r="36">
      <c r="A36" s="137" t="str">
        <f>IFERROR(__xludf.DUMMYFUNCTION("""COMPUTED_VALUE"""),"Visual/Performing Arts")</f>
        <v>Visual/Performing Arts</v>
      </c>
      <c r="B36" s="38">
        <f>IFERROR(__xludf.DUMMYFUNCTION("""COMPUTED_VALUE"""),0.5)</f>
        <v>0.5</v>
      </c>
      <c r="C36" s="28" t="str">
        <f>IFERROR(__xludf.DUMMYFUNCTION("""COMPUTED_VALUE"""),"FAF")</f>
        <v>FAF</v>
      </c>
      <c r="D36" s="138">
        <f>IFERROR(__xludf.DUMMYFUNCTION("""COMPUTED_VALUE"""),9.0)</f>
        <v>9</v>
      </c>
      <c r="E36" s="123"/>
      <c r="F36" s="124"/>
      <c r="G36" s="124"/>
      <c r="H36" s="124"/>
      <c r="I36" s="124"/>
      <c r="J36" s="124"/>
      <c r="K36" s="124"/>
      <c r="L36" s="124"/>
      <c r="M36" s="123"/>
      <c r="N36" s="28"/>
      <c r="O36" s="132"/>
      <c r="P36" s="125"/>
    </row>
    <row r="37">
      <c r="A37" s="134" t="str">
        <f>IFERROR(__xludf.DUMMYFUNCTION("""COMPUTED_VALUE"""),"Electives")</f>
        <v>Electives</v>
      </c>
      <c r="B37" s="135">
        <f>IFERROR(__xludf.DUMMYFUNCTION("""COMPUTED_VALUE"""),1.5)</f>
        <v>1.5</v>
      </c>
      <c r="C37" s="136"/>
      <c r="D37" s="136"/>
      <c r="E37" s="123"/>
      <c r="F37" s="115" t="s">
        <v>104</v>
      </c>
      <c r="G37" s="117">
        <f>sum(G38:G46)</f>
        <v>6.5</v>
      </c>
      <c r="H37" s="116" t="s">
        <v>107</v>
      </c>
      <c r="I37" s="117"/>
      <c r="J37" s="117"/>
      <c r="K37" s="117"/>
      <c r="L37" s="124"/>
      <c r="M37" s="123"/>
      <c r="N37" s="28"/>
      <c r="O37" s="132"/>
      <c r="P37" s="125"/>
    </row>
    <row r="38">
      <c r="A38" s="59" t="str">
        <f>IFERROR(__xludf.DUMMYFUNCTION("""COMPUTED_VALUE"""),"Freshman Seminar")</f>
        <v>Freshman Seminar</v>
      </c>
      <c r="B38" s="28">
        <f>IFERROR(__xludf.DUMMYFUNCTION("""COMPUTED_VALUE"""),0.5)</f>
        <v>0.5</v>
      </c>
      <c r="C38" s="28" t="str">
        <f>IFERROR(__xludf.DUMMYFUNCTION("""COMPUTED_VALUE"""),"FS")</f>
        <v>FS</v>
      </c>
      <c r="D38" s="138">
        <f>IFERROR(__xludf.DUMMYFUNCTION("""COMPUTED_VALUE"""),9.0)</f>
        <v>9</v>
      </c>
      <c r="E38" s="123"/>
      <c r="F38" s="128" t="str">
        <f>IFERROR(__xludf.DUMMYFUNCTION("Filter(indirect($D$1),INDEX(INDIRECT($D$1),,4)=12)"),"Critical Communication or AP")</f>
        <v>Critical Communication or AP</v>
      </c>
      <c r="G38" s="129">
        <f>IFERROR(__xludf.DUMMYFUNCTION("""COMPUTED_VALUE"""),1.0)</f>
        <v>1</v>
      </c>
      <c r="H38" s="129" t="str">
        <f>IFERROR(__xludf.DUMMYFUNCTION("""COMPUTED_VALUE"""),"E12")</f>
        <v>E12</v>
      </c>
      <c r="I38" s="129">
        <f>IFERROR(__xludf.DUMMYFUNCTION("""COMPUTED_VALUE"""),12.0)</f>
        <v>12</v>
      </c>
      <c r="J38" s="129" t="b">
        <v>0</v>
      </c>
      <c r="K38" s="38" t="b">
        <v>0</v>
      </c>
      <c r="L38" s="124"/>
      <c r="M38" s="123"/>
      <c r="N38" s="28"/>
      <c r="O38" s="132"/>
      <c r="P38" s="125"/>
    </row>
    <row r="39">
      <c r="A39" s="59" t="str">
        <f>IFERROR(__xludf.DUMMYFUNCTION("""COMPUTED_VALUE"""),"Elective")</f>
        <v>Elective</v>
      </c>
      <c r="B39" s="28">
        <f>IFERROR(__xludf.DUMMYFUNCTION("""COMPUTED_VALUE"""),0.5)</f>
        <v>0.5</v>
      </c>
      <c r="C39" s="28" t="str">
        <f>IFERROR(__xludf.DUMMYFUNCTION("""COMPUTED_VALUE"""),"EL")</f>
        <v>EL</v>
      </c>
      <c r="D39" s="138">
        <f>IFERROR(__xludf.DUMMYFUNCTION("""COMPUTED_VALUE"""),10.0)</f>
        <v>10</v>
      </c>
      <c r="E39" s="123"/>
      <c r="F39" s="128" t="str">
        <f>IFERROR(__xludf.DUMMYFUNCTION("""COMPUTED_VALUE"""),"Trigonometry")</f>
        <v>Trigonometry</v>
      </c>
      <c r="G39" s="132">
        <f>IFERROR(__xludf.DUMMYFUNCTION("""COMPUTED_VALUE"""),0.5)</f>
        <v>0.5</v>
      </c>
      <c r="H39" s="132" t="str">
        <f>IFERROR(__xludf.DUMMYFUNCTION("""COMPUTED_VALUE"""),"MT")</f>
        <v>MT</v>
      </c>
      <c r="I39" s="132">
        <f>IFERROR(__xludf.DUMMYFUNCTION("""COMPUTED_VALUE"""),12.0)</f>
        <v>12</v>
      </c>
      <c r="J39" s="132" t="b">
        <v>0</v>
      </c>
      <c r="K39" s="28"/>
      <c r="L39" s="124"/>
      <c r="M39" s="123"/>
      <c r="N39" s="28"/>
      <c r="O39" s="132"/>
      <c r="P39" s="125"/>
    </row>
    <row r="40">
      <c r="A40" s="137" t="str">
        <f>IFERROR(__xludf.DUMMYFUNCTION("""COMPUTED_VALUE"""),"Elective")</f>
        <v>Elective</v>
      </c>
      <c r="B40" s="38">
        <f>IFERROR(__xludf.DUMMYFUNCTION("""COMPUTED_VALUE"""),0.5)</f>
        <v>0.5</v>
      </c>
      <c r="C40" s="28" t="str">
        <f>IFERROR(__xludf.DUMMYFUNCTION("""COMPUTED_VALUE"""),"EL")</f>
        <v>EL</v>
      </c>
      <c r="D40" s="138">
        <f>IFERROR(__xludf.DUMMYFUNCTION("""COMPUTED_VALUE"""),10.0)</f>
        <v>10</v>
      </c>
      <c r="E40" s="123"/>
      <c r="F40" s="128" t="str">
        <f>IFERROR(__xludf.DUMMYFUNCTION("""COMPUTED_VALUE"""),"Pre-Calculus")</f>
        <v>Pre-Calculus</v>
      </c>
      <c r="G40" s="132">
        <f>IFERROR(__xludf.DUMMYFUNCTION("""COMPUTED_VALUE"""),0.5)</f>
        <v>0.5</v>
      </c>
      <c r="H40" s="132" t="str">
        <f>IFERROR(__xludf.DUMMYFUNCTION("""COMPUTED_VALUE"""),"MC")</f>
        <v>MC</v>
      </c>
      <c r="I40" s="132">
        <f>IFERROR(__xludf.DUMMYFUNCTION("""COMPUTED_VALUE"""),12.0)</f>
        <v>12</v>
      </c>
      <c r="J40" s="132" t="b">
        <v>0</v>
      </c>
      <c r="K40" s="28"/>
      <c r="L40" s="124"/>
      <c r="M40" s="123"/>
      <c r="N40" s="28"/>
      <c r="O40" s="132"/>
      <c r="P40" s="125"/>
    </row>
    <row r="41">
      <c r="A41" s="134" t="str">
        <f>IFERROR(__xludf.DUMMYFUNCTION("""COMPUTED_VALUE"""),"Senior Capstone")</f>
        <v>Senior Capstone</v>
      </c>
      <c r="B41" s="135">
        <f>IFERROR(__xludf.DUMMYFUNCTION("""COMPUTED_VALUE"""),3.0)</f>
        <v>3</v>
      </c>
      <c r="C41" s="136"/>
      <c r="D41" s="136"/>
      <c r="E41" s="123"/>
      <c r="F41" s="128" t="str">
        <f>IFERROR(__xludf.DUMMYFUNCTION("""COMPUTED_VALUE"""),"Science Elective")</f>
        <v>Science Elective</v>
      </c>
      <c r="G41" s="132">
        <f>IFERROR(__xludf.DUMMYFUNCTION("""COMPUTED_VALUE"""),0.5)</f>
        <v>0.5</v>
      </c>
      <c r="H41" s="132" t="str">
        <f>IFERROR(__xludf.DUMMYFUNCTION("""COMPUTED_VALUE"""),"SE")</f>
        <v>SE</v>
      </c>
      <c r="I41" s="132">
        <f>IFERROR(__xludf.DUMMYFUNCTION("""COMPUTED_VALUE"""),12.0)</f>
        <v>12</v>
      </c>
      <c r="J41" s="132" t="b">
        <v>0</v>
      </c>
      <c r="K41" s="28"/>
      <c r="L41" s="124"/>
      <c r="M41" s="123"/>
      <c r="N41" s="28"/>
      <c r="O41" s="132"/>
      <c r="P41" s="125"/>
    </row>
    <row r="42">
      <c r="A42" s="137" t="str">
        <f>IFERROR(__xludf.DUMMYFUNCTION("""COMPUTED_VALUE"""),"Senior Capstone Experience")</f>
        <v>Senior Capstone Experience</v>
      </c>
      <c r="B42" s="38">
        <f>IFERROR(__xludf.DUMMYFUNCTION("""COMPUTED_VALUE"""),3.0)</f>
        <v>3</v>
      </c>
      <c r="C42" s="28" t="str">
        <f>IFERROR(__xludf.DUMMYFUNCTION("""COMPUTED_VALUE"""),"CAP")</f>
        <v>CAP</v>
      </c>
      <c r="D42" s="138">
        <f>IFERROR(__xludf.DUMMYFUNCTION("""COMPUTED_VALUE"""),12.0)</f>
        <v>12</v>
      </c>
      <c r="E42" s="123"/>
      <c r="F42" s="128" t="str">
        <f>IFERROR(__xludf.DUMMYFUNCTION("""COMPUTED_VALUE"""),"AP Sci. Choice")</f>
        <v>AP Sci. Choice</v>
      </c>
      <c r="G42" s="132">
        <f>IFERROR(__xludf.DUMMYFUNCTION("""COMPUTED_VALUE"""),1.0)</f>
        <v>1</v>
      </c>
      <c r="H42" s="132" t="str">
        <f>IFERROR(__xludf.DUMMYFUNCTION("""COMPUTED_VALUE"""),"SAP")</f>
        <v>SAP</v>
      </c>
      <c r="I42" s="132">
        <f>IFERROR(__xludf.DUMMYFUNCTION("""COMPUTED_VALUE"""),12.0)</f>
        <v>12</v>
      </c>
      <c r="J42" s="132" t="b">
        <v>0</v>
      </c>
      <c r="K42" s="28" t="b">
        <v>0</v>
      </c>
      <c r="L42" s="124"/>
      <c r="M42" s="123"/>
      <c r="N42" s="28"/>
      <c r="O42" s="132"/>
      <c r="P42" s="125"/>
    </row>
    <row r="43">
      <c r="A43" s="141" t="str">
        <f>IFERROR(__xludf.DUMMYFUNCTION("""COMPUTED_VALUE"""),"Total")</f>
        <v>Total</v>
      </c>
      <c r="B43" s="142">
        <f>IFERROR(__xludf.DUMMYFUNCTION("""COMPUTED_VALUE"""),26.5)</f>
        <v>26.5</v>
      </c>
      <c r="C43" s="142"/>
      <c r="D43" s="142"/>
      <c r="E43" s="123"/>
      <c r="F43" s="123" t="str">
        <f>IFERROR(__xludf.DUMMYFUNCTION("""COMPUTED_VALUE"""),"Senior Capstone Experience")</f>
        <v>Senior Capstone Experience</v>
      </c>
      <c r="G43" s="28">
        <f>IFERROR(__xludf.DUMMYFUNCTION("""COMPUTED_VALUE"""),3.0)</f>
        <v>3</v>
      </c>
      <c r="H43" s="140" t="str">
        <f>IFERROR(__xludf.DUMMYFUNCTION("""COMPUTED_VALUE"""),"CAP")</f>
        <v>CAP</v>
      </c>
      <c r="I43" s="132">
        <f>IFERROR(__xludf.DUMMYFUNCTION("""COMPUTED_VALUE"""),12.0)</f>
        <v>12</v>
      </c>
      <c r="J43" s="132" t="b">
        <v>0</v>
      </c>
      <c r="K43" s="28" t="b">
        <v>0</v>
      </c>
      <c r="L43" s="124"/>
      <c r="M43" s="123"/>
      <c r="N43" s="28"/>
      <c r="O43" s="132"/>
      <c r="P43" s="125"/>
    </row>
    <row r="44">
      <c r="A44" s="39"/>
      <c r="B44" s="38"/>
      <c r="C44" s="38"/>
      <c r="D44" s="138"/>
      <c r="E44" s="123"/>
      <c r="F44" s="124"/>
      <c r="G44" s="124"/>
      <c r="H44" s="124"/>
      <c r="I44" s="124"/>
      <c r="J44" s="28" t="b">
        <v>0</v>
      </c>
      <c r="K44" s="132"/>
      <c r="L44" s="124"/>
      <c r="M44" s="124"/>
      <c r="N44" s="124"/>
      <c r="O44" s="124"/>
      <c r="P44" s="125"/>
    </row>
    <row r="45">
      <c r="A45" s="143"/>
      <c r="B45" s="54"/>
      <c r="C45" s="54"/>
      <c r="D45" s="54"/>
      <c r="E45" s="123"/>
      <c r="M45" s="123"/>
      <c r="N45" s="28"/>
      <c r="O45" s="132"/>
      <c r="P45" s="125"/>
    </row>
    <row r="46">
      <c r="E46" s="123"/>
      <c r="F46" s="123"/>
      <c r="G46" s="28"/>
      <c r="H46" s="140"/>
      <c r="I46" s="132"/>
      <c r="J46" s="28"/>
      <c r="K46" s="28"/>
      <c r="L46" s="124"/>
      <c r="M46" s="123"/>
      <c r="N46" s="28"/>
      <c r="O46" s="132"/>
      <c r="P46" s="125"/>
    </row>
  </sheetData>
  <mergeCells count="3">
    <mergeCell ref="F1:K1"/>
    <mergeCell ref="J2:K2"/>
    <mergeCell ref="N9:O9"/>
  </mergeCells>
  <conditionalFormatting sqref="A1">
    <cfRule type="expression" dxfId="0" priority="1">
      <formula>(#REF!)=max(#REF!)</formula>
    </cfRule>
  </conditionalFormatting>
  <conditionalFormatting sqref="F1:F35 F37:F43 F46">
    <cfRule type="expression" dxfId="1" priority="2">
      <formula>J1:K1&lt;&gt;"FALSE"</formula>
    </cfRule>
  </conditionalFormatting>
  <printOptions horizontalCentered="1"/>
  <pageMargins bottom="0.75" footer="0.0" header="0.0" left="0.25" right="0.25" top="0.75"/>
  <pageSetup fitToWidth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13"/>
    <col customWidth="1" min="3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4.88"/>
  </cols>
  <sheetData>
    <row r="1" ht="71.25" customHeight="1">
      <c r="A1" s="144" t="str">
        <f>IFERROR(__xludf.DUMMYFUNCTION("filter(Career,(INDEX(Career,,1)&lt;&gt;""""))"),"Career and 
College Ready House")</f>
        <v>Career and 
College Ready House</v>
      </c>
      <c r="B1" s="110" t="str">
        <f>IFERROR(__xludf.DUMMYFUNCTION("""COMPUTED_VALUE"""),"")</f>
        <v/>
      </c>
      <c r="D1" s="111" t="str">
        <f>IFERROR(__xludf.DUMMYFUNCTION("""COMPUTED_VALUE"""),"Career")</f>
        <v>Career</v>
      </c>
      <c r="F1" s="145" t="s">
        <v>113</v>
      </c>
      <c r="L1" s="145"/>
      <c r="M1" s="145" t="s">
        <v>114</v>
      </c>
    </row>
    <row r="2">
      <c r="A2" s="14" t="str">
        <f>IFERROR(__xludf.DUMMYFUNCTION("""COMPUTED_VALUE"""),"Course")</f>
        <v>Course</v>
      </c>
      <c r="B2" s="15" t="str">
        <f>IFERROR(__xludf.DUMMYFUNCTION("""COMPUTED_VALUE"""),"Credits")</f>
        <v>Credits</v>
      </c>
      <c r="C2" s="15" t="str">
        <f>IFERROR(__xludf.DUMMYFUNCTION("""COMPUTED_VALUE"""),"Code")</f>
        <v>Code</v>
      </c>
      <c r="D2" s="15" t="str">
        <f>IFERROR(__xludf.DUMMYFUNCTION("""COMPUTED_VALUE"""),"Year")</f>
        <v>Year</v>
      </c>
      <c r="E2" s="124"/>
      <c r="F2" s="123"/>
      <c r="G2" s="28"/>
      <c r="H2" s="146"/>
      <c r="I2" s="132"/>
      <c r="J2" s="147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4"/>
      <c r="F3" s="148" t="s">
        <v>101</v>
      </c>
      <c r="G3" s="15">
        <f>sum(G4:G14)</f>
        <v>7</v>
      </c>
      <c r="H3" s="149" t="s">
        <v>107</v>
      </c>
      <c r="I3" s="15"/>
      <c r="J3" s="150">
        <v>1.0</v>
      </c>
      <c r="K3" s="150">
        <v>2.0</v>
      </c>
      <c r="L3" s="124"/>
      <c r="M3" s="148" t="s">
        <v>108</v>
      </c>
      <c r="N3" s="15" t="s">
        <v>109</v>
      </c>
      <c r="O3" s="15" t="s">
        <v>110</v>
      </c>
    </row>
    <row r="4" ht="15.0" customHeight="1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4"/>
      <c r="F4" s="151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 ht="15.0" customHeight="1">
      <c r="A5" s="59" t="str">
        <f>IFERROR(__xludf.DUMMYFUNCTION("""COMPUTED_VALUE"""),"Critical Reading 10")</f>
        <v>Critical Reading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4"/>
      <c r="F5" s="151" t="str">
        <f>IFERROR(__xludf.DUMMYFUNCTION("""COMPUTED_VALUE"""),"Algebra I")</f>
        <v>Algebra I</v>
      </c>
      <c r="G5" s="129">
        <f>IFERROR(__xludf.DUMMYFUNCTION("""COMPUTED_VALUE"""),1.0)</f>
        <v>1</v>
      </c>
      <c r="H5" s="129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29" t="b">
        <v>0</v>
      </c>
      <c r="L5" s="124"/>
      <c r="M5" s="133"/>
      <c r="N5" s="131" t="b">
        <v>0</v>
      </c>
      <c r="O5" s="131" t="b">
        <v>0</v>
      </c>
    </row>
    <row r="6" ht="15.0" customHeight="1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4"/>
      <c r="F6" s="151" t="str">
        <f>IFERROR(__xludf.DUMMYFUNCTION("""COMPUTED_VALUE"""),"Biology")</f>
        <v>Biology</v>
      </c>
      <c r="G6" s="129">
        <f>IFERROR(__xludf.DUMMYFUNCTION("""COMPUTED_VALUE"""),1.0)</f>
        <v>1</v>
      </c>
      <c r="H6" s="129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29" t="b">
        <v>0</v>
      </c>
      <c r="L6" s="124"/>
      <c r="M6" s="133"/>
      <c r="N6" s="131" t="b">
        <v>0</v>
      </c>
      <c r="O6" s="131" t="b">
        <v>0</v>
      </c>
    </row>
    <row r="7" ht="15.0" customHeight="1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4"/>
      <c r="F7" s="151" t="str">
        <f>IFERROR(__xludf.DUMMYFUNCTION("""COMPUTED_VALUE"""),"OK History")</f>
        <v>OK History</v>
      </c>
      <c r="G7" s="129">
        <f>IFERROR(__xludf.DUMMYFUNCTION("""COMPUTED_VALUE"""),0.5)</f>
        <v>0.5</v>
      </c>
      <c r="H7" s="129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29"/>
      <c r="L7" s="124"/>
      <c r="M7" s="133"/>
      <c r="N7" s="131" t="b">
        <v>0</v>
      </c>
      <c r="O7" s="131" t="b">
        <v>0</v>
      </c>
    </row>
    <row r="8" ht="15.0" customHeight="1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6"/>
      <c r="E8" s="124"/>
      <c r="F8" s="151" t="str">
        <f>IFERROR(__xludf.DUMMYFUNCTION("""COMPUTED_VALUE"""),"Government")</f>
        <v>Government</v>
      </c>
      <c r="G8" s="129">
        <f>IFERROR(__xludf.DUMMYFUNCTION("""COMPUTED_VALUE"""),0.5)</f>
        <v>0.5</v>
      </c>
      <c r="H8" s="129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M8" s="124"/>
      <c r="N8" s="131"/>
      <c r="O8" s="131"/>
    </row>
    <row r="9" ht="15.0" customHeight="1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4"/>
      <c r="F9" s="151" t="str">
        <f>IFERROR(__xludf.DUMMYFUNCTION("""COMPUTED_VALUE"""),"Foreign Language I")</f>
        <v>Foreign Language I</v>
      </c>
      <c r="G9" s="129">
        <f>IFERROR(__xludf.DUMMYFUNCTION("""COMPUTED_VALUE"""),1.0)</f>
        <v>1</v>
      </c>
      <c r="H9" s="129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29" t="b">
        <v>0</v>
      </c>
      <c r="L9" s="124"/>
      <c r="M9" s="148" t="s">
        <v>115</v>
      </c>
      <c r="N9" s="15" t="s">
        <v>112</v>
      </c>
    </row>
    <row r="10" ht="15.0" customHeight="1">
      <c r="A10" s="137" t="str">
        <f>IFERROR(__xludf.DUMMYFUNCTION("""COMPUTED_VALUE"""),"Design Algebra II")</f>
        <v>Design 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4"/>
      <c r="F10" s="151" t="str">
        <f>IFERROR(__xludf.DUMMYFUNCTION("""COMPUTED_VALUE"""),"Intro to Digital Literacy")</f>
        <v>Intro to Digital Literacy</v>
      </c>
      <c r="G10" s="129">
        <f>IFERROR(__xludf.DUMMYFUNCTION("""COMPUTED_VALUE"""),0.5)</f>
        <v>0.5</v>
      </c>
      <c r="H10" s="129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29"/>
      <c r="L10" s="124"/>
      <c r="M10" s="130"/>
      <c r="N10" s="139">
        <v>1.0</v>
      </c>
    </row>
    <row r="11" ht="15.0" customHeight="1">
      <c r="A11" s="137" t="str">
        <f>IFERROR(__xludf.DUMMYFUNCTION("""COMPUTED_VALUE"""),"Design Geometry")</f>
        <v>Design 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4"/>
      <c r="F11" s="151" t="str">
        <f>IFERROR(__xludf.DUMMYFUNCTION("""COMPUTED_VALUE"""),"Visual/Performing Arts")</f>
        <v>Visual/Performing Arts</v>
      </c>
      <c r="G11" s="129">
        <f>IFERROR(__xludf.DUMMYFUNCTION("""COMPUTED_VALUE"""),0.5)</f>
        <v>0.5</v>
      </c>
      <c r="H11" s="129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32"/>
      <c r="L11" s="124"/>
      <c r="M11" s="133"/>
      <c r="N11" s="139">
        <v>2.0</v>
      </c>
    </row>
    <row r="12" ht="15.0" customHeight="1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4"/>
      <c r="F12" s="151" t="str">
        <f>IFERROR(__xludf.DUMMYFUNCTION("""COMPUTED_VALUE"""),"Visual/Performing Arts")</f>
        <v>Visual/Performing Arts</v>
      </c>
      <c r="G12" s="129">
        <f>IFERROR(__xludf.DUMMYFUNCTION("""COMPUTED_VALUE"""),0.5)</f>
        <v>0.5</v>
      </c>
      <c r="H12" s="129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</row>
    <row r="13" ht="15.0" customHeight="1">
      <c r="A13" s="134" t="str">
        <f>IFERROR(__xludf.DUMMYFUNCTION("""COMPUTED_VALUE"""),"Lab Sciences")</f>
        <v>Lab Sciences</v>
      </c>
      <c r="B13" s="135">
        <f>IFERROR(__xludf.DUMMYFUNCTION("""COMPUTED_VALUE"""),4.0)</f>
        <v>4</v>
      </c>
      <c r="C13" s="135"/>
      <c r="D13" s="135"/>
      <c r="E13" s="124"/>
      <c r="F13" s="151" t="str">
        <f>IFERROR(__xludf.DUMMYFUNCTION("""COMPUTED_VALUE"""),"Freshman Seminar")</f>
        <v>Freshman Seminar</v>
      </c>
      <c r="G13" s="129">
        <f>IFERROR(__xludf.DUMMYFUNCTION("""COMPUTED_VALUE"""),0.5)</f>
        <v>0.5</v>
      </c>
      <c r="H13" s="129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</row>
    <row r="14" ht="15.0" customHeight="1">
      <c r="A14" s="137" t="str">
        <f>IFERROR(__xludf.DUMMYFUNCTION("""COMPUTED_VALUE"""),"Biology")</f>
        <v>Biology</v>
      </c>
      <c r="B14" s="28">
        <f>IFERROR(__xludf.DUMMYFUNCTION("""COMPUTED_VALUE"""),1.0)</f>
        <v>1</v>
      </c>
      <c r="C14" s="28" t="str">
        <f>IFERROR(__xludf.DUMMYFUNCTION("""COMPUTED_VALUE"""),"SB")</f>
        <v>SB</v>
      </c>
      <c r="D14" s="138">
        <f>IFERROR(__xludf.DUMMYFUNCTION("""COMPUTED_VALUE"""),9.0)</f>
        <v>9</v>
      </c>
      <c r="E14" s="124"/>
      <c r="F14" s="151"/>
      <c r="G14" s="129"/>
      <c r="H14" s="129"/>
      <c r="I14" s="132"/>
      <c r="J14" s="129"/>
      <c r="K14" s="132"/>
      <c r="L14" s="124"/>
      <c r="M14" s="133"/>
      <c r="N14" s="139">
        <v>5.0</v>
      </c>
    </row>
    <row r="15" ht="15.0" customHeight="1">
      <c r="A15" s="137" t="str">
        <f>IFERROR(__xludf.DUMMYFUNCTION("""COMPUTED_VALUE"""),"Science Elective")</f>
        <v>Science Elective</v>
      </c>
      <c r="B15" s="28">
        <f>IFERROR(__xludf.DUMMYFUNCTION("""COMPUTED_VALUE"""),0.5)</f>
        <v>0.5</v>
      </c>
      <c r="C15" s="28" t="str">
        <f>IFERROR(__xludf.DUMMYFUNCTION("""COMPUTED_VALUE"""),"SE")</f>
        <v>SE</v>
      </c>
      <c r="D15" s="138">
        <f>IFERROR(__xludf.DUMMYFUNCTION("""COMPUTED_VALUE"""),10.0)</f>
        <v>10</v>
      </c>
      <c r="E15" s="124"/>
      <c r="F15" s="148" t="s">
        <v>102</v>
      </c>
      <c r="G15" s="15">
        <f>SUM(G16:G25)</f>
        <v>7</v>
      </c>
      <c r="H15" s="149" t="s">
        <v>107</v>
      </c>
      <c r="I15" s="15"/>
      <c r="J15" s="15"/>
      <c r="K15" s="15"/>
      <c r="L15" s="124"/>
      <c r="M15" s="133"/>
      <c r="N15" s="139">
        <v>6.0</v>
      </c>
    </row>
    <row r="16" ht="15.0" customHeight="1">
      <c r="A16" s="137" t="str">
        <f>IFERROR(__xludf.DUMMYFUNCTION("""COMPUTED_VALUE"""),"Engineering Physics")</f>
        <v>Engineering Physics</v>
      </c>
      <c r="B16" s="38">
        <f>IFERROR(__xludf.DUMMYFUNCTION("""COMPUTED_VALUE"""),1.0)</f>
        <v>1</v>
      </c>
      <c r="C16" s="28" t="str">
        <f>IFERROR(__xludf.DUMMYFUNCTION("""COMPUTED_VALUE"""),"SP")</f>
        <v>SP</v>
      </c>
      <c r="D16" s="138">
        <f>IFERROR(__xludf.DUMMYFUNCTION("""COMPUTED_VALUE"""),10.0)</f>
        <v>10</v>
      </c>
      <c r="E16" s="124"/>
      <c r="F16" s="151" t="str">
        <f>IFERROR(__xludf.DUMMYFUNCTION("Filter(INDIRECT($D$1),INDEX(INDIRECT($D$1),,4)=10)"),"Critical Reading 10")</f>
        <v>Critical Reading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 ht="15.0" customHeight="1">
      <c r="A17" s="59" t="str">
        <f>IFERROR(__xludf.DUMMYFUNCTION("""COMPUTED_VALUE"""),"Science Elective")</f>
        <v>Science Elective</v>
      </c>
      <c r="B17" s="38">
        <f>IFERROR(__xludf.DUMMYFUNCTION("""COMPUTED_VALUE"""),0.5)</f>
        <v>0.5</v>
      </c>
      <c r="C17" s="28" t="str">
        <f>IFERROR(__xludf.DUMMYFUNCTION("""COMPUTED_VALUE"""),"SE")</f>
        <v>SE</v>
      </c>
      <c r="D17" s="138">
        <f>IFERROR(__xludf.DUMMYFUNCTION("""COMPUTED_VALUE"""),12.0)</f>
        <v>12</v>
      </c>
      <c r="E17" s="124"/>
      <c r="F17" s="151" t="str">
        <f>IFERROR(__xludf.DUMMYFUNCTION("""COMPUTED_VALUE"""),"Design Geometry")</f>
        <v>Design Geometry</v>
      </c>
      <c r="G17" s="38">
        <f>IFERROR(__xludf.DUMMYFUNCTION("""COMPUTED_VALUE"""),1.0)</f>
        <v>1</v>
      </c>
      <c r="H17" s="129" t="str">
        <f>IFERROR(__xludf.DUMMYFUNCTION("""COMPUTED_VALUE"""),"MG")</f>
        <v>MG</v>
      </c>
      <c r="I17" s="132">
        <f>IFERROR(__xludf.DUMMYFUNCTION("""COMPUTED_VALUE"""),10.0)</f>
        <v>10</v>
      </c>
      <c r="J17" s="129" t="b">
        <v>0</v>
      </c>
      <c r="K17" s="129" t="b">
        <v>0</v>
      </c>
      <c r="L17" s="124"/>
      <c r="M17" s="133"/>
      <c r="N17" s="139">
        <v>8.0</v>
      </c>
    </row>
    <row r="18" ht="15.0" customHeight="1">
      <c r="A18" s="137" t="str">
        <f>IFERROR(__xludf.DUMMYFUNCTION("""COMPUTED_VALUE"""),"Chemistry in the Community")</f>
        <v>Chemistry in the Community</v>
      </c>
      <c r="B18" s="28">
        <f>IFERROR(__xludf.DUMMYFUNCTION("""COMPUTED_VALUE"""),1.0)</f>
        <v>1</v>
      </c>
      <c r="C18" s="28" t="str">
        <f>IFERROR(__xludf.DUMMYFUNCTION("""COMPUTED_VALUE"""),"SEL")</f>
        <v>SEL</v>
      </c>
      <c r="D18" s="138">
        <f>IFERROR(__xludf.DUMMYFUNCTION("""COMPUTED_VALUE"""),11.0)</f>
        <v>11</v>
      </c>
      <c r="E18" s="124"/>
      <c r="F18" s="151" t="str">
        <f>IFERROR(__xludf.DUMMYFUNCTION("""COMPUTED_VALUE"""),"Science Elective")</f>
        <v>Science Elective</v>
      </c>
      <c r="G18" s="38">
        <f>IFERROR(__xludf.DUMMYFUNCTION("""COMPUTED_VALUE"""),0.5)</f>
        <v>0.5</v>
      </c>
      <c r="H18" s="129" t="str">
        <f>IFERROR(__xludf.DUMMYFUNCTION("""COMPUTED_VALUE"""),"SE")</f>
        <v>SE</v>
      </c>
      <c r="I18" s="132">
        <f>IFERROR(__xludf.DUMMYFUNCTION("""COMPUTED_VALUE"""),10.0)</f>
        <v>10</v>
      </c>
      <c r="J18" s="129" t="b">
        <v>0</v>
      </c>
      <c r="K18" s="129"/>
      <c r="L18" s="124"/>
      <c r="M18" s="128"/>
      <c r="N18" s="38"/>
      <c r="O18" s="132"/>
    </row>
    <row r="19" ht="15.0" customHeight="1">
      <c r="A19" s="134" t="str">
        <f>IFERROR(__xludf.DUMMYFUNCTION("""COMPUTED_VALUE"""),"History")</f>
        <v>History</v>
      </c>
      <c r="B19" s="135">
        <f>IFERROR(__xludf.DUMMYFUNCTION("""COMPUTED_VALUE"""),3.0)</f>
        <v>3</v>
      </c>
      <c r="C19" s="135"/>
      <c r="D19" s="135"/>
      <c r="E19" s="124"/>
      <c r="F19" s="151" t="str">
        <f>IFERROR(__xludf.DUMMYFUNCTION("""COMPUTED_VALUE"""),"Engineering Physics")</f>
        <v>Engineering Physics</v>
      </c>
      <c r="G19" s="38">
        <f>IFERROR(__xludf.DUMMYFUNCTION("""COMPUTED_VALUE"""),1.0)</f>
        <v>1</v>
      </c>
      <c r="H19" s="129" t="str">
        <f>IFERROR(__xludf.DUMMYFUNCTION("""COMPUTED_VALUE"""),"SP")</f>
        <v>SP</v>
      </c>
      <c r="I19" s="132">
        <f>IFERROR(__xludf.DUMMYFUNCTION("""COMPUTED_VALUE"""),10.0)</f>
        <v>10</v>
      </c>
      <c r="J19" s="129" t="b">
        <v>0</v>
      </c>
      <c r="K19" s="129" t="b">
        <v>0</v>
      </c>
      <c r="L19" s="124"/>
      <c r="M19" s="148" t="s">
        <v>116</v>
      </c>
      <c r="N19" s="15"/>
    </row>
    <row r="20" ht="15.0" customHeight="1">
      <c r="A20" s="137" t="str">
        <f>IFERROR(__xludf.DUMMYFUNCTION("""COMPUTED_VALUE"""),"OK History")</f>
        <v>OK History</v>
      </c>
      <c r="B20" s="28">
        <f>IFERROR(__xludf.DUMMYFUNCTION("""COMPUTED_VALUE"""),0.5)</f>
        <v>0.5</v>
      </c>
      <c r="C20" s="28" t="str">
        <f>IFERROR(__xludf.DUMMYFUNCTION("""COMPUTED_VALUE"""),"HOK")</f>
        <v>HOK</v>
      </c>
      <c r="D20" s="138">
        <f>IFERROR(__xludf.DUMMYFUNCTION("""COMPUTED_VALUE"""),9.0)</f>
        <v>9</v>
      </c>
      <c r="E20" s="124"/>
      <c r="F20" s="151" t="str">
        <f>IFERROR(__xludf.DUMMYFUNCTION("""COMPUTED_VALUE"""),"US History")</f>
        <v>US History</v>
      </c>
      <c r="G20" s="38">
        <f>IFERROR(__xludf.DUMMYFUNCTION("""COMPUTED_VALUE"""),1.0)</f>
        <v>1</v>
      </c>
      <c r="H20" s="129" t="str">
        <f>IFERROR(__xludf.DUMMYFUNCTION("""COMPUTED_VALUE"""),"HUS")</f>
        <v>HUS</v>
      </c>
      <c r="I20" s="132">
        <f>IFERROR(__xludf.DUMMYFUNCTION("""COMPUTED_VALUE"""),10.0)</f>
        <v>10</v>
      </c>
      <c r="J20" s="129" t="b">
        <v>0</v>
      </c>
      <c r="K20" s="129" t="b">
        <v>0</v>
      </c>
      <c r="L20" s="124"/>
      <c r="M20" s="151" t="s">
        <v>117</v>
      </c>
      <c r="N20" s="131" t="b">
        <v>0</v>
      </c>
    </row>
    <row r="21" ht="15.0" customHeight="1">
      <c r="A21" s="59" t="str">
        <f>IFERROR(__xludf.DUMMYFUNCTION("""COMPUTED_VALUE"""),"Government")</f>
        <v>Government</v>
      </c>
      <c r="B21" s="38">
        <f>IFERROR(__xludf.DUMMYFUNCTION("""COMPUTED_VALUE"""),0.5)</f>
        <v>0.5</v>
      </c>
      <c r="C21" s="28" t="str">
        <f>IFERROR(__xludf.DUMMYFUNCTION("""COMPUTED_VALUE"""),"HG")</f>
        <v>HG</v>
      </c>
      <c r="D21" s="138">
        <f>IFERROR(__xludf.DUMMYFUNCTION("""COMPUTED_VALUE"""),9.0)</f>
        <v>9</v>
      </c>
      <c r="E21" s="124"/>
      <c r="F21" s="151" t="str">
        <f>IFERROR(__xludf.DUMMYFUNCTION("""COMPUTED_VALUE"""),"Foreign Language II")</f>
        <v>Foreign Language II</v>
      </c>
      <c r="G21" s="38">
        <f>IFERROR(__xludf.DUMMYFUNCTION("""COMPUTED_VALUE"""),1.0)</f>
        <v>1</v>
      </c>
      <c r="H21" s="129" t="str">
        <f>IFERROR(__xludf.DUMMYFUNCTION("""COMPUTED_VALUE"""),"FL2")</f>
        <v>FL2</v>
      </c>
      <c r="I21" s="132">
        <f>IFERROR(__xludf.DUMMYFUNCTION("""COMPUTED_VALUE"""),10.0)</f>
        <v>10</v>
      </c>
      <c r="J21" s="129" t="b">
        <v>0</v>
      </c>
      <c r="K21" s="129" t="b">
        <v>0</v>
      </c>
      <c r="L21" s="124"/>
      <c r="M21" s="151" t="s">
        <v>118</v>
      </c>
      <c r="N21" s="131" t="b">
        <v>0</v>
      </c>
    </row>
    <row r="22" ht="15.0" customHeight="1">
      <c r="A22" s="59" t="str">
        <f>IFERROR(__xludf.DUMMYFUNCTION("""COMPUTED_VALUE"""),"US History")</f>
        <v>US History</v>
      </c>
      <c r="B22" s="38">
        <f>IFERROR(__xludf.DUMMYFUNCTION("""COMPUTED_VALUE"""),1.0)</f>
        <v>1</v>
      </c>
      <c r="C22" s="28" t="str">
        <f>IFERROR(__xludf.DUMMYFUNCTION("""COMPUTED_VALUE"""),"HUS")</f>
        <v>HUS</v>
      </c>
      <c r="D22" s="138">
        <f>IFERROR(__xludf.DUMMYFUNCTION("""COMPUTED_VALUE"""),10.0)</f>
        <v>10</v>
      </c>
      <c r="E22" s="124"/>
      <c r="F22" s="151" t="str">
        <f>IFERROR(__xludf.DUMMYFUNCTION("""COMPUTED_VALUE"""),"Intro to Computer Science")</f>
        <v>Intro to Computer Science</v>
      </c>
      <c r="G22" s="38">
        <f>IFERROR(__xludf.DUMMYFUNCTION("""COMPUTED_VALUE"""),0.5)</f>
        <v>0.5</v>
      </c>
      <c r="H22" s="129" t="str">
        <f>IFERROR(__xludf.DUMMYFUNCTION("""COMPUTED_VALUE"""),"CA")</f>
        <v>CA</v>
      </c>
      <c r="I22" s="132">
        <f>IFERROR(__xludf.DUMMYFUNCTION("""COMPUTED_VALUE"""),10.0)</f>
        <v>10</v>
      </c>
      <c r="J22" s="129" t="b">
        <v>0</v>
      </c>
      <c r="K22" s="28"/>
      <c r="L22" s="124"/>
      <c r="M22" s="151" t="s">
        <v>119</v>
      </c>
      <c r="N22" s="131" t="b">
        <v>0</v>
      </c>
    </row>
    <row r="23" ht="15.0" customHeight="1">
      <c r="A23" s="137" t="str">
        <f>IFERROR(__xludf.DUMMYFUNCTION("""COMPUTED_VALUE"""),"Non-Western or World History")</f>
        <v>Non-Western or World History</v>
      </c>
      <c r="B23" s="28">
        <f>IFERROR(__xludf.DUMMYFUNCTION("""COMPUTED_VALUE"""),1.0)</f>
        <v>1</v>
      </c>
      <c r="C23" s="28" t="str">
        <f>IFERROR(__xludf.DUMMYFUNCTION("""COMPUTED_VALUE"""),"HW")</f>
        <v>HW</v>
      </c>
      <c r="D23" s="138">
        <f>IFERROR(__xludf.DUMMYFUNCTION("""COMPUTED_VALUE"""),11.0)</f>
        <v>11</v>
      </c>
      <c r="E23" s="124"/>
      <c r="F23" s="151" t="str">
        <f>IFERROR(__xludf.DUMMYFUNCTION("""COMPUTED_VALUE"""),"Elective")</f>
        <v>Elective</v>
      </c>
      <c r="G23" s="38">
        <f>IFERROR(__xludf.DUMMYFUNCTION("""COMPUTED_VALUE"""),0.5)</f>
        <v>0.5</v>
      </c>
      <c r="H23" s="129" t="str">
        <f>IFERROR(__xludf.DUMMYFUNCTION("""COMPUTED_VALUE"""),"EL")</f>
        <v>EL</v>
      </c>
      <c r="I23" s="132">
        <f>IFERROR(__xludf.DUMMYFUNCTION("""COMPUTED_VALUE"""),10.0)</f>
        <v>10</v>
      </c>
      <c r="J23" s="129" t="b">
        <v>0</v>
      </c>
      <c r="K23" s="28"/>
      <c r="L23" s="124"/>
      <c r="M23" s="151" t="s">
        <v>120</v>
      </c>
      <c r="N23" s="131" t="b">
        <v>0</v>
      </c>
    </row>
    <row r="24" ht="15.0" customHeight="1">
      <c r="A24" s="134" t="str">
        <f>IFERROR(__xludf.DUMMYFUNCTION("""COMPUTED_VALUE"""),"World Language")</f>
        <v>World Language</v>
      </c>
      <c r="B24" s="135">
        <f>IFERROR(__xludf.DUMMYFUNCTION("""COMPUTED_VALUE"""),2.0)</f>
        <v>2</v>
      </c>
      <c r="C24" s="135"/>
      <c r="D24" s="135"/>
      <c r="E24" s="124"/>
      <c r="F24" s="151" t="str">
        <f>IFERROR(__xludf.DUMMYFUNCTION("""COMPUTED_VALUE"""),"Elective")</f>
        <v>Elective</v>
      </c>
      <c r="G24" s="38">
        <f>IFERROR(__xludf.DUMMYFUNCTION("""COMPUTED_VALUE"""),0.5)</f>
        <v>0.5</v>
      </c>
      <c r="H24" s="129" t="str">
        <f>IFERROR(__xludf.DUMMYFUNCTION("""COMPUTED_VALUE"""),"EL")</f>
        <v>EL</v>
      </c>
      <c r="I24" s="132">
        <f>IFERROR(__xludf.DUMMYFUNCTION("""COMPUTED_VALUE"""),10.0)</f>
        <v>10</v>
      </c>
      <c r="J24" s="129" t="b">
        <v>0</v>
      </c>
      <c r="K24" s="28"/>
      <c r="L24" s="124"/>
      <c r="M24" s="151" t="s">
        <v>121</v>
      </c>
      <c r="N24" s="131" t="b">
        <v>0</v>
      </c>
    </row>
    <row r="25" ht="15.0" customHeight="1">
      <c r="A25" s="137" t="str">
        <f>IFERROR(__xludf.DUMMYFUNCTION("""COMPUTED_VALUE"""),"Foreign Language I")</f>
        <v>Foreign Language I</v>
      </c>
      <c r="B25" s="28">
        <f>IFERROR(__xludf.DUMMYFUNCTION("""COMPUTED_VALUE"""),1.0)</f>
        <v>1</v>
      </c>
      <c r="C25" s="28" t="str">
        <f>IFERROR(__xludf.DUMMYFUNCTION("""COMPUTED_VALUE"""),"FL1")</f>
        <v>FL1</v>
      </c>
      <c r="D25" s="138">
        <f>IFERROR(__xludf.DUMMYFUNCTION("""COMPUTED_VALUE"""),9.0)</f>
        <v>9</v>
      </c>
      <c r="E25" s="124"/>
      <c r="F25" s="151"/>
      <c r="G25" s="38"/>
      <c r="H25" s="129"/>
      <c r="I25" s="132"/>
      <c r="J25" s="129"/>
      <c r="K25" s="28"/>
      <c r="L25" s="124"/>
    </row>
    <row r="26" ht="15.0" customHeight="1">
      <c r="A26" s="137" t="str">
        <f>IFERROR(__xludf.DUMMYFUNCTION("""COMPUTED_VALUE"""),"Foreign Language II")</f>
        <v>Foreign Language II</v>
      </c>
      <c r="B26" s="28">
        <f>IFERROR(__xludf.DUMMYFUNCTION("""COMPUTED_VALUE"""),1.0)</f>
        <v>1</v>
      </c>
      <c r="C26" s="28" t="str">
        <f>IFERROR(__xludf.DUMMYFUNCTION("""COMPUTED_VALUE"""),"FL2")</f>
        <v>FL2</v>
      </c>
      <c r="D26" s="138">
        <f>IFERROR(__xludf.DUMMYFUNCTION("""COMPUTED_VALUE"""),10.0)</f>
        <v>10</v>
      </c>
      <c r="E26" s="124"/>
      <c r="F26" s="151"/>
      <c r="G26" s="38"/>
      <c r="H26" s="129"/>
      <c r="I26" s="132"/>
      <c r="J26" s="129"/>
      <c r="K26" s="28"/>
      <c r="L26" s="124"/>
      <c r="M26" s="148" t="s">
        <v>122</v>
      </c>
      <c r="N26" s="15"/>
    </row>
    <row r="27" ht="15.0" customHeight="1">
      <c r="A27" s="134" t="str">
        <f>IFERROR(__xludf.DUMMYFUNCTION("""COMPUTED_VALUE"""),"Computer Technology")</f>
        <v>Computer Technology</v>
      </c>
      <c r="B27" s="135">
        <f>IFERROR(__xludf.DUMMYFUNCTION("""COMPUTED_VALUE"""),1.0)</f>
        <v>1</v>
      </c>
      <c r="C27" s="135"/>
      <c r="D27" s="135"/>
      <c r="E27" s="124"/>
      <c r="F27" s="148" t="s">
        <v>103</v>
      </c>
      <c r="G27" s="15">
        <f>SUM(G28:G35)</f>
        <v>7.5</v>
      </c>
      <c r="H27" s="149" t="s">
        <v>107</v>
      </c>
      <c r="I27" s="15"/>
      <c r="J27" s="15"/>
      <c r="K27" s="15"/>
      <c r="L27" s="124"/>
      <c r="M27" s="131" t="s">
        <v>123</v>
      </c>
      <c r="N27" s="131" t="b">
        <v>0</v>
      </c>
    </row>
    <row r="28" ht="15.0" customHeight="1">
      <c r="A28" s="137" t="str">
        <f>IFERROR(__xludf.DUMMYFUNCTION("""COMPUTED_VALUE"""),"Intro to Digital Literacy")</f>
        <v>Intro to Digital Literacy</v>
      </c>
      <c r="B28" s="28">
        <f>IFERROR(__xludf.DUMMYFUNCTION("""COMPUTED_VALUE"""),0.5)</f>
        <v>0.5</v>
      </c>
      <c r="C28" s="28" t="str">
        <f>IFERROR(__xludf.DUMMYFUNCTION("""COMPUTED_VALUE"""),"CA")</f>
        <v>CA</v>
      </c>
      <c r="D28" s="138">
        <f>IFERROR(__xludf.DUMMYFUNCTION("""COMPUTED_VALUE"""),9.0)</f>
        <v>9</v>
      </c>
      <c r="E28" s="124"/>
      <c r="F28" s="151" t="str">
        <f>IFERROR(__xludf.DUMMYFUNCTION("Filter(INDIRECT($D$1),INDEX(INDIRECT($D$1),,4)=11)"),"Critical Writing or AP")</f>
        <v>Critical Writing or AP</v>
      </c>
      <c r="G28" s="38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124</v>
      </c>
      <c r="N28" s="131" t="b">
        <v>0</v>
      </c>
    </row>
    <row r="29" ht="15.0" customHeight="1">
      <c r="A29" s="137" t="str">
        <f>IFERROR(__xludf.DUMMYFUNCTION("""COMPUTED_VALUE"""),"Intro to Computer Science")</f>
        <v>Intro to Computer Science</v>
      </c>
      <c r="B29" s="28">
        <f>IFERROR(__xludf.DUMMYFUNCTION("""COMPUTED_VALUE"""),0.5)</f>
        <v>0.5</v>
      </c>
      <c r="C29" s="28" t="str">
        <f>IFERROR(__xludf.DUMMYFUNCTION("""COMPUTED_VALUE"""),"CA")</f>
        <v>CA</v>
      </c>
      <c r="D29" s="138">
        <f>IFERROR(__xludf.DUMMYFUNCTION("""COMPUTED_VALUE"""),10.0)</f>
        <v>10</v>
      </c>
      <c r="E29" s="124"/>
      <c r="F29" s="151" t="str">
        <f>IFERROR(__xludf.DUMMYFUNCTION("""COMPUTED_VALUE"""),"Design Algebra II")</f>
        <v>Design Algebra II</v>
      </c>
      <c r="G29" s="38">
        <f>IFERROR(__xludf.DUMMYFUNCTION("""COMPUTED_VALUE"""),1.0)</f>
        <v>1</v>
      </c>
      <c r="H29" s="129" t="str">
        <f>IFERROR(__xludf.DUMMYFUNCTION("""COMPUTED_VALUE"""),"MA2")</f>
        <v>MA2</v>
      </c>
      <c r="I29" s="132">
        <f>IFERROR(__xludf.DUMMYFUNCTION("""COMPUTED_VALUE"""),11.0)</f>
        <v>11</v>
      </c>
      <c r="J29" s="129" t="b">
        <v>0</v>
      </c>
      <c r="K29" s="129" t="b">
        <v>0</v>
      </c>
      <c r="L29" s="124"/>
      <c r="M29" s="151"/>
      <c r="N29" s="131"/>
    </row>
    <row r="30" ht="15.0" customHeight="1">
      <c r="A30" s="134" t="str">
        <f>IFERROR(__xludf.DUMMYFUNCTION("""COMPUTED_VALUE"""),"Fine Arts")</f>
        <v>Fine Arts</v>
      </c>
      <c r="B30" s="135">
        <f>IFERROR(__xludf.DUMMYFUNCTION("""COMPUTED_VALUE"""),1.0)</f>
        <v>1</v>
      </c>
      <c r="C30" s="135"/>
      <c r="D30" s="135"/>
      <c r="E30" s="124"/>
      <c r="F30" s="151" t="str">
        <f>IFERROR(__xludf.DUMMYFUNCTION("""COMPUTED_VALUE"""),"Personal Finance")</f>
        <v>Personal Finance</v>
      </c>
      <c r="G30" s="38">
        <f>IFERROR(__xludf.DUMMYFUNCTION("""COMPUTED_VALUE"""),0.5)</f>
        <v>0.5</v>
      </c>
      <c r="H30" s="129" t="str">
        <f>IFERROR(__xludf.DUMMYFUNCTION("""COMPUTED_VALUE"""),"PF")</f>
        <v>PF</v>
      </c>
      <c r="I30" s="132">
        <f>IFERROR(__xludf.DUMMYFUNCTION("""COMPUTED_VALUE"""),11.0)</f>
        <v>11</v>
      </c>
      <c r="J30" s="129" t="b">
        <v>0</v>
      </c>
      <c r="K30" s="129"/>
      <c r="L30" s="124"/>
      <c r="M30" s="148" t="s">
        <v>125</v>
      </c>
      <c r="N30" s="150" t="s">
        <v>126</v>
      </c>
      <c r="O30" s="150" t="s">
        <v>127</v>
      </c>
    </row>
    <row r="31" ht="15.0" customHeight="1">
      <c r="A31" s="137" t="str">
        <f>IFERROR(__xludf.DUMMYFUNCTION("""COMPUTED_VALUE"""),"Visual/Performing Arts")</f>
        <v>Visual/Performing Arts</v>
      </c>
      <c r="B31" s="28">
        <f>IFERROR(__xludf.DUMMYFUNCTION("""COMPUTED_VALUE"""),0.5)</f>
        <v>0.5</v>
      </c>
      <c r="C31" s="28" t="str">
        <f>IFERROR(__xludf.DUMMYFUNCTION("""COMPUTED_VALUE"""),"FAF")</f>
        <v>FAF</v>
      </c>
      <c r="D31" s="138">
        <f>IFERROR(__xludf.DUMMYFUNCTION("""COMPUTED_VALUE"""),9.0)</f>
        <v>9</v>
      </c>
      <c r="E31" s="124"/>
      <c r="F31" s="151" t="str">
        <f>IFERROR(__xludf.DUMMYFUNCTION("""COMPUTED_VALUE"""),"Chemistry in the Community")</f>
        <v>Chemistry in the Community</v>
      </c>
      <c r="G31" s="38">
        <f>IFERROR(__xludf.DUMMYFUNCTION("""COMPUTED_VALUE"""),1.0)</f>
        <v>1</v>
      </c>
      <c r="H31" s="129" t="str">
        <f>IFERROR(__xludf.DUMMYFUNCTION("""COMPUTED_VALUE"""),"SEL")</f>
        <v>SEL</v>
      </c>
      <c r="I31" s="132">
        <f>IFERROR(__xludf.DUMMYFUNCTION("""COMPUTED_VALUE"""),11.0)</f>
        <v>11</v>
      </c>
      <c r="J31" s="129" t="b">
        <v>0</v>
      </c>
      <c r="K31" s="129" t="b">
        <v>0</v>
      </c>
      <c r="L31" s="124"/>
      <c r="M31" s="151" t="s">
        <v>128</v>
      </c>
      <c r="N31" s="131" t="b">
        <v>0</v>
      </c>
      <c r="O31" s="131" t="b">
        <v>0</v>
      </c>
    </row>
    <row r="32" ht="15.0" customHeight="1">
      <c r="A32" s="137" t="str">
        <f>IFERROR(__xludf.DUMMYFUNCTION("""COMPUTED_VALUE"""),"Visual/Performing Arts")</f>
        <v>Visual/Performing Arts</v>
      </c>
      <c r="B32" s="28">
        <f>IFERROR(__xludf.DUMMYFUNCTION("""COMPUTED_VALUE"""),0.5)</f>
        <v>0.5</v>
      </c>
      <c r="C32" s="28" t="str">
        <f>IFERROR(__xludf.DUMMYFUNCTION("""COMPUTED_VALUE"""),"FAF")</f>
        <v>FAF</v>
      </c>
      <c r="D32" s="138">
        <f>IFERROR(__xludf.DUMMYFUNCTION("""COMPUTED_VALUE"""),9.0)</f>
        <v>9</v>
      </c>
      <c r="E32" s="124"/>
      <c r="F32" s="151" t="str">
        <f>IFERROR(__xludf.DUMMYFUNCTION("""COMPUTED_VALUE"""),"Non-Western or World History")</f>
        <v>Non-Western or World History</v>
      </c>
      <c r="G32" s="38">
        <f>IFERROR(__xludf.DUMMYFUNCTION("""COMPUTED_VALUE"""),1.0)</f>
        <v>1</v>
      </c>
      <c r="H32" s="129" t="str">
        <f>IFERROR(__xludf.DUMMYFUNCTION("""COMPUTED_VALUE"""),"HW")</f>
        <v>HW</v>
      </c>
      <c r="I32" s="132">
        <f>IFERROR(__xludf.DUMMYFUNCTION("""COMPUTED_VALUE"""),11.0)</f>
        <v>11</v>
      </c>
      <c r="J32" s="129" t="b">
        <v>0</v>
      </c>
      <c r="K32" s="129" t="b">
        <v>0</v>
      </c>
      <c r="L32" s="124"/>
      <c r="M32" s="151" t="s">
        <v>129</v>
      </c>
      <c r="N32" s="131" t="b">
        <v>0</v>
      </c>
      <c r="O32" s="131" t="b">
        <v>0</v>
      </c>
    </row>
    <row r="33" ht="15.0" customHeight="1">
      <c r="A33" s="134" t="str">
        <f>IFERROR(__xludf.DUMMYFUNCTION("""COMPUTED_VALUE"""),"Electives")</f>
        <v>Electives</v>
      </c>
      <c r="B33" s="135">
        <f>IFERROR(__xludf.DUMMYFUNCTION("""COMPUTED_VALUE"""),2.0)</f>
        <v>2</v>
      </c>
      <c r="C33" s="135"/>
      <c r="D33" s="135"/>
      <c r="E33" s="124"/>
      <c r="F33" s="151" t="str">
        <f>IFERROR(__xludf.DUMMYFUNCTION("""COMPUTED_VALUE"""),"Tulsa Tech, Intern., Work Study")</f>
        <v>Tulsa Tech, Intern., Work Study</v>
      </c>
      <c r="G33" s="38">
        <f>IFERROR(__xludf.DUMMYFUNCTION("""COMPUTED_VALUE"""),3.0)</f>
        <v>3</v>
      </c>
      <c r="H33" s="129" t="str">
        <f>IFERROR(__xludf.DUMMYFUNCTION("""COMPUTED_VALUE"""),"CAP")</f>
        <v>CAP</v>
      </c>
      <c r="I33" s="132">
        <f>IFERROR(__xludf.DUMMYFUNCTION("""COMPUTED_VALUE"""),11.0)</f>
        <v>11</v>
      </c>
      <c r="J33" s="129" t="b">
        <v>0</v>
      </c>
      <c r="K33" s="129" t="b">
        <v>0</v>
      </c>
      <c r="L33" s="124"/>
      <c r="M33" s="151" t="s">
        <v>130</v>
      </c>
      <c r="N33" s="131" t="b">
        <v>0</v>
      </c>
      <c r="O33" s="131" t="b">
        <v>0</v>
      </c>
    </row>
    <row r="34" ht="15.0" customHeight="1">
      <c r="A34" s="137" t="str">
        <f>IFERROR(__xludf.DUMMYFUNCTION("""COMPUTED_VALUE"""),"Freshman Seminar")</f>
        <v>Freshman Seminar</v>
      </c>
      <c r="B34" s="28">
        <f>IFERROR(__xludf.DUMMYFUNCTION("""COMPUTED_VALUE"""),0.5)</f>
        <v>0.5</v>
      </c>
      <c r="C34" s="28" t="str">
        <f>IFERROR(__xludf.DUMMYFUNCTION("""COMPUTED_VALUE"""),"FS")</f>
        <v>FS</v>
      </c>
      <c r="D34" s="138">
        <f>IFERROR(__xludf.DUMMYFUNCTION("""COMPUTED_VALUE"""),9.0)</f>
        <v>9</v>
      </c>
      <c r="E34" s="124"/>
      <c r="F34" s="151"/>
      <c r="G34" s="38"/>
      <c r="H34" s="129"/>
      <c r="I34" s="132"/>
      <c r="J34" s="129"/>
      <c r="K34" s="129"/>
      <c r="L34" s="124"/>
      <c r="M34" s="151" t="s">
        <v>131</v>
      </c>
      <c r="N34" s="131" t="b">
        <v>0</v>
      </c>
      <c r="O34" s="131" t="b">
        <v>0</v>
      </c>
    </row>
    <row r="35" ht="15.0" customHeight="1">
      <c r="A35" s="137" t="str">
        <f>IFERROR(__xludf.DUMMYFUNCTION("""COMPUTED_VALUE"""),"Elective")</f>
        <v>Elective</v>
      </c>
      <c r="B35" s="28">
        <f>IFERROR(__xludf.DUMMYFUNCTION("""COMPUTED_VALUE"""),0.5)</f>
        <v>0.5</v>
      </c>
      <c r="C35" s="28" t="str">
        <f>IFERROR(__xludf.DUMMYFUNCTION("""COMPUTED_VALUE"""),"EL")</f>
        <v>EL</v>
      </c>
      <c r="D35" s="138">
        <f>IFERROR(__xludf.DUMMYFUNCTION("""COMPUTED_VALUE"""),10.0)</f>
        <v>10</v>
      </c>
      <c r="E35" s="124"/>
      <c r="F35" s="151"/>
      <c r="G35" s="38"/>
      <c r="H35" s="129"/>
      <c r="I35" s="132"/>
      <c r="J35" s="129"/>
      <c r="K35" s="28"/>
      <c r="L35" s="124"/>
      <c r="M35" s="131" t="s">
        <v>132</v>
      </c>
      <c r="N35" s="131" t="b">
        <v>0</v>
      </c>
    </row>
    <row r="36" ht="15.0" customHeight="1">
      <c r="A36" s="137" t="str">
        <f>IFERROR(__xludf.DUMMYFUNCTION("""COMPUTED_VALUE"""),"Elective")</f>
        <v>Elective</v>
      </c>
      <c r="B36" s="28">
        <f>IFERROR(__xludf.DUMMYFUNCTION("""COMPUTED_VALUE"""),0.5)</f>
        <v>0.5</v>
      </c>
      <c r="C36" s="28" t="str">
        <f>IFERROR(__xludf.DUMMYFUNCTION("""COMPUTED_VALUE"""),"EL")</f>
        <v>EL</v>
      </c>
      <c r="D36" s="138">
        <f>IFERROR(__xludf.DUMMYFUNCTION("""COMPUTED_VALUE"""),10.0)</f>
        <v>10</v>
      </c>
      <c r="E36" s="124"/>
      <c r="F36" s="148" t="s">
        <v>104</v>
      </c>
      <c r="G36" s="15">
        <f>SUM(G37:G39)</f>
        <v>2</v>
      </c>
      <c r="H36" s="149" t="s">
        <v>107</v>
      </c>
      <c r="I36" s="15"/>
      <c r="J36" s="15"/>
      <c r="K36" s="15"/>
      <c r="L36" s="124"/>
      <c r="N36" s="152"/>
    </row>
    <row r="37" ht="15.0" customHeight="1">
      <c r="A37" s="137" t="str">
        <f>IFERROR(__xludf.DUMMYFUNCTION("""COMPUTED_VALUE"""),"Elective")</f>
        <v>Elective</v>
      </c>
      <c r="B37" s="28">
        <f>IFERROR(__xludf.DUMMYFUNCTION("""COMPUTED_VALUE"""),0.5)</f>
        <v>0.5</v>
      </c>
      <c r="C37" s="28" t="str">
        <f>IFERROR(__xludf.DUMMYFUNCTION("""COMPUTED_VALUE"""),"EL")</f>
        <v>EL</v>
      </c>
      <c r="D37" s="138">
        <f>IFERROR(__xludf.DUMMYFUNCTION("""COMPUTED_VALUE"""),12.0)</f>
        <v>12</v>
      </c>
      <c r="E37" s="124"/>
      <c r="F37" s="151" t="str">
        <f>IFERROR(__xludf.DUMMYFUNCTION("Filter(INDIRECT($D$1),INDEX(INDIRECT($D$1),,4)=12)"),"Critical Communication or AP")</f>
        <v>Critical Communication or AP</v>
      </c>
      <c r="G37" s="129">
        <f>IFERROR(__xludf.DUMMYFUNCTION("""COMPUTED_VALUE"""),1.0)</f>
        <v>1</v>
      </c>
      <c r="H37" s="129" t="str">
        <f>IFERROR(__xludf.DUMMYFUNCTION("""COMPUTED_VALUE"""),"E12")</f>
        <v>E12</v>
      </c>
      <c r="I37" s="129">
        <f>IFERROR(__xludf.DUMMYFUNCTION("""COMPUTED_VALUE"""),12.0)</f>
        <v>12</v>
      </c>
      <c r="J37" s="129" t="b">
        <v>0</v>
      </c>
      <c r="K37" s="129" t="b">
        <v>0</v>
      </c>
      <c r="L37" s="124"/>
      <c r="N37" s="152"/>
    </row>
    <row r="38" ht="15.0" customHeight="1">
      <c r="A38" s="134" t="str">
        <f>IFERROR(__xludf.DUMMYFUNCTION("""COMPUTED_VALUE"""),"Senior Capstone")</f>
        <v>Senior Capstone</v>
      </c>
      <c r="B38" s="135">
        <f>IFERROR(__xludf.DUMMYFUNCTION("""COMPUTED_VALUE"""),6.0)</f>
        <v>6</v>
      </c>
      <c r="C38" s="135"/>
      <c r="D38" s="135"/>
      <c r="E38" s="124"/>
      <c r="F38" s="128" t="str">
        <f>IFERROR(__xludf.DUMMYFUNCTION("""COMPUTED_VALUE"""),"Science Elective")</f>
        <v>Science Elective</v>
      </c>
      <c r="G38" s="132">
        <f>IFERROR(__xludf.DUMMYFUNCTION("""COMPUTED_VALUE"""),0.5)</f>
        <v>0.5</v>
      </c>
      <c r="H38" s="132" t="str">
        <f>IFERROR(__xludf.DUMMYFUNCTION("""COMPUTED_VALUE"""),"SE")</f>
        <v>SE</v>
      </c>
      <c r="I38" s="132">
        <f>IFERROR(__xludf.DUMMYFUNCTION("""COMPUTED_VALUE"""),12.0)</f>
        <v>12</v>
      </c>
      <c r="J38" s="129" t="b">
        <v>0</v>
      </c>
      <c r="K38" s="129"/>
      <c r="L38" s="124"/>
      <c r="M38" s="123"/>
      <c r="N38" s="28"/>
      <c r="O38" s="132"/>
    </row>
    <row r="39" ht="15.0" customHeight="1">
      <c r="A39" s="137" t="str">
        <f>IFERROR(__xludf.DUMMYFUNCTION("""COMPUTED_VALUE"""),"Tulsa Tech, Intern., Work Study")</f>
        <v>Tulsa Tech, Intern., Work Study</v>
      </c>
      <c r="B39" s="28">
        <f>IFERROR(__xludf.DUMMYFUNCTION("""COMPUTED_VALUE"""),3.0)</f>
        <v>3</v>
      </c>
      <c r="C39" s="28" t="str">
        <f>IFERROR(__xludf.DUMMYFUNCTION("""COMPUTED_VALUE"""),"CAP")</f>
        <v>CAP</v>
      </c>
      <c r="D39" s="138">
        <f>IFERROR(__xludf.DUMMYFUNCTION("""COMPUTED_VALUE"""),11.0)</f>
        <v>11</v>
      </c>
      <c r="E39" s="124"/>
      <c r="F39" s="128" t="str">
        <f>IFERROR(__xludf.DUMMYFUNCTION("""COMPUTED_VALUE"""),"Elective")</f>
        <v>Elective</v>
      </c>
      <c r="G39" s="132">
        <f>IFERROR(__xludf.DUMMYFUNCTION("""COMPUTED_VALUE"""),0.5)</f>
        <v>0.5</v>
      </c>
      <c r="H39" s="132" t="str">
        <f>IFERROR(__xludf.DUMMYFUNCTION("""COMPUTED_VALUE"""),"EL")</f>
        <v>EL</v>
      </c>
      <c r="I39" s="132">
        <f>IFERROR(__xludf.DUMMYFUNCTION("""COMPUTED_VALUE"""),12.0)</f>
        <v>12</v>
      </c>
      <c r="J39" s="129" t="b">
        <v>0</v>
      </c>
      <c r="K39" s="129"/>
      <c r="L39" s="124"/>
      <c r="M39" s="123"/>
      <c r="N39" s="28"/>
      <c r="O39" s="132"/>
    </row>
    <row r="40" ht="15.0" customHeight="1">
      <c r="A40" s="137" t="str">
        <f>IFERROR(__xludf.DUMMYFUNCTION("""COMPUTED_VALUE"""),"Tulsa Tech, Intern., Work Study")</f>
        <v>Tulsa Tech, Intern., Work Study</v>
      </c>
      <c r="B40" s="28">
        <f>IFERROR(__xludf.DUMMYFUNCTION("""COMPUTED_VALUE"""),3.0)</f>
        <v>3</v>
      </c>
      <c r="C40" s="28" t="str">
        <f>IFERROR(__xludf.DUMMYFUNCTION("""COMPUTED_VALUE"""),"CAP")</f>
        <v>CAP</v>
      </c>
      <c r="D40" s="138">
        <f>IFERROR(__xludf.DUMMYFUNCTION("""COMPUTED_VALUE"""),12.0)</f>
        <v>12</v>
      </c>
      <c r="E40" s="124"/>
      <c r="F40" s="128" t="str">
        <f>IFERROR(__xludf.DUMMYFUNCTION("""COMPUTED_VALUE"""),"Tulsa Tech, Intern., Work Study")</f>
        <v>Tulsa Tech, Intern., Work Study</v>
      </c>
      <c r="G40" s="132">
        <f>IFERROR(__xludf.DUMMYFUNCTION("""COMPUTED_VALUE"""),3.0)</f>
        <v>3</v>
      </c>
      <c r="H40" s="132" t="str">
        <f>IFERROR(__xludf.DUMMYFUNCTION("""COMPUTED_VALUE"""),"CAP")</f>
        <v>CAP</v>
      </c>
      <c r="I40">
        <f>IFERROR(__xludf.DUMMYFUNCTION("""COMPUTED_VALUE"""),12.0)</f>
        <v>12</v>
      </c>
      <c r="J40" s="129" t="b">
        <v>0</v>
      </c>
      <c r="K40" s="129" t="b">
        <v>0</v>
      </c>
      <c r="L40" s="124"/>
      <c r="M40" s="123"/>
      <c r="N40" s="28"/>
      <c r="O40" s="132"/>
    </row>
    <row r="41" ht="15.0" customHeight="1">
      <c r="A41" s="14" t="str">
        <f>IFERROR(__xludf.DUMMYFUNCTION("""COMPUTED_VALUE"""),"Total")</f>
        <v>Total</v>
      </c>
      <c r="B41" s="15">
        <f>IFERROR(__xludf.DUMMYFUNCTION("""COMPUTED_VALUE"""),26.5)</f>
        <v>26.5</v>
      </c>
      <c r="C41" s="15"/>
      <c r="D41" s="15"/>
      <c r="E41" s="124"/>
      <c r="F41" s="124"/>
      <c r="G41" s="124"/>
      <c r="H41" s="153"/>
      <c r="I41" s="124"/>
      <c r="J41" s="129" t="b">
        <v>0</v>
      </c>
      <c r="K41" s="124"/>
      <c r="L41" s="124"/>
      <c r="M41" s="123"/>
      <c r="N41" s="28"/>
      <c r="O41" s="132"/>
    </row>
    <row r="42" ht="15.0" customHeight="1">
      <c r="E42" s="124"/>
      <c r="F42" s="124"/>
      <c r="G42" s="124"/>
      <c r="H42" s="124"/>
      <c r="I42" s="124"/>
      <c r="J42" s="124"/>
      <c r="K42" s="124"/>
      <c r="L42" s="124"/>
      <c r="M42" s="123"/>
      <c r="N42" s="28"/>
      <c r="O42" s="132"/>
    </row>
    <row r="43" ht="15.0" customHeight="1">
      <c r="E43" s="124"/>
      <c r="F43" s="128"/>
      <c r="G43" s="132"/>
      <c r="H43" s="132"/>
      <c r="I43" s="132"/>
      <c r="J43" s="132"/>
      <c r="K43" s="28"/>
      <c r="L43" s="124"/>
      <c r="M43" s="123"/>
      <c r="N43" s="28"/>
      <c r="O43" s="132"/>
    </row>
  </sheetData>
  <mergeCells count="6">
    <mergeCell ref="F1:K1"/>
    <mergeCell ref="M1:O1"/>
    <mergeCell ref="J2:K2"/>
    <mergeCell ref="N9:O9"/>
    <mergeCell ref="N19:O19"/>
    <mergeCell ref="N26:O26"/>
  </mergeCells>
  <conditionalFormatting sqref="M20:M24 M27:M29 M31">
    <cfRule type="expression" dxfId="1" priority="1">
      <formula>Q18:R18&lt;&gt;"FALSE"</formula>
    </cfRule>
  </conditionalFormatting>
  <conditionalFormatting sqref="M20:M24 M27:M29 M31">
    <cfRule type="expression" dxfId="1" priority="2">
      <formula>Q7:R7&lt;&gt;"FALSE"</formula>
    </cfRule>
  </conditionalFormatting>
  <conditionalFormatting sqref="F28">
    <cfRule type="expression" dxfId="1" priority="3">
      <formula>J6:K6&lt;&gt;"FALSE"</formula>
    </cfRule>
  </conditionalFormatting>
  <conditionalFormatting sqref="F28:F35 M31:M35">
    <cfRule type="expression" dxfId="1" priority="4">
      <formula>J16:K16&lt;&gt;"FALSE"</formula>
    </cfRule>
  </conditionalFormatting>
  <conditionalFormatting sqref="F37">
    <cfRule type="expression" dxfId="1" priority="5">
      <formula>J7:K7&lt;&gt;"FALSE"</formula>
    </cfRule>
  </conditionalFormatting>
  <conditionalFormatting sqref="F30 M32">
    <cfRule type="expression" dxfId="1" priority="6">
      <formula>J19:K19&lt;&gt;"FALSE"</formula>
    </cfRule>
  </conditionalFormatting>
  <conditionalFormatting sqref="M35">
    <cfRule type="expression" dxfId="1" priority="7">
      <formula>Q12:R12&lt;&gt;"FALSE"</formula>
    </cfRule>
  </conditionalFormatting>
  <conditionalFormatting sqref="F16:F26">
    <cfRule type="expression" dxfId="1" priority="8">
      <formula>J5:K5&lt;&gt;"FALSE"</formula>
    </cfRule>
  </conditionalFormatting>
  <conditionalFormatting sqref="F1:F2 F4:F14 G5:H14 F20:F26 F31:F35 M33:M35 F38:F40 F43">
    <cfRule type="expression" dxfId="1" priority="9">
      <formula>J1:K1&lt;&gt;"FALSE"</formula>
    </cfRule>
  </conditionalFormatting>
  <conditionalFormatting sqref="A1">
    <cfRule type="expression" dxfId="0" priority="10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6.5"/>
  </cols>
  <sheetData>
    <row r="1" ht="71.25" customHeight="1">
      <c r="A1" s="144" t="str">
        <f>IFERROR(__xludf.DUMMYFUNCTION("filter(Liberal,(INDEX(Liberal,,1)&lt;&gt;""""))"),"Liberal Arts
College Ready House")</f>
        <v>Liberal Arts
College Ready House</v>
      </c>
      <c r="B1" s="154" t="str">
        <f>IFERROR(__xludf.DUMMYFUNCTION("""COMPUTED_VALUE"""),"")</f>
        <v/>
      </c>
      <c r="C1" s="155"/>
      <c r="D1" s="156" t="str">
        <f>IFERROR(__xludf.DUMMYFUNCTION("""COMPUTED_VALUE"""),"Liberal")</f>
        <v>Liberal</v>
      </c>
      <c r="E1" s="155"/>
      <c r="F1" s="145" t="s">
        <v>133</v>
      </c>
      <c r="L1" s="145"/>
      <c r="M1" s="145" t="s">
        <v>114</v>
      </c>
    </row>
    <row r="2">
      <c r="A2" s="12" t="str">
        <f>IFERROR(__xludf.DUMMYFUNCTION("""COMPUTED_VALUE"""),"Course")</f>
        <v>Course</v>
      </c>
      <c r="B2" s="13" t="str">
        <f>IFERROR(__xludf.DUMMYFUNCTION("""COMPUTED_VALUE"""),"Credits")</f>
        <v>Credits</v>
      </c>
      <c r="C2" s="13" t="str">
        <f>IFERROR(__xludf.DUMMYFUNCTION("""COMPUTED_VALUE"""),"Code")</f>
        <v>Code</v>
      </c>
      <c r="D2" s="13" t="str">
        <f>IFERROR(__xludf.DUMMYFUNCTION("""COMPUTED_VALUE"""),"Year")</f>
        <v>Year</v>
      </c>
      <c r="E2" s="124"/>
      <c r="F2" s="123"/>
      <c r="G2" s="28"/>
      <c r="H2" s="140"/>
      <c r="I2" s="132"/>
      <c r="J2" s="13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4"/>
      <c r="F3" s="157" t="s">
        <v>101</v>
      </c>
      <c r="G3" s="13">
        <f>sum(G4:G14)</f>
        <v>7</v>
      </c>
      <c r="H3" s="158" t="s">
        <v>107</v>
      </c>
      <c r="I3" s="13"/>
      <c r="J3" s="13">
        <v>1.0</v>
      </c>
      <c r="K3" s="13">
        <v>2.0</v>
      </c>
      <c r="L3" s="124"/>
      <c r="M3" s="157" t="s">
        <v>108</v>
      </c>
      <c r="N3" s="13" t="s">
        <v>109</v>
      </c>
      <c r="O3" s="158" t="s">
        <v>110</v>
      </c>
    </row>
    <row r="4" ht="15.0" customHeight="1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4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>
      <c r="A5" s="59" t="str">
        <f>IFERROR(__xludf.DUMMYFUNCTION("""COMPUTED_VALUE"""),"English Literature 10")</f>
        <v>English Literature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4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32" t="b">
        <v>0</v>
      </c>
      <c r="L5" s="124"/>
      <c r="M5" s="133"/>
      <c r="N5" s="131" t="b">
        <v>0</v>
      </c>
      <c r="O5" s="131" t="b">
        <v>0</v>
      </c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4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32" t="b">
        <v>0</v>
      </c>
      <c r="L6" s="124"/>
      <c r="M6" s="133"/>
      <c r="N6" s="131" t="b">
        <v>0</v>
      </c>
      <c r="O6" s="131" t="b">
        <v>0</v>
      </c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4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32"/>
      <c r="L7" s="124"/>
      <c r="M7" s="133"/>
      <c r="N7" s="131" t="b">
        <v>0</v>
      </c>
      <c r="O7" s="131" t="b">
        <v>0</v>
      </c>
    </row>
    <row r="8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8"/>
      <c r="E8" s="124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M8" s="124"/>
      <c r="N8" s="131"/>
      <c r="O8" s="131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4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32" t="b">
        <v>0</v>
      </c>
      <c r="L9" s="124"/>
      <c r="M9" s="157" t="s">
        <v>115</v>
      </c>
      <c r="N9" s="13" t="s">
        <v>112</v>
      </c>
    </row>
    <row r="10">
      <c r="A10" s="137" t="str">
        <f>IFERROR(__xludf.DUMMYFUNCTION("""COMPUTED_VALUE"""),"Algebra II")</f>
        <v>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4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32"/>
      <c r="L10" s="124"/>
      <c r="M10" s="130"/>
      <c r="N10" s="139">
        <v>1.0</v>
      </c>
    </row>
    <row r="11">
      <c r="A11" s="137" t="str">
        <f>IFERROR(__xludf.DUMMYFUNCTION("""COMPUTED_VALUE"""),"Geometry")</f>
        <v>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4"/>
      <c r="F11" s="123" t="str">
        <f>IFERROR(__xludf.DUMMYFUNCTION("""COMPUTED_VALUE"""),"Visual/Performing Arts")</f>
        <v>Visual/Performing Arts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24"/>
      <c r="L11" s="124"/>
      <c r="M11" s="133"/>
      <c r="N11" s="139">
        <v>2.0</v>
      </c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4"/>
      <c r="F12" s="123" t="str">
        <f>IFERROR(__xludf.DUMMYFUNCTION("""COMPUTED_VALUE"""),"Visual/Performing Arts")</f>
        <v>Visual/Performing Arts</v>
      </c>
      <c r="G12" s="132">
        <f>IFERROR(__xludf.DUMMYFUNCTION("""COMPUTED_VALUE"""),0.5)</f>
        <v>0.5</v>
      </c>
      <c r="H12" s="132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</row>
    <row r="13">
      <c r="A13" s="137" t="str">
        <f>IFERROR(__xludf.DUMMYFUNCTION("""COMPUTED_VALUE"""),"Encouraged: Trigonometry")</f>
        <v>Encouraged: Trigonometry</v>
      </c>
      <c r="B13" s="38" t="str">
        <f>IFERROR(__xludf.DUMMYFUNCTION("""COMPUTED_VALUE"""),"*")</f>
        <v>*</v>
      </c>
      <c r="C13" s="28" t="str">
        <f>IFERROR(__xludf.DUMMYFUNCTION("""COMPUTED_VALUE"""),"MT")</f>
        <v>MT</v>
      </c>
      <c r="D13" s="138">
        <f>IFERROR(__xludf.DUMMYFUNCTION("""COMPUTED_VALUE"""),12.0)</f>
        <v>12</v>
      </c>
      <c r="E13" s="124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</row>
    <row r="14">
      <c r="A14" s="137" t="str">
        <f>IFERROR(__xludf.DUMMYFUNCTION("""COMPUTED_VALUE"""),"Encouraged: Pre-Calculus")</f>
        <v>Encouraged: Pre-Calculus</v>
      </c>
      <c r="B14" s="38" t="str">
        <f>IFERROR(__xludf.DUMMYFUNCTION("""COMPUTED_VALUE"""),"*")</f>
        <v>*</v>
      </c>
      <c r="C14" s="28" t="str">
        <f>IFERROR(__xludf.DUMMYFUNCTION("""COMPUTED_VALUE"""),"MC")</f>
        <v>MC</v>
      </c>
      <c r="D14" s="138">
        <f>IFERROR(__xludf.DUMMYFUNCTION("""COMPUTED_VALUE"""),12.0)</f>
        <v>12</v>
      </c>
      <c r="E14" s="124"/>
      <c r="F14" s="123"/>
      <c r="G14" s="132"/>
      <c r="H14" s="132"/>
      <c r="I14" s="132"/>
      <c r="J14" s="132"/>
      <c r="K14" s="132"/>
      <c r="L14" s="124"/>
      <c r="M14" s="133"/>
      <c r="N14" s="139">
        <v>5.0</v>
      </c>
    </row>
    <row r="15">
      <c r="A15" s="134" t="str">
        <f>IFERROR(__xludf.DUMMYFUNCTION("""COMPUTED_VALUE"""),"Lab Sciences")</f>
        <v>Lab Sciences</v>
      </c>
      <c r="B15" s="135">
        <f>IFERROR(__xludf.DUMMYFUNCTION("""COMPUTED_VALUE"""),3.0)</f>
        <v>3</v>
      </c>
      <c r="C15" s="136"/>
      <c r="D15" s="136"/>
      <c r="E15" s="124"/>
      <c r="F15" s="157" t="s">
        <v>102</v>
      </c>
      <c r="G15" s="13">
        <f>sum(G16:G26)</f>
        <v>7.5</v>
      </c>
      <c r="H15" s="158" t="s">
        <v>107</v>
      </c>
      <c r="I15" s="13">
        <f>sum(I16:I26)</f>
        <v>100</v>
      </c>
      <c r="J15" s="13"/>
      <c r="K15" s="13"/>
      <c r="L15" s="124"/>
      <c r="M15" s="133"/>
      <c r="N15" s="139">
        <v>6.0</v>
      </c>
    </row>
    <row r="16">
      <c r="A16" s="59" t="str">
        <f>IFERROR(__xludf.DUMMYFUNCTION("""COMPUTED_VALUE"""),"Biology")</f>
        <v>Biology</v>
      </c>
      <c r="B16" s="28">
        <f>IFERROR(__xludf.DUMMYFUNCTION("""COMPUTED_VALUE"""),1.0)</f>
        <v>1</v>
      </c>
      <c r="C16" s="28" t="str">
        <f>IFERROR(__xludf.DUMMYFUNCTION("""COMPUTED_VALUE"""),"SB")</f>
        <v>SB</v>
      </c>
      <c r="D16" s="126">
        <f>IFERROR(__xludf.DUMMYFUNCTION("""COMPUTED_VALUE"""),9.0)</f>
        <v>9</v>
      </c>
      <c r="E16" s="124"/>
      <c r="F16" s="128" t="str">
        <f>IFERROR(__xludf.DUMMYFUNCTION("Filter(INDIRECT($D$1),INDEX(INDIRECT($D$1),,4)=10)"),"English Literature 10")</f>
        <v>English Literature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>
      <c r="A17" s="59" t="str">
        <f>IFERROR(__xludf.DUMMYFUNCTION("""COMPUTED_VALUE"""),"Conceptual Physics")</f>
        <v>Conceptual Physics</v>
      </c>
      <c r="B17" s="28">
        <f>IFERROR(__xludf.DUMMYFUNCTION("""COMPUTED_VALUE"""),1.0)</f>
        <v>1</v>
      </c>
      <c r="C17" s="28" t="str">
        <f>IFERROR(__xludf.DUMMYFUNCTION("""COMPUTED_VALUE"""),"SP")</f>
        <v>SP</v>
      </c>
      <c r="D17" s="126">
        <f>IFERROR(__xludf.DUMMYFUNCTION("""COMPUTED_VALUE"""),10.0)</f>
        <v>10</v>
      </c>
      <c r="E17" s="124"/>
      <c r="F17" s="123" t="str">
        <f>IFERROR(__xludf.DUMMYFUNCTION("""COMPUTED_VALUE"""),"Geometry")</f>
        <v>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32" t="b">
        <v>0</v>
      </c>
      <c r="K17" s="132" t="b">
        <v>0</v>
      </c>
      <c r="L17" s="124"/>
      <c r="M17" s="133"/>
      <c r="N17" s="139">
        <v>8.0</v>
      </c>
    </row>
    <row r="18">
      <c r="A18" s="59" t="str">
        <f>IFERROR(__xludf.DUMMYFUNCTION("""COMPUTED_VALUE"""),"Chemistry")</f>
        <v>Chemistry</v>
      </c>
      <c r="B18" s="28">
        <f>IFERROR(__xludf.DUMMYFUNCTION("""COMPUTED_VALUE"""),1.0)</f>
        <v>1</v>
      </c>
      <c r="C18" s="28" t="str">
        <f>IFERROR(__xludf.DUMMYFUNCTION("""COMPUTED_VALUE"""),"SC")</f>
        <v>SC</v>
      </c>
      <c r="D18" s="126">
        <f>IFERROR(__xludf.DUMMYFUNCTION("""COMPUTED_VALUE"""),11.0)</f>
        <v>11</v>
      </c>
      <c r="E18" s="124"/>
      <c r="F18" s="123" t="str">
        <f>IFERROR(__xludf.DUMMYFUNCTION("""COMPUTED_VALUE"""),"Conceptual Physics")</f>
        <v>Conceptual Physics</v>
      </c>
      <c r="G18" s="28">
        <f>IFERROR(__xludf.DUMMYFUNCTION("""COMPUTED_VALUE"""),1.0)</f>
        <v>1</v>
      </c>
      <c r="H18" s="132" t="str">
        <f>IFERROR(__xludf.DUMMYFUNCTION("""COMPUTED_VALUE"""),"SP")</f>
        <v>SP</v>
      </c>
      <c r="I18" s="132">
        <f>IFERROR(__xludf.DUMMYFUNCTION("""COMPUTED_VALUE"""),10.0)</f>
        <v>10</v>
      </c>
      <c r="J18" s="132" t="b">
        <v>0</v>
      </c>
      <c r="K18" s="132" t="b">
        <v>0</v>
      </c>
      <c r="L18" s="124"/>
      <c r="M18" s="128"/>
      <c r="N18" s="38"/>
      <c r="O18" s="132"/>
    </row>
    <row r="19">
      <c r="A19" s="137" t="str">
        <f>IFERROR(__xludf.DUMMYFUNCTION("""COMPUTED_VALUE"""),"Encouraged: AP Sci. Choice")</f>
        <v>Encouraged: AP Sci. Choice</v>
      </c>
      <c r="B19" s="38" t="str">
        <f>IFERROR(__xludf.DUMMYFUNCTION("""COMPUTED_VALUE"""),"*")</f>
        <v>*</v>
      </c>
      <c r="C19" s="28" t="str">
        <f>IFERROR(__xludf.DUMMYFUNCTION("""COMPUTED_VALUE"""),"SAP")</f>
        <v>SAP</v>
      </c>
      <c r="D19" s="138">
        <f>IFERROR(__xludf.DUMMYFUNCTION("""COMPUTED_VALUE"""),12.0)</f>
        <v>12</v>
      </c>
      <c r="E19" s="124"/>
      <c r="F19" s="123" t="str">
        <f>IFERROR(__xludf.DUMMYFUNCTION("""COMPUTED_VALUE"""),"US History")</f>
        <v>US History</v>
      </c>
      <c r="G19" s="28">
        <f>IFERROR(__xludf.DUMMYFUNCTION("""COMPUTED_VALUE"""),1.0)</f>
        <v>1</v>
      </c>
      <c r="H19" s="132" t="str">
        <f>IFERROR(__xludf.DUMMYFUNCTION("""COMPUTED_VALUE"""),"HUS")</f>
        <v>HUS</v>
      </c>
      <c r="I19" s="132">
        <f>IFERROR(__xludf.DUMMYFUNCTION("""COMPUTED_VALUE"""),10.0)</f>
        <v>10</v>
      </c>
      <c r="J19" s="132" t="b">
        <v>0</v>
      </c>
      <c r="K19" s="132" t="b">
        <v>0</v>
      </c>
      <c r="L19" s="124"/>
      <c r="M19" s="157" t="s">
        <v>116</v>
      </c>
      <c r="N19" s="13"/>
      <c r="O19" s="158"/>
    </row>
    <row r="20">
      <c r="A20" s="134" t="str">
        <f>IFERROR(__xludf.DUMMYFUNCTION("""COMPUTED_VALUE"""),"History")</f>
        <v>History</v>
      </c>
      <c r="B20" s="135">
        <f>IFERROR(__xludf.DUMMYFUNCTION("""COMPUTED_VALUE"""),4.0)</f>
        <v>4</v>
      </c>
      <c r="C20" s="136"/>
      <c r="D20" s="136"/>
      <c r="E20" s="124"/>
      <c r="F20" s="123" t="str">
        <f>IFERROR(__xludf.DUMMYFUNCTION("""COMPUTED_VALUE"""),"Foreign Language II")</f>
        <v>Foreign Language II</v>
      </c>
      <c r="G20" s="28">
        <f>IFERROR(__xludf.DUMMYFUNCTION("""COMPUTED_VALUE"""),1.0)</f>
        <v>1</v>
      </c>
      <c r="H20" s="132" t="str">
        <f>IFERROR(__xludf.DUMMYFUNCTION("""COMPUTED_VALUE"""),"FL2")</f>
        <v>FL2</v>
      </c>
      <c r="I20" s="132">
        <f>IFERROR(__xludf.DUMMYFUNCTION("""COMPUTED_VALUE"""),10.0)</f>
        <v>10</v>
      </c>
      <c r="J20" s="132" t="b">
        <v>0</v>
      </c>
      <c r="K20" s="132" t="b">
        <v>0</v>
      </c>
      <c r="L20" s="124"/>
      <c r="M20" s="151" t="s">
        <v>117</v>
      </c>
      <c r="N20" s="131" t="b">
        <v>0</v>
      </c>
    </row>
    <row r="21">
      <c r="A21" s="59" t="str">
        <f>IFERROR(__xludf.DUMMYFUNCTION("""COMPUTED_VALUE"""),"OK History")</f>
        <v>OK History</v>
      </c>
      <c r="B21" s="28">
        <f>IFERROR(__xludf.DUMMYFUNCTION("""COMPUTED_VALUE"""),0.5)</f>
        <v>0.5</v>
      </c>
      <c r="C21" s="28" t="str">
        <f>IFERROR(__xludf.DUMMYFUNCTION("""COMPUTED_VALUE"""),"HOK")</f>
        <v>HOK</v>
      </c>
      <c r="D21" s="126">
        <f>IFERROR(__xludf.DUMMYFUNCTION("""COMPUTED_VALUE"""),9.0)</f>
        <v>9</v>
      </c>
      <c r="E21" s="124"/>
      <c r="F21" s="123" t="str">
        <f>IFERROR(__xludf.DUMMYFUNCTION("""COMPUTED_VALUE"""),"Intro to Computer Science")</f>
        <v>Intro to Computer Science</v>
      </c>
      <c r="G21" s="28">
        <f>IFERROR(__xludf.DUMMYFUNCTION("""COMPUTED_VALUE"""),0.5)</f>
        <v>0.5</v>
      </c>
      <c r="H21" s="132" t="str">
        <f>IFERROR(__xludf.DUMMYFUNCTION("""COMPUTED_VALUE"""),"CA")</f>
        <v>CA</v>
      </c>
      <c r="I21" s="132">
        <f>IFERROR(__xludf.DUMMYFUNCTION("""COMPUTED_VALUE"""),10.0)</f>
        <v>10</v>
      </c>
      <c r="J21" s="132" t="b">
        <v>0</v>
      </c>
      <c r="K21" s="28"/>
      <c r="L21" s="124"/>
      <c r="M21" s="151" t="s">
        <v>118</v>
      </c>
      <c r="N21" s="131" t="b">
        <v>0</v>
      </c>
    </row>
    <row r="22">
      <c r="A22" s="59" t="str">
        <f>IFERROR(__xludf.DUMMYFUNCTION("""COMPUTED_VALUE"""),"Government")</f>
        <v>Government</v>
      </c>
      <c r="B22" s="28">
        <f>IFERROR(__xludf.DUMMYFUNCTION("""COMPUTED_VALUE"""),0.5)</f>
        <v>0.5</v>
      </c>
      <c r="C22" s="28" t="str">
        <f>IFERROR(__xludf.DUMMYFUNCTION("""COMPUTED_VALUE"""),"HG")</f>
        <v>HG</v>
      </c>
      <c r="D22" s="126">
        <f>IFERROR(__xludf.DUMMYFUNCTION("""COMPUTED_VALUE"""),9.0)</f>
        <v>9</v>
      </c>
      <c r="E22" s="124"/>
      <c r="F22" s="123" t="str">
        <f>IFERROR(__xludf.DUMMYFUNCTION("""COMPUTED_VALUE"""),"Visual/Performing Arts")</f>
        <v>Visual/Performing Arts</v>
      </c>
      <c r="G22" s="28">
        <f>IFERROR(__xludf.DUMMYFUNCTION("""COMPUTED_VALUE"""),0.5)</f>
        <v>0.5</v>
      </c>
      <c r="H22" s="132" t="str">
        <f>IFERROR(__xludf.DUMMYFUNCTION("""COMPUTED_VALUE"""),"FAS")</f>
        <v>FAS</v>
      </c>
      <c r="I22" s="132">
        <f>IFERROR(__xludf.DUMMYFUNCTION("""COMPUTED_VALUE"""),10.0)</f>
        <v>10</v>
      </c>
      <c r="J22" s="132" t="b">
        <v>0</v>
      </c>
      <c r="K22" s="28"/>
      <c r="L22" s="124"/>
      <c r="M22" s="151" t="s">
        <v>119</v>
      </c>
      <c r="N22" s="131" t="b">
        <v>0</v>
      </c>
    </row>
    <row r="23">
      <c r="A23" s="59" t="str">
        <f>IFERROR(__xludf.DUMMYFUNCTION("""COMPUTED_VALUE"""),"US History")</f>
        <v>US History</v>
      </c>
      <c r="B23" s="28">
        <f>IFERROR(__xludf.DUMMYFUNCTION("""COMPUTED_VALUE"""),1.0)</f>
        <v>1</v>
      </c>
      <c r="C23" s="28" t="str">
        <f>IFERROR(__xludf.DUMMYFUNCTION("""COMPUTED_VALUE"""),"HUS")</f>
        <v>HUS</v>
      </c>
      <c r="D23" s="126">
        <f>IFERROR(__xludf.DUMMYFUNCTION("""COMPUTED_VALUE"""),10.0)</f>
        <v>10</v>
      </c>
      <c r="E23" s="124"/>
      <c r="F23" s="123" t="str">
        <f>IFERROR(__xludf.DUMMYFUNCTION("""COMPUTED_VALUE"""),"Visual/Performing Arts")</f>
        <v>Visual/Performing Arts</v>
      </c>
      <c r="G23" s="28">
        <f>IFERROR(__xludf.DUMMYFUNCTION("""COMPUTED_VALUE"""),0.5)</f>
        <v>0.5</v>
      </c>
      <c r="H23" s="132" t="str">
        <f>IFERROR(__xludf.DUMMYFUNCTION("""COMPUTED_VALUE"""),"FAS")</f>
        <v>FAS</v>
      </c>
      <c r="I23" s="132">
        <f>IFERROR(__xludf.DUMMYFUNCTION("""COMPUTED_VALUE"""),10.0)</f>
        <v>10</v>
      </c>
      <c r="J23" s="132" t="b">
        <v>0</v>
      </c>
      <c r="K23" s="28"/>
      <c r="L23" s="124"/>
      <c r="M23" s="151" t="s">
        <v>120</v>
      </c>
      <c r="N23" s="131" t="b">
        <v>0</v>
      </c>
    </row>
    <row r="24">
      <c r="A24" s="59" t="str">
        <f>IFERROR(__xludf.DUMMYFUNCTION("""COMPUTED_VALUE"""),"Non-Western or World History")</f>
        <v>Non-Western or World History</v>
      </c>
      <c r="B24" s="38">
        <f>IFERROR(__xludf.DUMMYFUNCTION("""COMPUTED_VALUE"""),1.0)</f>
        <v>1</v>
      </c>
      <c r="C24" s="38" t="str">
        <f>IFERROR(__xludf.DUMMYFUNCTION("""COMPUTED_VALUE"""),"HW")</f>
        <v>HW</v>
      </c>
      <c r="D24" s="138">
        <f>IFERROR(__xludf.DUMMYFUNCTION("""COMPUTED_VALUE"""),11.0)</f>
        <v>11</v>
      </c>
      <c r="E24" s="124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32" t="b">
        <v>0</v>
      </c>
      <c r="K24" s="28"/>
      <c r="L24" s="124"/>
      <c r="M24" s="151" t="s">
        <v>121</v>
      </c>
      <c r="N24" s="131" t="b">
        <v>0</v>
      </c>
    </row>
    <row r="25">
      <c r="A25" s="137" t="str">
        <f>IFERROR(__xludf.DUMMYFUNCTION("""COMPUTED_VALUE"""),"AP History Choice")</f>
        <v>AP History Choice</v>
      </c>
      <c r="B25" s="38">
        <f>IFERROR(__xludf.DUMMYFUNCTION("""COMPUTED_VALUE"""),1.0)</f>
        <v>1</v>
      </c>
      <c r="C25" s="28" t="str">
        <f>IFERROR(__xludf.DUMMYFUNCTION("""COMPUTED_VALUE"""),"HAP")</f>
        <v>HAP</v>
      </c>
      <c r="D25" s="138">
        <f>IFERROR(__xludf.DUMMYFUNCTION("""COMPUTED_VALUE"""),12.0)</f>
        <v>12</v>
      </c>
      <c r="E25" s="124"/>
      <c r="F25" s="123" t="str">
        <f>IFERROR(__xludf.DUMMYFUNCTION("""COMPUTED_VALUE"""),"Elective")</f>
        <v>Elective</v>
      </c>
      <c r="G25" s="28">
        <f>IFERROR(__xludf.DUMMYFUNCTION("""COMPUTED_VALUE"""),0.5)</f>
        <v>0.5</v>
      </c>
      <c r="H25" s="132" t="str">
        <f>IFERROR(__xludf.DUMMYFUNCTION("""COMPUTED_VALUE"""),"EL")</f>
        <v>EL</v>
      </c>
      <c r="I25" s="132">
        <f>IFERROR(__xludf.DUMMYFUNCTION("""COMPUTED_VALUE"""),10.0)</f>
        <v>10</v>
      </c>
      <c r="J25" s="132" t="b">
        <v>0</v>
      </c>
      <c r="K25" s="28"/>
      <c r="L25" s="124"/>
    </row>
    <row r="26">
      <c r="A26" s="134" t="str">
        <f>IFERROR(__xludf.DUMMYFUNCTION("""COMPUTED_VALUE"""),"World Language")</f>
        <v>World Language</v>
      </c>
      <c r="B26" s="135">
        <f>IFERROR(__xludf.DUMMYFUNCTION("""COMPUTED_VALUE"""),2.0)</f>
        <v>2</v>
      </c>
      <c r="C26" s="136"/>
      <c r="D26" s="136"/>
      <c r="E26" s="124"/>
      <c r="F26" s="128"/>
      <c r="G26" s="38"/>
      <c r="H26" s="140"/>
      <c r="I26" s="129"/>
      <c r="J26" s="38"/>
      <c r="K26" s="38"/>
      <c r="L26" s="124"/>
      <c r="M26" s="157" t="s">
        <v>122</v>
      </c>
      <c r="N26" s="13"/>
      <c r="O26" s="158"/>
    </row>
    <row r="27">
      <c r="A27" s="59" t="str">
        <f>IFERROR(__xludf.DUMMYFUNCTION("""COMPUTED_VALUE"""),"Foreign Language I")</f>
        <v>Foreign Language I</v>
      </c>
      <c r="B27" s="28">
        <f>IFERROR(__xludf.DUMMYFUNCTION("""COMPUTED_VALUE"""),1.0)</f>
        <v>1</v>
      </c>
      <c r="C27" s="28" t="str">
        <f>IFERROR(__xludf.DUMMYFUNCTION("""COMPUTED_VALUE"""),"FL1")</f>
        <v>FL1</v>
      </c>
      <c r="D27" s="126">
        <f>IFERROR(__xludf.DUMMYFUNCTION("""COMPUTED_VALUE"""),9.0)</f>
        <v>9</v>
      </c>
      <c r="E27" s="124"/>
      <c r="F27" s="157" t="s">
        <v>103</v>
      </c>
      <c r="G27" s="13">
        <f>sum(G28:G37)</f>
        <v>6</v>
      </c>
      <c r="H27" s="158" t="s">
        <v>107</v>
      </c>
      <c r="I27" s="13"/>
      <c r="J27" s="13"/>
      <c r="K27" s="13"/>
      <c r="L27" s="124"/>
      <c r="M27" s="131" t="s">
        <v>123</v>
      </c>
      <c r="N27" s="131" t="b">
        <v>0</v>
      </c>
    </row>
    <row r="28">
      <c r="A28" s="137" t="str">
        <f>IFERROR(__xludf.DUMMYFUNCTION("""COMPUTED_VALUE"""),"Foreign Language II")</f>
        <v>Foreign Language II</v>
      </c>
      <c r="B28" s="38">
        <f>IFERROR(__xludf.DUMMYFUNCTION("""COMPUTED_VALUE"""),1.0)</f>
        <v>1</v>
      </c>
      <c r="C28" s="28" t="str">
        <f>IFERROR(__xludf.DUMMYFUNCTION("""COMPUTED_VALUE"""),"FL2")</f>
        <v>FL2</v>
      </c>
      <c r="D28" s="138">
        <f>IFERROR(__xludf.DUMMYFUNCTION("""COMPUTED_VALUE"""),10.0)</f>
        <v>10</v>
      </c>
      <c r="E28" s="124"/>
      <c r="F28" s="128" t="str">
        <f>IFERROR(__xludf.DUMMYFUNCTION("Filter(INDIRECT($D$1),INDEX(INDIRECT($D$1),,4)=11)"),"Critical Writing or AP")</f>
        <v>Critical Writing or AP</v>
      </c>
      <c r="G28" s="129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124</v>
      </c>
      <c r="N28" s="131" t="b">
        <v>0</v>
      </c>
    </row>
    <row r="29">
      <c r="A29" s="134" t="str">
        <f>IFERROR(__xludf.DUMMYFUNCTION("""COMPUTED_VALUE"""),"Computer Technology")</f>
        <v>Computer Technology</v>
      </c>
      <c r="B29" s="135">
        <f>IFERROR(__xludf.DUMMYFUNCTION("""COMPUTED_VALUE"""),1.0)</f>
        <v>1</v>
      </c>
      <c r="C29" s="136"/>
      <c r="D29" s="136"/>
      <c r="E29" s="124"/>
      <c r="F29" s="128" t="str">
        <f>IFERROR(__xludf.DUMMYFUNCTION("""COMPUTED_VALUE"""),"Algebra II")</f>
        <v>Algebra II</v>
      </c>
      <c r="G29" s="132">
        <f>IFERROR(__xludf.DUMMYFUNCTION("""COMPUTED_VALUE"""),1.0)</f>
        <v>1</v>
      </c>
      <c r="H29" s="132" t="str">
        <f>IFERROR(__xludf.DUMMYFUNCTION("""COMPUTED_VALUE"""),"MA2")</f>
        <v>MA2</v>
      </c>
      <c r="I29" s="132">
        <f>IFERROR(__xludf.DUMMYFUNCTION("""COMPUTED_VALUE"""),11.0)</f>
        <v>11</v>
      </c>
      <c r="J29" s="132" t="b">
        <v>0</v>
      </c>
      <c r="K29" s="132" t="b">
        <v>0</v>
      </c>
      <c r="L29" s="124"/>
      <c r="M29" s="151"/>
      <c r="N29" s="131"/>
    </row>
    <row r="30">
      <c r="A30" s="59" t="str">
        <f>IFERROR(__xludf.DUMMYFUNCTION("""COMPUTED_VALUE"""),"Intro to Digital Literacy")</f>
        <v>Intro to Digital Literacy</v>
      </c>
      <c r="B30" s="28">
        <f>IFERROR(__xludf.DUMMYFUNCTION("""COMPUTED_VALUE"""),0.5)</f>
        <v>0.5</v>
      </c>
      <c r="C30" s="28" t="str">
        <f>IFERROR(__xludf.DUMMYFUNCTION("""COMPUTED_VALUE"""),"CA")</f>
        <v>CA</v>
      </c>
      <c r="D30" s="126">
        <f>IFERROR(__xludf.DUMMYFUNCTION("""COMPUTED_VALUE"""),9.0)</f>
        <v>9</v>
      </c>
      <c r="E30" s="124"/>
      <c r="F30" s="128" t="str">
        <f>IFERROR(__xludf.DUMMYFUNCTION("""COMPUTED_VALUE"""),"Personal Finance")</f>
        <v>Personal Finance</v>
      </c>
      <c r="G30" s="132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32" t="b">
        <v>0</v>
      </c>
      <c r="K30" s="132" t="b">
        <v>0</v>
      </c>
      <c r="L30" s="124"/>
      <c r="M30" s="157" t="s">
        <v>125</v>
      </c>
      <c r="N30" s="13" t="s">
        <v>126</v>
      </c>
      <c r="O30" s="158" t="s">
        <v>127</v>
      </c>
    </row>
    <row r="31">
      <c r="A31" s="137" t="str">
        <f>IFERROR(__xludf.DUMMYFUNCTION("""COMPUTED_VALUE"""),"Intro to Computer Science")</f>
        <v>Intro to Computer Science</v>
      </c>
      <c r="B31" s="38">
        <f>IFERROR(__xludf.DUMMYFUNCTION("""COMPUTED_VALUE"""),0.5)</f>
        <v>0.5</v>
      </c>
      <c r="C31" s="28" t="str">
        <f>IFERROR(__xludf.DUMMYFUNCTION("""COMPUTED_VALUE"""),"CA")</f>
        <v>CA</v>
      </c>
      <c r="D31" s="138">
        <f>IFERROR(__xludf.DUMMYFUNCTION("""COMPUTED_VALUE"""),10.0)</f>
        <v>10</v>
      </c>
      <c r="E31" s="124"/>
      <c r="F31" s="128" t="str">
        <f>IFERROR(__xludf.DUMMYFUNCTION("""COMPUTED_VALUE"""),"Chemistry")</f>
        <v>Chemistry</v>
      </c>
      <c r="G31" s="132">
        <f>IFERROR(__xludf.DUMMYFUNCTION("""COMPUTED_VALUE"""),1.0)</f>
        <v>1</v>
      </c>
      <c r="H31" s="132" t="str">
        <f>IFERROR(__xludf.DUMMYFUNCTION("""COMPUTED_VALUE"""),"SC")</f>
        <v>SC</v>
      </c>
      <c r="I31" s="132">
        <f>IFERROR(__xludf.DUMMYFUNCTION("""COMPUTED_VALUE"""),11.0)</f>
        <v>11</v>
      </c>
      <c r="J31" s="132" t="b">
        <v>0</v>
      </c>
      <c r="K31" s="132" t="b">
        <v>0</v>
      </c>
      <c r="L31" s="124"/>
      <c r="M31" s="151" t="s">
        <v>128</v>
      </c>
      <c r="N31" s="131" t="b">
        <v>0</v>
      </c>
      <c r="O31" s="131" t="b">
        <v>0</v>
      </c>
    </row>
    <row r="32">
      <c r="A32" s="134" t="str">
        <f>IFERROR(__xludf.DUMMYFUNCTION("""COMPUTED_VALUE"""),"Fine Arts")</f>
        <v>Fine Arts</v>
      </c>
      <c r="B32" s="135">
        <f>IFERROR(__xludf.DUMMYFUNCTION("""COMPUTED_VALUE"""),3.0)</f>
        <v>3</v>
      </c>
      <c r="C32" s="136"/>
      <c r="D32" s="136"/>
      <c r="E32" s="124"/>
      <c r="F32" s="128" t="str">
        <f>IFERROR(__xludf.DUMMYFUNCTION("""COMPUTED_VALUE"""),"Non-Western or World History")</f>
        <v>Non-Western or World History</v>
      </c>
      <c r="G32" s="132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32" t="b">
        <v>0</v>
      </c>
      <c r="K32" s="132"/>
      <c r="L32" s="124"/>
      <c r="M32" s="151" t="s">
        <v>129</v>
      </c>
      <c r="N32" s="131" t="b">
        <v>0</v>
      </c>
      <c r="O32" s="131" t="b">
        <v>0</v>
      </c>
    </row>
    <row r="33">
      <c r="A33" s="59" t="str">
        <f>IFERROR(__xludf.DUMMYFUNCTION("""COMPUTED_VALUE"""),"Visual/Performing Arts")</f>
        <v>Visual/Performing Arts</v>
      </c>
      <c r="B33" s="28">
        <f>IFERROR(__xludf.DUMMYFUNCTION("""COMPUTED_VALUE"""),0.5)</f>
        <v>0.5</v>
      </c>
      <c r="C33" s="28" t="str">
        <f>IFERROR(__xludf.DUMMYFUNCTION("""COMPUTED_VALUE"""),"FAF")</f>
        <v>FAF</v>
      </c>
      <c r="D33" s="126">
        <f>IFERROR(__xludf.DUMMYFUNCTION("""COMPUTED_VALUE"""),9.0)</f>
        <v>9</v>
      </c>
      <c r="E33" s="124"/>
      <c r="F33" s="128" t="str">
        <f>IFERROR(__xludf.DUMMYFUNCTION("""COMPUTED_VALUE"""),"Visual/Performing Arts")</f>
        <v>Visual/Performing Arts</v>
      </c>
      <c r="G33" s="132">
        <f>IFERROR(__xludf.DUMMYFUNCTION("""COMPUTED_VALUE"""),0.5)</f>
        <v>0.5</v>
      </c>
      <c r="H33" s="132" t="str">
        <f>IFERROR(__xludf.DUMMYFUNCTION("""COMPUTED_VALUE"""),"FAS")</f>
        <v>FAS</v>
      </c>
      <c r="I33" s="132">
        <f>IFERROR(__xludf.DUMMYFUNCTION("""COMPUTED_VALUE"""),11.0)</f>
        <v>11</v>
      </c>
      <c r="J33" s="132" t="b">
        <v>0</v>
      </c>
      <c r="K33" s="132"/>
      <c r="L33" s="124"/>
      <c r="M33" s="151" t="s">
        <v>130</v>
      </c>
      <c r="N33" s="131" t="b">
        <v>0</v>
      </c>
      <c r="O33" s="131" t="b">
        <v>0</v>
      </c>
    </row>
    <row r="34">
      <c r="A34" s="59" t="str">
        <f>IFERROR(__xludf.DUMMYFUNCTION("""COMPUTED_VALUE"""),"Visual/Performing Arts")</f>
        <v>Visual/Performing Arts</v>
      </c>
      <c r="B34" s="38">
        <f>IFERROR(__xludf.DUMMYFUNCTION("""COMPUTED_VALUE"""),0.5)</f>
        <v>0.5</v>
      </c>
      <c r="C34" s="38" t="str">
        <f>IFERROR(__xludf.DUMMYFUNCTION("""COMPUTED_VALUE"""),"FAF")</f>
        <v>FAF</v>
      </c>
      <c r="D34" s="138">
        <f>IFERROR(__xludf.DUMMYFUNCTION("""COMPUTED_VALUE"""),9.0)</f>
        <v>9</v>
      </c>
      <c r="E34" s="124"/>
      <c r="F34" s="128" t="str">
        <f>IFERROR(__xludf.DUMMYFUNCTION("""COMPUTED_VALUE"""),"Visual/Performing Arts")</f>
        <v>Visual/Performing Arts</v>
      </c>
      <c r="G34" s="132">
        <f>IFERROR(__xludf.DUMMYFUNCTION("""COMPUTED_VALUE"""),0.5)</f>
        <v>0.5</v>
      </c>
      <c r="H34" s="132" t="str">
        <f>IFERROR(__xludf.DUMMYFUNCTION("""COMPUTED_VALUE"""),"FAS")</f>
        <v>FAS</v>
      </c>
      <c r="I34" s="132">
        <f>IFERROR(__xludf.DUMMYFUNCTION("""COMPUTED_VALUE"""),11.0)</f>
        <v>11</v>
      </c>
      <c r="J34" s="132" t="b">
        <v>0</v>
      </c>
      <c r="K34" s="132"/>
      <c r="L34" s="124"/>
      <c r="M34" s="151" t="s">
        <v>131</v>
      </c>
      <c r="N34" s="131" t="b">
        <v>0</v>
      </c>
      <c r="O34" s="131" t="b">
        <v>0</v>
      </c>
    </row>
    <row r="35">
      <c r="A35" s="59" t="str">
        <f>IFERROR(__xludf.DUMMYFUNCTION("""COMPUTED_VALUE"""),"Visual/Performing Arts")</f>
        <v>Visual/Performing Arts</v>
      </c>
      <c r="B35" s="38">
        <f>IFERROR(__xludf.DUMMYFUNCTION("""COMPUTED_VALUE"""),0.5)</f>
        <v>0.5</v>
      </c>
      <c r="C35" s="38" t="str">
        <f>IFERROR(__xludf.DUMMYFUNCTION("""COMPUTED_VALUE"""),"FAS")</f>
        <v>FAS</v>
      </c>
      <c r="D35" s="138">
        <f>IFERROR(__xludf.DUMMYFUNCTION("""COMPUTED_VALUE"""),10.0)</f>
        <v>10</v>
      </c>
      <c r="E35" s="124"/>
      <c r="F35" s="128" t="str">
        <f>IFERROR(__xludf.DUMMYFUNCTION("""COMPUTED_VALUE"""),"Elective")</f>
        <v>Elective</v>
      </c>
      <c r="G35" s="132">
        <f>IFERROR(__xludf.DUMMYFUNCTION("""COMPUTED_VALUE"""),0.5)</f>
        <v>0.5</v>
      </c>
      <c r="H35" s="132" t="str">
        <f>IFERROR(__xludf.DUMMYFUNCTION("""COMPUTED_VALUE"""),"EL")</f>
        <v>EL</v>
      </c>
      <c r="I35" s="132">
        <f>IFERROR(__xludf.DUMMYFUNCTION("""COMPUTED_VALUE"""),11.0)</f>
        <v>11</v>
      </c>
      <c r="J35" s="132"/>
      <c r="K35" s="28"/>
      <c r="L35" s="124"/>
      <c r="M35" s="131" t="s">
        <v>134</v>
      </c>
      <c r="N35" s="131" t="b">
        <v>0</v>
      </c>
    </row>
    <row r="36">
      <c r="A36" s="59" t="str">
        <f>IFERROR(__xludf.DUMMYFUNCTION("""COMPUTED_VALUE"""),"Visual/Performing Arts")</f>
        <v>Visual/Performing Arts</v>
      </c>
      <c r="B36" s="28">
        <f>IFERROR(__xludf.DUMMYFUNCTION("""COMPUTED_VALUE"""),0.5)</f>
        <v>0.5</v>
      </c>
      <c r="C36" s="28" t="str">
        <f>IFERROR(__xludf.DUMMYFUNCTION("""COMPUTED_VALUE"""),"FAS")</f>
        <v>FAS</v>
      </c>
      <c r="D36" s="138">
        <f>IFERROR(__xludf.DUMMYFUNCTION("""COMPUTED_VALUE"""),10.0)</f>
        <v>10</v>
      </c>
      <c r="E36" s="124"/>
      <c r="F36" s="128"/>
      <c r="G36" s="132"/>
      <c r="H36" s="132"/>
      <c r="I36" s="132"/>
      <c r="J36" s="132"/>
      <c r="K36" s="28"/>
      <c r="L36" s="124"/>
    </row>
    <row r="37">
      <c r="A37" s="59" t="str">
        <f>IFERROR(__xludf.DUMMYFUNCTION("""COMPUTED_VALUE"""),"Visual/Performing Arts")</f>
        <v>Visual/Performing Arts</v>
      </c>
      <c r="B37" s="28">
        <f>IFERROR(__xludf.DUMMYFUNCTION("""COMPUTED_VALUE"""),0.5)</f>
        <v>0.5</v>
      </c>
      <c r="C37" s="28" t="str">
        <f>IFERROR(__xludf.DUMMYFUNCTION("""COMPUTED_VALUE"""),"FAS")</f>
        <v>FAS</v>
      </c>
      <c r="D37" s="138">
        <f>IFERROR(__xludf.DUMMYFUNCTION("""COMPUTED_VALUE"""),11.0)</f>
        <v>11</v>
      </c>
      <c r="E37" s="124"/>
      <c r="F37" s="128"/>
      <c r="G37" s="132"/>
      <c r="H37" s="132"/>
      <c r="I37" s="132"/>
      <c r="J37" s="132"/>
      <c r="K37" s="28"/>
      <c r="L37" s="124"/>
      <c r="M37" s="123"/>
      <c r="N37" s="28"/>
      <c r="O37" s="132"/>
    </row>
    <row r="38">
      <c r="A38" s="137" t="str">
        <f>IFERROR(__xludf.DUMMYFUNCTION("""COMPUTED_VALUE"""),"Visual/Performing Arts")</f>
        <v>Visual/Performing Arts</v>
      </c>
      <c r="B38" s="38">
        <f>IFERROR(__xludf.DUMMYFUNCTION("""COMPUTED_VALUE"""),0.5)</f>
        <v>0.5</v>
      </c>
      <c r="C38" s="28" t="str">
        <f>IFERROR(__xludf.DUMMYFUNCTION("""COMPUTED_VALUE"""),"FAS")</f>
        <v>FAS</v>
      </c>
      <c r="D38" s="138">
        <f>IFERROR(__xludf.DUMMYFUNCTION("""COMPUTED_VALUE"""),11.0)</f>
        <v>11</v>
      </c>
      <c r="E38" s="124"/>
      <c r="F38" s="157" t="s">
        <v>104</v>
      </c>
      <c r="G38" s="13">
        <f>sum(G39:G49)</f>
        <v>6</v>
      </c>
      <c r="H38" s="158" t="s">
        <v>107</v>
      </c>
      <c r="I38" s="13"/>
      <c r="J38" s="13"/>
      <c r="K38" s="13"/>
      <c r="L38" s="124"/>
      <c r="M38" s="123"/>
      <c r="N38" s="28"/>
      <c r="O38" s="132"/>
    </row>
    <row r="39">
      <c r="A39" s="134" t="str">
        <f>IFERROR(__xludf.DUMMYFUNCTION("""COMPUTED_VALUE"""),"Electives")</f>
        <v>Electives</v>
      </c>
      <c r="B39" s="135">
        <f>IFERROR(__xludf.DUMMYFUNCTION("""COMPUTED_VALUE"""),3.0)</f>
        <v>3</v>
      </c>
      <c r="C39" s="136"/>
      <c r="D39" s="136"/>
      <c r="E39" s="124"/>
      <c r="F39" s="128" t="str">
        <f>IFERROR(__xludf.DUMMYFUNCTION("Filter(INDIRECT($D$1),INDEX(INDIRECT($D$1),,4)=12)"),"Critical Communication or AP")</f>
        <v>Critical Communication or AP</v>
      </c>
      <c r="G39" s="129">
        <f>IFERROR(__xludf.DUMMYFUNCTION("""COMPUTED_VALUE"""),1.0)</f>
        <v>1</v>
      </c>
      <c r="H39" s="129" t="str">
        <f>IFERROR(__xludf.DUMMYFUNCTION("""COMPUTED_VALUE"""),"E12")</f>
        <v>E12</v>
      </c>
      <c r="I39" s="129">
        <f>IFERROR(__xludf.DUMMYFUNCTION("""COMPUTED_VALUE"""),12.0)</f>
        <v>12</v>
      </c>
      <c r="J39" s="129" t="b">
        <v>0</v>
      </c>
      <c r="K39" s="38" t="b">
        <v>0</v>
      </c>
      <c r="L39" s="124"/>
      <c r="M39" s="123"/>
      <c r="N39" s="28"/>
      <c r="O39" s="132"/>
    </row>
    <row r="40">
      <c r="A40" s="59" t="str">
        <f>IFERROR(__xludf.DUMMYFUNCTION("""COMPUTED_VALUE"""),"Freshman Seminar")</f>
        <v>Freshman Seminar</v>
      </c>
      <c r="B40" s="28">
        <f>IFERROR(__xludf.DUMMYFUNCTION("""COMPUTED_VALUE"""),0.5)</f>
        <v>0.5</v>
      </c>
      <c r="C40" s="28" t="str">
        <f>IFERROR(__xludf.DUMMYFUNCTION("""COMPUTED_VALUE"""),"FS")</f>
        <v>FS</v>
      </c>
      <c r="D40" s="126">
        <f>IFERROR(__xludf.DUMMYFUNCTION("""COMPUTED_VALUE"""),9.0)</f>
        <v>9</v>
      </c>
      <c r="E40" s="124"/>
      <c r="F40" s="128" t="str">
        <f>IFERROR(__xludf.DUMMYFUNCTION("""COMPUTED_VALUE"""),"Encouraged: Trigonometry")</f>
        <v>Encouraged: Trigonometry</v>
      </c>
      <c r="G40" s="132" t="str">
        <f>IFERROR(__xludf.DUMMYFUNCTION("""COMPUTED_VALUE"""),"*")</f>
        <v>*</v>
      </c>
      <c r="H40" s="132" t="str">
        <f>IFERROR(__xludf.DUMMYFUNCTION("""COMPUTED_VALUE"""),"MT")</f>
        <v>MT</v>
      </c>
      <c r="I40" s="132">
        <f>IFERROR(__xludf.DUMMYFUNCTION("""COMPUTED_VALUE"""),12.0)</f>
        <v>12</v>
      </c>
      <c r="J40" s="132"/>
      <c r="K40" s="38"/>
      <c r="L40" s="124"/>
      <c r="M40" s="123"/>
      <c r="N40" s="28"/>
      <c r="O40" s="132"/>
    </row>
    <row r="41">
      <c r="A41" s="59" t="str">
        <f>IFERROR(__xludf.DUMMYFUNCTION("""COMPUTED_VALUE"""),"Elective")</f>
        <v>Elective</v>
      </c>
      <c r="B41" s="38">
        <f>IFERROR(__xludf.DUMMYFUNCTION("""COMPUTED_VALUE"""),0.5)</f>
        <v>0.5</v>
      </c>
      <c r="C41" s="38" t="str">
        <f>IFERROR(__xludf.DUMMYFUNCTION("""COMPUTED_VALUE"""),"EL")</f>
        <v>EL</v>
      </c>
      <c r="D41" s="138">
        <f>IFERROR(__xludf.DUMMYFUNCTION("""COMPUTED_VALUE"""),10.0)</f>
        <v>10</v>
      </c>
      <c r="E41" s="124"/>
      <c r="F41" s="128" t="str">
        <f>IFERROR(__xludf.DUMMYFUNCTION("""COMPUTED_VALUE"""),"Encouraged: Pre-Calculus")</f>
        <v>Encouraged: Pre-Calculus</v>
      </c>
      <c r="G41" s="132" t="str">
        <f>IFERROR(__xludf.DUMMYFUNCTION("""COMPUTED_VALUE"""),"*")</f>
        <v>*</v>
      </c>
      <c r="H41" s="132" t="str">
        <f>IFERROR(__xludf.DUMMYFUNCTION("""COMPUTED_VALUE"""),"MC")</f>
        <v>MC</v>
      </c>
      <c r="I41" s="132">
        <f>IFERROR(__xludf.DUMMYFUNCTION("""COMPUTED_VALUE"""),12.0)</f>
        <v>12</v>
      </c>
      <c r="J41" s="132"/>
      <c r="K41" s="38"/>
      <c r="L41" s="124"/>
      <c r="M41" s="123"/>
      <c r="N41" s="28"/>
      <c r="O41" s="132"/>
    </row>
    <row r="42">
      <c r="A42" s="59" t="str">
        <f>IFERROR(__xludf.DUMMYFUNCTION("""COMPUTED_VALUE"""),"Elective")</f>
        <v>Elective</v>
      </c>
      <c r="B42" s="38">
        <f>IFERROR(__xludf.DUMMYFUNCTION("""COMPUTED_VALUE"""),0.5)</f>
        <v>0.5</v>
      </c>
      <c r="C42" s="38" t="str">
        <f>IFERROR(__xludf.DUMMYFUNCTION("""COMPUTED_VALUE"""),"EL")</f>
        <v>EL</v>
      </c>
      <c r="D42" s="138">
        <f>IFERROR(__xludf.DUMMYFUNCTION("""COMPUTED_VALUE"""),10.0)</f>
        <v>10</v>
      </c>
      <c r="E42" s="124"/>
      <c r="F42" s="128" t="str">
        <f>IFERROR(__xludf.DUMMYFUNCTION("""COMPUTED_VALUE"""),"Encouraged: AP Sci. Choice")</f>
        <v>Encouraged: AP Sci. Choice</v>
      </c>
      <c r="G42" s="132" t="str">
        <f>IFERROR(__xludf.DUMMYFUNCTION("""COMPUTED_VALUE"""),"*")</f>
        <v>*</v>
      </c>
      <c r="H42" s="132" t="str">
        <f>IFERROR(__xludf.DUMMYFUNCTION("""COMPUTED_VALUE"""),"SAP")</f>
        <v>SAP</v>
      </c>
      <c r="I42" s="132">
        <f>IFERROR(__xludf.DUMMYFUNCTION("""COMPUTED_VALUE"""),12.0)</f>
        <v>12</v>
      </c>
      <c r="J42" s="132"/>
      <c r="K42" s="28"/>
      <c r="L42" s="124"/>
      <c r="M42" s="123"/>
      <c r="N42" s="28"/>
      <c r="O42" s="132"/>
    </row>
    <row r="43">
      <c r="A43" s="59" t="str">
        <f>IFERROR(__xludf.DUMMYFUNCTION("""COMPUTED_VALUE"""),"Elective")</f>
        <v>Elective</v>
      </c>
      <c r="B43" s="28">
        <f>IFERROR(__xludf.DUMMYFUNCTION("""COMPUTED_VALUE"""),0.5)</f>
        <v>0.5</v>
      </c>
      <c r="C43" s="28" t="str">
        <f>IFERROR(__xludf.DUMMYFUNCTION("""COMPUTED_VALUE"""),"EL")</f>
        <v>EL</v>
      </c>
      <c r="D43" s="138">
        <f>IFERROR(__xludf.DUMMYFUNCTION("""COMPUTED_VALUE"""),11.0)</f>
        <v>11</v>
      </c>
      <c r="E43" s="124"/>
      <c r="F43" s="128" t="str">
        <f>IFERROR(__xludf.DUMMYFUNCTION("""COMPUTED_VALUE"""),"AP History Choice")</f>
        <v>AP History Choice</v>
      </c>
      <c r="G43" s="132">
        <f>IFERROR(__xludf.DUMMYFUNCTION("""COMPUTED_VALUE"""),1.0)</f>
        <v>1</v>
      </c>
      <c r="H43" s="132" t="str">
        <f>IFERROR(__xludf.DUMMYFUNCTION("""COMPUTED_VALUE"""),"HAP")</f>
        <v>HAP</v>
      </c>
      <c r="I43" s="132">
        <f>IFERROR(__xludf.DUMMYFUNCTION("""COMPUTED_VALUE"""),12.0)</f>
        <v>12</v>
      </c>
      <c r="J43" s="132" t="b">
        <v>0</v>
      </c>
      <c r="K43" s="28" t="b">
        <v>0</v>
      </c>
      <c r="L43" s="124"/>
      <c r="M43" s="123"/>
      <c r="N43" s="28"/>
      <c r="O43" s="132"/>
    </row>
    <row r="44">
      <c r="A44" s="59" t="str">
        <f>IFERROR(__xludf.DUMMYFUNCTION("""COMPUTED_VALUE"""),"Elective")</f>
        <v>Elective</v>
      </c>
      <c r="B44" s="28">
        <f>IFERROR(__xludf.DUMMYFUNCTION("""COMPUTED_VALUE"""),0.5)</f>
        <v>0.5</v>
      </c>
      <c r="C44" s="28" t="str">
        <f>IFERROR(__xludf.DUMMYFUNCTION("""COMPUTED_VALUE"""),"EL")</f>
        <v>EL</v>
      </c>
      <c r="D44" s="138">
        <f>IFERROR(__xludf.DUMMYFUNCTION("""COMPUTED_VALUE"""),12.0)</f>
        <v>12</v>
      </c>
      <c r="E44" s="124"/>
      <c r="F44" s="128" t="str">
        <f>IFERROR(__xludf.DUMMYFUNCTION("""COMPUTED_VALUE"""),"Elective")</f>
        <v>Elective</v>
      </c>
      <c r="G44" s="132">
        <f>IFERROR(__xludf.DUMMYFUNCTION("""COMPUTED_VALUE"""),0.5)</f>
        <v>0.5</v>
      </c>
      <c r="H44" s="132" t="str">
        <f>IFERROR(__xludf.DUMMYFUNCTION("""COMPUTED_VALUE"""),"EL")</f>
        <v>EL</v>
      </c>
      <c r="I44" s="132">
        <f>IFERROR(__xludf.DUMMYFUNCTION("""COMPUTED_VALUE"""),12.0)</f>
        <v>12</v>
      </c>
      <c r="J44" s="132" t="b">
        <v>0</v>
      </c>
      <c r="K44" s="28"/>
      <c r="L44" s="124"/>
      <c r="M44" s="124"/>
      <c r="N44" s="124"/>
      <c r="O44" s="124"/>
    </row>
    <row r="45">
      <c r="A45" s="137" t="str">
        <f>IFERROR(__xludf.DUMMYFUNCTION("""COMPUTED_VALUE"""),"Elective")</f>
        <v>Elective</v>
      </c>
      <c r="B45" s="38">
        <f>IFERROR(__xludf.DUMMYFUNCTION("""COMPUTED_VALUE"""),0.5)</f>
        <v>0.5</v>
      </c>
      <c r="C45" s="28" t="str">
        <f>IFERROR(__xludf.DUMMYFUNCTION("""COMPUTED_VALUE"""),"EL")</f>
        <v>EL</v>
      </c>
      <c r="D45" s="138">
        <f>IFERROR(__xludf.DUMMYFUNCTION("""COMPUTED_VALUE"""),12.0)</f>
        <v>12</v>
      </c>
      <c r="E45" s="124"/>
      <c r="F45" s="128" t="str">
        <f>IFERROR(__xludf.DUMMYFUNCTION("""COMPUTED_VALUE"""),"Elective")</f>
        <v>Elective</v>
      </c>
      <c r="G45" s="132">
        <f>IFERROR(__xludf.DUMMYFUNCTION("""COMPUTED_VALUE"""),0.5)</f>
        <v>0.5</v>
      </c>
      <c r="H45" s="132" t="str">
        <f>IFERROR(__xludf.DUMMYFUNCTION("""COMPUTED_VALUE"""),"EL")</f>
        <v>EL</v>
      </c>
      <c r="I45" s="132">
        <f>IFERROR(__xludf.DUMMYFUNCTION("""COMPUTED_VALUE"""),12.0)</f>
        <v>12</v>
      </c>
      <c r="J45" s="132" t="b">
        <v>0</v>
      </c>
      <c r="K45" s="28"/>
      <c r="L45" s="124"/>
      <c r="M45" s="123"/>
      <c r="N45" s="28"/>
      <c r="O45" s="132"/>
    </row>
    <row r="46">
      <c r="A46" s="134" t="str">
        <f>IFERROR(__xludf.DUMMYFUNCTION("""COMPUTED_VALUE"""),"Senior Capstone")</f>
        <v>Senior Capstone</v>
      </c>
      <c r="B46" s="135">
        <f>IFERROR(__xludf.DUMMYFUNCTION("""COMPUTED_VALUE"""),3.0)</f>
        <v>3</v>
      </c>
      <c r="C46" s="136"/>
      <c r="D46" s="136"/>
      <c r="E46" s="124"/>
      <c r="F46" s="128" t="str">
        <f>IFERROR(__xludf.DUMMYFUNCTION("""COMPUTED_VALUE"""),"Senior Capstone Experience")</f>
        <v>Senior Capstone Experience</v>
      </c>
      <c r="G46" s="132">
        <f>IFERROR(__xludf.DUMMYFUNCTION("""COMPUTED_VALUE"""),3.0)</f>
        <v>3</v>
      </c>
      <c r="H46" s="132" t="str">
        <f>IFERROR(__xludf.DUMMYFUNCTION("""COMPUTED_VALUE"""),"CAP")</f>
        <v>CAP</v>
      </c>
      <c r="I46" s="132">
        <f>IFERROR(__xludf.DUMMYFUNCTION("""COMPUTED_VALUE"""),12.0)</f>
        <v>12</v>
      </c>
      <c r="J46" s="132" t="b">
        <v>0</v>
      </c>
      <c r="K46" s="28" t="b">
        <v>0</v>
      </c>
      <c r="L46" s="124"/>
      <c r="M46" s="123"/>
      <c r="N46" s="28"/>
      <c r="O46" s="132"/>
    </row>
    <row r="47">
      <c r="A47" s="59" t="str">
        <f>IFERROR(__xludf.DUMMYFUNCTION("""COMPUTED_VALUE"""),"Senior Capstone Experience")</f>
        <v>Senior Capstone Experience</v>
      </c>
      <c r="B47" s="28">
        <f>IFERROR(__xludf.DUMMYFUNCTION("""COMPUTED_VALUE"""),3.0)</f>
        <v>3</v>
      </c>
      <c r="C47" s="28" t="str">
        <f>IFERROR(__xludf.DUMMYFUNCTION("""COMPUTED_VALUE"""),"CAP")</f>
        <v>CAP</v>
      </c>
      <c r="D47" s="126">
        <f>IFERROR(__xludf.DUMMYFUNCTION("""COMPUTED_VALUE"""),12.0)</f>
        <v>12</v>
      </c>
      <c r="E47" s="124"/>
      <c r="F47" s="124"/>
      <c r="G47" s="124"/>
      <c r="H47" s="124"/>
      <c r="I47" s="124"/>
      <c r="J47" s="124"/>
      <c r="K47" s="124"/>
      <c r="L47" s="124"/>
      <c r="M47" s="123"/>
      <c r="N47" s="28"/>
      <c r="O47" s="132"/>
    </row>
    <row r="48">
      <c r="A48" s="12" t="str">
        <f>IFERROR(__xludf.DUMMYFUNCTION("""COMPUTED_VALUE"""),"Total")</f>
        <v>Total</v>
      </c>
      <c r="B48" s="13">
        <f>IFERROR(__xludf.DUMMYFUNCTION("""COMPUTED_VALUE"""),26.5)</f>
        <v>26.5</v>
      </c>
      <c r="C48" s="13"/>
      <c r="D48" s="13"/>
      <c r="E48" s="124"/>
      <c r="F48" s="123"/>
      <c r="G48" s="28"/>
      <c r="H48" s="140"/>
      <c r="I48" s="132"/>
      <c r="J48" s="28"/>
      <c r="K48" s="28"/>
      <c r="L48" s="124"/>
      <c r="M48" s="123"/>
      <c r="N48" s="28"/>
      <c r="O48" s="132"/>
    </row>
    <row r="49">
      <c r="E49" s="159"/>
      <c r="F49" s="159"/>
      <c r="G49" s="28"/>
      <c r="H49" s="140"/>
      <c r="I49" s="132"/>
      <c r="J49" s="28"/>
      <c r="K49" s="28"/>
      <c r="L49" s="124"/>
      <c r="M49" s="123"/>
      <c r="N49" s="28"/>
      <c r="O49" s="132"/>
    </row>
    <row r="50">
      <c r="E50" s="159"/>
      <c r="L50" s="124"/>
      <c r="M50" s="123"/>
      <c r="N50" s="28"/>
      <c r="O50" s="132"/>
    </row>
  </sheetData>
  <mergeCells count="4">
    <mergeCell ref="F1:K1"/>
    <mergeCell ref="M1:O1"/>
    <mergeCell ref="J2:K2"/>
    <mergeCell ref="N9:O9"/>
  </mergeCells>
  <conditionalFormatting sqref="M33:M35">
    <cfRule type="expression" dxfId="1" priority="1">
      <formula>Q34:R34&lt;&gt;"FALSE"</formula>
    </cfRule>
  </conditionalFormatting>
  <conditionalFormatting sqref="M20:M24 M27:M29 M31">
    <cfRule type="expression" dxfId="1" priority="2">
      <formula>Q19:R19&lt;&gt;"FALSE"</formula>
    </cfRule>
  </conditionalFormatting>
  <conditionalFormatting sqref="M20:M24 M27:M29 M31">
    <cfRule type="expression" dxfId="1" priority="3">
      <formula>Q8:R8&lt;&gt;"FALSE"</formula>
    </cfRule>
  </conditionalFormatting>
  <conditionalFormatting sqref="M31:M35">
    <cfRule type="expression" dxfId="1" priority="4">
      <formula>Q20:R20&lt;&gt;"FALSE"</formula>
    </cfRule>
  </conditionalFormatting>
  <conditionalFormatting sqref="M32">
    <cfRule type="expression" dxfId="1" priority="5">
      <formula>Q22:R22&lt;&gt;"FALSE"</formula>
    </cfRule>
  </conditionalFormatting>
  <conditionalFormatting sqref="M35">
    <cfRule type="expression" dxfId="1" priority="6">
      <formula>Q13:R13&lt;&gt;"FALSE"</formula>
    </cfRule>
  </conditionalFormatting>
  <conditionalFormatting sqref="F1:F2 F4:F14 F16:F26 F28:F37 F39:F46 F48">
    <cfRule type="expression" dxfId="1" priority="7">
      <formula>J1:K1&lt;&gt;"FALSE"</formula>
    </cfRule>
  </conditionalFormatting>
  <conditionalFormatting sqref="A1">
    <cfRule type="expression" dxfId="0" priority="8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13"/>
    <col customWidth="1" min="3" max="4" width="7.63"/>
    <col customWidth="1" min="5" max="5" width="2.63"/>
    <col customWidth="1" min="6" max="6" width="26.38"/>
    <col customWidth="1" min="7" max="7" width="7.63"/>
    <col customWidth="1" min="8" max="8" width="8.38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4.88"/>
  </cols>
  <sheetData>
    <row r="1" ht="71.25" customHeight="1">
      <c r="A1" s="160" t="str">
        <f>IFERROR(__xludf.DUMMYFUNCTION("filter(Arts,(INDEX(Arts,,1)&lt;&gt;""""))"),"Fine Arts
College Ready House           ")</f>
        <v>Fine Arts
College Ready House           </v>
      </c>
      <c r="B1" s="154" t="str">
        <f>IFERROR(__xludf.DUMMYFUNCTION("""COMPUTED_VALUE"""),"")</f>
        <v/>
      </c>
      <c r="C1" s="155"/>
      <c r="D1" s="156" t="str">
        <f>IFERROR(__xludf.DUMMYFUNCTION("""COMPUTED_VALUE"""),"Arts")</f>
        <v>Arts</v>
      </c>
      <c r="E1" s="161"/>
      <c r="F1" s="145" t="s">
        <v>135</v>
      </c>
      <c r="L1" s="162"/>
      <c r="M1" s="145" t="s">
        <v>114</v>
      </c>
    </row>
    <row r="2">
      <c r="A2" s="163" t="str">
        <f>IFERROR(__xludf.DUMMYFUNCTION("""COMPUTED_VALUE"""),"Course")</f>
        <v>Course</v>
      </c>
      <c r="B2" s="164" t="str">
        <f>IFERROR(__xludf.DUMMYFUNCTION("""COMPUTED_VALUE"""),"Credits")</f>
        <v>Credits</v>
      </c>
      <c r="C2" s="164" t="str">
        <f>IFERROR(__xludf.DUMMYFUNCTION("""COMPUTED_VALUE"""),"Code")</f>
        <v>Code</v>
      </c>
      <c r="D2" s="164" t="str">
        <f>IFERROR(__xludf.DUMMYFUNCTION("""COMPUTED_VALUE"""),"Year")</f>
        <v>Year</v>
      </c>
      <c r="E2" s="123"/>
      <c r="F2" s="123"/>
      <c r="G2" s="28"/>
      <c r="H2" s="146"/>
      <c r="I2" s="132"/>
      <c r="J2" s="164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3"/>
      <c r="F3" s="163" t="s">
        <v>136</v>
      </c>
      <c r="G3" s="164">
        <f>SUM(G4:G14)</f>
        <v>7</v>
      </c>
      <c r="H3" s="164" t="s">
        <v>107</v>
      </c>
      <c r="I3" s="164"/>
      <c r="J3" s="164">
        <v>1.0</v>
      </c>
      <c r="K3" s="164">
        <v>2.0</v>
      </c>
      <c r="L3" s="124"/>
      <c r="M3" s="163" t="s">
        <v>108</v>
      </c>
      <c r="N3" s="164" t="s">
        <v>109</v>
      </c>
      <c r="O3" s="164" t="s">
        <v>110</v>
      </c>
    </row>
    <row r="4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7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>
      <c r="A5" s="59" t="str">
        <f>IFERROR(__xludf.DUMMYFUNCTION("""COMPUTED_VALUE"""),"English Literature 10")</f>
        <v>English Literature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3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29" t="b">
        <v>0</v>
      </c>
      <c r="K5" s="129" t="b">
        <v>0</v>
      </c>
      <c r="L5" s="124"/>
      <c r="M5" s="133"/>
      <c r="N5" s="131" t="b">
        <v>0</v>
      </c>
      <c r="O5" s="131" t="b">
        <v>0</v>
      </c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3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29" t="b">
        <v>0</v>
      </c>
      <c r="K6" s="129" t="b">
        <v>0</v>
      </c>
      <c r="L6" s="124"/>
      <c r="M6" s="133"/>
      <c r="N6" s="131" t="b">
        <v>0</v>
      </c>
      <c r="O6" s="131" t="b">
        <v>0</v>
      </c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3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29" t="b">
        <v>0</v>
      </c>
      <c r="K7" s="124"/>
      <c r="L7" s="124"/>
      <c r="M7" s="133"/>
      <c r="N7" s="131" t="b">
        <v>0</v>
      </c>
      <c r="O7" s="131" t="b">
        <v>0</v>
      </c>
    </row>
    <row r="8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5"/>
      <c r="E8" s="123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29" t="b">
        <v>0</v>
      </c>
      <c r="K8" s="132"/>
      <c r="L8" s="124"/>
      <c r="M8" s="124"/>
      <c r="N8" s="131"/>
      <c r="O8" s="131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3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29" t="b">
        <v>0</v>
      </c>
      <c r="K9" s="129" t="b">
        <v>0</v>
      </c>
      <c r="L9" s="124"/>
      <c r="M9" s="163" t="s">
        <v>115</v>
      </c>
      <c r="N9" s="164" t="s">
        <v>112</v>
      </c>
    </row>
    <row r="10">
      <c r="A10" s="137" t="str">
        <f>IFERROR(__xludf.DUMMYFUNCTION("""COMPUTED_VALUE"""),"Design Algebra II")</f>
        <v>Design 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3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29" t="b">
        <v>0</v>
      </c>
      <c r="K10" s="124"/>
      <c r="L10" s="124"/>
      <c r="M10" s="130"/>
      <c r="N10" s="139">
        <v>1.0</v>
      </c>
    </row>
    <row r="11">
      <c r="A11" s="137" t="str">
        <f>IFERROR(__xludf.DUMMYFUNCTION("""COMPUTED_VALUE"""),"Design Geometry")</f>
        <v>Design 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3"/>
      <c r="F11" s="123" t="str">
        <f>IFERROR(__xludf.DUMMYFUNCTION("""COMPUTED_VALUE"""),"Arts Foundations")</f>
        <v>Arts Foundations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29" t="b">
        <v>0</v>
      </c>
      <c r="K11" s="132"/>
      <c r="L11" s="124"/>
      <c r="M11" s="133"/>
      <c r="N11" s="139">
        <v>2.0</v>
      </c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3"/>
      <c r="F12" s="123" t="str">
        <f>IFERROR(__xludf.DUMMYFUNCTION("""COMPUTED_VALUE"""),"Arts Specializations")</f>
        <v>Arts Specializations</v>
      </c>
      <c r="G12" s="132">
        <f>IFERROR(__xludf.DUMMYFUNCTION("""COMPUTED_VALUE"""),0.5)</f>
        <v>0.5</v>
      </c>
      <c r="H12" s="132" t="str">
        <f>IFERROR(__xludf.DUMMYFUNCTION("""COMPUTED_VALUE"""),"FAS")</f>
        <v>FAS</v>
      </c>
      <c r="I12" s="132">
        <f>IFERROR(__xludf.DUMMYFUNCTION("""COMPUTED_VALUE"""),9.0)</f>
        <v>9</v>
      </c>
      <c r="J12" s="129" t="b">
        <v>0</v>
      </c>
      <c r="K12" s="132"/>
      <c r="L12" s="124"/>
      <c r="M12" s="133"/>
      <c r="N12" s="139">
        <v>3.0</v>
      </c>
    </row>
    <row r="13">
      <c r="A13" s="134" t="str">
        <f>IFERROR(__xludf.DUMMYFUNCTION("""COMPUTED_VALUE"""),"Lab Sciences")</f>
        <v>Lab Sciences</v>
      </c>
      <c r="B13" s="135">
        <f>IFERROR(__xludf.DUMMYFUNCTION("""COMPUTED_VALUE"""),3.0)</f>
        <v>3</v>
      </c>
      <c r="C13" s="136"/>
      <c r="D13" s="135"/>
      <c r="E13" s="123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29" t="b">
        <v>0</v>
      </c>
      <c r="K13" s="132"/>
      <c r="L13" s="124"/>
      <c r="M13" s="133"/>
      <c r="N13" s="139">
        <v>4.0</v>
      </c>
    </row>
    <row r="14">
      <c r="A14" s="137" t="str">
        <f>IFERROR(__xludf.DUMMYFUNCTION("""COMPUTED_VALUE"""),"Biology")</f>
        <v>Biology</v>
      </c>
      <c r="B14" s="28">
        <f>IFERROR(__xludf.DUMMYFUNCTION("""COMPUTED_VALUE"""),1.0)</f>
        <v>1</v>
      </c>
      <c r="C14" s="28" t="str">
        <f>IFERROR(__xludf.DUMMYFUNCTION("""COMPUTED_VALUE"""),"SB")</f>
        <v>SB</v>
      </c>
      <c r="D14" s="138">
        <f>IFERROR(__xludf.DUMMYFUNCTION("""COMPUTED_VALUE"""),9.0)</f>
        <v>9</v>
      </c>
      <c r="E14" s="123"/>
      <c r="F14" s="123"/>
      <c r="G14" s="132"/>
      <c r="H14" s="132"/>
      <c r="I14" s="132"/>
      <c r="J14" s="129"/>
      <c r="K14" s="132"/>
      <c r="L14" s="124"/>
      <c r="M14" s="133"/>
      <c r="N14" s="139">
        <v>5.0</v>
      </c>
    </row>
    <row r="15">
      <c r="A15" s="137" t="str">
        <f>IFERROR(__xludf.DUMMYFUNCTION("""COMPUTED_VALUE"""),"Engineering Physics")</f>
        <v>Engineering Physics</v>
      </c>
      <c r="B15" s="28">
        <f>IFERROR(__xludf.DUMMYFUNCTION("""COMPUTED_VALUE"""),1.0)</f>
        <v>1</v>
      </c>
      <c r="C15" s="28" t="str">
        <f>IFERROR(__xludf.DUMMYFUNCTION("""COMPUTED_VALUE"""),"SP")</f>
        <v>SP</v>
      </c>
      <c r="D15" s="138">
        <f>IFERROR(__xludf.DUMMYFUNCTION("""COMPUTED_VALUE"""),10.0)</f>
        <v>10</v>
      </c>
      <c r="E15" s="123"/>
      <c r="F15" s="163" t="s">
        <v>137</v>
      </c>
      <c r="G15" s="164">
        <f>SUM(G16:G25)</f>
        <v>7.5</v>
      </c>
      <c r="H15" s="164" t="s">
        <v>107</v>
      </c>
      <c r="I15" s="164"/>
      <c r="J15" s="164">
        <v>1.0</v>
      </c>
      <c r="K15" s="164">
        <v>2.0</v>
      </c>
      <c r="L15" s="124"/>
      <c r="M15" s="133"/>
      <c r="N15" s="139">
        <v>6.0</v>
      </c>
    </row>
    <row r="16">
      <c r="A16" s="137" t="str">
        <f>IFERROR(__xludf.DUMMYFUNCTION("""COMPUTED_VALUE"""),"Chemistry in the Community")</f>
        <v>Chemistry in the Community</v>
      </c>
      <c r="B16" s="28">
        <f>IFERROR(__xludf.DUMMYFUNCTION("""COMPUTED_VALUE"""),1.0)</f>
        <v>1</v>
      </c>
      <c r="C16" s="28" t="str">
        <f>IFERROR(__xludf.DUMMYFUNCTION("""COMPUTED_VALUE"""),"SEL")</f>
        <v>SEL</v>
      </c>
      <c r="D16" s="138">
        <f>IFERROR(__xludf.DUMMYFUNCTION("""COMPUTED_VALUE"""),11.0)</f>
        <v>11</v>
      </c>
      <c r="E16" s="123"/>
      <c r="F16" s="128" t="str">
        <f>IFERROR(__xludf.DUMMYFUNCTION("Filter(indirect($D$1),INDEX(INDIRECT($D$1),,4)=10)"),"English Literature 10")</f>
        <v>English Literature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>
      <c r="A17" s="134" t="str">
        <f>IFERROR(__xludf.DUMMYFUNCTION("""COMPUTED_VALUE"""),"History")</f>
        <v>History</v>
      </c>
      <c r="B17" s="135">
        <f>IFERROR(__xludf.DUMMYFUNCTION("""COMPUTED_VALUE"""),3.5)</f>
        <v>3.5</v>
      </c>
      <c r="C17" s="136"/>
      <c r="D17" s="135"/>
      <c r="E17" s="123"/>
      <c r="F17" s="123" t="str">
        <f>IFERROR(__xludf.DUMMYFUNCTION("""COMPUTED_VALUE"""),"Design Geometry")</f>
        <v>Design 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29" t="b">
        <v>0</v>
      </c>
      <c r="K17" s="129" t="b">
        <v>0</v>
      </c>
      <c r="L17" s="124"/>
      <c r="M17" s="133"/>
      <c r="N17" s="139">
        <v>8.0</v>
      </c>
    </row>
    <row r="18">
      <c r="A18" s="137" t="str">
        <f>IFERROR(__xludf.DUMMYFUNCTION("""COMPUTED_VALUE"""),"OK History")</f>
        <v>OK History</v>
      </c>
      <c r="B18" s="28">
        <f>IFERROR(__xludf.DUMMYFUNCTION("""COMPUTED_VALUE"""),0.5)</f>
        <v>0.5</v>
      </c>
      <c r="C18" s="28" t="str">
        <f>IFERROR(__xludf.DUMMYFUNCTION("""COMPUTED_VALUE"""),"HOK")</f>
        <v>HOK</v>
      </c>
      <c r="D18" s="138">
        <f>IFERROR(__xludf.DUMMYFUNCTION("""COMPUTED_VALUE"""),9.0)</f>
        <v>9</v>
      </c>
      <c r="E18" s="123"/>
      <c r="F18" s="123" t="str">
        <f>IFERROR(__xludf.DUMMYFUNCTION("""COMPUTED_VALUE"""),"Engineering Physics")</f>
        <v>Engineering Physics</v>
      </c>
      <c r="G18" s="28">
        <f>IFERROR(__xludf.DUMMYFUNCTION("""COMPUTED_VALUE"""),1.0)</f>
        <v>1</v>
      </c>
      <c r="H18" s="132" t="str">
        <f>IFERROR(__xludf.DUMMYFUNCTION("""COMPUTED_VALUE"""),"SP")</f>
        <v>SP</v>
      </c>
      <c r="I18" s="132">
        <f>IFERROR(__xludf.DUMMYFUNCTION("""COMPUTED_VALUE"""),10.0)</f>
        <v>10</v>
      </c>
      <c r="J18" s="129" t="b">
        <v>0</v>
      </c>
      <c r="K18" s="129" t="b">
        <v>0</v>
      </c>
      <c r="L18" s="124"/>
      <c r="M18" s="133"/>
      <c r="N18" s="139">
        <v>9.0</v>
      </c>
    </row>
    <row r="19">
      <c r="A19" s="137" t="str">
        <f>IFERROR(__xludf.DUMMYFUNCTION("""COMPUTED_VALUE"""),"Government")</f>
        <v>Government</v>
      </c>
      <c r="B19" s="28">
        <f>IFERROR(__xludf.DUMMYFUNCTION("""COMPUTED_VALUE"""),0.5)</f>
        <v>0.5</v>
      </c>
      <c r="C19" s="28" t="str">
        <f>IFERROR(__xludf.DUMMYFUNCTION("""COMPUTED_VALUE"""),"HG")</f>
        <v>HG</v>
      </c>
      <c r="D19" s="138">
        <f>IFERROR(__xludf.DUMMYFUNCTION("""COMPUTED_VALUE"""),9.0)</f>
        <v>9</v>
      </c>
      <c r="E19" s="123"/>
      <c r="F19" s="123" t="str">
        <f>IFERROR(__xludf.DUMMYFUNCTION("""COMPUTED_VALUE"""),"US History")</f>
        <v>US History</v>
      </c>
      <c r="G19" s="28">
        <f>IFERROR(__xludf.DUMMYFUNCTION("""COMPUTED_VALUE"""),1.0)</f>
        <v>1</v>
      </c>
      <c r="H19" s="132" t="str">
        <f>IFERROR(__xludf.DUMMYFUNCTION("""COMPUTED_VALUE"""),"HUS")</f>
        <v>HUS</v>
      </c>
      <c r="I19" s="132">
        <f>IFERROR(__xludf.DUMMYFUNCTION("""COMPUTED_VALUE"""),10.0)</f>
        <v>10</v>
      </c>
      <c r="J19" s="129" t="b">
        <v>0</v>
      </c>
      <c r="K19" s="129" t="b">
        <v>0</v>
      </c>
      <c r="L19" s="124"/>
      <c r="M19" s="124"/>
      <c r="N19" s="139"/>
      <c r="O19" s="132"/>
    </row>
    <row r="20">
      <c r="A20" s="137" t="str">
        <f>IFERROR(__xludf.DUMMYFUNCTION("""COMPUTED_VALUE"""),"US History")</f>
        <v>US History</v>
      </c>
      <c r="B20" s="28">
        <f>IFERROR(__xludf.DUMMYFUNCTION("""COMPUTED_VALUE"""),1.0)</f>
        <v>1</v>
      </c>
      <c r="C20" s="28" t="str">
        <f>IFERROR(__xludf.DUMMYFUNCTION("""COMPUTED_VALUE"""),"HUS")</f>
        <v>HUS</v>
      </c>
      <c r="D20" s="138">
        <f>IFERROR(__xludf.DUMMYFUNCTION("""COMPUTED_VALUE"""),10.0)</f>
        <v>10</v>
      </c>
      <c r="E20" s="123"/>
      <c r="F20" s="123" t="str">
        <f>IFERROR(__xludf.DUMMYFUNCTION("""COMPUTED_VALUE"""),"Foreign Language II")</f>
        <v>Foreign Language II</v>
      </c>
      <c r="G20" s="28">
        <f>IFERROR(__xludf.DUMMYFUNCTION("""COMPUTED_VALUE"""),1.0)</f>
        <v>1</v>
      </c>
      <c r="H20" s="132" t="str">
        <f>IFERROR(__xludf.DUMMYFUNCTION("""COMPUTED_VALUE"""),"FL2")</f>
        <v>FL2</v>
      </c>
      <c r="I20" s="132">
        <f>IFERROR(__xludf.DUMMYFUNCTION("""COMPUTED_VALUE"""),10.0)</f>
        <v>10</v>
      </c>
      <c r="J20" s="129" t="b">
        <v>0</v>
      </c>
      <c r="K20" s="129" t="b">
        <v>0</v>
      </c>
      <c r="L20" s="124"/>
      <c r="M20" s="163" t="s">
        <v>116</v>
      </c>
      <c r="N20" s="164"/>
      <c r="O20" s="164"/>
    </row>
    <row r="21">
      <c r="A21" s="137" t="str">
        <f>IFERROR(__xludf.DUMMYFUNCTION("""COMPUTED_VALUE"""),"Non-Western or World History")</f>
        <v>Non-Western or World History</v>
      </c>
      <c r="B21" s="28">
        <f>IFERROR(__xludf.DUMMYFUNCTION("""COMPUTED_VALUE"""),1.0)</f>
        <v>1</v>
      </c>
      <c r="C21" s="28" t="str">
        <f>IFERROR(__xludf.DUMMYFUNCTION("""COMPUTED_VALUE"""),"HW")</f>
        <v>HW</v>
      </c>
      <c r="D21" s="138">
        <f>IFERROR(__xludf.DUMMYFUNCTION("""COMPUTED_VALUE"""),11.0)</f>
        <v>11</v>
      </c>
      <c r="E21" s="123"/>
      <c r="F21" s="123" t="str">
        <f>IFERROR(__xludf.DUMMYFUNCTION("""COMPUTED_VALUE"""),"Intro to Computer Science")</f>
        <v>Intro to Computer Science</v>
      </c>
      <c r="G21" s="28">
        <f>IFERROR(__xludf.DUMMYFUNCTION("""COMPUTED_VALUE"""),0.5)</f>
        <v>0.5</v>
      </c>
      <c r="H21" s="132" t="str">
        <f>IFERROR(__xludf.DUMMYFUNCTION("""COMPUTED_VALUE"""),"CA")</f>
        <v>CA</v>
      </c>
      <c r="I21" s="132">
        <f>IFERROR(__xludf.DUMMYFUNCTION("""COMPUTED_VALUE"""),10.0)</f>
        <v>10</v>
      </c>
      <c r="J21" s="129" t="b">
        <v>0</v>
      </c>
      <c r="K21" s="28"/>
      <c r="L21" s="124"/>
      <c r="M21" s="151" t="s">
        <v>117</v>
      </c>
      <c r="N21" s="131" t="b">
        <v>0</v>
      </c>
    </row>
    <row r="22">
      <c r="A22" s="137" t="str">
        <f>IFERROR(__xludf.DUMMYFUNCTION("""COMPUTED_VALUE"""),"Art (or Music) History")</f>
        <v>Art (or Music) History</v>
      </c>
      <c r="B22" s="28">
        <f>IFERROR(__xludf.DUMMYFUNCTION("""COMPUTED_VALUE"""),0.5)</f>
        <v>0.5</v>
      </c>
      <c r="C22" s="28" t="str">
        <f>IFERROR(__xludf.DUMMYFUNCTION("""COMPUTED_VALUE"""),"FAH")</f>
        <v>FAH</v>
      </c>
      <c r="D22" s="138">
        <f>IFERROR(__xludf.DUMMYFUNCTION("""COMPUTED_VALUE"""),12.0)</f>
        <v>12</v>
      </c>
      <c r="E22" s="123"/>
      <c r="F22" s="123" t="str">
        <f>IFERROR(__xludf.DUMMYFUNCTION("""COMPUTED_VALUE"""),"Arts Specializations")</f>
        <v>Arts Specializations</v>
      </c>
      <c r="G22" s="28">
        <f>IFERROR(__xludf.DUMMYFUNCTION("""COMPUTED_VALUE"""),0.5)</f>
        <v>0.5</v>
      </c>
      <c r="H22" s="132" t="str">
        <f>IFERROR(__xludf.DUMMYFUNCTION("""COMPUTED_VALUE"""),"FAS")</f>
        <v>FAS</v>
      </c>
      <c r="I22" s="132">
        <f>IFERROR(__xludf.DUMMYFUNCTION("""COMPUTED_VALUE"""),10.0)</f>
        <v>10</v>
      </c>
      <c r="J22" s="129" t="b">
        <v>0</v>
      </c>
      <c r="K22" s="28"/>
      <c r="L22" s="124"/>
      <c r="M22" s="151" t="s">
        <v>118</v>
      </c>
      <c r="N22" s="131" t="b">
        <v>0</v>
      </c>
    </row>
    <row r="23">
      <c r="A23" s="134" t="str">
        <f>IFERROR(__xludf.DUMMYFUNCTION("""COMPUTED_VALUE"""),"World Language")</f>
        <v>World Language</v>
      </c>
      <c r="B23" s="135">
        <f>IFERROR(__xludf.DUMMYFUNCTION("""COMPUTED_VALUE"""),2.0)</f>
        <v>2</v>
      </c>
      <c r="C23" s="136"/>
      <c r="D23" s="135"/>
      <c r="E23" s="123"/>
      <c r="F23" s="123" t="str">
        <f>IFERROR(__xludf.DUMMYFUNCTION("""COMPUTED_VALUE"""),"Arts Specializations")</f>
        <v>Arts Specializations</v>
      </c>
      <c r="G23" s="28">
        <f>IFERROR(__xludf.DUMMYFUNCTION("""COMPUTED_VALUE"""),0.5)</f>
        <v>0.5</v>
      </c>
      <c r="H23" s="132" t="str">
        <f>IFERROR(__xludf.DUMMYFUNCTION("""COMPUTED_VALUE"""),"FAS")</f>
        <v>FAS</v>
      </c>
      <c r="I23" s="132">
        <f>IFERROR(__xludf.DUMMYFUNCTION("""COMPUTED_VALUE"""),10.0)</f>
        <v>10</v>
      </c>
      <c r="J23" s="129" t="b">
        <v>0</v>
      </c>
      <c r="K23" s="28"/>
      <c r="L23" s="124"/>
      <c r="M23" s="151" t="s">
        <v>119</v>
      </c>
      <c r="N23" s="131" t="b">
        <v>0</v>
      </c>
    </row>
    <row r="24">
      <c r="A24" s="137" t="str">
        <f>IFERROR(__xludf.DUMMYFUNCTION("""COMPUTED_VALUE"""),"Foreign Language I")</f>
        <v>Foreign Language I</v>
      </c>
      <c r="B24" s="28">
        <f>IFERROR(__xludf.DUMMYFUNCTION("""COMPUTED_VALUE"""),1.0)</f>
        <v>1</v>
      </c>
      <c r="C24" s="28" t="str">
        <f>IFERROR(__xludf.DUMMYFUNCTION("""COMPUTED_VALUE"""),"FL1")</f>
        <v>FL1</v>
      </c>
      <c r="D24" s="138">
        <f>IFERROR(__xludf.DUMMYFUNCTION("""COMPUTED_VALUE"""),9.0)</f>
        <v>9</v>
      </c>
      <c r="E24" s="123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29" t="b">
        <v>0</v>
      </c>
      <c r="K24" s="28"/>
      <c r="L24" s="124"/>
      <c r="M24" s="151" t="s">
        <v>120</v>
      </c>
      <c r="N24" s="131" t="b">
        <v>0</v>
      </c>
    </row>
    <row r="25">
      <c r="A25" s="137" t="str">
        <f>IFERROR(__xludf.DUMMYFUNCTION("""COMPUTED_VALUE"""),"Foreign Language II")</f>
        <v>Foreign Language II</v>
      </c>
      <c r="B25" s="28">
        <f>IFERROR(__xludf.DUMMYFUNCTION("""COMPUTED_VALUE"""),1.0)</f>
        <v>1</v>
      </c>
      <c r="C25" s="28" t="str">
        <f>IFERROR(__xludf.DUMMYFUNCTION("""COMPUTED_VALUE"""),"FL2")</f>
        <v>FL2</v>
      </c>
      <c r="D25" s="138">
        <f>IFERROR(__xludf.DUMMYFUNCTION("""COMPUTED_VALUE"""),10.0)</f>
        <v>10</v>
      </c>
      <c r="E25" s="123"/>
      <c r="F25" s="123" t="str">
        <f>IFERROR(__xludf.DUMMYFUNCTION("""COMPUTED_VALUE"""),"Elective")</f>
        <v>Elective</v>
      </c>
      <c r="G25" s="28">
        <f>IFERROR(__xludf.DUMMYFUNCTION("""COMPUTED_VALUE"""),0.5)</f>
        <v>0.5</v>
      </c>
      <c r="H25" s="132" t="str">
        <f>IFERROR(__xludf.DUMMYFUNCTION("""COMPUTED_VALUE"""),"EL")</f>
        <v>EL</v>
      </c>
      <c r="I25" s="132">
        <f>IFERROR(__xludf.DUMMYFUNCTION("""COMPUTED_VALUE"""),10.0)</f>
        <v>10</v>
      </c>
      <c r="J25" s="129" t="b">
        <v>0</v>
      </c>
      <c r="K25" s="28"/>
      <c r="L25" s="124"/>
      <c r="M25" s="151" t="s">
        <v>121</v>
      </c>
      <c r="N25" s="131" t="b">
        <v>0</v>
      </c>
    </row>
    <row r="26">
      <c r="A26" s="134" t="str">
        <f>IFERROR(__xludf.DUMMYFUNCTION("""COMPUTED_VALUE"""),"Computer Technology")</f>
        <v>Computer Technology</v>
      </c>
      <c r="B26" s="135">
        <f>IFERROR(__xludf.DUMMYFUNCTION("""COMPUTED_VALUE"""),1.0)</f>
        <v>1</v>
      </c>
      <c r="C26" s="136"/>
      <c r="D26" s="135"/>
      <c r="E26" s="123"/>
      <c r="F26" s="124"/>
      <c r="G26" s="124"/>
      <c r="H26" s="153"/>
      <c r="I26" s="124"/>
      <c r="J26" s="124"/>
      <c r="K26" s="124"/>
      <c r="L26" s="124"/>
    </row>
    <row r="27">
      <c r="A27" s="137" t="str">
        <f>IFERROR(__xludf.DUMMYFUNCTION("""COMPUTED_VALUE"""),"Intro to Digital Literacy")</f>
        <v>Intro to Digital Literacy</v>
      </c>
      <c r="B27" s="28">
        <f>IFERROR(__xludf.DUMMYFUNCTION("""COMPUTED_VALUE"""),0.5)</f>
        <v>0.5</v>
      </c>
      <c r="C27" s="28" t="str">
        <f>IFERROR(__xludf.DUMMYFUNCTION("""COMPUTED_VALUE"""),"CA")</f>
        <v>CA</v>
      </c>
      <c r="D27" s="138">
        <f>IFERROR(__xludf.DUMMYFUNCTION("""COMPUTED_VALUE"""),9.0)</f>
        <v>9</v>
      </c>
      <c r="E27" s="123"/>
      <c r="F27" s="163" t="s">
        <v>138</v>
      </c>
      <c r="G27" s="164">
        <f>SUM(G28:G37)</f>
        <v>6.5</v>
      </c>
      <c r="H27" s="164" t="s">
        <v>107</v>
      </c>
      <c r="I27" s="164"/>
      <c r="J27" s="164">
        <v>1.0</v>
      </c>
      <c r="K27" s="164">
        <v>2.0</v>
      </c>
      <c r="L27" s="124"/>
      <c r="M27" s="163" t="s">
        <v>122</v>
      </c>
      <c r="N27" s="164"/>
      <c r="O27" s="164"/>
    </row>
    <row r="28">
      <c r="A28" s="137" t="str">
        <f>IFERROR(__xludf.DUMMYFUNCTION("""COMPUTED_VALUE"""),"Intro to Computer Science")</f>
        <v>Intro to Computer Science</v>
      </c>
      <c r="B28" s="28">
        <f>IFERROR(__xludf.DUMMYFUNCTION("""COMPUTED_VALUE"""),0.5)</f>
        <v>0.5</v>
      </c>
      <c r="C28" s="28" t="str">
        <f>IFERROR(__xludf.DUMMYFUNCTION("""COMPUTED_VALUE"""),"CA")</f>
        <v>CA</v>
      </c>
      <c r="D28" s="138">
        <f>IFERROR(__xludf.DUMMYFUNCTION("""COMPUTED_VALUE"""),10.0)</f>
        <v>10</v>
      </c>
      <c r="E28" s="128"/>
      <c r="F28" s="128" t="str">
        <f>IFERROR(__xludf.DUMMYFUNCTION("Filter(indirect($D$1),INDEX(INDIRECT($D$1),,4)=11)"),"Critical Writing or AP")</f>
        <v>Critical Writing or AP</v>
      </c>
      <c r="G28" s="38">
        <f>IFERROR(__xludf.DUMMYFUNCTION("""COMPUTED_VALUE"""),1.0)</f>
        <v>1</v>
      </c>
      <c r="H28" s="129" t="str">
        <f>IFERROR(__xludf.DUMMYFUNCTION("""COMPUTED_VALUE"""),"E11")</f>
        <v>E11</v>
      </c>
      <c r="I28" s="124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123</v>
      </c>
      <c r="N28" s="131" t="b">
        <v>0</v>
      </c>
    </row>
    <row r="29">
      <c r="A29" s="134" t="str">
        <f>IFERROR(__xludf.DUMMYFUNCTION("""COMPUTED_VALUE"""),"Fine Arts")</f>
        <v>Fine Arts</v>
      </c>
      <c r="B29" s="135">
        <f>IFERROR(__xludf.DUMMYFUNCTION("""COMPUTED_VALUE"""),4.0)</f>
        <v>4</v>
      </c>
      <c r="C29" s="136"/>
      <c r="D29" s="135"/>
      <c r="E29" s="128"/>
      <c r="F29" s="123" t="str">
        <f>IFERROR(__xludf.DUMMYFUNCTION("""COMPUTED_VALUE"""),"Design Algebra II")</f>
        <v>Design Algebra II</v>
      </c>
      <c r="G29" s="28">
        <f>IFERROR(__xludf.DUMMYFUNCTION("""COMPUTED_VALUE"""),1.0)</f>
        <v>1</v>
      </c>
      <c r="H29" s="132" t="str">
        <f>IFERROR(__xludf.DUMMYFUNCTION("""COMPUTED_VALUE"""),"MA2")</f>
        <v>MA2</v>
      </c>
      <c r="I29" s="129">
        <f>IFERROR(__xludf.DUMMYFUNCTION("""COMPUTED_VALUE"""),11.0)</f>
        <v>11</v>
      </c>
      <c r="J29" s="129" t="b">
        <v>0</v>
      </c>
      <c r="K29" s="129" t="b">
        <v>0</v>
      </c>
      <c r="L29" s="124"/>
      <c r="M29" s="131" t="s">
        <v>124</v>
      </c>
      <c r="N29" s="131" t="b">
        <v>0</v>
      </c>
    </row>
    <row r="30">
      <c r="A30" s="165" t="str">
        <f>IFERROR(__xludf.DUMMYFUNCTION("""COMPUTED_VALUE"""),"(A) Visual Arts")</f>
        <v>(A) Visual Arts</v>
      </c>
      <c r="B30" s="28"/>
      <c r="C30" s="28"/>
      <c r="D30" s="138"/>
      <c r="E30" s="128"/>
      <c r="F30" s="123" t="str">
        <f>IFERROR(__xludf.DUMMYFUNCTION("""COMPUTED_VALUE"""),"Personal Finance")</f>
        <v>Personal Finance</v>
      </c>
      <c r="G30" s="28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29" t="b">
        <v>0</v>
      </c>
      <c r="K30" s="129" t="b">
        <v>0</v>
      </c>
      <c r="L30" s="124"/>
      <c r="M30" s="151"/>
      <c r="N30" s="131"/>
    </row>
    <row r="31">
      <c r="A31" s="137" t="str">
        <f>IFERROR(__xludf.DUMMYFUNCTION("""COMPUTED_VALUE"""),"Arts Foundations")</f>
        <v>Arts Foundations</v>
      </c>
      <c r="B31" s="28">
        <f>IFERROR(__xludf.DUMMYFUNCTION("""COMPUTED_VALUE"""),0.5)</f>
        <v>0.5</v>
      </c>
      <c r="C31" s="28" t="str">
        <f>IFERROR(__xludf.DUMMYFUNCTION("""COMPUTED_VALUE"""),"FAF")</f>
        <v>FAF</v>
      </c>
      <c r="D31" s="138">
        <f>IFERROR(__xludf.DUMMYFUNCTION("""COMPUTED_VALUE"""),9.0)</f>
        <v>9</v>
      </c>
      <c r="E31" s="128"/>
      <c r="F31" s="123" t="str">
        <f>IFERROR(__xludf.DUMMYFUNCTION("""COMPUTED_VALUE"""),"Chemistry in the Community")</f>
        <v>Chemistry in the Community</v>
      </c>
      <c r="G31" s="28">
        <f>IFERROR(__xludf.DUMMYFUNCTION("""COMPUTED_VALUE"""),1.0)</f>
        <v>1</v>
      </c>
      <c r="H31" s="132" t="str">
        <f>IFERROR(__xludf.DUMMYFUNCTION("""COMPUTED_VALUE"""),"SEL")</f>
        <v>SEL</v>
      </c>
      <c r="I31" s="132">
        <f>IFERROR(__xludf.DUMMYFUNCTION("""COMPUTED_VALUE"""),11.0)</f>
        <v>11</v>
      </c>
      <c r="J31" s="129" t="b">
        <v>0</v>
      </c>
      <c r="K31" s="129" t="b">
        <v>0</v>
      </c>
      <c r="L31" s="124"/>
      <c r="M31" s="163" t="s">
        <v>125</v>
      </c>
      <c r="N31" s="164" t="s">
        <v>126</v>
      </c>
      <c r="O31" s="164" t="s">
        <v>127</v>
      </c>
    </row>
    <row r="32">
      <c r="A32" s="137" t="str">
        <f>IFERROR(__xludf.DUMMYFUNCTION("""COMPUTED_VALUE"""),"Arts Specializations")</f>
        <v>Arts Specializations</v>
      </c>
      <c r="B32" s="28">
        <f>IFERROR(__xludf.DUMMYFUNCTION("""COMPUTED_VALUE"""),0.5)</f>
        <v>0.5</v>
      </c>
      <c r="C32" s="28" t="str">
        <f>IFERROR(__xludf.DUMMYFUNCTION("""COMPUTED_VALUE"""),"FAS")</f>
        <v>FAS</v>
      </c>
      <c r="D32" s="138">
        <f>IFERROR(__xludf.DUMMYFUNCTION("""COMPUTED_VALUE"""),9.0)</f>
        <v>9</v>
      </c>
      <c r="E32" s="124"/>
      <c r="F32" s="123" t="str">
        <f>IFERROR(__xludf.DUMMYFUNCTION("""COMPUTED_VALUE"""),"Non-Western or World History")</f>
        <v>Non-Western or World History</v>
      </c>
      <c r="G32" s="28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29" t="b">
        <v>0</v>
      </c>
      <c r="K32" s="129"/>
      <c r="L32" s="124"/>
      <c r="M32" s="151" t="s">
        <v>128</v>
      </c>
      <c r="N32" s="131" t="b">
        <v>0</v>
      </c>
      <c r="O32" s="131" t="b">
        <v>0</v>
      </c>
    </row>
    <row r="33">
      <c r="A33" s="137" t="str">
        <f>IFERROR(__xludf.DUMMYFUNCTION("""COMPUTED_VALUE"""),"Arts Specializations")</f>
        <v>Arts Specializations</v>
      </c>
      <c r="B33" s="28">
        <f>IFERROR(__xludf.DUMMYFUNCTION("""COMPUTED_VALUE"""),0.5)</f>
        <v>0.5</v>
      </c>
      <c r="C33" s="28" t="str">
        <f>IFERROR(__xludf.DUMMYFUNCTION("""COMPUTED_VALUE"""),"FAS")</f>
        <v>FAS</v>
      </c>
      <c r="D33" s="138">
        <f>IFERROR(__xludf.DUMMYFUNCTION("""COMPUTED_VALUE"""),10.0)</f>
        <v>10</v>
      </c>
      <c r="E33" s="124"/>
      <c r="F33" s="123" t="str">
        <f>IFERROR(__xludf.DUMMYFUNCTION("""COMPUTED_VALUE"""),"Arts Specializations")</f>
        <v>Arts Specializations</v>
      </c>
      <c r="G33" s="28">
        <f>IFERROR(__xludf.DUMMYFUNCTION("""COMPUTED_VALUE"""),0.5)</f>
        <v>0.5</v>
      </c>
      <c r="H33" s="132" t="str">
        <f>IFERROR(__xludf.DUMMYFUNCTION("""COMPUTED_VALUE"""),"FAS")</f>
        <v>FAS</v>
      </c>
      <c r="I33" s="132">
        <f>IFERROR(__xludf.DUMMYFUNCTION("""COMPUTED_VALUE"""),11.0)</f>
        <v>11</v>
      </c>
      <c r="J33" s="129" t="b">
        <v>0</v>
      </c>
      <c r="K33" s="132"/>
      <c r="L33" s="124"/>
      <c r="M33" s="151" t="s">
        <v>129</v>
      </c>
      <c r="N33" s="131" t="b">
        <v>0</v>
      </c>
      <c r="O33" s="131" t="b">
        <v>0</v>
      </c>
    </row>
    <row r="34">
      <c r="A34" s="137" t="str">
        <f>IFERROR(__xludf.DUMMYFUNCTION("""COMPUTED_VALUE"""),"Arts Specializations")</f>
        <v>Arts Specializations</v>
      </c>
      <c r="B34" s="28">
        <f>IFERROR(__xludf.DUMMYFUNCTION("""COMPUTED_VALUE"""),0.5)</f>
        <v>0.5</v>
      </c>
      <c r="C34" s="28" t="str">
        <f>IFERROR(__xludf.DUMMYFUNCTION("""COMPUTED_VALUE"""),"FAS")</f>
        <v>FAS</v>
      </c>
      <c r="D34" s="138">
        <f>IFERROR(__xludf.DUMMYFUNCTION("""COMPUTED_VALUE"""),10.0)</f>
        <v>10</v>
      </c>
      <c r="E34" s="123"/>
      <c r="F34" s="123" t="str">
        <f>IFERROR(__xludf.DUMMYFUNCTION("""COMPUTED_VALUE"""),"Arts Specializations")</f>
        <v>Arts Specializations</v>
      </c>
      <c r="G34" s="28">
        <f>IFERROR(__xludf.DUMMYFUNCTION("""COMPUTED_VALUE"""),0.5)</f>
        <v>0.5</v>
      </c>
      <c r="H34" s="132" t="str">
        <f>IFERROR(__xludf.DUMMYFUNCTION("""COMPUTED_VALUE"""),"FAS")</f>
        <v>FAS</v>
      </c>
      <c r="I34" s="132">
        <f>IFERROR(__xludf.DUMMYFUNCTION("""COMPUTED_VALUE"""),11.0)</f>
        <v>11</v>
      </c>
      <c r="J34" s="129" t="b">
        <v>0</v>
      </c>
      <c r="K34" s="28"/>
      <c r="L34" s="124"/>
      <c r="M34" s="151" t="s">
        <v>130</v>
      </c>
      <c r="N34" s="131" t="b">
        <v>0</v>
      </c>
      <c r="O34" s="131" t="b">
        <v>0</v>
      </c>
    </row>
    <row r="35">
      <c r="A35" s="137" t="str">
        <f>IFERROR(__xludf.DUMMYFUNCTION("""COMPUTED_VALUE"""),"Arts Specializations")</f>
        <v>Arts Specializations</v>
      </c>
      <c r="B35" s="28">
        <f>IFERROR(__xludf.DUMMYFUNCTION("""COMPUTED_VALUE"""),0.5)</f>
        <v>0.5</v>
      </c>
      <c r="C35" s="28" t="str">
        <f>IFERROR(__xludf.DUMMYFUNCTION("""COMPUTED_VALUE"""),"FAS")</f>
        <v>FAS</v>
      </c>
      <c r="D35" s="138">
        <f>IFERROR(__xludf.DUMMYFUNCTION("""COMPUTED_VALUE"""),11.0)</f>
        <v>11</v>
      </c>
      <c r="E35" s="123"/>
      <c r="F35" s="123" t="str">
        <f>IFERROR(__xludf.DUMMYFUNCTION("""COMPUTED_VALUE"""),"Elective")</f>
        <v>Elective</v>
      </c>
      <c r="G35" s="28">
        <f>IFERROR(__xludf.DUMMYFUNCTION("""COMPUTED_VALUE"""),0.5)</f>
        <v>0.5</v>
      </c>
      <c r="H35" s="132" t="str">
        <f>IFERROR(__xludf.DUMMYFUNCTION("""COMPUTED_VALUE"""),"EL")</f>
        <v>EL</v>
      </c>
      <c r="I35" s="132">
        <f>IFERROR(__xludf.DUMMYFUNCTION("""COMPUTED_VALUE"""),11.0)</f>
        <v>11</v>
      </c>
      <c r="J35" s="129" t="b">
        <v>0</v>
      </c>
      <c r="K35" s="132"/>
      <c r="L35" s="124"/>
      <c r="M35" s="151" t="s">
        <v>131</v>
      </c>
      <c r="N35" s="131" t="b">
        <v>0</v>
      </c>
      <c r="O35" s="131" t="b">
        <v>0</v>
      </c>
    </row>
    <row r="36">
      <c r="A36" s="137" t="str">
        <f>IFERROR(__xludf.DUMMYFUNCTION("""COMPUTED_VALUE"""),"Arts Specializations")</f>
        <v>Arts Specializations</v>
      </c>
      <c r="B36" s="28">
        <f>IFERROR(__xludf.DUMMYFUNCTION("""COMPUTED_VALUE"""),0.5)</f>
        <v>0.5</v>
      </c>
      <c r="C36" s="28" t="str">
        <f>IFERROR(__xludf.DUMMYFUNCTION("""COMPUTED_VALUE"""),"FAS")</f>
        <v>FAS</v>
      </c>
      <c r="D36" s="138">
        <f>IFERROR(__xludf.DUMMYFUNCTION("""COMPUTED_VALUE"""),11.0)</f>
        <v>11</v>
      </c>
      <c r="E36" s="123"/>
      <c r="F36" s="123" t="str">
        <f>IFERROR(__xludf.DUMMYFUNCTION("""COMPUTED_VALUE"""),"Elective")</f>
        <v>Elective</v>
      </c>
      <c r="G36" s="28">
        <f>IFERROR(__xludf.DUMMYFUNCTION("""COMPUTED_VALUE"""),0.5)</f>
        <v>0.5</v>
      </c>
      <c r="H36" s="132" t="str">
        <f>IFERROR(__xludf.DUMMYFUNCTION("""COMPUTED_VALUE"""),"EL")</f>
        <v>EL</v>
      </c>
      <c r="I36" s="132">
        <f>IFERROR(__xludf.DUMMYFUNCTION("""COMPUTED_VALUE"""),11.0)</f>
        <v>11</v>
      </c>
      <c r="J36" s="129"/>
      <c r="K36" s="28"/>
      <c r="L36" s="124"/>
      <c r="M36" s="131" t="s">
        <v>134</v>
      </c>
      <c r="N36" s="131" t="b">
        <v>0</v>
      </c>
    </row>
    <row r="37">
      <c r="A37" s="137" t="str">
        <f>IFERROR(__xludf.DUMMYFUNCTION("""COMPUTED_VALUE"""),"Arts Specializations")</f>
        <v>Arts Specializations</v>
      </c>
      <c r="B37" s="28">
        <f>IFERROR(__xludf.DUMMYFUNCTION("""COMPUTED_VALUE"""),0.5)</f>
        <v>0.5</v>
      </c>
      <c r="C37" s="28" t="str">
        <f>IFERROR(__xludf.DUMMYFUNCTION("""COMPUTED_VALUE"""),"FAS")</f>
        <v>FAS</v>
      </c>
      <c r="D37" s="138">
        <f>IFERROR(__xludf.DUMMYFUNCTION("""COMPUTED_VALUE"""),12.0)</f>
        <v>12</v>
      </c>
      <c r="E37" s="123"/>
      <c r="F37" s="123"/>
      <c r="G37" s="28"/>
      <c r="H37" s="132"/>
      <c r="I37" s="132"/>
      <c r="J37" s="129"/>
      <c r="K37" s="28"/>
      <c r="L37" s="124"/>
      <c r="M37" s="123"/>
      <c r="N37" s="28"/>
      <c r="O37" s="132"/>
    </row>
    <row r="38">
      <c r="A38" s="137" t="str">
        <f>IFERROR(__xludf.DUMMYFUNCTION("""COMPUTED_VALUE"""),"Arts Specializations")</f>
        <v>Arts Specializations</v>
      </c>
      <c r="B38" s="28">
        <f>IFERROR(__xludf.DUMMYFUNCTION("""COMPUTED_VALUE"""),0.5)</f>
        <v>0.5</v>
      </c>
      <c r="C38" s="28" t="str">
        <f>IFERROR(__xludf.DUMMYFUNCTION("""COMPUTED_VALUE"""),"FAS")</f>
        <v>FAS</v>
      </c>
      <c r="D38" s="138">
        <f>IFERROR(__xludf.DUMMYFUNCTION("""COMPUTED_VALUE"""),12.0)</f>
        <v>12</v>
      </c>
      <c r="E38" s="123"/>
      <c r="F38" s="124"/>
      <c r="G38" s="124"/>
      <c r="H38" s="124"/>
      <c r="I38" s="124"/>
      <c r="J38" s="124"/>
      <c r="K38" s="124"/>
      <c r="L38" s="124"/>
      <c r="M38" s="123"/>
      <c r="N38" s="28"/>
      <c r="O38" s="132"/>
    </row>
    <row r="39">
      <c r="A39" s="137" t="str">
        <f>IFERROR(__xludf.DUMMYFUNCTION("""COMPUTED_VALUE"""),"(B) Performing Arts")</f>
        <v>(B) Performing Arts</v>
      </c>
      <c r="B39" s="28"/>
      <c r="C39" s="28"/>
      <c r="D39" s="138"/>
      <c r="E39" s="123"/>
      <c r="F39" s="163" t="s">
        <v>139</v>
      </c>
      <c r="G39" s="164">
        <f>SUM(G40:G51)</f>
        <v>5.5</v>
      </c>
      <c r="H39" s="164" t="s">
        <v>107</v>
      </c>
      <c r="I39" s="164"/>
      <c r="J39" s="164">
        <v>1.0</v>
      </c>
      <c r="K39" s="164">
        <v>2.0</v>
      </c>
      <c r="L39" s="124"/>
      <c r="M39" s="123"/>
      <c r="N39" s="28"/>
      <c r="O39" s="132"/>
    </row>
    <row r="40">
      <c r="A40" s="137" t="str">
        <f>IFERROR(__xludf.DUMMYFUNCTION("""COMPUTED_VALUE"""),"Instrumental Music (4)")</f>
        <v>Instrumental Music (4)</v>
      </c>
      <c r="B40" s="28" t="str">
        <f>IFERROR(__xludf.DUMMYFUNCTION("""COMPUTED_VALUE"""),"*")</f>
        <v>*</v>
      </c>
      <c r="C40" s="28" t="str">
        <f>IFERROR(__xludf.DUMMYFUNCTION("""COMPUTED_VALUE"""),"FAS")</f>
        <v>FAS</v>
      </c>
      <c r="D40" s="138"/>
      <c r="E40" s="123"/>
      <c r="F40" s="128" t="str">
        <f>IFERROR(__xludf.DUMMYFUNCTION("Filter(indirect($D$1),INDEX(INDIRECT($D$1),,4)=12)"),"Critical Communication or AP")</f>
        <v>Critical Communication or AP</v>
      </c>
      <c r="G40" s="129">
        <f>IFERROR(__xludf.DUMMYFUNCTION("""COMPUTED_VALUE"""),1.0)</f>
        <v>1</v>
      </c>
      <c r="H40" s="129" t="str">
        <f>IFERROR(__xludf.DUMMYFUNCTION("""COMPUTED_VALUE"""),"E12")</f>
        <v>E12</v>
      </c>
      <c r="I40" s="132">
        <f>IFERROR(__xludf.DUMMYFUNCTION("""COMPUTED_VALUE"""),12.0)</f>
        <v>12</v>
      </c>
      <c r="J40" s="129" t="b">
        <v>0</v>
      </c>
      <c r="K40" s="129" t="b">
        <v>0</v>
      </c>
      <c r="L40" s="124"/>
      <c r="M40" s="123"/>
      <c r="N40" s="28"/>
      <c r="O40" s="132"/>
    </row>
    <row r="41">
      <c r="A41" s="137" t="str">
        <f>IFERROR(__xludf.DUMMYFUNCTION("""COMPUTED_VALUE"""),"Drama, Musical Theater, Choir, Speech &amp; Debate(4)")</f>
        <v>Drama, Musical Theater, Choir, Speech &amp; Debate(4)</v>
      </c>
      <c r="B41" s="28" t="str">
        <f>IFERROR(__xludf.DUMMYFUNCTION("""COMPUTED_VALUE"""),"*")</f>
        <v>*</v>
      </c>
      <c r="C41" s="28" t="str">
        <f>IFERROR(__xludf.DUMMYFUNCTION("""COMPUTED_VALUE"""),"FAS")</f>
        <v>FAS</v>
      </c>
      <c r="D41" s="138"/>
      <c r="E41" s="123"/>
      <c r="F41" s="123" t="str">
        <f>IFERROR(__xludf.DUMMYFUNCTION("""COMPUTED_VALUE"""),"Art (or Music) History")</f>
        <v>Art (or Music) History</v>
      </c>
      <c r="G41" s="132">
        <f>IFERROR(__xludf.DUMMYFUNCTION("""COMPUTED_VALUE"""),0.5)</f>
        <v>0.5</v>
      </c>
      <c r="H41" s="132" t="str">
        <f>IFERROR(__xludf.DUMMYFUNCTION("""COMPUTED_VALUE"""),"FAH")</f>
        <v>FAH</v>
      </c>
      <c r="I41" s="132">
        <f>IFERROR(__xludf.DUMMYFUNCTION("""COMPUTED_VALUE"""),12.0)</f>
        <v>12</v>
      </c>
      <c r="J41" s="129" t="b">
        <v>0</v>
      </c>
      <c r="K41" s="28"/>
      <c r="L41" s="124"/>
      <c r="M41" s="123"/>
      <c r="N41" s="28"/>
      <c r="O41" s="132"/>
    </row>
    <row r="42">
      <c r="A42" s="134" t="str">
        <f>IFERROR(__xludf.DUMMYFUNCTION("""COMPUTED_VALUE"""),"Electives")</f>
        <v>Electives</v>
      </c>
      <c r="B42" s="135">
        <f>IFERROR(__xludf.DUMMYFUNCTION("""COMPUTED_VALUE"""),2.5)</f>
        <v>2.5</v>
      </c>
      <c r="C42" s="136"/>
      <c r="D42" s="135"/>
      <c r="E42" s="123"/>
      <c r="F42" s="123" t="str">
        <f>IFERROR(__xludf.DUMMYFUNCTION("""COMPUTED_VALUE"""),"Arts Specializations")</f>
        <v>Arts Specializations</v>
      </c>
      <c r="G42" s="132">
        <f>IFERROR(__xludf.DUMMYFUNCTION("""COMPUTED_VALUE"""),0.5)</f>
        <v>0.5</v>
      </c>
      <c r="H42" s="132" t="str">
        <f>IFERROR(__xludf.DUMMYFUNCTION("""COMPUTED_VALUE"""),"FAS")</f>
        <v>FAS</v>
      </c>
      <c r="I42" s="132">
        <f>IFERROR(__xludf.DUMMYFUNCTION("""COMPUTED_VALUE"""),12.0)</f>
        <v>12</v>
      </c>
      <c r="J42" s="129" t="b">
        <v>0</v>
      </c>
      <c r="K42" s="28"/>
      <c r="L42" s="124"/>
      <c r="M42" s="123"/>
      <c r="N42" s="28"/>
      <c r="O42" s="132"/>
    </row>
    <row r="43">
      <c r="A43" s="137" t="str">
        <f>IFERROR(__xludf.DUMMYFUNCTION("""COMPUTED_VALUE"""),"Freshman Seminar")</f>
        <v>Freshman Seminar</v>
      </c>
      <c r="B43" s="28">
        <f>IFERROR(__xludf.DUMMYFUNCTION("""COMPUTED_VALUE"""),0.5)</f>
        <v>0.5</v>
      </c>
      <c r="C43" s="28" t="str">
        <f>IFERROR(__xludf.DUMMYFUNCTION("""COMPUTED_VALUE"""),"FS")</f>
        <v>FS</v>
      </c>
      <c r="D43" s="138">
        <f>IFERROR(__xludf.DUMMYFUNCTION("""COMPUTED_VALUE"""),9.0)</f>
        <v>9</v>
      </c>
      <c r="E43" s="123"/>
      <c r="F43" s="123" t="str">
        <f>IFERROR(__xludf.DUMMYFUNCTION("""COMPUTED_VALUE"""),"Arts Specializations")</f>
        <v>Arts Specializations</v>
      </c>
      <c r="G43" s="132">
        <f>IFERROR(__xludf.DUMMYFUNCTION("""COMPUTED_VALUE"""),0.5)</f>
        <v>0.5</v>
      </c>
      <c r="H43" s="132" t="str">
        <f>IFERROR(__xludf.DUMMYFUNCTION("""COMPUTED_VALUE"""),"FAS")</f>
        <v>FAS</v>
      </c>
      <c r="I43" s="132">
        <f>IFERROR(__xludf.DUMMYFUNCTION("""COMPUTED_VALUE"""),12.0)</f>
        <v>12</v>
      </c>
      <c r="J43" s="129" t="b">
        <v>0</v>
      </c>
      <c r="K43" s="28"/>
      <c r="L43" s="124"/>
      <c r="M43" s="123"/>
      <c r="N43" s="28"/>
      <c r="O43" s="132"/>
    </row>
    <row r="44">
      <c r="A44" s="137" t="str">
        <f>IFERROR(__xludf.DUMMYFUNCTION("""COMPUTED_VALUE"""),"Elective")</f>
        <v>Elective</v>
      </c>
      <c r="B44" s="28">
        <f>IFERROR(__xludf.DUMMYFUNCTION("""COMPUTED_VALUE"""),0.5)</f>
        <v>0.5</v>
      </c>
      <c r="C44" s="28" t="str">
        <f>IFERROR(__xludf.DUMMYFUNCTION("""COMPUTED_VALUE"""),"EL")</f>
        <v>EL</v>
      </c>
      <c r="D44" s="138">
        <f>IFERROR(__xludf.DUMMYFUNCTION("""COMPUTED_VALUE"""),10.0)</f>
        <v>10</v>
      </c>
      <c r="E44" s="123"/>
      <c r="F44" s="123" t="str">
        <f>IFERROR(__xludf.DUMMYFUNCTION("""COMPUTED_VALUE"""),"Senior Capstone Experience")</f>
        <v>Senior Capstone Experience</v>
      </c>
      <c r="G44" s="132">
        <f>IFERROR(__xludf.DUMMYFUNCTION("""COMPUTED_VALUE"""),3.0)</f>
        <v>3</v>
      </c>
      <c r="H44" s="132" t="str">
        <f>IFERROR(__xludf.DUMMYFUNCTION("""COMPUTED_VALUE"""),"CAP")</f>
        <v>CAP</v>
      </c>
      <c r="I44" s="124">
        <f>IFERROR(__xludf.DUMMYFUNCTION("""COMPUTED_VALUE"""),12.0)</f>
        <v>12</v>
      </c>
      <c r="J44" s="129" t="b">
        <v>0</v>
      </c>
      <c r="K44" s="129" t="b">
        <v>0</v>
      </c>
      <c r="L44" s="124"/>
      <c r="M44" s="124"/>
      <c r="N44" s="124"/>
      <c r="O44" s="124"/>
    </row>
    <row r="45">
      <c r="A45" s="137" t="str">
        <f>IFERROR(__xludf.DUMMYFUNCTION("""COMPUTED_VALUE"""),"Elective")</f>
        <v>Elective</v>
      </c>
      <c r="B45" s="28">
        <f>IFERROR(__xludf.DUMMYFUNCTION("""COMPUTED_VALUE"""),0.5)</f>
        <v>0.5</v>
      </c>
      <c r="C45" s="28" t="str">
        <f>IFERROR(__xludf.DUMMYFUNCTION("""COMPUTED_VALUE"""),"EL")</f>
        <v>EL</v>
      </c>
      <c r="D45" s="138">
        <f>IFERROR(__xludf.DUMMYFUNCTION("""COMPUTED_VALUE"""),10.0)</f>
        <v>10</v>
      </c>
      <c r="E45" s="123"/>
      <c r="F45" s="123"/>
      <c r="G45" s="28"/>
      <c r="H45" s="146"/>
      <c r="I45" s="132"/>
      <c r="J45" s="28"/>
      <c r="K45" s="124"/>
      <c r="L45" s="124"/>
      <c r="M45" s="123"/>
      <c r="N45" s="28"/>
      <c r="O45" s="132"/>
    </row>
    <row r="46">
      <c r="A46" s="137" t="str">
        <f>IFERROR(__xludf.DUMMYFUNCTION("""COMPUTED_VALUE"""),"Elective")</f>
        <v>Elective</v>
      </c>
      <c r="B46" s="28">
        <f>IFERROR(__xludf.DUMMYFUNCTION("""COMPUTED_VALUE"""),0.5)</f>
        <v>0.5</v>
      </c>
      <c r="C46" s="28" t="str">
        <f>IFERROR(__xludf.DUMMYFUNCTION("""COMPUTED_VALUE"""),"EL")</f>
        <v>EL</v>
      </c>
      <c r="D46" s="138">
        <f>IFERROR(__xludf.DUMMYFUNCTION("""COMPUTED_VALUE"""),11.0)</f>
        <v>11</v>
      </c>
      <c r="E46" s="123"/>
      <c r="L46" s="124"/>
      <c r="M46" s="123"/>
      <c r="N46" s="28"/>
      <c r="O46" s="132"/>
    </row>
    <row r="47">
      <c r="A47" s="137" t="str">
        <f>IFERROR(__xludf.DUMMYFUNCTION("""COMPUTED_VALUE"""),"Elective")</f>
        <v>Elective</v>
      </c>
      <c r="B47" s="28">
        <f>IFERROR(__xludf.DUMMYFUNCTION("""COMPUTED_VALUE"""),0.5)</f>
        <v>0.5</v>
      </c>
      <c r="C47" s="28" t="str">
        <f>IFERROR(__xludf.DUMMYFUNCTION("""COMPUTED_VALUE"""),"EL")</f>
        <v>EL</v>
      </c>
      <c r="D47" s="138">
        <f>IFERROR(__xludf.DUMMYFUNCTION("""COMPUTED_VALUE"""),11.0)</f>
        <v>11</v>
      </c>
      <c r="E47" s="123"/>
      <c r="F47" s="123"/>
      <c r="G47" s="28"/>
      <c r="H47" s="146"/>
      <c r="I47" s="132"/>
      <c r="J47" s="28"/>
      <c r="K47" s="28"/>
      <c r="L47" s="124"/>
      <c r="M47" s="123"/>
      <c r="N47" s="28"/>
      <c r="O47" s="132"/>
    </row>
    <row r="48">
      <c r="A48" s="134" t="str">
        <f>IFERROR(__xludf.DUMMYFUNCTION("""COMPUTED_VALUE"""),"Senior Capstone")</f>
        <v>Senior Capstone</v>
      </c>
      <c r="B48" s="135">
        <f>IFERROR(__xludf.DUMMYFUNCTION("""COMPUTED_VALUE"""),3.0)</f>
        <v>3</v>
      </c>
      <c r="C48" s="136"/>
      <c r="D48" s="135"/>
      <c r="E48" s="123"/>
      <c r="F48" s="123"/>
      <c r="G48" s="28"/>
      <c r="H48" s="146"/>
      <c r="I48" s="132"/>
      <c r="J48" s="28"/>
      <c r="K48" s="28"/>
      <c r="L48" s="124"/>
      <c r="M48" s="123"/>
      <c r="N48" s="28"/>
      <c r="O48" s="132"/>
    </row>
    <row r="49">
      <c r="A49" s="137" t="str">
        <f>IFERROR(__xludf.DUMMYFUNCTION("""COMPUTED_VALUE"""),"Senior Capstone Experience")</f>
        <v>Senior Capstone Experience</v>
      </c>
      <c r="B49" s="28">
        <f>IFERROR(__xludf.DUMMYFUNCTION("""COMPUTED_VALUE"""),3.0)</f>
        <v>3</v>
      </c>
      <c r="C49" s="28" t="str">
        <f>IFERROR(__xludf.DUMMYFUNCTION("""COMPUTED_VALUE"""),"CAP")</f>
        <v>CAP</v>
      </c>
      <c r="D49" s="138">
        <f>IFERROR(__xludf.DUMMYFUNCTION("""COMPUTED_VALUE"""),12.0)</f>
        <v>12</v>
      </c>
      <c r="E49" s="123"/>
      <c r="F49" s="123"/>
      <c r="G49" s="28"/>
      <c r="H49" s="146"/>
      <c r="I49" s="132"/>
      <c r="J49" s="28"/>
      <c r="K49" s="28"/>
      <c r="L49" s="124"/>
      <c r="M49" s="123"/>
      <c r="N49" s="28"/>
      <c r="O49" s="132"/>
    </row>
    <row r="50">
      <c r="A50" s="163" t="str">
        <f>IFERROR(__xludf.DUMMYFUNCTION("""COMPUTED_VALUE"""),"Total")</f>
        <v>Total</v>
      </c>
      <c r="B50" s="164">
        <f>IFERROR(__xludf.DUMMYFUNCTION("""COMPUTED_VALUE"""),26.5)</f>
        <v>26.5</v>
      </c>
      <c r="C50" s="164"/>
      <c r="D50" s="164"/>
      <c r="E50" s="123"/>
      <c r="F50" s="123"/>
      <c r="G50" s="28"/>
      <c r="H50" s="146"/>
      <c r="I50" s="132"/>
      <c r="J50" s="28"/>
      <c r="K50" s="28"/>
      <c r="L50" s="124"/>
      <c r="M50" s="123"/>
      <c r="N50" s="28"/>
      <c r="O50" s="132"/>
    </row>
    <row r="51">
      <c r="A51" s="127"/>
      <c r="B51" s="166"/>
      <c r="C51" s="166"/>
      <c r="D51" s="166"/>
      <c r="E51" s="123"/>
      <c r="F51" s="123"/>
      <c r="G51" s="28"/>
      <c r="H51" s="146"/>
      <c r="I51" s="132"/>
      <c r="J51" s="28"/>
      <c r="K51" s="28"/>
      <c r="L51" s="124"/>
      <c r="M51" s="123"/>
      <c r="N51" s="28"/>
      <c r="O51" s="132"/>
    </row>
    <row r="52">
      <c r="E52" s="123"/>
      <c r="F52" s="123"/>
      <c r="G52" s="28"/>
      <c r="H52" s="146"/>
      <c r="I52" s="132"/>
      <c r="J52" s="28"/>
      <c r="K52" s="28"/>
      <c r="L52" s="124"/>
      <c r="M52" s="123"/>
      <c r="N52" s="28"/>
      <c r="O52" s="132"/>
    </row>
  </sheetData>
  <mergeCells count="4">
    <mergeCell ref="F1:K1"/>
    <mergeCell ref="M1:O1"/>
    <mergeCell ref="J2:K2"/>
    <mergeCell ref="N9:O9"/>
  </mergeCells>
  <conditionalFormatting sqref="M34:M36">
    <cfRule type="expression" dxfId="1" priority="1">
      <formula>Q34:R34&lt;&gt;"FALSE"</formula>
    </cfRule>
  </conditionalFormatting>
  <conditionalFormatting sqref="M21:M25 M28:M30 M32">
    <cfRule type="expression" dxfId="1" priority="2">
      <formula>Q19:R19&lt;&gt;"FALSE"</formula>
    </cfRule>
  </conditionalFormatting>
  <conditionalFormatting sqref="M21:M25 M28:M30 M32">
    <cfRule type="expression" dxfId="1" priority="3">
      <formula>Q8:R8&lt;&gt;"FALSE"</formula>
    </cfRule>
  </conditionalFormatting>
  <conditionalFormatting sqref="M32:M36">
    <cfRule type="expression" dxfId="1" priority="4">
      <formula>Q20:R20&lt;&gt;"FALSE"</formula>
    </cfRule>
  </conditionalFormatting>
  <conditionalFormatting sqref="M33">
    <cfRule type="expression" dxfId="1" priority="5">
      <formula>Q22:R22&lt;&gt;"FALSE"</formula>
    </cfRule>
  </conditionalFormatting>
  <conditionalFormatting sqref="M36">
    <cfRule type="expression" dxfId="1" priority="6">
      <formula>Q13:R13&lt;&gt;"FALSE"</formula>
    </cfRule>
  </conditionalFormatting>
  <conditionalFormatting sqref="F1:F2 F4:F14 F16:F25 F28:F37 F40:F45 F47:F52">
    <cfRule type="expression" dxfId="1" priority="7">
      <formula>J1:K1&lt;&gt;"FALSE"</formula>
    </cfRule>
  </conditionalFormatting>
  <conditionalFormatting sqref="A1 A3:A4">
    <cfRule type="expression" dxfId="0" priority="8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